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ctrlProps/ctrlProp24.xml" ContentType="application/vnd.ms-excel.controlproperties+xml"/>
  <Override PartName="/xl/charts/chart1.xml" ContentType="application/vnd.openxmlformats-officedocument.drawingml.chart+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drawings/drawing8.xml" ContentType="application/vnd.openxmlformats-officedocument.drawing+xml"/>
  <Override PartName="/xl/comments2.xml" ContentType="application/vnd.openxmlformats-officedocument.spreadsheetml.comment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9.xml" ContentType="application/vnd.openxmlformats-officedocument.drawingml.chartshapes+xml"/>
  <Override PartName="/xl/charts/chart18.xml" ContentType="application/vnd.openxmlformats-officedocument.drawingml.chart+xml"/>
  <Override PartName="/xl/drawings/drawing10.xml" ContentType="application/vnd.openxmlformats-officedocument.drawingml.chartshapes+xml"/>
  <Override PartName="/xl/charts/chart19.xml" ContentType="application/vnd.openxmlformats-officedocument.drawingml.chart+xml"/>
  <Override PartName="/xl/drawings/drawing11.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drawings/drawing12.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codeName="ThisWorkbook" autoCompressPictures="0"/>
  <mc:AlternateContent xmlns:mc="http://schemas.openxmlformats.org/markup-compatibility/2006">
    <mc:Choice Requires="x15">
      <x15ac:absPath xmlns:x15ac="http://schemas.microsoft.com/office/spreadsheetml/2010/11/ac" url="C:\Users\nicholas\repos\87s_research\design\power_supply\"/>
    </mc:Choice>
  </mc:AlternateContent>
  <xr:revisionPtr revIDLastSave="0" documentId="13_ncr:1_{74958793-8CAD-4C2D-872B-60BC610DD6EA}" xr6:coauthVersionLast="47" xr6:coauthVersionMax="47" xr10:uidLastSave="{00000000-0000-0000-0000-000000000000}"/>
  <workbookProtection workbookAlgorithmName="SHA-512" workbookHashValue="DbP24DE7S0DngW599HqljJ9xiYW+q2QxD/ox67QASTWghewtn67ttfmLi+pC55oU73kb6TgLccTIA37//UmZEw==" workbookSaltValue="Mst3C5luR25Ksd0g3almpA==" workbookSpinCount="100000" lockStructure="1"/>
  <bookViews>
    <workbookView xWindow="-108" yWindow="-108" windowWidth="23256" windowHeight="13896" tabRatio="580" xr2:uid="{00000000-000D-0000-FFFF-FFFF00000000}"/>
  </bookViews>
  <sheets>
    <sheet name="LM(2)518x PSR flyback converter" sheetId="1" r:id="rId1"/>
    <sheet name="BOM &amp; Schematic" sheetId="16" r:id="rId2"/>
    <sheet name="EVM Examples Layouts" sheetId="14" r:id="rId3"/>
    <sheet name="Variable Mgmt" sheetId="2" state="hidden" r:id="rId4"/>
    <sheet name="Stability Calculations" sheetId="29" state="hidden" r:id="rId5"/>
    <sheet name="Calculations - Single" sheetId="24" state="hidden" r:id="rId6"/>
    <sheet name="Calculations - Dual" sheetId="25" state="hidden" r:id="rId7"/>
    <sheet name="Fsw vs VIN" sheetId="23" state="hidden" r:id="rId8"/>
    <sheet name="Parameters" sheetId="19" state="hidden" r:id="rId9"/>
    <sheet name="Efficiency Plots" sheetId="22" state="hidden" r:id="rId10"/>
    <sheet name="Fsw Plots" sheetId="28" state="hidden" r:id="rId11"/>
    <sheet name="Schematic Mgmt" sheetId="21" state="hidden" r:id="rId12"/>
    <sheet name="Standard Value Calculator" sheetId="8" state="hidden" r:id="rId13"/>
  </sheets>
  <definedNames>
    <definedName name="_Don1">'Variable Mgmt'!$B$68</definedName>
    <definedName name="Acs">'Stability Calculations'!$L$3</definedName>
    <definedName name="Adc">'Stability Calculations'!$W$3</definedName>
    <definedName name="Aea">'Stability Calculations'!$I$6</definedName>
    <definedName name="Afb">'Stability Calculations'!$I$3</definedName>
    <definedName name="Am">'Stability Calculations'!$L$4</definedName>
    <definedName name="BODE_TYPE">'Variable Mgmt'!$Q$22</definedName>
    <definedName name="Cb">'Variable Mgmt'!$B$162</definedName>
    <definedName name="Ccomp">'Stability Calculations'!$D$38</definedName>
    <definedName name="Chf">'Stability Calculations'!$D$39</definedName>
    <definedName name="Cin" localSheetId="8">Parameters!$D$30</definedName>
    <definedName name="Cin">'Variable Mgmt'!$B$128</definedName>
    <definedName name="CinEsrMax">'Variable Mgmt'!$B$130</definedName>
    <definedName name="Cinmin">'Variable Mgmt'!$B$126</definedName>
    <definedName name="CONFIG">'Variable Mgmt'!$C$60</definedName>
    <definedName name="Coss">Parameters!$D$45</definedName>
    <definedName name="Cout" localSheetId="8">Parameters!$D$32</definedName>
    <definedName name="Cout">'Variable Mgmt'!$B$103</definedName>
    <definedName name="Cout_pri">'Stability Calculations'!$B$27</definedName>
    <definedName name="Cout_sec">'Stability Calculations'!$B$25</definedName>
    <definedName name="Cout_Voltage_Rating">'Variable Mgmt'!$S$61</definedName>
    <definedName name="Cout2">'Variable Mgmt'!$B$113</definedName>
    <definedName name="CoutEsr">'Variable Mgmt'!$B$105</definedName>
    <definedName name="CoutEsr2">'Variable Mgmt'!$B$115</definedName>
    <definedName name="Css">'Variable Mgmt'!$B$142</definedName>
    <definedName name="Css_u">'Variable Mgmt'!$B$143</definedName>
    <definedName name="Csw">Parameters!$D$46</definedName>
    <definedName name="Diode_TC">'Variable Mgmt'!$B$173</definedName>
    <definedName name="Don_Vinmax">'Variable Mgmt'!$B$71</definedName>
    <definedName name="Don_Vinmin">'Variable Mgmt'!$B$69</definedName>
    <definedName name="Don_Vinnom">'Variable Mgmt'!$B$70</definedName>
    <definedName name="EFF_DUAL">'Efficiency Plots'!$B$7</definedName>
    <definedName name="EFF_SINGLE">'Efficiency Plots'!$B$5</definedName>
    <definedName name="Efficiency">'Variable Mgmt'!$B$36</definedName>
    <definedName name="Fsw" localSheetId="8">Parameters!$D$20</definedName>
    <definedName name="Fsw_DCM">'Variable Mgmt'!$B$47</definedName>
    <definedName name="Fsw_DUAL">'Fsw Plots'!$B$7</definedName>
    <definedName name="Fsw_max">Parameters!$D$21</definedName>
    <definedName name="Fsw_SINGLE">'Fsw Plots'!$B$5</definedName>
    <definedName name="gmEA">'Stability Calculations'!$D$31</definedName>
    <definedName name="Icinrms">'Variable Mgmt'!$B$125</definedName>
    <definedName name="Icoutrms">'Variable Mgmt'!$B$97</definedName>
    <definedName name="Iin_Vinmax">'Variable Mgmt'!$B$43</definedName>
    <definedName name="Iin_Vinmin">'Variable Mgmt'!$B$40</definedName>
    <definedName name="Iin_Vinnom">'Variable Mgmt'!$B$42</definedName>
    <definedName name="ILIM_delay">Parameters!$D$37</definedName>
    <definedName name="Iout">'Variable Mgmt'!$B$12</definedName>
    <definedName name="Iout_eff">'Stability Calculations'!$B$15</definedName>
    <definedName name="Iout_max">Parameters!$D$10</definedName>
    <definedName name="Iout2">'Variable Mgmt'!$B$18</definedName>
    <definedName name="Iout2_actual">'Variable Mgmt'!$B$19</definedName>
    <definedName name="Ioutmax_Vinmax" localSheetId="6">'Calculations - Dual'!$Q$216</definedName>
    <definedName name="Ioutmax_Vinmax">'Calculations - Single'!$P$216</definedName>
    <definedName name="Ioutmax_Vinmin" localSheetId="6">'Calculations - Dual'!$Q$110</definedName>
    <definedName name="Ioutmax_Vinmin">'Calculations - Single'!$P$110</definedName>
    <definedName name="Ioutmax_Vinnom" localSheetId="6">'Calculations - Dual'!$Q$5</definedName>
    <definedName name="Ioutmax_Vinnom">'Calculations - Single'!$P$5</definedName>
    <definedName name="IQ">Parameters!$D$39</definedName>
    <definedName name="Iripple">Parameters!$D$19</definedName>
    <definedName name="Iripple_Vinmax" localSheetId="6">'Variable Mgmt'!#REF!</definedName>
    <definedName name="Iripple_Vinmax" localSheetId="10">'Variable Mgmt'!#REF!</definedName>
    <definedName name="Iripple_Vinmin" localSheetId="6">'Variable Mgmt'!#REF!</definedName>
    <definedName name="Iripple_Vinmin" localSheetId="10">'Variable Mgmt'!#REF!</definedName>
    <definedName name="Iripple_Vinnom" localSheetId="6">'Variable Mgmt'!#REF!</definedName>
    <definedName name="Iripple_Vinnom" localSheetId="10">'Variable Mgmt'!#REF!</definedName>
    <definedName name="Iripple1" localSheetId="6">'Variable Mgmt'!#REF!</definedName>
    <definedName name="Iripple1" localSheetId="10">'Variable Mgmt'!#REF!</definedName>
    <definedName name="Isat">'Variable Mgmt'!$B$93</definedName>
    <definedName name="Iss">'Variable Mgmt'!$B$141</definedName>
    <definedName name="Isw_max">Parameters!$D$35</definedName>
    <definedName name="Isw_min">Parameters!$D$36</definedName>
    <definedName name="Iuvlo_hys">'Variable Mgmt'!$B$152</definedName>
    <definedName name="Iuvlo1">'Variable Mgmt'!$B$150</definedName>
    <definedName name="Iuvlo2">'Variable Mgmt'!$B$151</definedName>
    <definedName name="k_core">Parameters!$D$29</definedName>
    <definedName name="L">Parameters!$D$26</definedName>
    <definedName name="Lleak">'Variable Mgmt'!$B$82</definedName>
    <definedName name="Lmag">'Variable Mgmt'!$B$81</definedName>
    <definedName name="Lmin">'Variable Mgmt'!$B$92</definedName>
    <definedName name="Ltc">'Variable Mgmt'!$B$184</definedName>
    <definedName name="M">'Stability Calculations'!$B$18</definedName>
    <definedName name="max_I">Parameters!$H$109</definedName>
    <definedName name="min_I">Parameters!$H$108</definedName>
    <definedName name="MODE">'Variable Mgmt'!$C$59</definedName>
    <definedName name="MODE_SS">'Variable Mgmt'!$J$64</definedName>
    <definedName name="MODE_TC">'Variable Mgmt'!$G$58</definedName>
    <definedName name="MODE_TOP">'Variable Mgmt'!$B$59</definedName>
    <definedName name="MODE_UVLO">'Variable Mgmt'!$G$64</definedName>
    <definedName name="Npri_sec">'Stability Calculations'!$B$13</definedName>
    <definedName name="Npri_sec1">'Variable Mgmt'!$R$49</definedName>
    <definedName name="Npri_sec2">'Variable Mgmt'!$R$51</definedName>
    <definedName name="Nps">'Variable Mgmt'!$R$48</definedName>
    <definedName name="Nsec1sec2">'Variable Mgmt'!$R$50</definedName>
    <definedName name="OffTime">Parameters!$D$18</definedName>
    <definedName name="OnTime">Parameters!$D$17</definedName>
    <definedName name="Pi">'Variable Mgmt'!$B$165</definedName>
    <definedName name="PICTURE1">INDIRECT('Schematic Mgmt'!$A$2)</definedName>
    <definedName name="PICTURE2">INDIRECT('Fsw Plots'!$A$2)</definedName>
    <definedName name="PICTURE3">INDIRECT('Efficiency Plots'!$A$2)</definedName>
    <definedName name="Pin">'Variable Mgmt'!$B$38</definedName>
    <definedName name="PLOT_TYPE">'Variable Mgmt'!$M$64</definedName>
    <definedName name="pole1">'Stability Calculations'!$Q$4</definedName>
    <definedName name="Pole2">'Stability Calculations'!$I$5</definedName>
    <definedName name="pole3">'Stability Calculations'!$T$3</definedName>
    <definedName name="pole4">'Stability Calculations'!$I$7</definedName>
    <definedName name="Pout">'Variable Mgmt'!$B$14</definedName>
    <definedName name="Pout_total">'Variable Mgmt'!$B$22</definedName>
    <definedName name="Pout2">'Variable Mgmt'!$B$21</definedName>
    <definedName name="_xlnm.Print_Area" localSheetId="1">'BOM &amp; Schematic'!$A$1:$I$50</definedName>
    <definedName name="_xlnm.Print_Area" localSheetId="0">'LM(2)518x PSR flyback converter'!$A$1:$R$63</definedName>
    <definedName name="pterm1">'Stability Calculations'!$T$4</definedName>
    <definedName name="pterm2">'Stability Calculations'!$T$5</definedName>
    <definedName name="Qg">Parameters!$D$44</definedName>
    <definedName name="radconv">'Stability Calculations'!$W$6</definedName>
    <definedName name="RCinEsr" localSheetId="8">Parameters!$D$31</definedName>
    <definedName name="RCinEsr">'Variable Mgmt'!$B$131</definedName>
    <definedName name="Rcomp">'Stability Calculations'!$D$37</definedName>
    <definedName name="RCoutEsr" localSheetId="8">Parameters!$D$33</definedName>
    <definedName name="RCoutEsr">'Variable Mgmt'!$B$105</definedName>
    <definedName name="Rcs_gain">'Stability Calculations'!$B$34</definedName>
    <definedName name="Rdcr_pri">'Variable Mgmt'!$B$83</definedName>
    <definedName name="Rdcr_sec">'Variable Mgmt'!$B$84</definedName>
    <definedName name="Rdcr_sec2">'Variable Mgmt'!$B$85</definedName>
    <definedName name="Rdiode">Parameters!$D$50</definedName>
    <definedName name="Rdson">Parameters!$D$41</definedName>
    <definedName name="RdsonTC">Parameters!$D$42</definedName>
    <definedName name="REAout">'Stability Calculations'!$D$32</definedName>
    <definedName name="Rfb">'Variable Mgmt'!$B$49</definedName>
    <definedName name="Rfb_recommend">'Variable Mgmt'!$B$169</definedName>
    <definedName name="Rfb2_u">'Variable Mgmt'!$B$171</definedName>
    <definedName name="Rload_pri">'Stability Calculations'!$B$22</definedName>
    <definedName name="Rload_sec">'Stability Calculations'!$B$21</definedName>
    <definedName name="Rout">'Variable Mgmt'!$B$13</definedName>
    <definedName name="Rout2">'Variable Mgmt'!$B$20</definedName>
    <definedName name="Rpg" localSheetId="10">'Variable Mgmt'!#REF!</definedName>
    <definedName name="Rpg">'Variable Mgmt'!#REF!</definedName>
    <definedName name="rr">Parameters!$H$110</definedName>
    <definedName name="RTC">'Variable Mgmt'!$B$175</definedName>
    <definedName name="RTC_1">'Variable Mgmt'!$B$174</definedName>
    <definedName name="Ruvlo1">'Variable Mgmt'!$B$157</definedName>
    <definedName name="Ruvlo2">'Variable Mgmt'!$B$158</definedName>
    <definedName name="SCH_BIPOLAR_UVLOadj_SSadj_TCno">'Schematic Mgmt'!$H$21</definedName>
    <definedName name="SCH_BIPOLAR_UVLOadj_SSadj_TCyes">'Schematic Mgmt'!$H$7</definedName>
    <definedName name="SCH_BIPOLAR_UVLOadj_SSint_TCno">'Schematic Mgmt'!$H$19</definedName>
    <definedName name="SCH_BIPOLAR_UVLOadj_SSint_TCyes">'Schematic Mgmt'!$H$17</definedName>
    <definedName name="SCH_BIPOLAR_UVLOint_SSadj_TCno">'Schematic Mgmt'!$H$15</definedName>
    <definedName name="SCH_BIPOLAR_UVLOint_SSadj_TCyes">'Schematic Mgmt'!$H$9</definedName>
    <definedName name="SCH_BIPOLAR_UVLOint_SSint_TCno">'Schematic Mgmt'!$H$13</definedName>
    <definedName name="SCH_BIPOLAR_UVLOint_SSint_TCyes">'Schematic Mgmt'!$H$11</definedName>
    <definedName name="SCH_DUAL_UVLOadj_SSadj_TCno">'Schematic Mgmt'!$E$21</definedName>
    <definedName name="SCH_DUAL_UVLOadj_SSadj_TCyes">'Schematic Mgmt'!$E$7</definedName>
    <definedName name="SCH_DUAL_UVLOadj_SSint_TCno">'Schematic Mgmt'!$E$19</definedName>
    <definedName name="SCH_DUAL_UVLOadj_SSint_TCyes">'Schematic Mgmt'!$E$17</definedName>
    <definedName name="SCH_DUAL_UVLOint_SSadj_TCno">'Schematic Mgmt'!$E$15</definedName>
    <definedName name="SCH_DUAL_UVLOint_SSadj_TCyes">'Schematic Mgmt'!$E$9</definedName>
    <definedName name="SCH_DUAL_UVLOint_SSint_TCno">'Schematic Mgmt'!$E$13</definedName>
    <definedName name="SCH_DUAL_UVLOint_SSint_TCyes">'Schematic Mgmt'!$E$11</definedName>
    <definedName name="SCH_SINGLE_UVLOadj_SSadj_TCno">'Schematic Mgmt'!$B$21</definedName>
    <definedName name="SCH_SINGLE_UVLOadj_SSadj_TCyes">'Schematic Mgmt'!$B$7</definedName>
    <definedName name="SCH_SINGLE_UVLOadj_SSint_TCno">'Schematic Mgmt'!$B$19</definedName>
    <definedName name="SCH_SINGLE_UVLOadj_SSint_TCyes">'Schematic Mgmt'!$B$17</definedName>
    <definedName name="SCH_SINGLE_UVLOint_SSadj_TCno">'Schematic Mgmt'!$B$15</definedName>
    <definedName name="SCH_SINGLE_UVLOint_SSadj_TCyes">'Schematic Mgmt'!$B$9</definedName>
    <definedName name="SCH_SINGLE_UVLOint_SSint_TCno">'Schematic Mgmt'!$B$13</definedName>
    <definedName name="SCH_SINGLE_UVLOint_SSint_TCyes">'Schematic Mgmt'!$B$11</definedName>
    <definedName name="Ta" localSheetId="8">Parameters!$D$12</definedName>
    <definedName name="Ta">'Variable Mgmt'!$B$182</definedName>
    <definedName name="TC">'Variable Mgmt'!$G$58</definedName>
    <definedName name="Tfall">Parameters!$D$23</definedName>
    <definedName name="ThetaCa">'Variable Mgmt'!$B$185</definedName>
    <definedName name="ThetaJA">Parameters!$D$54</definedName>
    <definedName name="TL">'Variable Mgmt'!$B$93</definedName>
    <definedName name="toff_max">'Variable Mgmt'!$B$91</definedName>
    <definedName name="Toff_Vinmax">'Variable Mgmt'!$B$166</definedName>
    <definedName name="Ton_Vinmin">'Variable Mgmt'!$B$167</definedName>
    <definedName name="Trise">Parameters!$D$22</definedName>
    <definedName name="TrrBot">Parameters!$D$52</definedName>
    <definedName name="Tss">'Variable Mgmt'!$B$140</definedName>
    <definedName name="Tsw">'Stability Calculations'!$B$19</definedName>
    <definedName name="Turns_Ratio">'Variable Mgmt'!$S$45</definedName>
    <definedName name="Turns_Ratio2">'Variable Mgmt'!$W$45</definedName>
    <definedName name="VARIANT">'Variable Mgmt'!$Q$15</definedName>
    <definedName name="Vdd">Parameters!$D$13</definedName>
    <definedName name="Vfwd1">Parameters!$D$48</definedName>
    <definedName name="Vfwd2">Parameters!$D$49</definedName>
    <definedName name="Vin">'LM(2)518x PSR flyback converter'!$E$7</definedName>
    <definedName name="Vin_eff">'Stability Calculations'!$B$16</definedName>
    <definedName name="VIN_max">'Variable Mgmt'!$B$9</definedName>
    <definedName name="VIN_MAX_RATING">'Variable Mgmt'!$P$16</definedName>
    <definedName name="VIN_min">'Variable Mgmt'!$B$7</definedName>
    <definedName name="VIN_nom">'Variable Mgmt'!$B$8</definedName>
    <definedName name="Vinripple1">'Variable Mgmt'!$B$123</definedName>
    <definedName name="Vinripple2">'Variable Mgmt'!$B$136</definedName>
    <definedName name="VINuvlo_off">'Variable Mgmt'!$B$155</definedName>
    <definedName name="VINuvlo_on">'Variable Mgmt'!$B$154</definedName>
    <definedName name="Vout">'Variable Mgmt'!$B$11</definedName>
    <definedName name="Vout_eff">'Stability Calculations'!$B$14</definedName>
    <definedName name="Vout_ripple">'Variable Mgmt'!$B$30</definedName>
    <definedName name="Vout_ripple2">'Variable Mgmt'!$B$32</definedName>
    <definedName name="Vout2">'Variable Mgmt'!$B$16</definedName>
    <definedName name="Vout2_actual">'Variable Mgmt'!$B$17</definedName>
    <definedName name="Vref">'Variable Mgmt'!$B$48</definedName>
    <definedName name="Vripple1_actual">'Variable Mgmt'!$B$107</definedName>
    <definedName name="Vripple1_spec">'Variable Mgmt'!$B$101</definedName>
    <definedName name="Vripple2_actual">'Variable Mgmt'!$B$117</definedName>
    <definedName name="Vripple2_spec">'Variable Mgmt'!$B$111</definedName>
    <definedName name="VRRM_DIODE">'Variable Mgmt'!$B$28</definedName>
    <definedName name="Vsw_max">'Variable Mgmt'!$P$17</definedName>
    <definedName name="Vuvlo_hys">'Variable Mgmt'!$B$149</definedName>
    <definedName name="Vuvlo_off">'Variable Mgmt'!$B$148</definedName>
    <definedName name="Vuvlo_on">'Variable Mgmt'!$B$147</definedName>
    <definedName name="z_RHP">'Stability Calculations'!$Q$5</definedName>
    <definedName name="Zero1">'Stability Calculations'!$Q$3</definedName>
    <definedName name="Zero2">'Stability Calculations'!$I$4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9" i="2" l="1"/>
  <c r="R48" i="2"/>
  <c r="W49" i="2" l="1"/>
  <c r="R45" i="2"/>
  <c r="V39" i="2"/>
  <c r="R39" i="2"/>
  <c r="V45" i="2" l="1"/>
  <c r="V33" i="2"/>
  <c r="R33" i="2"/>
  <c r="M57" i="1" l="1"/>
  <c r="M58" i="1"/>
  <c r="M61" i="1"/>
  <c r="M54" i="1"/>
  <c r="M53" i="1"/>
  <c r="M51" i="1"/>
  <c r="M52" i="1"/>
  <c r="L53" i="1"/>
  <c r="L51" i="1"/>
  <c r="V44" i="2"/>
  <c r="V43" i="2"/>
  <c r="V42" i="2"/>
  <c r="V41" i="2"/>
  <c r="V40" i="2"/>
  <c r="V38" i="2"/>
  <c r="V36" i="2"/>
  <c r="V34" i="2"/>
  <c r="V32" i="2"/>
  <c r="V31" i="2"/>
  <c r="V30" i="2"/>
  <c r="V29" i="2"/>
  <c r="V28" i="2"/>
  <c r="R44" i="2"/>
  <c r="R41" i="2"/>
  <c r="R31" i="2"/>
  <c r="K13" i="1" l="1"/>
  <c r="K59" i="1" l="1"/>
  <c r="D59" i="1"/>
  <c r="K54" i="1" l="1"/>
  <c r="K53" i="1"/>
  <c r="K52" i="1"/>
  <c r="K51" i="1"/>
  <c r="D51" i="1"/>
  <c r="D53" i="1"/>
  <c r="K61" i="1"/>
  <c r="P17" i="2"/>
  <c r="P16" i="2"/>
  <c r="D13" i="1"/>
  <c r="F13" i="1"/>
  <c r="O325" i="25" l="1"/>
  <c r="M322" i="25"/>
  <c r="N322" i="25" s="1"/>
  <c r="K58" i="1"/>
  <c r="K57" i="1"/>
  <c r="H325" i="25"/>
  <c r="F322" i="25"/>
  <c r="J21" i="8" l="1"/>
  <c r="H325" i="24"/>
  <c r="F322" i="24"/>
  <c r="D58" i="1"/>
  <c r="D57" i="1"/>
  <c r="B93" i="2" l="1"/>
  <c r="J39" i="16"/>
  <c r="J38" i="16"/>
  <c r="K35" i="16"/>
  <c r="J35" i="16"/>
  <c r="M15" i="1"/>
  <c r="K15" i="1"/>
  <c r="K21" i="1"/>
  <c r="B46" i="19"/>
  <c r="B45" i="19"/>
  <c r="B44" i="19"/>
  <c r="B91" i="2" l="1"/>
  <c r="B35" i="19"/>
  <c r="B36" i="19" s="1"/>
  <c r="C46" i="16"/>
  <c r="H46" i="16"/>
  <c r="F50" i="2"/>
  <c r="D46" i="16"/>
  <c r="A29" i="16"/>
  <c r="B41" i="19"/>
  <c r="P15" i="2"/>
  <c r="B7" i="2" l="1"/>
  <c r="B9" i="2"/>
  <c r="E52" i="1" s="1"/>
  <c r="N325" i="25" l="1"/>
  <c r="G325" i="24"/>
  <c r="G325" i="25"/>
  <c r="K6" i="29"/>
  <c r="B18" i="29"/>
  <c r="Q6" i="29" s="1"/>
  <c r="B4" i="29"/>
  <c r="B19" i="29"/>
  <c r="I3" i="29"/>
  <c r="B34" i="29"/>
  <c r="L3" i="29" s="1"/>
  <c r="Y7" i="29" s="1"/>
  <c r="D39" i="29"/>
  <c r="D38" i="29"/>
  <c r="D37" i="29"/>
  <c r="D32" i="29"/>
  <c r="I5" i="29"/>
  <c r="O570" i="29" s="1"/>
  <c r="D31" i="29"/>
  <c r="O3" i="29" s="1"/>
  <c r="D26" i="29"/>
  <c r="D25" i="29"/>
  <c r="B27" i="29"/>
  <c r="D27" i="29"/>
  <c r="B21" i="29"/>
  <c r="B22" i="29" s="1"/>
  <c r="AK687" i="29"/>
  <c r="AB613" i="29"/>
  <c r="H613" i="29"/>
  <c r="AB612" i="29"/>
  <c r="H612" i="29"/>
  <c r="AB611" i="29"/>
  <c r="H611" i="29"/>
  <c r="AB610" i="29"/>
  <c r="H610" i="29"/>
  <c r="AB609" i="29"/>
  <c r="H609" i="29"/>
  <c r="AB608" i="29"/>
  <c r="H608" i="29"/>
  <c r="AB607" i="29"/>
  <c r="H607" i="29"/>
  <c r="AB606" i="29"/>
  <c r="H606" i="29"/>
  <c r="AB605" i="29"/>
  <c r="H605" i="29"/>
  <c r="AB604" i="29"/>
  <c r="H604" i="29"/>
  <c r="AB603" i="29"/>
  <c r="H603" i="29"/>
  <c r="AB602" i="29"/>
  <c r="H602" i="29"/>
  <c r="AB601" i="29"/>
  <c r="H601" i="29"/>
  <c r="AB600" i="29"/>
  <c r="H600" i="29"/>
  <c r="AB599" i="29"/>
  <c r="H599" i="29"/>
  <c r="AB598" i="29"/>
  <c r="H598" i="29"/>
  <c r="AB597" i="29"/>
  <c r="H597" i="29"/>
  <c r="AB596" i="29"/>
  <c r="H596" i="29"/>
  <c r="AB595" i="29"/>
  <c r="H595" i="29"/>
  <c r="AB594" i="29"/>
  <c r="H594" i="29"/>
  <c r="AB593" i="29"/>
  <c r="H593" i="29"/>
  <c r="AB592" i="29"/>
  <c r="H592" i="29"/>
  <c r="AB591" i="29"/>
  <c r="H591" i="29"/>
  <c r="AB590" i="29"/>
  <c r="H590" i="29"/>
  <c r="AB589" i="29"/>
  <c r="H589" i="29"/>
  <c r="AB588" i="29"/>
  <c r="H588" i="29"/>
  <c r="AB587" i="29"/>
  <c r="H587" i="29"/>
  <c r="AB586" i="29"/>
  <c r="H586" i="29"/>
  <c r="AB585" i="29"/>
  <c r="H585" i="29"/>
  <c r="AB584" i="29"/>
  <c r="H584" i="29"/>
  <c r="AB583" i="29"/>
  <c r="H583" i="29"/>
  <c r="AB582" i="29"/>
  <c r="H582" i="29"/>
  <c r="AB581" i="29"/>
  <c r="H581" i="29"/>
  <c r="AB580" i="29"/>
  <c r="H580" i="29"/>
  <c r="AB579" i="29"/>
  <c r="H579" i="29"/>
  <c r="AB578" i="29"/>
  <c r="H578" i="29"/>
  <c r="AB577" i="29"/>
  <c r="H577" i="29"/>
  <c r="AB576" i="29"/>
  <c r="H576" i="29"/>
  <c r="AB575" i="29"/>
  <c r="H575" i="29"/>
  <c r="AB574" i="29"/>
  <c r="H574" i="29"/>
  <c r="AB573" i="29"/>
  <c r="H573" i="29"/>
  <c r="AB572" i="29"/>
  <c r="H572" i="29"/>
  <c r="AB571" i="29"/>
  <c r="H571" i="29"/>
  <c r="AB570" i="29"/>
  <c r="H570" i="29"/>
  <c r="AB569" i="29"/>
  <c r="H569" i="29"/>
  <c r="AB568" i="29"/>
  <c r="H568" i="29"/>
  <c r="AB567" i="29"/>
  <c r="H567" i="29"/>
  <c r="AB566" i="29"/>
  <c r="H566" i="29"/>
  <c r="AB565" i="29"/>
  <c r="H565" i="29"/>
  <c r="AB564" i="29"/>
  <c r="H564" i="29"/>
  <c r="AB563" i="29"/>
  <c r="H563" i="29"/>
  <c r="AB562" i="29"/>
  <c r="H562" i="29"/>
  <c r="AB561" i="29"/>
  <c r="H561" i="29"/>
  <c r="AB560" i="29"/>
  <c r="H560" i="29"/>
  <c r="AB559" i="29"/>
  <c r="H559" i="29"/>
  <c r="AB558" i="29"/>
  <c r="H558" i="29"/>
  <c r="AB557" i="29"/>
  <c r="H557" i="29"/>
  <c r="AB556" i="29"/>
  <c r="H556" i="29"/>
  <c r="AB555" i="29"/>
  <c r="H555" i="29"/>
  <c r="AB554" i="29"/>
  <c r="H554" i="29"/>
  <c r="AB553" i="29"/>
  <c r="H553" i="29"/>
  <c r="AB552" i="29"/>
  <c r="H552" i="29"/>
  <c r="AB551" i="29"/>
  <c r="H551" i="29"/>
  <c r="AB550" i="29"/>
  <c r="H550" i="29"/>
  <c r="AB549" i="29"/>
  <c r="H549" i="29"/>
  <c r="AB548" i="29"/>
  <c r="H548" i="29"/>
  <c r="AB547" i="29"/>
  <c r="H547" i="29"/>
  <c r="AB546" i="29"/>
  <c r="H546" i="29"/>
  <c r="AB545" i="29"/>
  <c r="H545" i="29"/>
  <c r="AB544" i="29"/>
  <c r="H544" i="29"/>
  <c r="AB543" i="29"/>
  <c r="H543" i="29"/>
  <c r="AB542" i="29"/>
  <c r="H542" i="29"/>
  <c r="AB541" i="29"/>
  <c r="H541" i="29"/>
  <c r="AB540" i="29"/>
  <c r="H540" i="29"/>
  <c r="AB539" i="29"/>
  <c r="H539" i="29"/>
  <c r="AB538" i="29"/>
  <c r="H538" i="29"/>
  <c r="AB537" i="29"/>
  <c r="H537" i="29"/>
  <c r="AB536" i="29"/>
  <c r="H536" i="29"/>
  <c r="AB535" i="29"/>
  <c r="H535" i="29"/>
  <c r="AB534" i="29"/>
  <c r="H534" i="29"/>
  <c r="AB533" i="29"/>
  <c r="H533" i="29"/>
  <c r="AB532" i="29"/>
  <c r="H532" i="29"/>
  <c r="AB531" i="29"/>
  <c r="H531" i="29"/>
  <c r="AB530" i="29"/>
  <c r="H530" i="29"/>
  <c r="AB529" i="29"/>
  <c r="H529" i="29"/>
  <c r="AB528" i="29"/>
  <c r="H528" i="29"/>
  <c r="AB527" i="29"/>
  <c r="H527" i="29"/>
  <c r="AB526" i="29"/>
  <c r="H526" i="29"/>
  <c r="AB525" i="29"/>
  <c r="H525" i="29"/>
  <c r="AB524" i="29"/>
  <c r="H524" i="29"/>
  <c r="AB523" i="29"/>
  <c r="H523" i="29"/>
  <c r="AB522" i="29"/>
  <c r="H522" i="29"/>
  <c r="AB521" i="29"/>
  <c r="H521" i="29"/>
  <c r="AB520" i="29"/>
  <c r="H520" i="29"/>
  <c r="AB519" i="29"/>
  <c r="H519" i="29"/>
  <c r="AB518" i="29"/>
  <c r="H518" i="29"/>
  <c r="AB517" i="29"/>
  <c r="H517" i="29"/>
  <c r="AB516" i="29"/>
  <c r="H516" i="29"/>
  <c r="AB515" i="29"/>
  <c r="H515" i="29"/>
  <c r="AB514" i="29"/>
  <c r="H514" i="29"/>
  <c r="AB513" i="29"/>
  <c r="H513" i="29"/>
  <c r="AB512" i="29"/>
  <c r="H512" i="29"/>
  <c r="AB511" i="29"/>
  <c r="H511" i="29"/>
  <c r="AB510" i="29"/>
  <c r="H510" i="29"/>
  <c r="AB509" i="29"/>
  <c r="H509" i="29"/>
  <c r="AB508" i="29"/>
  <c r="H508" i="29"/>
  <c r="AB507" i="29"/>
  <c r="H507" i="29"/>
  <c r="AB506" i="29"/>
  <c r="H506" i="29"/>
  <c r="AB505" i="29"/>
  <c r="H505" i="29"/>
  <c r="AB504" i="29"/>
  <c r="H504" i="29"/>
  <c r="AB503" i="29"/>
  <c r="H503" i="29"/>
  <c r="AB502" i="29"/>
  <c r="H502" i="29"/>
  <c r="AB501" i="29"/>
  <c r="H501" i="29"/>
  <c r="AB500" i="29"/>
  <c r="H500" i="29"/>
  <c r="AB499" i="29"/>
  <c r="H499" i="29"/>
  <c r="AB498" i="29"/>
  <c r="H498" i="29"/>
  <c r="AB497" i="29"/>
  <c r="H497" i="29"/>
  <c r="AB496" i="29"/>
  <c r="H496" i="29"/>
  <c r="AB495" i="29"/>
  <c r="H495" i="29"/>
  <c r="AB494" i="29"/>
  <c r="H494" i="29"/>
  <c r="AB493" i="29"/>
  <c r="H493" i="29"/>
  <c r="AB492" i="29"/>
  <c r="H492" i="29"/>
  <c r="AB491" i="29"/>
  <c r="H491" i="29"/>
  <c r="AB490" i="29"/>
  <c r="H490" i="29"/>
  <c r="AB489" i="29"/>
  <c r="H489" i="29"/>
  <c r="AB488" i="29"/>
  <c r="H488" i="29"/>
  <c r="AB487" i="29"/>
  <c r="H487" i="29"/>
  <c r="AB486" i="29"/>
  <c r="H486" i="29"/>
  <c r="AB485" i="29"/>
  <c r="H485" i="29"/>
  <c r="AB484" i="29"/>
  <c r="H484" i="29"/>
  <c r="AB483" i="29"/>
  <c r="H483" i="29"/>
  <c r="AB482" i="29"/>
  <c r="H482" i="29"/>
  <c r="AB481" i="29"/>
  <c r="H481" i="29"/>
  <c r="AB480" i="29"/>
  <c r="H480" i="29"/>
  <c r="AB479" i="29"/>
  <c r="H479" i="29"/>
  <c r="AB478" i="29"/>
  <c r="H478" i="29"/>
  <c r="AB477" i="29"/>
  <c r="H477" i="29"/>
  <c r="AB476" i="29"/>
  <c r="H476" i="29"/>
  <c r="AB475" i="29"/>
  <c r="H475" i="29"/>
  <c r="AB474" i="29"/>
  <c r="H474" i="29"/>
  <c r="AB473" i="29"/>
  <c r="H473" i="29"/>
  <c r="AB472" i="29"/>
  <c r="H472" i="29"/>
  <c r="AB471" i="29"/>
  <c r="H471" i="29"/>
  <c r="AB470" i="29"/>
  <c r="H470" i="29"/>
  <c r="AB469" i="29"/>
  <c r="H469" i="29"/>
  <c r="AB468" i="29"/>
  <c r="H468" i="29"/>
  <c r="AB467" i="29"/>
  <c r="H467" i="29"/>
  <c r="AB466" i="29"/>
  <c r="H466" i="29"/>
  <c r="AB465" i="29"/>
  <c r="H465" i="29"/>
  <c r="AB464" i="29"/>
  <c r="H464" i="29"/>
  <c r="AB463" i="29"/>
  <c r="H463" i="29"/>
  <c r="AB462" i="29"/>
  <c r="H462" i="29"/>
  <c r="AB461" i="29"/>
  <c r="H461" i="29"/>
  <c r="AB460" i="29"/>
  <c r="H460" i="29"/>
  <c r="AB459" i="29"/>
  <c r="H459" i="29"/>
  <c r="AB458" i="29"/>
  <c r="H458" i="29"/>
  <c r="AB457" i="29"/>
  <c r="H457" i="29"/>
  <c r="AB456" i="29"/>
  <c r="H456" i="29"/>
  <c r="AB455" i="29"/>
  <c r="H455" i="29"/>
  <c r="AB454" i="29"/>
  <c r="H454" i="29"/>
  <c r="AB453" i="29"/>
  <c r="H453" i="29"/>
  <c r="AB452" i="29"/>
  <c r="H452" i="29"/>
  <c r="AB451" i="29"/>
  <c r="H451" i="29"/>
  <c r="AB450" i="29"/>
  <c r="H450" i="29"/>
  <c r="AB449" i="29"/>
  <c r="H449" i="29"/>
  <c r="AB448" i="29"/>
  <c r="H448" i="29"/>
  <c r="AB447" i="29"/>
  <c r="H447" i="29"/>
  <c r="AB446" i="29"/>
  <c r="H446" i="29"/>
  <c r="AB445" i="29"/>
  <c r="H445" i="29"/>
  <c r="AB444" i="29"/>
  <c r="H444" i="29"/>
  <c r="AB443" i="29"/>
  <c r="H443" i="29"/>
  <c r="AB442" i="29"/>
  <c r="H442" i="29"/>
  <c r="AB441" i="29"/>
  <c r="H441" i="29"/>
  <c r="AB440" i="29"/>
  <c r="H440" i="29"/>
  <c r="AB439" i="29"/>
  <c r="H439" i="29"/>
  <c r="AB438" i="29"/>
  <c r="H438" i="29"/>
  <c r="AB437" i="29"/>
  <c r="H437" i="29"/>
  <c r="AB436" i="29"/>
  <c r="H436" i="29"/>
  <c r="AB435" i="29"/>
  <c r="H435" i="29"/>
  <c r="AB434" i="29"/>
  <c r="H434" i="29"/>
  <c r="AB433" i="29"/>
  <c r="H433" i="29"/>
  <c r="AB432" i="29"/>
  <c r="H432" i="29"/>
  <c r="AB431" i="29"/>
  <c r="H431" i="29"/>
  <c r="AB430" i="29"/>
  <c r="H430" i="29"/>
  <c r="AB429" i="29"/>
  <c r="H429" i="29"/>
  <c r="AB428" i="29"/>
  <c r="H428" i="29"/>
  <c r="AB427" i="29"/>
  <c r="H427" i="29"/>
  <c r="AB426" i="29"/>
  <c r="H426" i="29"/>
  <c r="AB425" i="29"/>
  <c r="H425" i="29"/>
  <c r="AB424" i="29"/>
  <c r="H424" i="29"/>
  <c r="AB423" i="29"/>
  <c r="H423" i="29"/>
  <c r="AB422" i="29"/>
  <c r="H422" i="29"/>
  <c r="AB421" i="29"/>
  <c r="H421" i="29"/>
  <c r="AB420" i="29"/>
  <c r="H420" i="29"/>
  <c r="AB419" i="29"/>
  <c r="H419" i="29"/>
  <c r="AB418" i="29"/>
  <c r="H418" i="29"/>
  <c r="AB417" i="29"/>
  <c r="H417" i="29"/>
  <c r="AB416" i="29"/>
  <c r="H416" i="29"/>
  <c r="AB415" i="29"/>
  <c r="H415" i="29"/>
  <c r="AB414" i="29"/>
  <c r="H414" i="29"/>
  <c r="AB413" i="29"/>
  <c r="H413" i="29"/>
  <c r="AB412" i="29"/>
  <c r="H412" i="29"/>
  <c r="AB411" i="29"/>
  <c r="H411" i="29"/>
  <c r="AB410" i="29"/>
  <c r="H410" i="29"/>
  <c r="AB409" i="29"/>
  <c r="H409" i="29"/>
  <c r="AB408" i="29"/>
  <c r="H408" i="29"/>
  <c r="AB407" i="29"/>
  <c r="H407" i="29"/>
  <c r="AB406" i="29"/>
  <c r="H406" i="29"/>
  <c r="AB405" i="29"/>
  <c r="H405" i="29"/>
  <c r="AB404" i="29"/>
  <c r="H404" i="29"/>
  <c r="AB403" i="29"/>
  <c r="H403" i="29"/>
  <c r="AB402" i="29"/>
  <c r="H402" i="29"/>
  <c r="AB401" i="29"/>
  <c r="H401" i="29"/>
  <c r="AB400" i="29"/>
  <c r="H400" i="29"/>
  <c r="AB399" i="29"/>
  <c r="H399" i="29"/>
  <c r="AB398" i="29"/>
  <c r="H398" i="29"/>
  <c r="AB397" i="29"/>
  <c r="H397" i="29"/>
  <c r="AB396" i="29"/>
  <c r="H396" i="29"/>
  <c r="AB395" i="29"/>
  <c r="H395" i="29"/>
  <c r="AB394" i="29"/>
  <c r="H394" i="29"/>
  <c r="AB393" i="29"/>
  <c r="H393" i="29"/>
  <c r="AB392" i="29"/>
  <c r="H392" i="29"/>
  <c r="AB391" i="29"/>
  <c r="H391" i="29"/>
  <c r="AB390" i="29"/>
  <c r="H390" i="29"/>
  <c r="AB389" i="29"/>
  <c r="H389" i="29"/>
  <c r="AB388" i="29"/>
  <c r="H388" i="29"/>
  <c r="AB387" i="29"/>
  <c r="H387" i="29"/>
  <c r="AB386" i="29"/>
  <c r="H386" i="29"/>
  <c r="AB385" i="29"/>
  <c r="H385" i="29"/>
  <c r="AB384" i="29"/>
  <c r="H384" i="29"/>
  <c r="AB383" i="29"/>
  <c r="H383" i="29"/>
  <c r="AB382" i="29"/>
  <c r="H382" i="29"/>
  <c r="AB381" i="29"/>
  <c r="H381" i="29"/>
  <c r="AB380" i="29"/>
  <c r="H380" i="29"/>
  <c r="AB379" i="29"/>
  <c r="H379" i="29"/>
  <c r="AB378" i="29"/>
  <c r="H378" i="29"/>
  <c r="AB377" i="29"/>
  <c r="H377" i="29"/>
  <c r="AB376" i="29"/>
  <c r="H376" i="29"/>
  <c r="AB375" i="29"/>
  <c r="H375" i="29"/>
  <c r="AB374" i="29"/>
  <c r="H374" i="29"/>
  <c r="AB373" i="29"/>
  <c r="H373" i="29"/>
  <c r="AB372" i="29"/>
  <c r="H372" i="29"/>
  <c r="AB371" i="29"/>
  <c r="H371" i="29"/>
  <c r="AB370" i="29"/>
  <c r="H370" i="29"/>
  <c r="AB369" i="29"/>
  <c r="H369" i="29"/>
  <c r="AB368" i="29"/>
  <c r="H368" i="29"/>
  <c r="AB367" i="29"/>
  <c r="H367" i="29"/>
  <c r="AB366" i="29"/>
  <c r="H366" i="29"/>
  <c r="AB365" i="29"/>
  <c r="H365" i="29"/>
  <c r="AB364" i="29"/>
  <c r="H364" i="29"/>
  <c r="AB363" i="29"/>
  <c r="H363" i="29"/>
  <c r="AB362" i="29"/>
  <c r="H362" i="29"/>
  <c r="AB361" i="29"/>
  <c r="H361" i="29"/>
  <c r="AB360" i="29"/>
  <c r="H360" i="29"/>
  <c r="AB359" i="29"/>
  <c r="H359" i="29"/>
  <c r="AB358" i="29"/>
  <c r="H358" i="29"/>
  <c r="AB357" i="29"/>
  <c r="H357" i="29"/>
  <c r="AB356" i="29"/>
  <c r="H356" i="29"/>
  <c r="AB355" i="29"/>
  <c r="H355" i="29"/>
  <c r="AB354" i="29"/>
  <c r="H354" i="29"/>
  <c r="AB353" i="29"/>
  <c r="H353" i="29"/>
  <c r="AB352" i="29"/>
  <c r="H352" i="29"/>
  <c r="AB351" i="29"/>
  <c r="H351" i="29"/>
  <c r="AB350" i="29"/>
  <c r="H350" i="29"/>
  <c r="AB349" i="29"/>
  <c r="H349" i="29"/>
  <c r="AB348" i="29"/>
  <c r="H348" i="29"/>
  <c r="AB347" i="29"/>
  <c r="H347" i="29"/>
  <c r="AB346" i="29"/>
  <c r="H346" i="29"/>
  <c r="AB345" i="29"/>
  <c r="H345" i="29"/>
  <c r="AB344" i="29"/>
  <c r="H344" i="29"/>
  <c r="AB343" i="29"/>
  <c r="H343" i="29"/>
  <c r="AB342" i="29"/>
  <c r="H342" i="29"/>
  <c r="AB341" i="29"/>
  <c r="H341" i="29"/>
  <c r="AB340" i="29"/>
  <c r="H340" i="29"/>
  <c r="AB339" i="29"/>
  <c r="H339" i="29"/>
  <c r="AB338" i="29"/>
  <c r="H338" i="29"/>
  <c r="AB337" i="29"/>
  <c r="H337" i="29"/>
  <c r="AB336" i="29"/>
  <c r="H336" i="29"/>
  <c r="AB335" i="29"/>
  <c r="H335" i="29"/>
  <c r="AB334" i="29"/>
  <c r="H334" i="29"/>
  <c r="AB333" i="29"/>
  <c r="H333" i="29"/>
  <c r="AB332" i="29"/>
  <c r="H332" i="29"/>
  <c r="AB331" i="29"/>
  <c r="H331" i="29"/>
  <c r="AB330" i="29"/>
  <c r="H330" i="29"/>
  <c r="AB329" i="29"/>
  <c r="H329" i="29"/>
  <c r="AB328" i="29"/>
  <c r="H328" i="29"/>
  <c r="AB327" i="29"/>
  <c r="H327" i="29"/>
  <c r="AB326" i="29"/>
  <c r="H326" i="29"/>
  <c r="AB325" i="29"/>
  <c r="H325" i="29"/>
  <c r="AB324" i="29"/>
  <c r="H324" i="29"/>
  <c r="AB323" i="29"/>
  <c r="H323" i="29"/>
  <c r="AB322" i="29"/>
  <c r="H322" i="29"/>
  <c r="AB321" i="29"/>
  <c r="H321" i="29"/>
  <c r="AB320" i="29"/>
  <c r="H320" i="29"/>
  <c r="AB319" i="29"/>
  <c r="H319" i="29"/>
  <c r="AB318" i="29"/>
  <c r="H318" i="29"/>
  <c r="AB317" i="29"/>
  <c r="H317" i="29"/>
  <c r="AB316" i="29"/>
  <c r="H316" i="29"/>
  <c r="AB315" i="29"/>
  <c r="H315" i="29"/>
  <c r="AB314" i="29"/>
  <c r="H314" i="29"/>
  <c r="AB313" i="29"/>
  <c r="H313" i="29"/>
  <c r="AB312" i="29"/>
  <c r="H312" i="29"/>
  <c r="AB311" i="29"/>
  <c r="H311" i="29"/>
  <c r="AB310" i="29"/>
  <c r="H310" i="29"/>
  <c r="AB309" i="29"/>
  <c r="H309" i="29"/>
  <c r="AB308" i="29"/>
  <c r="H308" i="29"/>
  <c r="AB307" i="29"/>
  <c r="H307" i="29"/>
  <c r="AB306" i="29"/>
  <c r="H306" i="29"/>
  <c r="AB305" i="29"/>
  <c r="H305" i="29"/>
  <c r="AB304" i="29"/>
  <c r="H304" i="29"/>
  <c r="AB303" i="29"/>
  <c r="H303" i="29"/>
  <c r="AB302" i="29"/>
  <c r="H302" i="29"/>
  <c r="AB301" i="29"/>
  <c r="H301" i="29"/>
  <c r="AB300" i="29"/>
  <c r="H300" i="29"/>
  <c r="AB299" i="29"/>
  <c r="H299" i="29"/>
  <c r="AB298" i="29"/>
  <c r="H298" i="29"/>
  <c r="AB297" i="29"/>
  <c r="H297" i="29"/>
  <c r="AB296" i="29"/>
  <c r="H296" i="29"/>
  <c r="AB295" i="29"/>
  <c r="H295" i="29"/>
  <c r="AB294" i="29"/>
  <c r="H294" i="29"/>
  <c r="AB293" i="29"/>
  <c r="H293" i="29"/>
  <c r="AB292" i="29"/>
  <c r="H292" i="29"/>
  <c r="AB291" i="29"/>
  <c r="H291" i="29"/>
  <c r="AB290" i="29"/>
  <c r="H290" i="29"/>
  <c r="AB289" i="29"/>
  <c r="H289" i="29"/>
  <c r="AB288" i="29"/>
  <c r="H288" i="29"/>
  <c r="AB287" i="29"/>
  <c r="H287" i="29"/>
  <c r="AB286" i="29"/>
  <c r="H286" i="29"/>
  <c r="AB285" i="29"/>
  <c r="H285" i="29"/>
  <c r="AB284" i="29"/>
  <c r="H284" i="29"/>
  <c r="AB283" i="29"/>
  <c r="H283" i="29"/>
  <c r="AB282" i="29"/>
  <c r="H282" i="29"/>
  <c r="AB281" i="29"/>
  <c r="H281" i="29"/>
  <c r="AB280" i="29"/>
  <c r="H280" i="29"/>
  <c r="AB279" i="29"/>
  <c r="H279" i="29"/>
  <c r="AB278" i="29"/>
  <c r="H278" i="29"/>
  <c r="AB277" i="29"/>
  <c r="H277" i="29"/>
  <c r="AB276" i="29"/>
  <c r="H276" i="29"/>
  <c r="AB275" i="29"/>
  <c r="H275" i="29"/>
  <c r="AB274" i="29"/>
  <c r="H274" i="29"/>
  <c r="AB273" i="29"/>
  <c r="H273" i="29"/>
  <c r="AB272" i="29"/>
  <c r="H272" i="29"/>
  <c r="AB271" i="29"/>
  <c r="H271" i="29"/>
  <c r="AB270" i="29"/>
  <c r="H270" i="29"/>
  <c r="AB269" i="29"/>
  <c r="H269" i="29"/>
  <c r="AB268" i="29"/>
  <c r="H268" i="29"/>
  <c r="AB267" i="29"/>
  <c r="H267" i="29"/>
  <c r="AB266" i="29"/>
  <c r="H266" i="29"/>
  <c r="AB265" i="29"/>
  <c r="H265" i="29"/>
  <c r="AB264" i="29"/>
  <c r="H264" i="29"/>
  <c r="AB263" i="29"/>
  <c r="H263" i="29"/>
  <c r="AB262" i="29"/>
  <c r="H262" i="29"/>
  <c r="AB261" i="29"/>
  <c r="H261" i="29"/>
  <c r="AB260" i="29"/>
  <c r="H260" i="29"/>
  <c r="AB259" i="29"/>
  <c r="H259" i="29"/>
  <c r="AB258" i="29"/>
  <c r="H258" i="29"/>
  <c r="AB257" i="29"/>
  <c r="H257" i="29"/>
  <c r="AB256" i="29"/>
  <c r="H256" i="29"/>
  <c r="AB255" i="29"/>
  <c r="H255" i="29"/>
  <c r="AB254" i="29"/>
  <c r="H254" i="29"/>
  <c r="AB253" i="29"/>
  <c r="H253" i="29"/>
  <c r="AB252" i="29"/>
  <c r="H252" i="29"/>
  <c r="AB251" i="29"/>
  <c r="H251" i="29"/>
  <c r="AB250" i="29"/>
  <c r="H250" i="29"/>
  <c r="AB249" i="29"/>
  <c r="H249" i="29"/>
  <c r="AB248" i="29"/>
  <c r="H248" i="29"/>
  <c r="AB247" i="29"/>
  <c r="H247" i="29"/>
  <c r="AB246" i="29"/>
  <c r="H246" i="29"/>
  <c r="AB245" i="29"/>
  <c r="H245" i="29"/>
  <c r="AB244" i="29"/>
  <c r="H244" i="29"/>
  <c r="AB243" i="29"/>
  <c r="H243" i="29"/>
  <c r="AB242" i="29"/>
  <c r="H242" i="29"/>
  <c r="AB241" i="29"/>
  <c r="H241" i="29"/>
  <c r="AB240" i="29"/>
  <c r="H240" i="29"/>
  <c r="AB239" i="29"/>
  <c r="H239" i="29"/>
  <c r="AB238" i="29"/>
  <c r="H238" i="29"/>
  <c r="AB237" i="29"/>
  <c r="H237" i="29"/>
  <c r="AB236" i="29"/>
  <c r="H236" i="29"/>
  <c r="AB235" i="29"/>
  <c r="H235" i="29"/>
  <c r="AB234" i="29"/>
  <c r="H234" i="29"/>
  <c r="AB233" i="29"/>
  <c r="H233" i="29"/>
  <c r="AB232" i="29"/>
  <c r="H232" i="29"/>
  <c r="AB231" i="29"/>
  <c r="H231" i="29"/>
  <c r="AB230" i="29"/>
  <c r="H230" i="29"/>
  <c r="AB229" i="29"/>
  <c r="H229" i="29"/>
  <c r="AB228" i="29"/>
  <c r="H228" i="29"/>
  <c r="AB227" i="29"/>
  <c r="H227" i="29"/>
  <c r="AB226" i="29"/>
  <c r="H226" i="29"/>
  <c r="AB225" i="29"/>
  <c r="H225" i="29"/>
  <c r="AB224" i="29"/>
  <c r="H224" i="29"/>
  <c r="AB223" i="29"/>
  <c r="H223" i="29"/>
  <c r="AB222" i="29"/>
  <c r="H222" i="29"/>
  <c r="AB221" i="29"/>
  <c r="H221" i="29"/>
  <c r="AB220" i="29"/>
  <c r="H220" i="29"/>
  <c r="AB219" i="29"/>
  <c r="H219" i="29"/>
  <c r="AB218" i="29"/>
  <c r="H218" i="29"/>
  <c r="AB217" i="29"/>
  <c r="H217" i="29"/>
  <c r="AB216" i="29"/>
  <c r="H216" i="29"/>
  <c r="AB215" i="29"/>
  <c r="H215" i="29"/>
  <c r="AB214" i="29"/>
  <c r="H214" i="29"/>
  <c r="AB213" i="29"/>
  <c r="H213" i="29"/>
  <c r="AB212" i="29"/>
  <c r="H212" i="29"/>
  <c r="AB211" i="29"/>
  <c r="H211" i="29"/>
  <c r="AB210" i="29"/>
  <c r="H210" i="29"/>
  <c r="AB209" i="29"/>
  <c r="H209" i="29"/>
  <c r="AB208" i="29"/>
  <c r="H208" i="29"/>
  <c r="AB207" i="29"/>
  <c r="H207" i="29"/>
  <c r="AB206" i="29"/>
  <c r="H206" i="29"/>
  <c r="AB205" i="29"/>
  <c r="H205" i="29"/>
  <c r="AB204" i="29"/>
  <c r="H204" i="29"/>
  <c r="AB203" i="29"/>
  <c r="H203" i="29"/>
  <c r="AB202" i="29"/>
  <c r="H202" i="29"/>
  <c r="AB201" i="29"/>
  <c r="H201" i="29"/>
  <c r="AB200" i="29"/>
  <c r="H200" i="29"/>
  <c r="AB199" i="29"/>
  <c r="H199" i="29"/>
  <c r="AB198" i="29"/>
  <c r="H198" i="29"/>
  <c r="AB197" i="29"/>
  <c r="H197" i="29"/>
  <c r="AB196" i="29"/>
  <c r="H196" i="29"/>
  <c r="AB195" i="29"/>
  <c r="H195" i="29"/>
  <c r="AB194" i="29"/>
  <c r="H194" i="29"/>
  <c r="AB193" i="29"/>
  <c r="H193" i="29"/>
  <c r="AB192" i="29"/>
  <c r="H192" i="29"/>
  <c r="AB191" i="29"/>
  <c r="H191" i="29"/>
  <c r="AB190" i="29"/>
  <c r="H190" i="29"/>
  <c r="AB189" i="29"/>
  <c r="H189" i="29"/>
  <c r="AB188" i="29"/>
  <c r="H188" i="29"/>
  <c r="AB187" i="29"/>
  <c r="H187" i="29"/>
  <c r="AB186" i="29"/>
  <c r="H186" i="29"/>
  <c r="AB185" i="29"/>
  <c r="H185" i="29"/>
  <c r="AB184" i="29"/>
  <c r="H184" i="29"/>
  <c r="AB183" i="29"/>
  <c r="H183" i="29"/>
  <c r="AB182" i="29"/>
  <c r="H182" i="29"/>
  <c r="AB181" i="29"/>
  <c r="H181" i="29"/>
  <c r="AB180" i="29"/>
  <c r="H180" i="29"/>
  <c r="AB179" i="29"/>
  <c r="H179" i="29"/>
  <c r="AB178" i="29"/>
  <c r="H178" i="29"/>
  <c r="AB177" i="29"/>
  <c r="H177" i="29"/>
  <c r="AB176" i="29"/>
  <c r="H176" i="29"/>
  <c r="AB175" i="29"/>
  <c r="H175" i="29"/>
  <c r="AB174" i="29"/>
  <c r="H174" i="29"/>
  <c r="AB173" i="29"/>
  <c r="H173" i="29"/>
  <c r="AB172" i="29"/>
  <c r="H172" i="29"/>
  <c r="AB171" i="29"/>
  <c r="H171" i="29"/>
  <c r="AB170" i="29"/>
  <c r="H170" i="29"/>
  <c r="AB169" i="29"/>
  <c r="H169" i="29"/>
  <c r="AB168" i="29"/>
  <c r="H168" i="29"/>
  <c r="AB167" i="29"/>
  <c r="H167" i="29"/>
  <c r="AB166" i="29"/>
  <c r="H166" i="29"/>
  <c r="AB165" i="29"/>
  <c r="H165" i="29"/>
  <c r="AB164" i="29"/>
  <c r="H164" i="29"/>
  <c r="AB163" i="29"/>
  <c r="H163" i="29"/>
  <c r="AB162" i="29"/>
  <c r="H162" i="29"/>
  <c r="AB161" i="29"/>
  <c r="H161" i="29"/>
  <c r="AB160" i="29"/>
  <c r="H160" i="29"/>
  <c r="AB159" i="29"/>
  <c r="H159" i="29"/>
  <c r="AB158" i="29"/>
  <c r="H158" i="29"/>
  <c r="AB157" i="29"/>
  <c r="H157" i="29"/>
  <c r="AB156" i="29"/>
  <c r="H156" i="29"/>
  <c r="AB155" i="29"/>
  <c r="H155" i="29"/>
  <c r="AB154" i="29"/>
  <c r="H154" i="29"/>
  <c r="AB153" i="29"/>
  <c r="H153" i="29"/>
  <c r="AB152" i="29"/>
  <c r="H152" i="29"/>
  <c r="AB151" i="29"/>
  <c r="H151" i="29"/>
  <c r="AB150" i="29"/>
  <c r="H150" i="29"/>
  <c r="AB149" i="29"/>
  <c r="H149" i="29"/>
  <c r="AB148" i="29"/>
  <c r="H148" i="29"/>
  <c r="AB147" i="29"/>
  <c r="H147" i="29"/>
  <c r="AB146" i="29"/>
  <c r="H146" i="29"/>
  <c r="AB145" i="29"/>
  <c r="H145" i="29"/>
  <c r="AB144" i="29"/>
  <c r="H144" i="29"/>
  <c r="AB143" i="29"/>
  <c r="H143" i="29"/>
  <c r="AB142" i="29"/>
  <c r="H142" i="29"/>
  <c r="AB141" i="29"/>
  <c r="H141" i="29"/>
  <c r="AB140" i="29"/>
  <c r="H140" i="29"/>
  <c r="AB139" i="29"/>
  <c r="H139" i="29"/>
  <c r="AB138" i="29"/>
  <c r="H138" i="29"/>
  <c r="AB137" i="29"/>
  <c r="H137" i="29"/>
  <c r="AB136" i="29"/>
  <c r="H136" i="29"/>
  <c r="AB135" i="29"/>
  <c r="H135" i="29"/>
  <c r="AB134" i="29"/>
  <c r="H134" i="29"/>
  <c r="AB133" i="29"/>
  <c r="H133" i="29"/>
  <c r="AB132" i="29"/>
  <c r="H132" i="29"/>
  <c r="AB131" i="29"/>
  <c r="H131" i="29"/>
  <c r="AB130" i="29"/>
  <c r="H130" i="29"/>
  <c r="AB129" i="29"/>
  <c r="H129" i="29"/>
  <c r="AB128" i="29"/>
  <c r="H128" i="29"/>
  <c r="AB127" i="29"/>
  <c r="H127" i="29"/>
  <c r="AB126" i="29"/>
  <c r="H126" i="29"/>
  <c r="AB125" i="29"/>
  <c r="H125" i="29"/>
  <c r="AB124" i="29"/>
  <c r="H124" i="29"/>
  <c r="AB123" i="29"/>
  <c r="H123" i="29"/>
  <c r="AB122" i="29"/>
  <c r="H122" i="29"/>
  <c r="AB121" i="29"/>
  <c r="H121" i="29"/>
  <c r="AB120" i="29"/>
  <c r="H120" i="29"/>
  <c r="AB119" i="29"/>
  <c r="H119" i="29"/>
  <c r="AB118" i="29"/>
  <c r="H118" i="29"/>
  <c r="AB117" i="29"/>
  <c r="H117" i="29"/>
  <c r="AB116" i="29"/>
  <c r="H116" i="29"/>
  <c r="AB115" i="29"/>
  <c r="H115" i="29"/>
  <c r="AB114" i="29"/>
  <c r="H114" i="29"/>
  <c r="AB113" i="29"/>
  <c r="H113" i="29"/>
  <c r="AB112" i="29"/>
  <c r="H112" i="29"/>
  <c r="AB111" i="29"/>
  <c r="H111" i="29"/>
  <c r="AB110" i="29"/>
  <c r="H110" i="29"/>
  <c r="AB109" i="29"/>
  <c r="H109" i="29"/>
  <c r="AB108" i="29"/>
  <c r="H108" i="29"/>
  <c r="AB107" i="29"/>
  <c r="H107" i="29"/>
  <c r="AB106" i="29"/>
  <c r="H106" i="29"/>
  <c r="AB105" i="29"/>
  <c r="H105" i="29"/>
  <c r="AB104" i="29"/>
  <c r="H104" i="29"/>
  <c r="AB103" i="29"/>
  <c r="H103" i="29"/>
  <c r="AB102" i="29"/>
  <c r="H102" i="29"/>
  <c r="AB101" i="29"/>
  <c r="H101" i="29"/>
  <c r="AB100" i="29"/>
  <c r="H100" i="29"/>
  <c r="AB99" i="29"/>
  <c r="H99" i="29"/>
  <c r="AB98" i="29"/>
  <c r="H98" i="29"/>
  <c r="AB97" i="29"/>
  <c r="H97" i="29"/>
  <c r="AB96" i="29"/>
  <c r="H96" i="29"/>
  <c r="AB95" i="29"/>
  <c r="H95" i="29"/>
  <c r="AB94" i="29"/>
  <c r="H94" i="29"/>
  <c r="AB93" i="29"/>
  <c r="H93" i="29"/>
  <c r="AB92" i="29"/>
  <c r="H92" i="29"/>
  <c r="AB91" i="29"/>
  <c r="H91" i="29"/>
  <c r="AB90" i="29"/>
  <c r="H90" i="29"/>
  <c r="AB89" i="29"/>
  <c r="H89" i="29"/>
  <c r="AB88" i="29"/>
  <c r="H88" i="29"/>
  <c r="AB87" i="29"/>
  <c r="H87" i="29"/>
  <c r="AB86" i="29"/>
  <c r="H86" i="29"/>
  <c r="AB85" i="29"/>
  <c r="H85" i="29"/>
  <c r="AB84" i="29"/>
  <c r="H84" i="29"/>
  <c r="AB83" i="29"/>
  <c r="H83" i="29"/>
  <c r="AB82" i="29"/>
  <c r="H82" i="29"/>
  <c r="AB81" i="29"/>
  <c r="H81" i="29"/>
  <c r="AB80" i="29"/>
  <c r="H80" i="29"/>
  <c r="AB79" i="29"/>
  <c r="H79" i="29"/>
  <c r="AB78" i="29"/>
  <c r="H78" i="29"/>
  <c r="AB77" i="29"/>
  <c r="H77" i="29"/>
  <c r="AB76" i="29"/>
  <c r="H76" i="29"/>
  <c r="AB75" i="29"/>
  <c r="H75" i="29"/>
  <c r="AB74" i="29"/>
  <c r="H74" i="29"/>
  <c r="AB73" i="29"/>
  <c r="H73" i="29"/>
  <c r="AB72" i="29"/>
  <c r="H72" i="29"/>
  <c r="AB71" i="29"/>
  <c r="H71" i="29"/>
  <c r="AB70" i="29"/>
  <c r="H70" i="29"/>
  <c r="AB69" i="29"/>
  <c r="H69" i="29"/>
  <c r="AB68" i="29"/>
  <c r="H68" i="29"/>
  <c r="AB67" i="29"/>
  <c r="H67" i="29"/>
  <c r="AB66" i="29"/>
  <c r="H66" i="29"/>
  <c r="AB65" i="29"/>
  <c r="H65" i="29"/>
  <c r="AB64" i="29"/>
  <c r="H64" i="29"/>
  <c r="AB63" i="29"/>
  <c r="H63" i="29"/>
  <c r="AB62" i="29"/>
  <c r="H62" i="29"/>
  <c r="AB61" i="29"/>
  <c r="H61" i="29"/>
  <c r="AB60" i="29"/>
  <c r="H60" i="29"/>
  <c r="AB59" i="29"/>
  <c r="H59" i="29"/>
  <c r="AB58" i="29"/>
  <c r="H58" i="29"/>
  <c r="AB57" i="29"/>
  <c r="H57" i="29"/>
  <c r="AB56" i="29"/>
  <c r="H56" i="29"/>
  <c r="AB55" i="29"/>
  <c r="H55" i="29"/>
  <c r="AB54" i="29"/>
  <c r="H54" i="29"/>
  <c r="AB53" i="29"/>
  <c r="H53" i="29"/>
  <c r="AB52" i="29"/>
  <c r="H52" i="29"/>
  <c r="AB51" i="29"/>
  <c r="H51" i="29"/>
  <c r="AB50" i="29"/>
  <c r="H50" i="29"/>
  <c r="AB49" i="29"/>
  <c r="H49" i="29"/>
  <c r="AB48" i="29"/>
  <c r="H48" i="29"/>
  <c r="AB47" i="29"/>
  <c r="H47" i="29"/>
  <c r="AB46" i="29"/>
  <c r="H46" i="29"/>
  <c r="AB45" i="29"/>
  <c r="H45" i="29"/>
  <c r="AB44" i="29"/>
  <c r="H44" i="29"/>
  <c r="AB43" i="29"/>
  <c r="H43" i="29"/>
  <c r="AB42" i="29"/>
  <c r="H42" i="29"/>
  <c r="AB41" i="29"/>
  <c r="H41" i="29"/>
  <c r="AB40" i="29"/>
  <c r="H40" i="29"/>
  <c r="AB39" i="29"/>
  <c r="H39" i="29"/>
  <c r="AB38" i="29"/>
  <c r="H38" i="29"/>
  <c r="AB37" i="29"/>
  <c r="H37" i="29"/>
  <c r="AB36" i="29"/>
  <c r="H36" i="29"/>
  <c r="AB35" i="29"/>
  <c r="H35" i="29"/>
  <c r="AB34" i="29"/>
  <c r="H34" i="29"/>
  <c r="AB33" i="29"/>
  <c r="H33" i="29"/>
  <c r="AB32" i="29"/>
  <c r="H32" i="29"/>
  <c r="AB31" i="29"/>
  <c r="H31" i="29"/>
  <c r="AB30" i="29"/>
  <c r="H30" i="29"/>
  <c r="AB29" i="29"/>
  <c r="H29" i="29"/>
  <c r="AB28" i="29"/>
  <c r="H28" i="29"/>
  <c r="AB27" i="29"/>
  <c r="H27" i="29"/>
  <c r="AB26" i="29"/>
  <c r="H26" i="29"/>
  <c r="AB25" i="29"/>
  <c r="H25" i="29"/>
  <c r="AB24" i="29"/>
  <c r="H24" i="29"/>
  <c r="AB23" i="29"/>
  <c r="H23" i="29"/>
  <c r="AB22" i="29"/>
  <c r="H22" i="29"/>
  <c r="AB21" i="29"/>
  <c r="H21" i="29"/>
  <c r="AB20" i="29"/>
  <c r="H20" i="29"/>
  <c r="AB19" i="29"/>
  <c r="H19" i="29"/>
  <c r="AB18" i="29"/>
  <c r="H18" i="29"/>
  <c r="AB17" i="29"/>
  <c r="H17" i="29"/>
  <c r="AB16" i="29"/>
  <c r="H16" i="29"/>
  <c r="AB15" i="29"/>
  <c r="H15" i="29"/>
  <c r="AB14" i="29"/>
  <c r="H14" i="29"/>
  <c r="AB13" i="29"/>
  <c r="H13" i="29"/>
  <c r="Q3" i="29"/>
  <c r="AN39" i="29"/>
  <c r="AM44" i="29"/>
  <c r="AP81" i="29"/>
  <c r="AQ81" i="29" s="1"/>
  <c r="AR81" i="29" s="1"/>
  <c r="AN120" i="29"/>
  <c r="AP182" i="29"/>
  <c r="AQ182" i="29" s="1"/>
  <c r="AR182" i="29" s="1"/>
  <c r="AP68" i="29"/>
  <c r="AQ68" i="29" s="1"/>
  <c r="AR68" i="29" s="1"/>
  <c r="AM178" i="29"/>
  <c r="AM209" i="29"/>
  <c r="AN23" i="29"/>
  <c r="AM57" i="29"/>
  <c r="AM106" i="29"/>
  <c r="AP33" i="29"/>
  <c r="AQ33" i="29" s="1"/>
  <c r="AR33" i="29" s="1"/>
  <c r="AM36" i="29"/>
  <c r="AM101" i="29"/>
  <c r="AN119" i="29"/>
  <c r="AP129" i="29"/>
  <c r="AQ129" i="29" s="1"/>
  <c r="AR129" i="29" s="1"/>
  <c r="AP201" i="29"/>
  <c r="AQ201" i="29" s="1"/>
  <c r="AR201" i="29" s="1"/>
  <c r="AM27" i="29"/>
  <c r="AM32" i="29"/>
  <c r="AM89" i="29"/>
  <c r="AN104" i="29"/>
  <c r="AN130" i="29"/>
  <c r="AP148" i="29"/>
  <c r="AQ148" i="29" s="1"/>
  <c r="AR148" i="29" s="1"/>
  <c r="AN210" i="29"/>
  <c r="AM270" i="29"/>
  <c r="AP272" i="29"/>
  <c r="AQ272" i="29" s="1"/>
  <c r="AR272" i="29" s="1"/>
  <c r="AN275" i="29"/>
  <c r="AP409" i="29"/>
  <c r="AQ409" i="29" s="1"/>
  <c r="AR409" i="29" s="1"/>
  <c r="AM234" i="29"/>
  <c r="AP236" i="29"/>
  <c r="AQ236" i="29" s="1"/>
  <c r="AR236" i="29" s="1"/>
  <c r="AN239" i="29"/>
  <c r="AN278" i="29"/>
  <c r="AP407" i="29"/>
  <c r="AQ407" i="29" s="1"/>
  <c r="AR407" i="29" s="1"/>
  <c r="AN250" i="29"/>
  <c r="AN290" i="29"/>
  <c r="AN298" i="29"/>
  <c r="AN303" i="29"/>
  <c r="AN417" i="29"/>
  <c r="AM420" i="29"/>
  <c r="AP422" i="29"/>
  <c r="AQ422" i="29" s="1"/>
  <c r="AR422" i="29" s="1"/>
  <c r="AN235" i="29"/>
  <c r="AP337" i="29"/>
  <c r="AQ337" i="29" s="1"/>
  <c r="AR337" i="29" s="1"/>
  <c r="AP394" i="29"/>
  <c r="AQ394" i="29" s="1"/>
  <c r="AR394" i="29" s="1"/>
  <c r="AN397" i="29"/>
  <c r="AP243" i="29"/>
  <c r="AQ243" i="29" s="1"/>
  <c r="AR243" i="29" s="1"/>
  <c r="AN254" i="29"/>
  <c r="AP281" i="29"/>
  <c r="AQ281" i="29" s="1"/>
  <c r="AR281" i="29" s="1"/>
  <c r="AP550" i="29"/>
  <c r="AQ550" i="29" s="1"/>
  <c r="AR550" i="29" s="1"/>
  <c r="AM556" i="29"/>
  <c r="AP558" i="29"/>
  <c r="AQ558" i="29" s="1"/>
  <c r="AR558" i="29" s="1"/>
  <c r="AP605" i="29"/>
  <c r="AQ605" i="29" s="1"/>
  <c r="AR605" i="29" s="1"/>
  <c r="AN455" i="29"/>
  <c r="AP457" i="29"/>
  <c r="AQ457" i="29" s="1"/>
  <c r="AR457" i="29" s="1"/>
  <c r="AN556" i="29"/>
  <c r="AM608" i="29"/>
  <c r="AN399" i="29"/>
  <c r="AM436" i="29"/>
  <c r="AN420" i="29"/>
  <c r="AN596" i="29"/>
  <c r="AP603" i="29"/>
  <c r="AQ603" i="29" s="1"/>
  <c r="AR603" i="29" s="1"/>
  <c r="AM423" i="29"/>
  <c r="AM471" i="29"/>
  <c r="AN476" i="29"/>
  <c r="AN505" i="29"/>
  <c r="AM513" i="29"/>
  <c r="AP515" i="29"/>
  <c r="AQ515" i="29" s="1"/>
  <c r="AR515" i="29" s="1"/>
  <c r="AP523" i="29"/>
  <c r="AQ523" i="29" s="1"/>
  <c r="AR523" i="29" s="1"/>
  <c r="AN503" i="29"/>
  <c r="AN544" i="29"/>
  <c r="AP586" i="29"/>
  <c r="AQ586" i="29" s="1"/>
  <c r="AR586" i="29" s="1"/>
  <c r="AN594" i="29"/>
  <c r="AM599" i="29"/>
  <c r="AN609" i="29"/>
  <c r="AN372" i="29"/>
  <c r="AP474" i="29"/>
  <c r="AQ474" i="29" s="1"/>
  <c r="AR474" i="29" s="1"/>
  <c r="AP524" i="29"/>
  <c r="AQ524" i="29" s="1"/>
  <c r="AR524" i="29" s="1"/>
  <c r="AN527" i="29"/>
  <c r="AP552" i="29"/>
  <c r="AQ552" i="29" s="1"/>
  <c r="AR552" i="29" s="1"/>
  <c r="AP594" i="29"/>
  <c r="AQ594" i="29" s="1"/>
  <c r="AR594" i="29" s="1"/>
  <c r="AN459" i="29"/>
  <c r="AP503" i="29"/>
  <c r="AQ503" i="29" s="1"/>
  <c r="AR503" i="29" s="1"/>
  <c r="AP544" i="29"/>
  <c r="AQ544" i="29" s="1"/>
  <c r="AR544" i="29" s="1"/>
  <c r="AM566" i="29"/>
  <c r="AM592" i="29"/>
  <c r="AN563" i="29"/>
  <c r="G626" i="29"/>
  <c r="I636" i="29"/>
  <c r="K113" i="29"/>
  <c r="K45" i="29"/>
  <c r="K81" i="29"/>
  <c r="O609" i="29"/>
  <c r="P596" i="29"/>
  <c r="O606" i="29"/>
  <c r="P517" i="29"/>
  <c r="O479" i="29"/>
  <c r="O473" i="29"/>
  <c r="O432" i="29"/>
  <c r="P448" i="29"/>
  <c r="P434" i="29"/>
  <c r="O367" i="29"/>
  <c r="O356" i="29"/>
  <c r="O351" i="29"/>
  <c r="P311" i="29"/>
  <c r="O289" i="29"/>
  <c r="P252" i="29"/>
  <c r="O221" i="29"/>
  <c r="O217" i="29"/>
  <c r="O209" i="29"/>
  <c r="P115" i="29"/>
  <c r="P111" i="29"/>
  <c r="P103" i="29"/>
  <c r="L21" i="29"/>
  <c r="K62" i="29"/>
  <c r="O79" i="29"/>
  <c r="K85" i="29"/>
  <c r="K166" i="29"/>
  <c r="K603" i="29"/>
  <c r="L146" i="29"/>
  <c r="K345" i="29"/>
  <c r="K243" i="29"/>
  <c r="K189" i="29"/>
  <c r="K446" i="29"/>
  <c r="K60" i="29"/>
  <c r="L345" i="29"/>
  <c r="K13" i="29"/>
  <c r="K283" i="29"/>
  <c r="O81" i="29"/>
  <c r="O41" i="29"/>
  <c r="K142" i="29"/>
  <c r="L35" i="29"/>
  <c r="K59" i="29"/>
  <c r="L68" i="29"/>
  <c r="K24" i="29"/>
  <c r="K90" i="29"/>
  <c r="K107" i="29"/>
  <c r="L609" i="29"/>
  <c r="K597" i="29"/>
  <c r="I633" i="29"/>
  <c r="L584" i="29"/>
  <c r="G623" i="29"/>
  <c r="L610" i="29"/>
  <c r="K595" i="29"/>
  <c r="K578" i="29"/>
  <c r="K596" i="29"/>
  <c r="K585" i="29"/>
  <c r="K562" i="29"/>
  <c r="K550" i="29"/>
  <c r="K581" i="29"/>
  <c r="L575" i="29"/>
  <c r="L551" i="29"/>
  <c r="L563" i="29"/>
  <c r="K525" i="29"/>
  <c r="K532" i="29"/>
  <c r="L527" i="29"/>
  <c r="K542" i="29"/>
  <c r="L529" i="29"/>
  <c r="K507" i="29"/>
  <c r="L514" i="29"/>
  <c r="L532" i="29"/>
  <c r="K513" i="29"/>
  <c r="L504" i="29"/>
  <c r="L488" i="29"/>
  <c r="L495" i="29"/>
  <c r="K487" i="29"/>
  <c r="L486" i="29"/>
  <c r="K482" i="29"/>
  <c r="K493" i="29"/>
  <c r="K500" i="29"/>
  <c r="K502" i="29"/>
  <c r="L505" i="29"/>
  <c r="K484" i="29"/>
  <c r="L577" i="29"/>
  <c r="K465" i="29"/>
  <c r="L466" i="29"/>
  <c r="K433" i="29"/>
  <c r="L456" i="29"/>
  <c r="K448" i="29"/>
  <c r="L455" i="29"/>
  <c r="L423" i="29"/>
  <c r="K447" i="29"/>
  <c r="K415" i="29"/>
  <c r="L440" i="29"/>
  <c r="K405" i="29"/>
  <c r="K373" i="29"/>
  <c r="L392" i="29"/>
  <c r="L417" i="29"/>
  <c r="K376" i="29"/>
  <c r="L391" i="29"/>
  <c r="L436" i="29"/>
  <c r="K399" i="29"/>
  <c r="L438" i="29"/>
  <c r="L398" i="29"/>
  <c r="K454" i="29"/>
  <c r="K398" i="29"/>
  <c r="K410" i="29"/>
  <c r="L377" i="29"/>
  <c r="L348" i="29"/>
  <c r="K352" i="29"/>
  <c r="L23" i="29"/>
  <c r="L52" i="29"/>
  <c r="K44" i="29"/>
  <c r="L605" i="29"/>
  <c r="K593" i="29"/>
  <c r="L627" i="29"/>
  <c r="L580" i="29"/>
  <c r="K608" i="29"/>
  <c r="L603" i="29"/>
  <c r="L593" i="29"/>
  <c r="K577" i="29"/>
  <c r="L585" i="29"/>
  <c r="L583" i="29"/>
  <c r="K589" i="29"/>
  <c r="K546" i="29"/>
  <c r="K573" i="29"/>
  <c r="L566" i="29"/>
  <c r="L547" i="29"/>
  <c r="K561" i="29"/>
  <c r="L578" i="29"/>
  <c r="K528" i="29"/>
  <c r="L553" i="29"/>
  <c r="K538" i="29"/>
  <c r="L525" i="29"/>
  <c r="K503" i="29"/>
  <c r="L510" i="29"/>
  <c r="L521" i="29"/>
  <c r="K509" i="29"/>
  <c r="K520" i="29"/>
  <c r="L484" i="29"/>
  <c r="L491" i="29"/>
  <c r="K483" i="29"/>
  <c r="L482" i="29"/>
  <c r="K497" i="29"/>
  <c r="L489" i="29"/>
  <c r="K489" i="29"/>
  <c r="K496" i="29"/>
  <c r="K488" i="29"/>
  <c r="L483" i="29"/>
  <c r="K501" i="29"/>
  <c r="K492" i="29"/>
  <c r="K461" i="29"/>
  <c r="K429" i="29"/>
  <c r="L452" i="29"/>
  <c r="K444" i="29"/>
  <c r="L451" i="29"/>
  <c r="L419" i="29"/>
  <c r="K443" i="29"/>
  <c r="K411" i="29"/>
  <c r="L433" i="29"/>
  <c r="K401" i="29"/>
  <c r="K450" i="29"/>
  <c r="L388" i="29"/>
  <c r="L408" i="29"/>
  <c r="K458" i="29"/>
  <c r="L387" i="29"/>
  <c r="L429" i="29"/>
  <c r="K395" i="29"/>
  <c r="L430" i="29"/>
  <c r="L394" i="29"/>
  <c r="K438" i="29"/>
  <c r="K394" i="29"/>
  <c r="L405" i="29"/>
  <c r="L373" i="29"/>
  <c r="L344" i="29"/>
  <c r="K348" i="29"/>
  <c r="L43" i="29"/>
  <c r="K70" i="29"/>
  <c r="K32" i="29"/>
  <c r="K61" i="29"/>
  <c r="L70" i="29"/>
  <c r="K610" i="29"/>
  <c r="L601" i="29"/>
  <c r="L612" i="29"/>
  <c r="K627" i="29"/>
  <c r="K607" i="29"/>
  <c r="K600" i="29"/>
  <c r="L602" i="29"/>
  <c r="K590" i="29"/>
  <c r="L576" i="29"/>
  <c r="K575" i="29"/>
  <c r="L574" i="29"/>
  <c r="K572" i="29"/>
  <c r="L573" i="29"/>
  <c r="L562" i="29"/>
  <c r="K558" i="29"/>
  <c r="L565" i="29"/>
  <c r="L559" i="29"/>
  <c r="K565" i="29"/>
  <c r="K524" i="29"/>
  <c r="L545" i="29"/>
  <c r="K534" i="29"/>
  <c r="L569" i="29"/>
  <c r="L546" i="29"/>
  <c r="K564" i="29"/>
  <c r="L517" i="29"/>
  <c r="L536" i="29"/>
  <c r="L515" i="29"/>
  <c r="L480" i="29"/>
  <c r="L487" i="29"/>
  <c r="L530" i="29"/>
  <c r="L524" i="29"/>
  <c r="L493" i="29"/>
  <c r="K481" i="29"/>
  <c r="L485" i="29"/>
  <c r="K485" i="29"/>
  <c r="L478" i="29"/>
  <c r="L479" i="29"/>
  <c r="L497" i="29"/>
  <c r="L461" i="29"/>
  <c r="K457" i="29"/>
  <c r="K425" i="29"/>
  <c r="L31" i="29"/>
  <c r="K54" i="29"/>
  <c r="K101" i="29"/>
  <c r="K20" i="29"/>
  <c r="L54" i="29"/>
  <c r="K606" i="29"/>
  <c r="L597" i="29"/>
  <c r="L608" i="29"/>
  <c r="L607" i="29"/>
  <c r="K599" i="29"/>
  <c r="L591" i="29"/>
  <c r="L595" i="29"/>
  <c r="K586" i="29"/>
  <c r="L572" i="29"/>
  <c r="K571" i="29"/>
  <c r="L570" i="29"/>
  <c r="L571" i="29"/>
  <c r="L567" i="29"/>
  <c r="L558" i="29"/>
  <c r="K556" i="29"/>
  <c r="L561" i="29"/>
  <c r="L550" i="29"/>
  <c r="L554" i="29"/>
  <c r="L582" i="29"/>
  <c r="K543" i="29"/>
  <c r="K530" i="29"/>
  <c r="L534" i="29"/>
  <c r="L544" i="29"/>
  <c r="L538" i="29"/>
  <c r="L513" i="29"/>
  <c r="L526" i="29"/>
  <c r="K505" i="29"/>
  <c r="K526" i="29"/>
  <c r="K506" i="29"/>
  <c r="K512" i="29"/>
  <c r="L502" i="29"/>
  <c r="L481" i="29"/>
  <c r="K476" i="29"/>
  <c r="L475" i="29"/>
  <c r="K475" i="29"/>
  <c r="K474" i="29"/>
  <c r="K478" i="29"/>
  <c r="K480" i="29"/>
  <c r="L457" i="29"/>
  <c r="K453" i="29"/>
  <c r="K421" i="29"/>
  <c r="L444" i="29"/>
  <c r="K436" i="29"/>
  <c r="L443" i="29"/>
  <c r="L411" i="29"/>
  <c r="K435" i="29"/>
  <c r="L470" i="29"/>
  <c r="L425" i="29"/>
  <c r="K393" i="29"/>
  <c r="L426" i="29"/>
  <c r="L380" i="29"/>
  <c r="K396" i="29"/>
  <c r="L412" i="29"/>
  <c r="L379" i="29"/>
  <c r="L421" i="29"/>
  <c r="K387" i="29"/>
  <c r="L420" i="29"/>
  <c r="L386" i="29"/>
  <c r="K422" i="29"/>
  <c r="K386" i="29"/>
  <c r="L397" i="29"/>
  <c r="L368" i="29"/>
  <c r="L372" i="29"/>
  <c r="K340" i="29"/>
  <c r="L19" i="29"/>
  <c r="K40" i="29"/>
  <c r="K72" i="29"/>
  <c r="K79" i="29"/>
  <c r="K602" i="29"/>
  <c r="K613" i="29"/>
  <c r="L604" i="29"/>
  <c r="L606" i="29"/>
  <c r="K592" i="29"/>
  <c r="L587" i="29"/>
  <c r="L594" i="29"/>
  <c r="K582" i="29"/>
  <c r="L568" i="29"/>
  <c r="K567" i="29"/>
  <c r="K583" i="29"/>
  <c r="K569" i="29"/>
  <c r="K560" i="29"/>
  <c r="L552" i="29"/>
  <c r="K552" i="29"/>
  <c r="K555" i="29"/>
  <c r="K541" i="29"/>
  <c r="L549" i="29"/>
  <c r="L543" i="29"/>
  <c r="K539" i="29"/>
  <c r="K557" i="29"/>
  <c r="L523" i="29"/>
  <c r="L528" i="29"/>
  <c r="K522" i="29"/>
  <c r="L509" i="29"/>
  <c r="L520" i="29"/>
  <c r="L503" i="29"/>
  <c r="L519" i="29"/>
  <c r="K504" i="29"/>
  <c r="L507" i="29"/>
  <c r="K498" i="29"/>
  <c r="L476" i="29"/>
  <c r="K472" i="29"/>
  <c r="L471" i="29"/>
  <c r="K471" i="29"/>
  <c r="K470" i="29"/>
  <c r="L477" i="29"/>
  <c r="K479" i="29"/>
  <c r="L453" i="29"/>
  <c r="K449" i="29"/>
  <c r="K417" i="29"/>
  <c r="L474" i="29"/>
  <c r="K432" i="29"/>
  <c r="L439" i="29"/>
  <c r="L407" i="29"/>
  <c r="K431" i="29"/>
  <c r="L462" i="29"/>
  <c r="L424" i="29"/>
  <c r="K389" i="29"/>
  <c r="K418" i="29"/>
  <c r="L376" i="29"/>
  <c r="K392" i="29"/>
  <c r="K408" i="29"/>
  <c r="L375" i="29"/>
  <c r="L416" i="29"/>
  <c r="K383" i="29"/>
  <c r="K416" i="29"/>
  <c r="L382" i="29"/>
  <c r="K420" i="29"/>
  <c r="K382" i="29"/>
  <c r="L393" i="29"/>
  <c r="L364" i="29"/>
  <c r="K368" i="29"/>
  <c r="K336" i="29"/>
  <c r="L39" i="29"/>
  <c r="K86" i="29"/>
  <c r="K103" i="29"/>
  <c r="K28" i="29"/>
  <c r="K56" i="29"/>
  <c r="K598" i="29"/>
  <c r="K609" i="29"/>
  <c r="L600" i="29"/>
  <c r="L599" i="29"/>
  <c r="K588" i="29"/>
  <c r="K591" i="29"/>
  <c r="L590" i="29"/>
  <c r="K612" i="29"/>
  <c r="L564" i="29"/>
  <c r="K563" i="29"/>
  <c r="K574" i="29"/>
  <c r="K568" i="29"/>
  <c r="K553" i="29"/>
  <c r="L548" i="29"/>
  <c r="K548" i="29"/>
  <c r="K551" i="29"/>
  <c r="K537" i="29"/>
  <c r="K544" i="29"/>
  <c r="L539" i="29"/>
  <c r="K535" i="29"/>
  <c r="L541" i="29"/>
  <c r="K519" i="29"/>
  <c r="K523" i="29"/>
  <c r="K518" i="29"/>
  <c r="L542" i="29"/>
  <c r="L516" i="29"/>
  <c r="L500" i="29"/>
  <c r="K508" i="29"/>
  <c r="K499" i="29"/>
  <c r="L498" i="29"/>
  <c r="K494" i="29"/>
  <c r="L472" i="29"/>
  <c r="K468" i="29"/>
  <c r="L467" i="29"/>
  <c r="K467" i="29"/>
  <c r="K466" i="29"/>
  <c r="L473" i="29"/>
  <c r="K477" i="29"/>
  <c r="L449" i="29"/>
  <c r="K445" i="29"/>
  <c r="K413" i="29"/>
  <c r="K460" i="29"/>
  <c r="K428" i="29"/>
  <c r="L435" i="29"/>
  <c r="K459" i="29"/>
  <c r="K427" i="29"/>
  <c r="L458" i="29"/>
  <c r="L418" i="29"/>
  <c r="K385" i="29"/>
  <c r="L413" i="29"/>
  <c r="L442" i="29"/>
  <c r="K388" i="29"/>
  <c r="L403" i="29"/>
  <c r="L371" i="29"/>
  <c r="K412" i="29"/>
  <c r="K379" i="29"/>
  <c r="L406" i="29"/>
  <c r="L378" i="29"/>
  <c r="L410" i="29"/>
  <c r="K378" i="29"/>
  <c r="L389" i="29"/>
  <c r="L360" i="29"/>
  <c r="K364" i="29"/>
  <c r="L27" i="29"/>
  <c r="K16" i="29"/>
  <c r="K105" i="29"/>
  <c r="K126" i="29"/>
  <c r="K594" i="29"/>
  <c r="K605" i="29"/>
  <c r="L596" i="29"/>
  <c r="L598" i="29"/>
  <c r="K584" i="29"/>
  <c r="K587" i="29"/>
  <c r="K611" i="29"/>
  <c r="K604" i="29"/>
  <c r="L560" i="29"/>
  <c r="K559" i="29"/>
  <c r="K570" i="29"/>
  <c r="L557" i="29"/>
  <c r="K549" i="29"/>
  <c r="L579" i="29"/>
  <c r="K579" i="29"/>
  <c r="K547" i="29"/>
  <c r="K533" i="29"/>
  <c r="K540" i="29"/>
  <c r="L535" i="29"/>
  <c r="K531" i="29"/>
  <c r="L537" i="29"/>
  <c r="K515" i="29"/>
  <c r="L522" i="29"/>
  <c r="K514" i="29"/>
  <c r="K521" i="29"/>
  <c r="L512" i="29"/>
  <c r="L496" i="29"/>
  <c r="L506" i="29"/>
  <c r="K495" i="29"/>
  <c r="L494" i="29"/>
  <c r="K490" i="29"/>
  <c r="L468" i="29"/>
  <c r="K464" i="29"/>
  <c r="L463" i="29"/>
  <c r="K463" i="29"/>
  <c r="K462" i="29"/>
  <c r="L469" i="29"/>
  <c r="K473" i="29"/>
  <c r="L445" i="29"/>
  <c r="K441" i="29"/>
  <c r="K409" i="29"/>
  <c r="K456" i="29"/>
  <c r="K424" i="29"/>
  <c r="L431" i="29"/>
  <c r="K455" i="29"/>
  <c r="K423" i="29"/>
  <c r="L454" i="29"/>
  <c r="K414" i="29"/>
  <c r="K381" i="29"/>
  <c r="L400" i="29"/>
  <c r="K434" i="29"/>
  <c r="K384" i="29"/>
  <c r="L399" i="29"/>
  <c r="L446" i="29"/>
  <c r="L404" i="29"/>
  <c r="K375" i="29"/>
  <c r="K404" i="29"/>
  <c r="L374" i="29"/>
  <c r="K406" i="29"/>
  <c r="K374" i="29"/>
  <c r="L385" i="29"/>
  <c r="L356" i="29"/>
  <c r="K360" i="29"/>
  <c r="K328" i="29"/>
  <c r="L581" i="29"/>
  <c r="L589" i="29"/>
  <c r="K510" i="29"/>
  <c r="L464" i="29"/>
  <c r="K437" i="29"/>
  <c r="L415" i="29"/>
  <c r="K397" i="29"/>
  <c r="K442" i="29"/>
  <c r="L422" i="29"/>
  <c r="L401" i="29"/>
  <c r="K324" i="29"/>
  <c r="L351" i="29"/>
  <c r="K355" i="29"/>
  <c r="K323" i="29"/>
  <c r="L346" i="29"/>
  <c r="L314" i="29"/>
  <c r="L341" i="29"/>
  <c r="K329" i="29"/>
  <c r="L284" i="29"/>
  <c r="K304" i="29"/>
  <c r="K358" i="29"/>
  <c r="K341" i="29"/>
  <c r="K307" i="29"/>
  <c r="K317" i="29"/>
  <c r="K314" i="29"/>
  <c r="K286" i="29"/>
  <c r="K318" i="29"/>
  <c r="L285" i="29"/>
  <c r="K270" i="29"/>
  <c r="K238" i="29"/>
  <c r="L282" i="29"/>
  <c r="L249" i="29"/>
  <c r="K275" i="29"/>
  <c r="K241" i="29"/>
  <c r="L252" i="29"/>
  <c r="K285" i="29"/>
  <c r="K248" i="29"/>
  <c r="L279" i="29"/>
  <c r="L247" i="29"/>
  <c r="K271" i="29"/>
  <c r="K239" i="29"/>
  <c r="L242" i="29"/>
  <c r="L214" i="29"/>
  <c r="K222" i="29"/>
  <c r="K190" i="29"/>
  <c r="L221" i="29"/>
  <c r="L189" i="29"/>
  <c r="K217" i="29"/>
  <c r="K185" i="29"/>
  <c r="L220" i="29"/>
  <c r="K220" i="29"/>
  <c r="K188" i="29"/>
  <c r="L219" i="29"/>
  <c r="L187" i="29"/>
  <c r="K215" i="29"/>
  <c r="K183" i="29"/>
  <c r="K162" i="29"/>
  <c r="K157" i="29"/>
  <c r="K125" i="29"/>
  <c r="L160" i="29"/>
  <c r="L151" i="29"/>
  <c r="L119" i="29"/>
  <c r="K151" i="29"/>
  <c r="L188" i="29"/>
  <c r="L142" i="29"/>
  <c r="L110" i="29"/>
  <c r="L78" i="29"/>
  <c r="K168" i="29"/>
  <c r="K128" i="29"/>
  <c r="L101" i="29"/>
  <c r="L69" i="29"/>
  <c r="K154" i="29"/>
  <c r="L116" i="29"/>
  <c r="L84" i="29"/>
  <c r="K116" i="29"/>
  <c r="K84" i="29"/>
  <c r="K140" i="29"/>
  <c r="L103" i="29"/>
  <c r="L71" i="29"/>
  <c r="K26" i="29"/>
  <c r="L24" i="29"/>
  <c r="L613" i="29"/>
  <c r="L556" i="29"/>
  <c r="K529" i="29"/>
  <c r="K517" i="29"/>
  <c r="L511" i="29"/>
  <c r="L460" i="29"/>
  <c r="K451" i="29"/>
  <c r="K377" i="29"/>
  <c r="L395" i="29"/>
  <c r="L402" i="29"/>
  <c r="L381" i="29"/>
  <c r="K320" i="29"/>
  <c r="L347" i="29"/>
  <c r="K351" i="29"/>
  <c r="K319" i="29"/>
  <c r="L342" i="29"/>
  <c r="L369" i="29"/>
  <c r="L337" i="29"/>
  <c r="K321" i="29"/>
  <c r="L280" i="29"/>
  <c r="K300" i="29"/>
  <c r="K342" i="29"/>
  <c r="L332" i="29"/>
  <c r="K303" i="29"/>
  <c r="K311" i="29"/>
  <c r="L312" i="29"/>
  <c r="K282" i="29"/>
  <c r="K312" i="29"/>
  <c r="L281" i="29"/>
  <c r="K266" i="29"/>
  <c r="K234" i="29"/>
  <c r="L275" i="29"/>
  <c r="L245" i="29"/>
  <c r="K269" i="29"/>
  <c r="L327" i="29"/>
  <c r="L248" i="29"/>
  <c r="K277" i="29"/>
  <c r="K365" i="29"/>
  <c r="L278" i="29"/>
  <c r="L243" i="29"/>
  <c r="K267" i="29"/>
  <c r="L270" i="29"/>
  <c r="L238" i="29"/>
  <c r="L210" i="29"/>
  <c r="K218" i="29"/>
  <c r="K186" i="29"/>
  <c r="L217" i="29"/>
  <c r="L185" i="29"/>
  <c r="K213" i="29"/>
  <c r="K181" i="29"/>
  <c r="L216" i="29"/>
  <c r="K216" i="29"/>
  <c r="K184" i="29"/>
  <c r="L215" i="29"/>
  <c r="L183" i="29"/>
  <c r="K211" i="29"/>
  <c r="K179" i="29"/>
  <c r="K158" i="29"/>
  <c r="K153" i="29"/>
  <c r="K121" i="29"/>
  <c r="L156" i="29"/>
  <c r="L147" i="29"/>
  <c r="L194" i="29"/>
  <c r="K147" i="29"/>
  <c r="L170" i="29"/>
  <c r="L138" i="29"/>
  <c r="L106" i="29"/>
  <c r="L169" i="29"/>
  <c r="L153" i="29"/>
  <c r="L121" i="29"/>
  <c r="L97" i="29"/>
  <c r="L65" i="29"/>
  <c r="K146" i="29"/>
  <c r="L112" i="29"/>
  <c r="L80" i="29"/>
  <c r="K112" i="29"/>
  <c r="K80" i="29"/>
  <c r="L133" i="29"/>
  <c r="L99" i="29"/>
  <c r="L67" i="29"/>
  <c r="K38" i="29"/>
  <c r="K36" i="29"/>
  <c r="K601" i="29"/>
  <c r="L586" i="29"/>
  <c r="K536" i="29"/>
  <c r="L508" i="29"/>
  <c r="K516" i="29"/>
  <c r="L448" i="29"/>
  <c r="K439" i="29"/>
  <c r="L434" i="29"/>
  <c r="L383" i="29"/>
  <c r="L390" i="29"/>
  <c r="K371" i="29"/>
  <c r="K316" i="29"/>
  <c r="L343" i="29"/>
  <c r="K347" i="29"/>
  <c r="K315" i="29"/>
  <c r="L338" i="29"/>
  <c r="L365" i="29"/>
  <c r="L333" i="29"/>
  <c r="L308" i="29"/>
  <c r="L276" i="29"/>
  <c r="K296" i="29"/>
  <c r="K330" i="29"/>
  <c r="L331" i="29"/>
  <c r="K362" i="29"/>
  <c r="L310" i="29"/>
  <c r="K310" i="29"/>
  <c r="K278" i="29"/>
  <c r="L309" i="29"/>
  <c r="L277" i="29"/>
  <c r="K262" i="29"/>
  <c r="K230" i="29"/>
  <c r="L274" i="29"/>
  <c r="K349" i="29"/>
  <c r="K265" i="29"/>
  <c r="K273" i="29"/>
  <c r="L244" i="29"/>
  <c r="K272" i="29"/>
  <c r="L328" i="29"/>
  <c r="L271" i="29"/>
  <c r="L239" i="29"/>
  <c r="K263" i="29"/>
  <c r="L266" i="29"/>
  <c r="L234" i="29"/>
  <c r="L206" i="29"/>
  <c r="K214" i="29"/>
  <c r="K182" i="29"/>
  <c r="L213" i="29"/>
  <c r="L181" i="29"/>
  <c r="K209" i="29"/>
  <c r="K177" i="29"/>
  <c r="L212" i="29"/>
  <c r="K212" i="29"/>
  <c r="K180" i="29"/>
  <c r="L211" i="29"/>
  <c r="L179" i="29"/>
  <c r="K207" i="29"/>
  <c r="K175" i="29"/>
  <c r="L192" i="29"/>
  <c r="K149" i="29"/>
  <c r="L200" i="29"/>
  <c r="L190" i="29"/>
  <c r="L143" i="29"/>
  <c r="L178" i="29"/>
  <c r="K143" i="29"/>
  <c r="L166" i="29"/>
  <c r="L134" i="29"/>
  <c r="L102" i="29"/>
  <c r="L152" i="29"/>
  <c r="K152" i="29"/>
  <c r="L120" i="29"/>
  <c r="L93" i="29"/>
  <c r="L61" i="29"/>
  <c r="K138" i="29"/>
  <c r="L108" i="29"/>
  <c r="L161" i="29"/>
  <c r="K108" i="29"/>
  <c r="K76" i="29"/>
  <c r="K132" i="29"/>
  <c r="L95" i="29"/>
  <c r="L63" i="29"/>
  <c r="K42" i="29"/>
  <c r="L28" i="29"/>
  <c r="K78" i="29"/>
  <c r="L36" i="29"/>
  <c r="L592" i="29"/>
  <c r="K566" i="29"/>
  <c r="L531" i="29"/>
  <c r="L492" i="29"/>
  <c r="L540" i="29"/>
  <c r="K452" i="29"/>
  <c r="K419" i="29"/>
  <c r="L396" i="29"/>
  <c r="L437" i="29"/>
  <c r="L370" i="29"/>
  <c r="L352" i="29"/>
  <c r="K372" i="29"/>
  <c r="L339" i="29"/>
  <c r="K343" i="29"/>
  <c r="L366" i="29"/>
  <c r="L334" i="29"/>
  <c r="L361" i="29"/>
  <c r="L329" i="29"/>
  <c r="L304" i="29"/>
  <c r="K370" i="29"/>
  <c r="K292" i="29"/>
  <c r="K322" i="29"/>
  <c r="L324" i="29"/>
  <c r="K346" i="29"/>
  <c r="L306" i="29"/>
  <c r="K306" i="29"/>
  <c r="K274" i="29"/>
  <c r="L305" i="29"/>
  <c r="L273" i="29"/>
  <c r="K258" i="29"/>
  <c r="K301" i="29"/>
  <c r="L269" i="29"/>
  <c r="L320" i="29"/>
  <c r="K261" i="29"/>
  <c r="L272" i="29"/>
  <c r="L240" i="29"/>
  <c r="K268" i="29"/>
  <c r="K309" i="29"/>
  <c r="L267" i="29"/>
  <c r="L235" i="29"/>
  <c r="K259" i="29"/>
  <c r="L262" i="29"/>
  <c r="L230" i="29"/>
  <c r="L202" i="29"/>
  <c r="K210" i="29"/>
  <c r="K178" i="29"/>
  <c r="L209" i="29"/>
  <c r="L177" i="29"/>
  <c r="K205" i="29"/>
  <c r="K173" i="29"/>
  <c r="L208" i="29"/>
  <c r="K208" i="29"/>
  <c r="K176" i="29"/>
  <c r="L207" i="29"/>
  <c r="L175" i="29"/>
  <c r="K203" i="29"/>
  <c r="K171" i="29"/>
  <c r="L186" i="29"/>
  <c r="K145" i="29"/>
  <c r="L196" i="29"/>
  <c r="L184" i="29"/>
  <c r="L139" i="29"/>
  <c r="L172" i="29"/>
  <c r="K139" i="29"/>
  <c r="L162" i="29"/>
  <c r="L130" i="29"/>
  <c r="L98" i="29"/>
  <c r="L144" i="29"/>
  <c r="L145" i="29"/>
  <c r="K118" i="29"/>
  <c r="L89" i="29"/>
  <c r="L57" i="29"/>
  <c r="K130" i="29"/>
  <c r="L104" i="29"/>
  <c r="L148" i="29"/>
  <c r="K104" i="29"/>
  <c r="L173" i="29"/>
  <c r="L125" i="29"/>
  <c r="L91" i="29"/>
  <c r="L59" i="29"/>
  <c r="L16" i="29"/>
  <c r="L588" i="29"/>
  <c r="K554" i="29"/>
  <c r="K527" i="29"/>
  <c r="L499" i="29"/>
  <c r="L501" i="29"/>
  <c r="K440" i="29"/>
  <c r="K407" i="29"/>
  <c r="L384" i="29"/>
  <c r="L428" i="29"/>
  <c r="K430" i="29"/>
  <c r="L340" i="29"/>
  <c r="L367" i="29"/>
  <c r="L335" i="29"/>
  <c r="K339" i="29"/>
  <c r="L362" i="29"/>
  <c r="L330" i="29"/>
  <c r="L357" i="29"/>
  <c r="L325" i="29"/>
  <c r="L300" i="29"/>
  <c r="K369" i="29"/>
  <c r="K288" i="29"/>
  <c r="K313" i="29"/>
  <c r="L323" i="29"/>
  <c r="K338" i="29"/>
  <c r="L302" i="29"/>
  <c r="K302" i="29"/>
  <c r="K366" i="29"/>
  <c r="L301" i="29"/>
  <c r="L319" i="29"/>
  <c r="K254" i="29"/>
  <c r="L299" i="29"/>
  <c r="L265" i="29"/>
  <c r="K299" i="29"/>
  <c r="K257" i="29"/>
  <c r="L268" i="29"/>
  <c r="L236" i="29"/>
  <c r="K264" i="29"/>
  <c r="L295" i="29"/>
  <c r="L263" i="29"/>
  <c r="L231" i="29"/>
  <c r="K255" i="29"/>
  <c r="L258" i="29"/>
  <c r="K237" i="29"/>
  <c r="L198" i="29"/>
  <c r="K206" i="29"/>
  <c r="K240" i="29"/>
  <c r="L205" i="29"/>
  <c r="L233" i="29"/>
  <c r="K201" i="29"/>
  <c r="K244" i="29"/>
  <c r="L204" i="29"/>
  <c r="K204" i="29"/>
  <c r="K172" i="29"/>
  <c r="L203" i="29"/>
  <c r="L237" i="29"/>
  <c r="K199" i="29"/>
  <c r="L182" i="29"/>
  <c r="L174" i="29"/>
  <c r="K141" i="29"/>
  <c r="L180" i="29"/>
  <c r="L167" i="29"/>
  <c r="L135" i="29"/>
  <c r="K167" i="29"/>
  <c r="K135" i="29"/>
  <c r="L158" i="29"/>
  <c r="L126" i="29"/>
  <c r="L94" i="29"/>
  <c r="L136" i="29"/>
  <c r="K144" i="29"/>
  <c r="L117" i="29"/>
  <c r="L85" i="29"/>
  <c r="L53" i="29"/>
  <c r="K122" i="29"/>
  <c r="L100" i="29"/>
  <c r="L140" i="29"/>
  <c r="K100" i="29"/>
  <c r="K160" i="29"/>
  <c r="K124" i="29"/>
  <c r="L87" i="29"/>
  <c r="L55" i="29"/>
  <c r="K48" i="29"/>
  <c r="K580" i="29"/>
  <c r="K545" i="29"/>
  <c r="L533" i="29"/>
  <c r="K491" i="29"/>
  <c r="L465" i="29"/>
  <c r="L459" i="29"/>
  <c r="L450" i="29"/>
  <c r="K426" i="29"/>
  <c r="K403" i="29"/>
  <c r="K402" i="29"/>
  <c r="K356" i="29"/>
  <c r="L363" i="29"/>
  <c r="K367" i="29"/>
  <c r="K335" i="29"/>
  <c r="L358" i="29"/>
  <c r="L326" i="29"/>
  <c r="L353" i="29"/>
  <c r="L321" i="29"/>
  <c r="L296" i="29"/>
  <c r="K353" i="29"/>
  <c r="K284" i="29"/>
  <c r="L307" i="29"/>
  <c r="L316" i="29"/>
  <c r="L336" i="29"/>
  <c r="L298" i="29"/>
  <c r="K298" i="29"/>
  <c r="K350" i="29"/>
  <c r="L297" i="29"/>
  <c r="K305" i="29"/>
  <c r="K250" i="29"/>
  <c r="L291" i="29"/>
  <c r="L261" i="29"/>
  <c r="K297" i="29"/>
  <c r="K253" i="29"/>
  <c r="L264" i="29"/>
  <c r="L232" i="29"/>
  <c r="K260" i="29"/>
  <c r="L294" i="29"/>
  <c r="L259" i="29"/>
  <c r="K295" i="29"/>
  <c r="K251" i="29"/>
  <c r="L254" i="29"/>
  <c r="L226" i="29"/>
  <c r="L241" i="29"/>
  <c r="K202" i="29"/>
  <c r="K232" i="29"/>
  <c r="L201" i="29"/>
  <c r="K229" i="29"/>
  <c r="K197" i="29"/>
  <c r="K233" i="29"/>
  <c r="K235" i="29"/>
  <c r="K200" i="29"/>
  <c r="K236" i="29"/>
  <c r="L199" i="29"/>
  <c r="K227" i="29"/>
  <c r="K195" i="29"/>
  <c r="L171" i="29"/>
  <c r="K169" i="29"/>
  <c r="K137" i="29"/>
  <c r="K174" i="29"/>
  <c r="L163" i="29"/>
  <c r="L131" i="29"/>
  <c r="K163" i="29"/>
  <c r="K131" i="29"/>
  <c r="L154" i="29"/>
  <c r="L122" i="29"/>
  <c r="L90" i="29"/>
  <c r="L128" i="29"/>
  <c r="L137" i="29"/>
  <c r="L113" i="29"/>
  <c r="L81" i="29"/>
  <c r="L49" i="29"/>
  <c r="K120" i="29"/>
  <c r="L96" i="29"/>
  <c r="L132" i="29"/>
  <c r="K96" i="29"/>
  <c r="L149" i="29"/>
  <c r="L115" i="29"/>
  <c r="L83" i="29"/>
  <c r="L51" i="29"/>
  <c r="K64" i="29"/>
  <c r="L15" i="29"/>
  <c r="L611" i="29"/>
  <c r="K576" i="29"/>
  <c r="K511" i="29"/>
  <c r="L490" i="29"/>
  <c r="K469" i="29"/>
  <c r="L447" i="29"/>
  <c r="L432" i="29"/>
  <c r="K400" i="29"/>
  <c r="K391" i="29"/>
  <c r="K390" i="29"/>
  <c r="K344" i="29"/>
  <c r="L359" i="29"/>
  <c r="K363" i="29"/>
  <c r="K331" i="29"/>
  <c r="L354" i="29"/>
  <c r="L322" i="29"/>
  <c r="L349" i="29"/>
  <c r="L317" i="29"/>
  <c r="L292" i="29"/>
  <c r="L313" i="29"/>
  <c r="K280" i="29"/>
  <c r="L303" i="29"/>
  <c r="L315" i="29"/>
  <c r="K333" i="29"/>
  <c r="K361" i="29"/>
  <c r="K294" i="29"/>
  <c r="K334" i="29"/>
  <c r="L293" i="29"/>
  <c r="K289" i="29"/>
  <c r="K246" i="29"/>
  <c r="L290" i="29"/>
  <c r="L257" i="29"/>
  <c r="K291" i="29"/>
  <c r="K249" i="29"/>
  <c r="L260" i="29"/>
  <c r="K337" i="29"/>
  <c r="K256" i="29"/>
  <c r="L287" i="29"/>
  <c r="L255" i="29"/>
  <c r="K287" i="29"/>
  <c r="K247" i="29"/>
  <c r="L250" i="29"/>
  <c r="L222" i="29"/>
  <c r="K231" i="29"/>
  <c r="K198" i="29"/>
  <c r="L229" i="29"/>
  <c r="L197" i="29"/>
  <c r="K225" i="29"/>
  <c r="K193" i="29"/>
  <c r="L228" i="29"/>
  <c r="K228" i="29"/>
  <c r="K196" i="29"/>
  <c r="L227" i="29"/>
  <c r="L195" i="29"/>
  <c r="K223" i="29"/>
  <c r="K191" i="29"/>
  <c r="K170" i="29"/>
  <c r="K165" i="29"/>
  <c r="K133" i="29"/>
  <c r="L168" i="29"/>
  <c r="L159" i="29"/>
  <c r="L127" i="29"/>
  <c r="K159" i="29"/>
  <c r="K127" i="29"/>
  <c r="L150" i="29"/>
  <c r="K164" i="29"/>
  <c r="L86" i="29"/>
  <c r="L118" i="29"/>
  <c r="K136" i="29"/>
  <c r="L109" i="29"/>
  <c r="L77" i="29"/>
  <c r="L176" i="29"/>
  <c r="K117" i="29"/>
  <c r="L92" i="29"/>
  <c r="L124" i="29"/>
  <c r="K92" i="29"/>
  <c r="K148" i="29"/>
  <c r="L111" i="29"/>
  <c r="L79" i="29"/>
  <c r="L47" i="29"/>
  <c r="L56" i="29"/>
  <c r="L33" i="29"/>
  <c r="K25" i="29"/>
  <c r="L20" i="29"/>
  <c r="K111" i="29"/>
  <c r="K94" i="29"/>
  <c r="K58" i="29"/>
  <c r="L157" i="29"/>
  <c r="K123" i="29"/>
  <c r="K187" i="29"/>
  <c r="K221" i="29"/>
  <c r="K279" i="29"/>
  <c r="L253" i="29"/>
  <c r="K325" i="29"/>
  <c r="L318" i="29"/>
  <c r="K380" i="29"/>
  <c r="K77" i="29"/>
  <c r="L60" i="29"/>
  <c r="K51" i="29"/>
  <c r="L45" i="29"/>
  <c r="L58" i="29"/>
  <c r="K49" i="29"/>
  <c r="K37" i="29"/>
  <c r="L32" i="29"/>
  <c r="K74" i="29"/>
  <c r="L75" i="29"/>
  <c r="L73" i="29"/>
  <c r="K155" i="29"/>
  <c r="K219" i="29"/>
  <c r="L193" i="29"/>
  <c r="L251" i="29"/>
  <c r="L283" i="29"/>
  <c r="L311" i="29"/>
  <c r="L350" i="29"/>
  <c r="L409" i="29"/>
  <c r="L76" i="29"/>
  <c r="L74" i="29"/>
  <c r="K65" i="29"/>
  <c r="K17" i="29"/>
  <c r="K109" i="29"/>
  <c r="L107" i="29"/>
  <c r="L105" i="29"/>
  <c r="L123" i="29"/>
  <c r="L191" i="29"/>
  <c r="L225" i="29"/>
  <c r="L286" i="29"/>
  <c r="K242" i="29"/>
  <c r="K357" i="29"/>
  <c r="K327" i="29"/>
  <c r="L427" i="29"/>
  <c r="L37" i="29"/>
  <c r="K22" i="29"/>
  <c r="K29" i="29"/>
  <c r="L72" i="29"/>
  <c r="K63" i="29"/>
  <c r="L40" i="29"/>
  <c r="L141" i="29"/>
  <c r="L129" i="29"/>
  <c r="L155" i="29"/>
  <c r="L223" i="29"/>
  <c r="K194" i="29"/>
  <c r="K252" i="29"/>
  <c r="K281" i="29"/>
  <c r="K276" i="29"/>
  <c r="K359" i="29"/>
  <c r="L441" i="29"/>
  <c r="L25" i="29"/>
  <c r="K18" i="29"/>
  <c r="K41" i="29"/>
  <c r="K69" i="29"/>
  <c r="K88" i="29"/>
  <c r="K114" i="29"/>
  <c r="L164" i="29"/>
  <c r="K192" i="29"/>
  <c r="K226" i="29"/>
  <c r="K293" i="29"/>
  <c r="L289" i="29"/>
  <c r="K308" i="29"/>
  <c r="L355" i="29"/>
  <c r="K486" i="29"/>
  <c r="L29" i="29"/>
  <c r="L13" i="29"/>
  <c r="K83" i="29"/>
  <c r="K21" i="29"/>
  <c r="K53" i="29"/>
  <c r="K119" i="29"/>
  <c r="L82" i="29"/>
  <c r="K129" i="29"/>
  <c r="K224" i="29"/>
  <c r="L218" i="29"/>
  <c r="L256" i="29"/>
  <c r="K326" i="29"/>
  <c r="L288" i="29"/>
  <c r="K332" i="29"/>
  <c r="L518" i="29"/>
  <c r="K67" i="29"/>
  <c r="L17" i="29"/>
  <c r="K87" i="29"/>
  <c r="K102" i="29"/>
  <c r="L41" i="29"/>
  <c r="K98" i="29"/>
  <c r="K33" i="29"/>
  <c r="L44" i="29"/>
  <c r="L88" i="29"/>
  <c r="L114" i="29"/>
  <c r="K161" i="29"/>
  <c r="L224" i="29"/>
  <c r="L246" i="29"/>
  <c r="K245" i="29"/>
  <c r="K290" i="29"/>
  <c r="K354" i="29"/>
  <c r="L414" i="29"/>
  <c r="L555" i="29"/>
  <c r="P32" i="29"/>
  <c r="P24" i="29"/>
  <c r="P16" i="29"/>
  <c r="K19" i="29"/>
  <c r="K106" i="29"/>
  <c r="K91" i="29"/>
  <c r="K15" i="29"/>
  <c r="L48" i="29"/>
  <c r="L46" i="29"/>
  <c r="K89" i="29"/>
  <c r="L66" i="29"/>
  <c r="K57" i="29"/>
  <c r="K47" i="29"/>
  <c r="K93" i="29"/>
  <c r="L30" i="29"/>
  <c r="K134" i="29"/>
  <c r="K73" i="29"/>
  <c r="K14" i="29"/>
  <c r="K75" i="29"/>
  <c r="K52" i="29"/>
  <c r="K35" i="29"/>
  <c r="L26" i="29"/>
  <c r="L165" i="29"/>
  <c r="K31" i="29"/>
  <c r="K115" i="29"/>
  <c r="L42" i="29"/>
  <c r="L14" i="29"/>
  <c r="K23" i="29"/>
  <c r="L62" i="29"/>
  <c r="L64" i="29"/>
  <c r="K55" i="29"/>
  <c r="L34" i="29"/>
  <c r="K97" i="29"/>
  <c r="L50" i="29"/>
  <c r="K30" i="29"/>
  <c r="K27" i="29"/>
  <c r="K46" i="29"/>
  <c r="K95" i="29"/>
  <c r="K50" i="29"/>
  <c r="L38" i="29"/>
  <c r="K34" i="29"/>
  <c r="K99" i="29"/>
  <c r="K82" i="29"/>
  <c r="K39" i="29"/>
  <c r="K110" i="29"/>
  <c r="K66" i="29"/>
  <c r="L18" i="29"/>
  <c r="K68" i="29"/>
  <c r="K43" i="29"/>
  <c r="K156" i="29"/>
  <c r="K71" i="29"/>
  <c r="L22" i="29"/>
  <c r="K150" i="29"/>
  <c r="V626" i="29"/>
  <c r="U626" i="29"/>
  <c r="L626" i="29"/>
  <c r="K626" i="29"/>
  <c r="D37" i="19"/>
  <c r="N108" i="24"/>
  <c r="R38" i="2"/>
  <c r="B54" i="19"/>
  <c r="D54" i="19" s="1"/>
  <c r="D42" i="19"/>
  <c r="B182" i="2"/>
  <c r="B82" i="2"/>
  <c r="M10" i="1"/>
  <c r="K10" i="1"/>
  <c r="B18" i="2"/>
  <c r="G10" i="25" s="1"/>
  <c r="B28" i="19"/>
  <c r="D28" i="19" s="1"/>
  <c r="B49" i="19"/>
  <c r="D49" i="19" s="1"/>
  <c r="R34" i="2"/>
  <c r="K39" i="16"/>
  <c r="K38" i="16"/>
  <c r="K37" i="16"/>
  <c r="K36" i="16"/>
  <c r="K45" i="16"/>
  <c r="J45" i="16"/>
  <c r="K33" i="16"/>
  <c r="J33" i="16"/>
  <c r="I33" i="16"/>
  <c r="H33" i="16"/>
  <c r="I34" i="16"/>
  <c r="H34" i="16"/>
  <c r="C37" i="16"/>
  <c r="D36" i="16"/>
  <c r="D35" i="16"/>
  <c r="J36" i="16"/>
  <c r="J37" i="16"/>
  <c r="H36" i="16"/>
  <c r="J44" i="16"/>
  <c r="I44" i="16"/>
  <c r="H44" i="16"/>
  <c r="A44" i="16"/>
  <c r="D37" i="16"/>
  <c r="F221" i="2"/>
  <c r="K41" i="16"/>
  <c r="J41" i="16"/>
  <c r="I36" i="16"/>
  <c r="C36" i="16"/>
  <c r="B34" i="16"/>
  <c r="A36" i="16"/>
  <c r="B227" i="2"/>
  <c r="A33" i="16"/>
  <c r="K44" i="16"/>
  <c r="M13" i="1"/>
  <c r="A2" i="28"/>
  <c r="A2" i="22"/>
  <c r="B17" i="2"/>
  <c r="B59" i="2" s="1"/>
  <c r="F220" i="2" s="1"/>
  <c r="B16" i="2"/>
  <c r="BP6" i="19"/>
  <c r="BQ6" i="19"/>
  <c r="BU6" i="19"/>
  <c r="BV6" i="19"/>
  <c r="BW6" i="19"/>
  <c r="CA6" i="19"/>
  <c r="CB6" i="19"/>
  <c r="CC6" i="19"/>
  <c r="BP7" i="19"/>
  <c r="BQ7" i="19"/>
  <c r="BU7" i="19"/>
  <c r="BV7" i="19"/>
  <c r="BW7" i="19"/>
  <c r="CA7" i="19"/>
  <c r="CB7" i="19"/>
  <c r="CC7" i="19"/>
  <c r="BP8" i="19"/>
  <c r="BQ8" i="19"/>
  <c r="BU8" i="19"/>
  <c r="BV8" i="19"/>
  <c r="BW8" i="19"/>
  <c r="CA8" i="19"/>
  <c r="CB8" i="19"/>
  <c r="CC8" i="19"/>
  <c r="BP9" i="19"/>
  <c r="BQ9" i="19"/>
  <c r="BU9" i="19"/>
  <c r="BV9" i="19"/>
  <c r="BW9" i="19"/>
  <c r="CA9" i="19"/>
  <c r="CB9" i="19"/>
  <c r="CC9" i="19"/>
  <c r="D24" i="2"/>
  <c r="A24" i="2"/>
  <c r="AL216" i="25"/>
  <c r="AL110" i="25"/>
  <c r="J105" i="25"/>
  <c r="BL105" i="25" s="1"/>
  <c r="J104" i="25"/>
  <c r="J103" i="25"/>
  <c r="BL103" i="25" s="1"/>
  <c r="J102" i="25"/>
  <c r="BL102" i="25" s="1"/>
  <c r="J101" i="25"/>
  <c r="BL101" i="25" s="1"/>
  <c r="J100" i="25"/>
  <c r="J99" i="25"/>
  <c r="BL99" i="25" s="1"/>
  <c r="J98" i="25"/>
  <c r="J97" i="25"/>
  <c r="BL97" i="25" s="1"/>
  <c r="J96" i="25"/>
  <c r="J95" i="25"/>
  <c r="J94" i="25"/>
  <c r="J93" i="25"/>
  <c r="J92" i="25"/>
  <c r="J91" i="25"/>
  <c r="J90" i="25"/>
  <c r="J89" i="25"/>
  <c r="J88" i="25"/>
  <c r="BL88" i="25" s="1"/>
  <c r="J87" i="25"/>
  <c r="BL87" i="25" s="1"/>
  <c r="J86" i="25"/>
  <c r="BL86" i="25" s="1"/>
  <c r="J85" i="25"/>
  <c r="BL85" i="25" s="1"/>
  <c r="J84" i="25"/>
  <c r="BL84" i="25" s="1"/>
  <c r="J83" i="25"/>
  <c r="J82" i="25"/>
  <c r="J81" i="25"/>
  <c r="J80" i="25"/>
  <c r="BL80" i="25" s="1"/>
  <c r="J79" i="25"/>
  <c r="J78" i="25"/>
  <c r="J77" i="25"/>
  <c r="J76" i="25"/>
  <c r="J75" i="25"/>
  <c r="J74" i="25"/>
  <c r="J73" i="25"/>
  <c r="BL73" i="25" s="1"/>
  <c r="J72" i="25"/>
  <c r="BL72" i="25" s="1"/>
  <c r="J71" i="25"/>
  <c r="BL71" i="25" s="1"/>
  <c r="J70" i="25"/>
  <c r="BL70" i="25" s="1"/>
  <c r="J69" i="25"/>
  <c r="BL69" i="25" s="1"/>
  <c r="J68" i="25"/>
  <c r="BL68" i="25" s="1"/>
  <c r="J67" i="25"/>
  <c r="BL67" i="25" s="1"/>
  <c r="J66" i="25"/>
  <c r="J65" i="25"/>
  <c r="J64" i="25"/>
  <c r="BL64" i="25" s="1"/>
  <c r="J63" i="25"/>
  <c r="J62" i="25"/>
  <c r="J61" i="25"/>
  <c r="J60" i="25"/>
  <c r="J59" i="25"/>
  <c r="J58" i="25"/>
  <c r="J57" i="25"/>
  <c r="BL57" i="25" s="1"/>
  <c r="J56" i="25"/>
  <c r="BL56" i="25" s="1"/>
  <c r="J55" i="25"/>
  <c r="BL55" i="25" s="1"/>
  <c r="J54" i="25"/>
  <c r="J53" i="25"/>
  <c r="J52" i="25"/>
  <c r="J51" i="25"/>
  <c r="BL51" i="25" s="1"/>
  <c r="J50" i="25"/>
  <c r="J49" i="25"/>
  <c r="J48" i="25"/>
  <c r="BL48" i="25" s="1"/>
  <c r="J47" i="25"/>
  <c r="J46" i="25"/>
  <c r="J45" i="25"/>
  <c r="J44" i="25"/>
  <c r="J43" i="25"/>
  <c r="J42" i="25"/>
  <c r="J41" i="25"/>
  <c r="BL41" i="25" s="1"/>
  <c r="J40" i="25"/>
  <c r="BL40" i="25" s="1"/>
  <c r="J39" i="25"/>
  <c r="BL39" i="25" s="1"/>
  <c r="J38" i="25"/>
  <c r="J37" i="25"/>
  <c r="J36" i="25"/>
  <c r="BL36" i="25" s="1"/>
  <c r="J35" i="25"/>
  <c r="BL35" i="25" s="1"/>
  <c r="J34" i="25"/>
  <c r="BL34" i="25" s="1"/>
  <c r="J33" i="25"/>
  <c r="J32" i="25"/>
  <c r="BL32" i="25" s="1"/>
  <c r="J31" i="25"/>
  <c r="J30" i="25"/>
  <c r="J29" i="25"/>
  <c r="J28" i="25"/>
  <c r="J27" i="25"/>
  <c r="J26" i="25"/>
  <c r="J25" i="25"/>
  <c r="J24" i="25"/>
  <c r="BL24" i="25" s="1"/>
  <c r="J23" i="25"/>
  <c r="BL23" i="25" s="1"/>
  <c r="J22" i="25"/>
  <c r="BL22" i="25" s="1"/>
  <c r="J21" i="25"/>
  <c r="BL21" i="25" s="1"/>
  <c r="J20" i="25"/>
  <c r="BL20" i="25" s="1"/>
  <c r="J19" i="25"/>
  <c r="BL19" i="25" s="1"/>
  <c r="J18" i="25"/>
  <c r="J17" i="25"/>
  <c r="BL17" i="25" s="1"/>
  <c r="J16" i="25"/>
  <c r="BL16" i="25" s="1"/>
  <c r="J15" i="25"/>
  <c r="J14" i="25"/>
  <c r="J13" i="25"/>
  <c r="J12" i="25"/>
  <c r="J11" i="25"/>
  <c r="J10" i="25"/>
  <c r="J9" i="25"/>
  <c r="J8" i="25"/>
  <c r="J7" i="25"/>
  <c r="BL7" i="25" s="1"/>
  <c r="J6" i="25"/>
  <c r="BL6" i="25" s="1"/>
  <c r="AL5" i="25"/>
  <c r="J5" i="25"/>
  <c r="BL5" i="25" s="1"/>
  <c r="K12" i="1"/>
  <c r="K9" i="1"/>
  <c r="R43" i="2"/>
  <c r="R42" i="2"/>
  <c r="R40" i="2"/>
  <c r="R36" i="2"/>
  <c r="R32" i="2"/>
  <c r="R30" i="2"/>
  <c r="R29" i="2"/>
  <c r="R28" i="2"/>
  <c r="B115" i="2"/>
  <c r="B113" i="2"/>
  <c r="B85" i="2"/>
  <c r="B90" i="2" s="1"/>
  <c r="K24" i="1"/>
  <c r="D10" i="1"/>
  <c r="D11" i="1"/>
  <c r="D36" i="1"/>
  <c r="D12" i="1"/>
  <c r="D24" i="1"/>
  <c r="D21" i="1"/>
  <c r="D37" i="1"/>
  <c r="B173" i="2"/>
  <c r="I64" i="2"/>
  <c r="B271" i="2"/>
  <c r="B12" i="2"/>
  <c r="B220" i="2"/>
  <c r="A218" i="2"/>
  <c r="B60" i="2"/>
  <c r="D217" i="2"/>
  <c r="A217" i="2"/>
  <c r="D216" i="2"/>
  <c r="D272" i="2"/>
  <c r="F12" i="1"/>
  <c r="C235" i="2"/>
  <c r="C244" i="2"/>
  <c r="D244" i="2"/>
  <c r="B48" i="19"/>
  <c r="D48" i="19" s="1"/>
  <c r="M2" i="24" s="1"/>
  <c r="B84" i="2"/>
  <c r="B89" i="2" s="1"/>
  <c r="B132" i="2"/>
  <c r="B128" i="2"/>
  <c r="D3" i="8" s="1"/>
  <c r="B105" i="2"/>
  <c r="B103" i="2"/>
  <c r="D33" i="1"/>
  <c r="AM5" i="24"/>
  <c r="AM216" i="24"/>
  <c r="AM110" i="24"/>
  <c r="I6" i="24"/>
  <c r="BM6" i="24" s="1"/>
  <c r="I7" i="24"/>
  <c r="BM7" i="24" s="1"/>
  <c r="I8" i="24"/>
  <c r="BM8" i="24" s="1"/>
  <c r="I9" i="24"/>
  <c r="BM9" i="24" s="1"/>
  <c r="I10" i="24"/>
  <c r="BM10" i="24" s="1"/>
  <c r="I11" i="24"/>
  <c r="BM11" i="24" s="1"/>
  <c r="I12" i="24"/>
  <c r="I13" i="24"/>
  <c r="I14" i="24"/>
  <c r="I15" i="24"/>
  <c r="I16" i="24"/>
  <c r="I17" i="24"/>
  <c r="I18" i="24"/>
  <c r="BM18" i="24" s="1"/>
  <c r="I19" i="24"/>
  <c r="BM19" i="24" s="1"/>
  <c r="I20" i="24"/>
  <c r="BM20" i="24" s="1"/>
  <c r="I21" i="24"/>
  <c r="BM21" i="24" s="1"/>
  <c r="I22" i="24"/>
  <c r="BM22" i="24" s="1"/>
  <c r="I23" i="24"/>
  <c r="BM23" i="24" s="1"/>
  <c r="I24" i="24"/>
  <c r="BM24" i="24" s="1"/>
  <c r="I25" i="24"/>
  <c r="BM25" i="24" s="1"/>
  <c r="I26" i="24"/>
  <c r="BM26" i="24" s="1"/>
  <c r="I27" i="24"/>
  <c r="BM27" i="24" s="1"/>
  <c r="I28" i="24"/>
  <c r="I29" i="24"/>
  <c r="I30" i="24"/>
  <c r="I31" i="24"/>
  <c r="I32" i="24"/>
  <c r="I33" i="24"/>
  <c r="I34" i="24"/>
  <c r="BM34" i="24" s="1"/>
  <c r="I35" i="24"/>
  <c r="BM35" i="24" s="1"/>
  <c r="I36" i="24"/>
  <c r="BM36" i="24" s="1"/>
  <c r="I37" i="24"/>
  <c r="BM37" i="24" s="1"/>
  <c r="I38" i="24"/>
  <c r="BM38" i="24" s="1"/>
  <c r="I39" i="24"/>
  <c r="BM39" i="24" s="1"/>
  <c r="I40" i="24"/>
  <c r="BM40" i="24" s="1"/>
  <c r="I41" i="24"/>
  <c r="BM41" i="24" s="1"/>
  <c r="I42" i="24"/>
  <c r="BM42" i="24" s="1"/>
  <c r="I43" i="24"/>
  <c r="BM43" i="24" s="1"/>
  <c r="I44" i="24"/>
  <c r="I45" i="24"/>
  <c r="I46" i="24"/>
  <c r="I47" i="24"/>
  <c r="I48" i="24"/>
  <c r="I49" i="24"/>
  <c r="I50" i="24"/>
  <c r="BM50" i="24" s="1"/>
  <c r="I51" i="24"/>
  <c r="BM51" i="24" s="1"/>
  <c r="I52" i="24"/>
  <c r="BM52" i="24" s="1"/>
  <c r="I53" i="24"/>
  <c r="BM53" i="24" s="1"/>
  <c r="I54" i="24"/>
  <c r="I55" i="24"/>
  <c r="BM55" i="24" s="1"/>
  <c r="I56" i="24"/>
  <c r="BM56" i="24" s="1"/>
  <c r="I57" i="24"/>
  <c r="BM57" i="24" s="1"/>
  <c r="I58" i="24"/>
  <c r="BM58" i="24" s="1"/>
  <c r="I59" i="24"/>
  <c r="BM59" i="24" s="1"/>
  <c r="I60" i="24"/>
  <c r="I61" i="24"/>
  <c r="I62" i="24"/>
  <c r="I63" i="24"/>
  <c r="I64" i="24"/>
  <c r="I65" i="24"/>
  <c r="I66" i="24"/>
  <c r="BM66" i="24" s="1"/>
  <c r="I67" i="24"/>
  <c r="BM67" i="24" s="1"/>
  <c r="I68" i="24"/>
  <c r="BM68" i="24" s="1"/>
  <c r="I69" i="24"/>
  <c r="BM69" i="24" s="1"/>
  <c r="I70" i="24"/>
  <c r="BM70" i="24" s="1"/>
  <c r="I71" i="24"/>
  <c r="BM71" i="24" s="1"/>
  <c r="I72" i="24"/>
  <c r="BM72" i="24" s="1"/>
  <c r="I73" i="24"/>
  <c r="BM73" i="24" s="1"/>
  <c r="I74" i="24"/>
  <c r="BM74" i="24" s="1"/>
  <c r="I75" i="24"/>
  <c r="BM75" i="24" s="1"/>
  <c r="I76" i="24"/>
  <c r="I77" i="24"/>
  <c r="I78" i="24"/>
  <c r="I79" i="24"/>
  <c r="I80" i="24"/>
  <c r="I81" i="24"/>
  <c r="I82" i="24"/>
  <c r="BM82" i="24" s="1"/>
  <c r="I83" i="24"/>
  <c r="BM83" i="24" s="1"/>
  <c r="I84" i="24"/>
  <c r="BM84" i="24" s="1"/>
  <c r="I85" i="24"/>
  <c r="BM85" i="24" s="1"/>
  <c r="I86" i="24"/>
  <c r="BM86" i="24" s="1"/>
  <c r="I87" i="24"/>
  <c r="BM87" i="24" s="1"/>
  <c r="I88" i="24"/>
  <c r="BM88" i="24" s="1"/>
  <c r="I89" i="24"/>
  <c r="BM89" i="24" s="1"/>
  <c r="I90" i="24"/>
  <c r="BM90" i="24" s="1"/>
  <c r="I91" i="24"/>
  <c r="BM91" i="24" s="1"/>
  <c r="I92" i="24"/>
  <c r="I93" i="24"/>
  <c r="I94" i="24"/>
  <c r="I95" i="24"/>
  <c r="I96" i="24"/>
  <c r="I97" i="24"/>
  <c r="I98" i="24"/>
  <c r="BM98" i="24" s="1"/>
  <c r="I99" i="24"/>
  <c r="BM99" i="24" s="1"/>
  <c r="I100" i="24"/>
  <c r="BM100" i="24" s="1"/>
  <c r="I101" i="24"/>
  <c r="BM101" i="24" s="1"/>
  <c r="I102" i="24"/>
  <c r="BM102" i="24" s="1"/>
  <c r="I103" i="24"/>
  <c r="BM103" i="24" s="1"/>
  <c r="I104" i="24"/>
  <c r="BM104" i="24" s="1"/>
  <c r="I105" i="24"/>
  <c r="BM105" i="24" s="1"/>
  <c r="I5" i="24"/>
  <c r="D21" i="19"/>
  <c r="D36" i="19"/>
  <c r="F12" i="19"/>
  <c r="D38" i="19"/>
  <c r="D35" i="19"/>
  <c r="B49" i="2"/>
  <c r="B170" i="2" s="1"/>
  <c r="B33" i="19"/>
  <c r="D33" i="19" s="1"/>
  <c r="F64" i="2"/>
  <c r="F58" i="2"/>
  <c r="D30" i="1"/>
  <c r="G245" i="2"/>
  <c r="C240" i="2"/>
  <c r="C241" i="2"/>
  <c r="A249" i="2"/>
  <c r="G59" i="2"/>
  <c r="A207" i="2"/>
  <c r="C253" i="2"/>
  <c r="C254" i="2" s="1"/>
  <c r="B155" i="2"/>
  <c r="B152" i="2"/>
  <c r="B64" i="2"/>
  <c r="K34" i="16"/>
  <c r="J34" i="16"/>
  <c r="K43" i="16"/>
  <c r="K42" i="16"/>
  <c r="J43" i="16"/>
  <c r="J42" i="16"/>
  <c r="I43" i="16"/>
  <c r="I42" i="16"/>
  <c r="H43" i="16"/>
  <c r="H42" i="16"/>
  <c r="J40" i="16"/>
  <c r="K40" i="16"/>
  <c r="K32" i="16"/>
  <c r="J32" i="16"/>
  <c r="K31" i="16"/>
  <c r="J31" i="16"/>
  <c r="T69" i="2"/>
  <c r="R69" i="2"/>
  <c r="B11" i="2"/>
  <c r="E54" i="1" s="1"/>
  <c r="B26" i="19"/>
  <c r="D26" i="19" s="1"/>
  <c r="P325" i="25" s="1"/>
  <c r="N327" i="25" s="1"/>
  <c r="I29" i="8" s="1"/>
  <c r="B20" i="19"/>
  <c r="D20" i="19" s="1"/>
  <c r="B27" i="19"/>
  <c r="D27" i="19" s="1"/>
  <c r="B8" i="2"/>
  <c r="B83" i="2"/>
  <c r="B88" i="2" s="1"/>
  <c r="B81" i="2"/>
  <c r="B131" i="2"/>
  <c r="B186" i="2" s="1"/>
  <c r="BP106" i="19"/>
  <c r="D46" i="19"/>
  <c r="A34" i="16"/>
  <c r="A43" i="16"/>
  <c r="A42" i="16"/>
  <c r="B269" i="2"/>
  <c r="B244" i="2"/>
  <c r="B240" i="2"/>
  <c r="J58" i="2"/>
  <c r="K57" i="2" s="1"/>
  <c r="C237" i="2"/>
  <c r="B237" i="2"/>
  <c r="B32" i="19"/>
  <c r="D32" i="19" s="1"/>
  <c r="B31" i="19"/>
  <c r="D31" i="19" s="1"/>
  <c r="B30" i="19"/>
  <c r="D30" i="19" s="1"/>
  <c r="B8" i="19"/>
  <c r="D8" i="19" s="1"/>
  <c r="F91" i="19"/>
  <c r="F90" i="19"/>
  <c r="F89" i="19"/>
  <c r="D53" i="19"/>
  <c r="D52" i="19"/>
  <c r="D51" i="19"/>
  <c r="D45" i="19"/>
  <c r="D44" i="19"/>
  <c r="D41" i="19"/>
  <c r="D39" i="19"/>
  <c r="B190" i="2" s="1"/>
  <c r="D29" i="19"/>
  <c r="D23" i="19"/>
  <c r="D22" i="19"/>
  <c r="D13" i="19"/>
  <c r="B189" i="2" s="1"/>
  <c r="D12" i="19"/>
  <c r="A31" i="16"/>
  <c r="B222" i="2"/>
  <c r="A221" i="2"/>
  <c r="J309" i="25"/>
  <c r="I6" i="8"/>
  <c r="J6" i="8" s="1"/>
  <c r="D40" i="16"/>
  <c r="C45" i="16"/>
  <c r="B154" i="2"/>
  <c r="B149" i="2"/>
  <c r="B207" i="2"/>
  <c r="B221" i="2"/>
  <c r="B140" i="2"/>
  <c r="B142" i="2" s="1"/>
  <c r="B3" i="8" s="1"/>
  <c r="B184" i="2"/>
  <c r="BC1" i="24" s="1"/>
  <c r="A34" i="8"/>
  <c r="A46" i="8" s="1"/>
  <c r="A58" i="8" s="1"/>
  <c r="A70" i="8" s="1"/>
  <c r="A82" i="8" s="1"/>
  <c r="A94" i="8" s="1"/>
  <c r="A106" i="8" s="1"/>
  <c r="A118" i="8" s="1"/>
  <c r="A130" i="8" s="1"/>
  <c r="A142" i="8" s="1"/>
  <c r="A154" i="8" s="1"/>
  <c r="A35" i="8"/>
  <c r="A47" i="8" s="1"/>
  <c r="A59" i="8" s="1"/>
  <c r="A71" i="8" s="1"/>
  <c r="A83" i="8" s="1"/>
  <c r="A95" i="8" s="1"/>
  <c r="A107" i="8" s="1"/>
  <c r="A119" i="8" s="1"/>
  <c r="A131" i="8" s="1"/>
  <c r="A143" i="8" s="1"/>
  <c r="A155" i="8" s="1"/>
  <c r="A36" i="8"/>
  <c r="A48" i="8" s="1"/>
  <c r="A60" i="8" s="1"/>
  <c r="A72" i="8" s="1"/>
  <c r="A84" i="8" s="1"/>
  <c r="A96" i="8" s="1"/>
  <c r="A37" i="8"/>
  <c r="A49" i="8" s="1"/>
  <c r="A61" i="8" s="1"/>
  <c r="A73" i="8" s="1"/>
  <c r="A85" i="8" s="1"/>
  <c r="A97" i="8" s="1"/>
  <c r="A109" i="8" s="1"/>
  <c r="A121" i="8" s="1"/>
  <c r="A133" i="8" s="1"/>
  <c r="A145" i="8" s="1"/>
  <c r="A157" i="8" s="1"/>
  <c r="A38" i="8"/>
  <c r="A50" i="8" s="1"/>
  <c r="A62" i="8" s="1"/>
  <c r="A74" i="8" s="1"/>
  <c r="A86" i="8" s="1"/>
  <c r="A98" i="8" s="1"/>
  <c r="A110" i="8" s="1"/>
  <c r="A122" i="8" s="1"/>
  <c r="A134" i="8" s="1"/>
  <c r="A146" i="8" s="1"/>
  <c r="A158" i="8" s="1"/>
  <c r="A39" i="8"/>
  <c r="A51" i="8" s="1"/>
  <c r="A63" i="8" s="1"/>
  <c r="A75" i="8" s="1"/>
  <c r="A87" i="8" s="1"/>
  <c r="A99" i="8" s="1"/>
  <c r="A111" i="8" s="1"/>
  <c r="A123" i="8" s="1"/>
  <c r="A135" i="8" s="1"/>
  <c r="A147" i="8" s="1"/>
  <c r="A159" i="8" s="1"/>
  <c r="A40" i="8"/>
  <c r="A52" i="8" s="1"/>
  <c r="A64" i="8" s="1"/>
  <c r="A76" i="8" s="1"/>
  <c r="A88" i="8" s="1"/>
  <c r="A100" i="8" s="1"/>
  <c r="A112" i="8" s="1"/>
  <c r="A124" i="8" s="1"/>
  <c r="A136" i="8" s="1"/>
  <c r="A148" i="8" s="1"/>
  <c r="A41" i="8"/>
  <c r="A53" i="8" s="1"/>
  <c r="A65" i="8" s="1"/>
  <c r="A77" i="8" s="1"/>
  <c r="A89" i="8" s="1"/>
  <c r="A101" i="8" s="1"/>
  <c r="A113" i="8" s="1"/>
  <c r="A125" i="8" s="1"/>
  <c r="A137" i="8" s="1"/>
  <c r="A149" i="8" s="1"/>
  <c r="A42" i="8"/>
  <c r="A54" i="8" s="1"/>
  <c r="A66" i="8" s="1"/>
  <c r="A78" i="8" s="1"/>
  <c r="A90" i="8" s="1"/>
  <c r="A102" i="8" s="1"/>
  <c r="A114" i="8" s="1"/>
  <c r="A43" i="8"/>
  <c r="A44" i="8"/>
  <c r="A56" i="8" s="1"/>
  <c r="A68" i="8" s="1"/>
  <c r="A45" i="8"/>
  <c r="A57" i="8" s="1"/>
  <c r="A69" i="8" s="1"/>
  <c r="A55" i="8"/>
  <c r="A67" i="8" s="1"/>
  <c r="A79" i="8" s="1"/>
  <c r="A91" i="8" s="1"/>
  <c r="A81" i="8"/>
  <c r="A93" i="8" s="1"/>
  <c r="A105" i="8" s="1"/>
  <c r="A117" i="8" s="1"/>
  <c r="A129" i="8" s="1"/>
  <c r="A141" i="8" s="1"/>
  <c r="A153" i="8" s="1"/>
  <c r="E3" i="8"/>
  <c r="A216" i="2"/>
  <c r="B216" i="2"/>
  <c r="I14" i="8"/>
  <c r="J13" i="8"/>
  <c r="J7" i="8"/>
  <c r="J14" i="8"/>
  <c r="L4" i="29"/>
  <c r="J210" i="25"/>
  <c r="BL210" i="25" s="1"/>
  <c r="J206" i="25"/>
  <c r="J202" i="25"/>
  <c r="J198" i="25"/>
  <c r="J194" i="25"/>
  <c r="J190" i="25"/>
  <c r="J182" i="25"/>
  <c r="J178" i="25"/>
  <c r="BL178" i="25" s="1"/>
  <c r="J174" i="25"/>
  <c r="J170" i="25"/>
  <c r="J166" i="25"/>
  <c r="J162" i="25"/>
  <c r="J158" i="25"/>
  <c r="J150" i="25"/>
  <c r="J146" i="25"/>
  <c r="BL146" i="25" s="1"/>
  <c r="J142" i="25"/>
  <c r="BL142" i="25" s="1"/>
  <c r="J138" i="25"/>
  <c r="BL138" i="25" s="1"/>
  <c r="J134" i="25"/>
  <c r="J130" i="25"/>
  <c r="J126" i="25"/>
  <c r="J118" i="25"/>
  <c r="J114" i="25"/>
  <c r="J207" i="25"/>
  <c r="BL207" i="25" s="1"/>
  <c r="J179" i="25"/>
  <c r="J167" i="25"/>
  <c r="BL167" i="25" s="1"/>
  <c r="J155" i="25"/>
  <c r="BL155" i="25" s="1"/>
  <c r="J147" i="25"/>
  <c r="BL147" i="25" s="1"/>
  <c r="J119" i="25"/>
  <c r="J111" i="25"/>
  <c r="J209" i="25"/>
  <c r="BL209" i="25" s="1"/>
  <c r="J205" i="25"/>
  <c r="J201" i="25"/>
  <c r="BL201" i="25" s="1"/>
  <c r="J197" i="25"/>
  <c r="BL197" i="25" s="1"/>
  <c r="J193" i="25"/>
  <c r="J185" i="25"/>
  <c r="J181" i="25"/>
  <c r="J177" i="25"/>
  <c r="J173" i="25"/>
  <c r="J169" i="25"/>
  <c r="BL169" i="25" s="1"/>
  <c r="J165" i="25"/>
  <c r="BL165" i="25" s="1"/>
  <c r="J161" i="25"/>
  <c r="BL161" i="25" s="1"/>
  <c r="J157" i="25"/>
  <c r="BL157" i="25" s="1"/>
  <c r="J153" i="25"/>
  <c r="J149" i="25"/>
  <c r="J145" i="25"/>
  <c r="BL145" i="25" s="1"/>
  <c r="J141" i="25"/>
  <c r="BL141" i="25" s="1"/>
  <c r="J137" i="25"/>
  <c r="J133" i="25"/>
  <c r="BL133" i="25" s="1"/>
  <c r="J129" i="25"/>
  <c r="BL129" i="25" s="1"/>
  <c r="J125" i="25"/>
  <c r="J121" i="25"/>
  <c r="J117" i="25"/>
  <c r="J113" i="25"/>
  <c r="J110" i="25"/>
  <c r="J203" i="25"/>
  <c r="BL203" i="25" s="1"/>
  <c r="J195" i="25"/>
  <c r="J191" i="25"/>
  <c r="BL191" i="25" s="1"/>
  <c r="J187" i="25"/>
  <c r="J175" i="25"/>
  <c r="J159" i="25"/>
  <c r="J139" i="25"/>
  <c r="J127" i="25"/>
  <c r="BL127" i="25" s="1"/>
  <c r="J208" i="25"/>
  <c r="BL208" i="25" s="1"/>
  <c r="J204" i="25"/>
  <c r="BL204" i="25" s="1"/>
  <c r="J200" i="25"/>
  <c r="J196" i="25"/>
  <c r="J192" i="25"/>
  <c r="J188" i="25"/>
  <c r="J184" i="25"/>
  <c r="J180" i="25"/>
  <c r="J176" i="25"/>
  <c r="J172" i="25"/>
  <c r="BL172" i="25" s="1"/>
  <c r="J168" i="25"/>
  <c r="J164" i="25"/>
  <c r="BL164" i="25" s="1"/>
  <c r="J160" i="25"/>
  <c r="BL160" i="25" s="1"/>
  <c r="J156" i="25"/>
  <c r="J152" i="25"/>
  <c r="BL152" i="25" s="1"/>
  <c r="J148" i="25"/>
  <c r="J144" i="25"/>
  <c r="BL144" i="25" s="1"/>
  <c r="J140" i="25"/>
  <c r="BL140" i="25" s="1"/>
  <c r="J136" i="25"/>
  <c r="BL136" i="25" s="1"/>
  <c r="J132" i="25"/>
  <c r="J128" i="25"/>
  <c r="J124" i="25"/>
  <c r="J120" i="25"/>
  <c r="J116" i="25"/>
  <c r="J112" i="25"/>
  <c r="BL112" i="25" s="1"/>
  <c r="J199" i="25"/>
  <c r="J183" i="25"/>
  <c r="J171" i="25"/>
  <c r="BL171" i="25" s="1"/>
  <c r="J163" i="25"/>
  <c r="BL163" i="25" s="1"/>
  <c r="J151" i="25"/>
  <c r="J143" i="25"/>
  <c r="J131" i="25"/>
  <c r="BL131" i="25" s="1"/>
  <c r="J123" i="25"/>
  <c r="BL123" i="25" s="1"/>
  <c r="J115" i="25"/>
  <c r="BL115" i="25" s="1"/>
  <c r="J313" i="25"/>
  <c r="J277" i="25"/>
  <c r="J249" i="25"/>
  <c r="J245" i="25"/>
  <c r="J229" i="25"/>
  <c r="J288" i="25"/>
  <c r="J268" i="25"/>
  <c r="J256" i="25"/>
  <c r="J252" i="25"/>
  <c r="J303" i="25"/>
  <c r="J287" i="25"/>
  <c r="J271" i="25"/>
  <c r="J259" i="25"/>
  <c r="J223" i="25"/>
  <c r="J298" i="25"/>
  <c r="J294" i="25"/>
  <c r="J266" i="25"/>
  <c r="J226" i="25"/>
  <c r="I113" i="24"/>
  <c r="I117" i="24"/>
  <c r="I121" i="24"/>
  <c r="I125" i="24"/>
  <c r="BM125" i="24" s="1"/>
  <c r="I129" i="24"/>
  <c r="BM129" i="24" s="1"/>
  <c r="I133" i="24"/>
  <c r="I137" i="24"/>
  <c r="BM137" i="24" s="1"/>
  <c r="I141" i="24"/>
  <c r="I145" i="24"/>
  <c r="BM145" i="24" s="1"/>
  <c r="I149" i="24"/>
  <c r="BM149" i="24" s="1"/>
  <c r="I153" i="24"/>
  <c r="BM153" i="24" s="1"/>
  <c r="I157" i="24"/>
  <c r="BM157" i="24" s="1"/>
  <c r="I161" i="24"/>
  <c r="BM161" i="24" s="1"/>
  <c r="I165" i="24"/>
  <c r="BM165" i="24" s="1"/>
  <c r="I169" i="24"/>
  <c r="I173" i="24"/>
  <c r="I177" i="24"/>
  <c r="I181" i="24"/>
  <c r="I185" i="24"/>
  <c r="I189" i="24"/>
  <c r="I193" i="24"/>
  <c r="BM193" i="24" s="1"/>
  <c r="I197" i="24"/>
  <c r="I201" i="24"/>
  <c r="I205" i="24"/>
  <c r="I209" i="24"/>
  <c r="I114" i="24"/>
  <c r="BM114" i="24" s="1"/>
  <c r="I118" i="24"/>
  <c r="I122" i="24"/>
  <c r="I126" i="24"/>
  <c r="BM126" i="24" s="1"/>
  <c r="I130" i="24"/>
  <c r="BM130" i="24" s="1"/>
  <c r="I134" i="24"/>
  <c r="I138" i="24"/>
  <c r="I116" i="24"/>
  <c r="I124" i="24"/>
  <c r="I132" i="24"/>
  <c r="I140" i="24"/>
  <c r="BM140" i="24" s="1"/>
  <c r="I146" i="24"/>
  <c r="I151" i="24"/>
  <c r="BM151" i="24" s="1"/>
  <c r="I156" i="24"/>
  <c r="BM156" i="24" s="1"/>
  <c r="I162" i="24"/>
  <c r="I167" i="24"/>
  <c r="I172" i="24"/>
  <c r="BM172" i="24" s="1"/>
  <c r="I178" i="24"/>
  <c r="I183" i="24"/>
  <c r="BM183" i="24" s="1"/>
  <c r="I188" i="24"/>
  <c r="BM188" i="24" s="1"/>
  <c r="I194" i="24"/>
  <c r="BM194" i="24" s="1"/>
  <c r="I199" i="24"/>
  <c r="I204" i="24"/>
  <c r="I210" i="24"/>
  <c r="I111" i="24"/>
  <c r="I119" i="24"/>
  <c r="I127" i="24"/>
  <c r="BM127" i="24" s="1"/>
  <c r="I135" i="24"/>
  <c r="BM135" i="24" s="1"/>
  <c r="I142" i="24"/>
  <c r="BM142" i="24" s="1"/>
  <c r="I147" i="24"/>
  <c r="I152" i="24"/>
  <c r="I158" i="24"/>
  <c r="BM158" i="24" s="1"/>
  <c r="I163" i="24"/>
  <c r="BM163" i="24" s="1"/>
  <c r="I168" i="24"/>
  <c r="BM168" i="24" s="1"/>
  <c r="I174" i="24"/>
  <c r="BM174" i="24" s="1"/>
  <c r="I179" i="24"/>
  <c r="BM179" i="24" s="1"/>
  <c r="I184" i="24"/>
  <c r="BM184" i="24" s="1"/>
  <c r="I190" i="24"/>
  <c r="I195" i="24"/>
  <c r="I200" i="24"/>
  <c r="I206" i="24"/>
  <c r="I110" i="24"/>
  <c r="I112" i="24"/>
  <c r="I120" i="24"/>
  <c r="BM120" i="24" s="1"/>
  <c r="I128" i="24"/>
  <c r="I136" i="24"/>
  <c r="BM136" i="24" s="1"/>
  <c r="I143" i="24"/>
  <c r="I148" i="24"/>
  <c r="I154" i="24"/>
  <c r="BM154" i="24" s="1"/>
  <c r="I159" i="24"/>
  <c r="BM159" i="24" s="1"/>
  <c r="I164" i="24"/>
  <c r="BM164" i="24" s="1"/>
  <c r="I170" i="24"/>
  <c r="I175" i="24"/>
  <c r="BM175" i="24" s="1"/>
  <c r="I180" i="24"/>
  <c r="I186" i="24"/>
  <c r="I191" i="24"/>
  <c r="I196" i="24"/>
  <c r="I202" i="24"/>
  <c r="I207" i="24"/>
  <c r="BM207" i="24" s="1"/>
  <c r="I115" i="24"/>
  <c r="BM115" i="24" s="1"/>
  <c r="I123" i="24"/>
  <c r="BM123" i="24" s="1"/>
  <c r="I131" i="24"/>
  <c r="BM131" i="24" s="1"/>
  <c r="I139" i="24"/>
  <c r="I144" i="24"/>
  <c r="I150" i="24"/>
  <c r="I155" i="24"/>
  <c r="I160" i="24"/>
  <c r="I166" i="24"/>
  <c r="BM166" i="24" s="1"/>
  <c r="I171" i="24"/>
  <c r="BM171" i="24" s="1"/>
  <c r="I176" i="24"/>
  <c r="I182" i="24"/>
  <c r="I187" i="24"/>
  <c r="I192" i="24"/>
  <c r="I198" i="24"/>
  <c r="I203" i="24"/>
  <c r="I208" i="24"/>
  <c r="BM208" i="24" s="1"/>
  <c r="I229" i="24"/>
  <c r="I245" i="24"/>
  <c r="I261" i="24"/>
  <c r="I273" i="24"/>
  <c r="I309" i="24"/>
  <c r="I259" i="24"/>
  <c r="I267" i="24"/>
  <c r="I299" i="24"/>
  <c r="I288" i="24"/>
  <c r="I222" i="24"/>
  <c r="I234" i="24"/>
  <c r="I238" i="24"/>
  <c r="I286" i="24"/>
  <c r="I302" i="24"/>
  <c r="I223" i="24"/>
  <c r="I239" i="24"/>
  <c r="I315" i="24"/>
  <c r="I268" i="24"/>
  <c r="I276" i="24"/>
  <c r="I312" i="24"/>
  <c r="D17" i="23"/>
  <c r="D21" i="23"/>
  <c r="D25" i="23"/>
  <c r="D45" i="23"/>
  <c r="D10" i="23"/>
  <c r="D14" i="23"/>
  <c r="D18" i="23"/>
  <c r="D34" i="23"/>
  <c r="D42" i="23"/>
  <c r="D46" i="23"/>
  <c r="D50" i="23"/>
  <c r="D70" i="23"/>
  <c r="D78" i="23"/>
  <c r="D82" i="23"/>
  <c r="D90" i="23"/>
  <c r="D106" i="23"/>
  <c r="D32" i="23"/>
  <c r="D40" i="23"/>
  <c r="D48" i="23"/>
  <c r="D71" i="23"/>
  <c r="D87" i="23"/>
  <c r="D92" i="23"/>
  <c r="D97" i="23"/>
  <c r="D53" i="23"/>
  <c r="D75" i="23"/>
  <c r="D85" i="23"/>
  <c r="D96" i="23"/>
  <c r="D27" i="23"/>
  <c r="D43" i="23"/>
  <c r="D51" i="23"/>
  <c r="D56" i="23"/>
  <c r="D83" i="23"/>
  <c r="D93" i="23"/>
  <c r="D99" i="23"/>
  <c r="D104" i="23"/>
  <c r="D6" i="23"/>
  <c r="D28" i="23"/>
  <c r="D44" i="23"/>
  <c r="D57" i="23"/>
  <c r="D63" i="23"/>
  <c r="D89" i="23"/>
  <c r="D100" i="23"/>
  <c r="D105" i="23"/>
  <c r="D15" i="23"/>
  <c r="D80" i="23"/>
  <c r="D101" i="23"/>
  <c r="I4" i="8"/>
  <c r="J4" i="8" s="1"/>
  <c r="I58" i="2"/>
  <c r="G35" i="16"/>
  <c r="B197" i="2"/>
  <c r="B198" i="2"/>
  <c r="I18" i="8"/>
  <c r="J18" i="8"/>
  <c r="G249" i="2"/>
  <c r="B233" i="2"/>
  <c r="D233" i="2"/>
  <c r="B232" i="2"/>
  <c r="C233" i="2"/>
  <c r="B238" i="2"/>
  <c r="D18" i="19"/>
  <c r="AO2" i="19"/>
  <c r="H249" i="2"/>
  <c r="F249" i="2"/>
  <c r="BQ106" i="19"/>
  <c r="BV106" i="19"/>
  <c r="CB106" i="19"/>
  <c r="BW106" i="19"/>
  <c r="CC106" i="19"/>
  <c r="F64" i="19"/>
  <c r="F65" i="19"/>
  <c r="B265" i="2"/>
  <c r="BU106" i="19"/>
  <c r="CA106" i="19"/>
  <c r="P40" i="29" l="1"/>
  <c r="P123" i="29"/>
  <c r="O230" i="29"/>
  <c r="P288" i="29"/>
  <c r="O290" i="29"/>
  <c r="O397" i="29"/>
  <c r="P497" i="29"/>
  <c r="O610" i="29"/>
  <c r="I6" i="29"/>
  <c r="Y6" i="29" s="1"/>
  <c r="O4" i="29"/>
  <c r="O49" i="29"/>
  <c r="O25" i="29"/>
  <c r="I4" i="29"/>
  <c r="I7" i="29"/>
  <c r="O37" i="29"/>
  <c r="P222" i="29"/>
  <c r="P230" i="29"/>
  <c r="O302" i="29"/>
  <c r="O383" i="29"/>
  <c r="P498" i="29"/>
  <c r="P590" i="29"/>
  <c r="O125" i="29"/>
  <c r="P226" i="29"/>
  <c r="P238" i="29"/>
  <c r="P347" i="29"/>
  <c r="O387" i="29"/>
  <c r="O556" i="29"/>
  <c r="P610" i="29"/>
  <c r="O129" i="29"/>
  <c r="O187" i="29"/>
  <c r="P246" i="29"/>
  <c r="P351" i="29"/>
  <c r="P507" i="29"/>
  <c r="O240" i="29"/>
  <c r="O626" i="29"/>
  <c r="O195" i="29"/>
  <c r="O445" i="29"/>
  <c r="P626" i="29"/>
  <c r="O17" i="29"/>
  <c r="O153" i="29"/>
  <c r="P344" i="29"/>
  <c r="P417" i="29"/>
  <c r="O100" i="29"/>
  <c r="P149" i="29"/>
  <c r="P28" i="29"/>
  <c r="O16" i="29"/>
  <c r="P54" i="29"/>
  <c r="O82" i="29"/>
  <c r="O159" i="29"/>
  <c r="P236" i="29"/>
  <c r="P279" i="29"/>
  <c r="O337" i="29"/>
  <c r="O463" i="29"/>
  <c r="O554" i="29"/>
  <c r="AO178" i="29"/>
  <c r="U178" i="29" s="1"/>
  <c r="P296" i="29"/>
  <c r="P74" i="29"/>
  <c r="P122" i="29"/>
  <c r="O149" i="29"/>
  <c r="AO239" i="29"/>
  <c r="U239" i="29" s="1"/>
  <c r="AO471" i="29"/>
  <c r="P20" i="29"/>
  <c r="P35" i="29"/>
  <c r="O110" i="29"/>
  <c r="O168" i="29"/>
  <c r="P240" i="29"/>
  <c r="P303" i="29"/>
  <c r="O448" i="29"/>
  <c r="O467" i="29"/>
  <c r="P33" i="29"/>
  <c r="O18" i="29"/>
  <c r="O93" i="29"/>
  <c r="P64" i="29"/>
  <c r="O23" i="29"/>
  <c r="P599" i="29"/>
  <c r="O22" i="29"/>
  <c r="O95" i="29"/>
  <c r="O66" i="29"/>
  <c r="O68" i="29"/>
  <c r="P595" i="29"/>
  <c r="P37" i="29"/>
  <c r="O26" i="29"/>
  <c r="O112" i="29"/>
  <c r="O27" i="29"/>
  <c r="O611" i="29"/>
  <c r="P41" i="29"/>
  <c r="O30" i="29"/>
  <c r="O120" i="29"/>
  <c r="O73" i="29"/>
  <c r="O607" i="29"/>
  <c r="P45" i="29"/>
  <c r="O34" i="29"/>
  <c r="P130" i="29"/>
  <c r="P14" i="29"/>
  <c r="O84" i="29"/>
  <c r="O88" i="29"/>
  <c r="O603" i="29"/>
  <c r="O69" i="29"/>
  <c r="O55" i="29"/>
  <c r="P38" i="29"/>
  <c r="P18" i="29"/>
  <c r="O43" i="29"/>
  <c r="O608" i="29"/>
  <c r="P17" i="29"/>
  <c r="O42" i="29"/>
  <c r="P26" i="29"/>
  <c r="O101" i="29"/>
  <c r="P598" i="29"/>
  <c r="O590" i="29"/>
  <c r="O598" i="29"/>
  <c r="P600" i="29"/>
  <c r="O576" i="29"/>
  <c r="P565" i="29"/>
  <c r="P563" i="29"/>
  <c r="O527" i="29"/>
  <c r="O541" i="29"/>
  <c r="P523" i="29"/>
  <c r="P536" i="29"/>
  <c r="O519" i="29"/>
  <c r="P486" i="29"/>
  <c r="P546" i="29"/>
  <c r="O484" i="29"/>
  <c r="O478" i="29"/>
  <c r="O518" i="29"/>
  <c r="P463" i="29"/>
  <c r="O447" i="29"/>
  <c r="P446" i="29"/>
  <c r="P461" i="29"/>
  <c r="O461" i="29"/>
  <c r="P460" i="29"/>
  <c r="O379" i="29"/>
  <c r="P382" i="29"/>
  <c r="O460" i="29"/>
  <c r="P431" i="29"/>
  <c r="O424" i="29"/>
  <c r="O396" i="29"/>
  <c r="P375" i="29"/>
  <c r="O346" i="29"/>
  <c r="P337" i="29"/>
  <c r="O313" i="29"/>
  <c r="O46" i="29"/>
  <c r="P22" i="29"/>
  <c r="O103" i="29"/>
  <c r="P594" i="29"/>
  <c r="O586" i="29"/>
  <c r="O597" i="29"/>
  <c r="P587" i="29"/>
  <c r="O572" i="29"/>
  <c r="P561" i="29"/>
  <c r="P557" i="29"/>
  <c r="O546" i="29"/>
  <c r="O537" i="29"/>
  <c r="O575" i="29"/>
  <c r="P526" i="29"/>
  <c r="O515" i="29"/>
  <c r="P482" i="29"/>
  <c r="P528" i="29"/>
  <c r="P544" i="29"/>
  <c r="P477" i="29"/>
  <c r="P513" i="29"/>
  <c r="O487" i="29"/>
  <c r="O443" i="29"/>
  <c r="P442" i="29"/>
  <c r="P457" i="29"/>
  <c r="O457" i="29"/>
  <c r="P456" i="29"/>
  <c r="O375" i="29"/>
  <c r="P378" i="29"/>
  <c r="P415" i="29"/>
  <c r="P424" i="29"/>
  <c r="O418" i="29"/>
  <c r="O392" i="29"/>
  <c r="P371" i="29"/>
  <c r="O342" i="29"/>
  <c r="P370" i="29"/>
  <c r="O370" i="29"/>
  <c r="P21" i="29"/>
  <c r="O48" i="29"/>
  <c r="P30" i="29"/>
  <c r="O15" i="29"/>
  <c r="G624" i="29"/>
  <c r="O582" i="29"/>
  <c r="P592" i="29"/>
  <c r="P577" i="29"/>
  <c r="O568" i="29"/>
  <c r="P559" i="29"/>
  <c r="P553" i="29"/>
  <c r="O542" i="29"/>
  <c r="O533" i="29"/>
  <c r="P532" i="29"/>
  <c r="P524" i="29"/>
  <c r="O511" i="29"/>
  <c r="P478" i="29"/>
  <c r="P505" i="29"/>
  <c r="O506" i="29"/>
  <c r="P473" i="29"/>
  <c r="P509" i="29"/>
  <c r="O475" i="29"/>
  <c r="O439" i="29"/>
  <c r="P481" i="29"/>
  <c r="P453" i="29"/>
  <c r="O453" i="29"/>
  <c r="P452" i="29"/>
  <c r="O371" i="29"/>
  <c r="P438" i="29"/>
  <c r="P414" i="29"/>
  <c r="P423" i="29"/>
  <c r="P400" i="29"/>
  <c r="O388" i="29"/>
  <c r="P374" i="29"/>
  <c r="O338" i="29"/>
  <c r="O369" i="29"/>
  <c r="P368" i="29"/>
  <c r="P25" i="29"/>
  <c r="P62" i="29"/>
  <c r="P34" i="29"/>
  <c r="O612" i="29"/>
  <c r="AC624" i="29"/>
  <c r="O593" i="29"/>
  <c r="O588" i="29"/>
  <c r="O573" i="29"/>
  <c r="O564" i="29"/>
  <c r="P554" i="29"/>
  <c r="P549" i="29"/>
  <c r="O538" i="29"/>
  <c r="O529" i="29"/>
  <c r="O521" i="29"/>
  <c r="O520" i="29"/>
  <c r="O507" i="29"/>
  <c r="O502" i="29"/>
  <c r="P503" i="29"/>
  <c r="P502" i="29"/>
  <c r="P469" i="29"/>
  <c r="O514" i="29"/>
  <c r="O471" i="29"/>
  <c r="O435" i="29"/>
  <c r="P476" i="29"/>
  <c r="P449" i="29"/>
  <c r="O449" i="29"/>
  <c r="P436" i="29"/>
  <c r="O452" i="29"/>
  <c r="P430" i="29"/>
  <c r="O410" i="29"/>
  <c r="P419" i="29"/>
  <c r="P396" i="29"/>
  <c r="O384" i="29"/>
  <c r="P366" i="29"/>
  <c r="O334" i="29"/>
  <c r="O365" i="29"/>
  <c r="P364" i="29"/>
  <c r="O62" i="29"/>
  <c r="O80" i="29"/>
  <c r="P48" i="29"/>
  <c r="P607" i="29"/>
  <c r="P582" i="29"/>
  <c r="O589" i="29"/>
  <c r="P585" i="29"/>
  <c r="O587" i="29"/>
  <c r="O558" i="29"/>
  <c r="P569" i="29"/>
  <c r="O553" i="29"/>
  <c r="P547" i="29"/>
  <c r="O536" i="29"/>
  <c r="O567" i="29"/>
  <c r="P530" i="29"/>
  <c r="P518" i="29"/>
  <c r="P485" i="29"/>
  <c r="P484" i="29"/>
  <c r="O494" i="29"/>
  <c r="O486" i="29"/>
  <c r="O472" i="29"/>
  <c r="P455" i="29"/>
  <c r="O415" i="29"/>
  <c r="O446" i="29"/>
  <c r="P429" i="29"/>
  <c r="O429" i="29"/>
  <c r="O412" i="29"/>
  <c r="P407" i="29"/>
  <c r="O406" i="29"/>
  <c r="P385" i="29"/>
  <c r="O393" i="29"/>
  <c r="P376" i="29"/>
  <c r="O408" i="29"/>
  <c r="P346" i="29"/>
  <c r="P369" i="29"/>
  <c r="O345" i="29"/>
  <c r="O75" i="29"/>
  <c r="P146" i="29"/>
  <c r="O50" i="29"/>
  <c r="P603" i="29"/>
  <c r="P578" i="29"/>
  <c r="O585" i="29"/>
  <c r="P584" i="29"/>
  <c r="P581" i="29"/>
  <c r="P556" i="29"/>
  <c r="P564" i="29"/>
  <c r="O549" i="29"/>
  <c r="P541" i="29"/>
  <c r="O532" i="29"/>
  <c r="P548" i="29"/>
  <c r="O524" i="29"/>
  <c r="P514" i="29"/>
  <c r="O522" i="29"/>
  <c r="P521" i="29"/>
  <c r="O474" i="29"/>
  <c r="O483" i="29"/>
  <c r="O468" i="29"/>
  <c r="P451" i="29"/>
  <c r="O411" i="29"/>
  <c r="O442" i="29"/>
  <c r="P425" i="29"/>
  <c r="O425" i="29"/>
  <c r="P404" i="29"/>
  <c r="P406" i="29"/>
  <c r="O402" i="29"/>
  <c r="P381" i="29"/>
  <c r="O389" i="29"/>
  <c r="P372" i="29"/>
  <c r="P403" i="29"/>
  <c r="P342" i="29"/>
  <c r="P365" i="29"/>
  <c r="O341" i="29"/>
  <c r="O91" i="29"/>
  <c r="O39" i="29"/>
  <c r="P606" i="29"/>
  <c r="P613" i="29"/>
  <c r="O569" i="29"/>
  <c r="O555" i="29"/>
  <c r="O563" i="29"/>
  <c r="O591" i="29"/>
  <c r="P542" i="29"/>
  <c r="O560" i="29"/>
  <c r="O497" i="29"/>
  <c r="P470" i="29"/>
  <c r="O469" i="29"/>
  <c r="P447" i="29"/>
  <c r="O462" i="29"/>
  <c r="P413" i="29"/>
  <c r="P427" i="29"/>
  <c r="P390" i="29"/>
  <c r="P377" i="29"/>
  <c r="P392" i="29"/>
  <c r="P391" i="29"/>
  <c r="O322" i="29"/>
  <c r="O321" i="29"/>
  <c r="P367" i="29"/>
  <c r="O352" i="29"/>
  <c r="P282" i="29"/>
  <c r="O282" i="29"/>
  <c r="O305" i="29"/>
  <c r="O300" i="29"/>
  <c r="P295" i="29"/>
  <c r="O264" i="29"/>
  <c r="P259" i="29"/>
  <c r="O303" i="29"/>
  <c r="P280" i="29"/>
  <c r="P249" i="29"/>
  <c r="O253" i="29"/>
  <c r="P232" i="29"/>
  <c r="O216" i="29"/>
  <c r="P211" i="29"/>
  <c r="O211" i="29"/>
  <c r="P214" i="29"/>
  <c r="O190" i="29"/>
  <c r="P189" i="29"/>
  <c r="O181" i="29"/>
  <c r="O147" i="29"/>
  <c r="P182" i="29"/>
  <c r="P192" i="29"/>
  <c r="P174" i="29"/>
  <c r="O138" i="29"/>
  <c r="O166" i="29"/>
  <c r="P95" i="29"/>
  <c r="P126" i="29"/>
  <c r="P82" i="29"/>
  <c r="O144" i="29"/>
  <c r="O108" i="29"/>
  <c r="P602" i="29"/>
  <c r="P605" i="29"/>
  <c r="O565" i="29"/>
  <c r="O551" i="29"/>
  <c r="P560" i="29"/>
  <c r="P551" i="29"/>
  <c r="P520" i="29"/>
  <c r="P534" i="29"/>
  <c r="O493" i="29"/>
  <c r="P466" i="29"/>
  <c r="O465" i="29"/>
  <c r="P443" i="29"/>
  <c r="O458" i="29"/>
  <c r="P409" i="29"/>
  <c r="P416" i="29"/>
  <c r="P386" i="29"/>
  <c r="P373" i="29"/>
  <c r="P388" i="29"/>
  <c r="P387" i="29"/>
  <c r="O318" i="29"/>
  <c r="O317" i="29"/>
  <c r="P363" i="29"/>
  <c r="O347" i="29"/>
  <c r="P278" i="29"/>
  <c r="O278" i="29"/>
  <c r="O360" i="29"/>
  <c r="O296" i="29"/>
  <c r="P291" i="29"/>
  <c r="O260" i="29"/>
  <c r="P255" i="29"/>
  <c r="P270" i="29"/>
  <c r="O270" i="29"/>
  <c r="P245" i="29"/>
  <c r="O249" i="29"/>
  <c r="O233" i="29"/>
  <c r="O212" i="29"/>
  <c r="P207" i="29"/>
  <c r="O207" i="29"/>
  <c r="P210" i="29"/>
  <c r="O186" i="29"/>
  <c r="P185" i="29"/>
  <c r="O177" i="29"/>
  <c r="O143" i="29"/>
  <c r="P171" i="29"/>
  <c r="P176" i="29"/>
  <c r="P168" i="29"/>
  <c r="O130" i="29"/>
  <c r="P155" i="29"/>
  <c r="P91" i="29"/>
  <c r="O115" i="29"/>
  <c r="P159" i="29"/>
  <c r="P143" i="29"/>
  <c r="P163" i="29"/>
  <c r="P47" i="29"/>
  <c r="P609" i="29"/>
  <c r="P597" i="29"/>
  <c r="O561" i="29"/>
  <c r="O547" i="29"/>
  <c r="O545" i="29"/>
  <c r="O525" i="29"/>
  <c r="P516" i="29"/>
  <c r="O523" i="29"/>
  <c r="O489" i="29"/>
  <c r="O470" i="29"/>
  <c r="O495" i="29"/>
  <c r="P468" i="29"/>
  <c r="O454" i="29"/>
  <c r="P405" i="29"/>
  <c r="O403" i="29"/>
  <c r="P422" i="29"/>
  <c r="P444" i="29"/>
  <c r="P384" i="29"/>
  <c r="P383" i="29"/>
  <c r="P361" i="29"/>
  <c r="P360" i="29"/>
  <c r="P359" i="29"/>
  <c r="O332" i="29"/>
  <c r="P274" i="29"/>
  <c r="O274" i="29"/>
  <c r="O355" i="29"/>
  <c r="O292" i="29"/>
  <c r="P287" i="29"/>
  <c r="O256" i="29"/>
  <c r="P251" i="29"/>
  <c r="P266" i="29"/>
  <c r="O266" i="29"/>
  <c r="P241" i="29"/>
  <c r="O245" i="29"/>
  <c r="P228" i="29"/>
  <c r="O208" i="29"/>
  <c r="P203" i="29"/>
  <c r="O203" i="29"/>
  <c r="P206" i="29"/>
  <c r="O182" i="29"/>
  <c r="P181" i="29"/>
  <c r="O173" i="29"/>
  <c r="O139" i="29"/>
  <c r="P169" i="29"/>
  <c r="O169" i="29"/>
  <c r="P164" i="29"/>
  <c r="O122" i="29"/>
  <c r="O148" i="29"/>
  <c r="P87" i="29"/>
  <c r="O170" i="29"/>
  <c r="P118" i="29"/>
  <c r="O136" i="29"/>
  <c r="O14" i="29"/>
  <c r="P50" i="29"/>
  <c r="P601" i="29"/>
  <c r="O613" i="29"/>
  <c r="O557" i="29"/>
  <c r="O583" i="29"/>
  <c r="O566" i="29"/>
  <c r="P555" i="29"/>
  <c r="P512" i="29"/>
  <c r="P522" i="29"/>
  <c r="O485" i="29"/>
  <c r="O466" i="29"/>
  <c r="P491" i="29"/>
  <c r="O459" i="29"/>
  <c r="O450" i="29"/>
  <c r="P495" i="29"/>
  <c r="O399" i="29"/>
  <c r="O420" i="29"/>
  <c r="P440" i="29"/>
  <c r="P380" i="29"/>
  <c r="P379" i="29"/>
  <c r="P357" i="29"/>
  <c r="P356" i="29"/>
  <c r="P355" i="29"/>
  <c r="O331" i="29"/>
  <c r="P338" i="29"/>
  <c r="O373" i="29"/>
  <c r="O344" i="29"/>
  <c r="O288" i="29"/>
  <c r="P283" i="29"/>
  <c r="O252" i="29"/>
  <c r="P247" i="29"/>
  <c r="P262" i="29"/>
  <c r="O262" i="29"/>
  <c r="P237" i="29"/>
  <c r="O241" i="29"/>
  <c r="P224" i="29"/>
  <c r="O204" i="29"/>
  <c r="P199" i="29"/>
  <c r="O199" i="29"/>
  <c r="P202" i="29"/>
  <c r="O178" i="29"/>
  <c r="P177" i="29"/>
  <c r="P196" i="29"/>
  <c r="O135" i="29"/>
  <c r="P165" i="29"/>
  <c r="O165" i="29"/>
  <c r="P160" i="29"/>
  <c r="P116" i="29"/>
  <c r="P147" i="29"/>
  <c r="P83" i="29"/>
  <c r="O156" i="29"/>
  <c r="O114" i="29"/>
  <c r="P135" i="29"/>
  <c r="O604" i="29"/>
  <c r="O602" i="29"/>
  <c r="P591" i="29"/>
  <c r="O581" i="29"/>
  <c r="O559" i="29"/>
  <c r="O534" i="29"/>
  <c r="P539" i="29"/>
  <c r="O508" i="29"/>
  <c r="P494" i="29"/>
  <c r="O510" i="29"/>
  <c r="P465" i="29"/>
  <c r="P487" i="29"/>
  <c r="O423" i="29"/>
  <c r="O422" i="29"/>
  <c r="O421" i="29"/>
  <c r="O436" i="29"/>
  <c r="O390" i="29"/>
  <c r="O401" i="29"/>
  <c r="P408" i="29"/>
  <c r="O374" i="29"/>
  <c r="O361" i="29"/>
  <c r="P336" i="29"/>
  <c r="P335" i="29"/>
  <c r="O311" i="29"/>
  <c r="P314" i="29"/>
  <c r="O314" i="29"/>
  <c r="P308" i="29"/>
  <c r="O359" i="29"/>
  <c r="P292" i="29"/>
  <c r="O232" i="29"/>
  <c r="O267" i="29"/>
  <c r="P242" i="29"/>
  <c r="P301" i="29"/>
  <c r="P297" i="29"/>
  <c r="P264" i="29"/>
  <c r="P204" i="29"/>
  <c r="O184" i="29"/>
  <c r="P179" i="29"/>
  <c r="O179" i="29"/>
  <c r="O222" i="29"/>
  <c r="P221" i="29"/>
  <c r="O213" i="29"/>
  <c r="P190" i="29"/>
  <c r="P194" i="29"/>
  <c r="P145" i="29"/>
  <c r="O145" i="29"/>
  <c r="P140" i="29"/>
  <c r="P96" i="29"/>
  <c r="O124" i="29"/>
  <c r="P63" i="29"/>
  <c r="P114" i="29"/>
  <c r="O94" i="29"/>
  <c r="P117" i="29"/>
  <c r="P13" i="29"/>
  <c r="O24" i="29"/>
  <c r="O99" i="29"/>
  <c r="O596" i="29"/>
  <c r="O594" i="29"/>
  <c r="P583" i="29"/>
  <c r="O592" i="29"/>
  <c r="O550" i="29"/>
  <c r="O526" i="29"/>
  <c r="P531" i="29"/>
  <c r="P519" i="29"/>
  <c r="P501" i="29"/>
  <c r="O500" i="29"/>
  <c r="P504" i="29"/>
  <c r="P471" i="29"/>
  <c r="O407" i="29"/>
  <c r="P445" i="29"/>
  <c r="O413" i="29"/>
  <c r="P420" i="29"/>
  <c r="O382" i="29"/>
  <c r="O385" i="29"/>
  <c r="O380" i="29"/>
  <c r="O362" i="29"/>
  <c r="O353" i="29"/>
  <c r="P328" i="29"/>
  <c r="P327" i="29"/>
  <c r="P306" i="29"/>
  <c r="O306" i="29"/>
  <c r="P309" i="29"/>
  <c r="P300" i="29"/>
  <c r="O343" i="29"/>
  <c r="P284" i="29"/>
  <c r="O293" i="29"/>
  <c r="O259" i="29"/>
  <c r="P234" i="29"/>
  <c r="O281" i="29"/>
  <c r="O283" i="29"/>
  <c r="P256" i="29"/>
  <c r="P239" i="29"/>
  <c r="O176" i="29"/>
  <c r="O246" i="29"/>
  <c r="O171" i="29"/>
  <c r="O214" i="29"/>
  <c r="P213" i="29"/>
  <c r="O205" i="29"/>
  <c r="P172" i="29"/>
  <c r="O172" i="29"/>
  <c r="P137" i="29"/>
  <c r="O137" i="29"/>
  <c r="P132" i="29"/>
  <c r="P88" i="29"/>
  <c r="P119" i="29"/>
  <c r="P55" i="29"/>
  <c r="P106" i="29"/>
  <c r="O86" i="29"/>
  <c r="P60" i="29"/>
  <c r="P593" i="29"/>
  <c r="O577" i="29"/>
  <c r="P568" i="29"/>
  <c r="P543" i="29"/>
  <c r="P540" i="29"/>
  <c r="O496" i="29"/>
  <c r="O476" i="29"/>
  <c r="P458" i="29"/>
  <c r="O433" i="29"/>
  <c r="P394" i="29"/>
  <c r="O381" i="29"/>
  <c r="P358" i="29"/>
  <c r="O333" i="29"/>
  <c r="P339" i="29"/>
  <c r="P286" i="29"/>
  <c r="P305" i="29"/>
  <c r="O280" i="29"/>
  <c r="O273" i="29"/>
  <c r="O271" i="29"/>
  <c r="P281" i="29"/>
  <c r="O275" i="29"/>
  <c r="P216" i="29"/>
  <c r="P223" i="29"/>
  <c r="O183" i="29"/>
  <c r="O194" i="29"/>
  <c r="O201" i="29"/>
  <c r="O127" i="29"/>
  <c r="P125" i="29"/>
  <c r="P144" i="29"/>
  <c r="O116" i="29"/>
  <c r="P51" i="29"/>
  <c r="O106" i="29"/>
  <c r="P101" i="29"/>
  <c r="O89" i="29"/>
  <c r="O52" i="29"/>
  <c r="P589" i="29"/>
  <c r="P576" i="29"/>
  <c r="P545" i="29"/>
  <c r="P535" i="29"/>
  <c r="P510" i="29"/>
  <c r="O492" i="29"/>
  <c r="O464" i="29"/>
  <c r="P454" i="29"/>
  <c r="O417" i="29"/>
  <c r="P411" i="29"/>
  <c r="O377" i="29"/>
  <c r="P354" i="29"/>
  <c r="O329" i="29"/>
  <c r="P331" i="29"/>
  <c r="O336" i="29"/>
  <c r="P334" i="29"/>
  <c r="O276" i="29"/>
  <c r="O272" i="29"/>
  <c r="O263" i="29"/>
  <c r="O258" i="29"/>
  <c r="O269" i="29"/>
  <c r="P212" i="29"/>
  <c r="P219" i="29"/>
  <c r="O175" i="29"/>
  <c r="O174" i="29"/>
  <c r="O197" i="29"/>
  <c r="O123" i="29"/>
  <c r="P121" i="29"/>
  <c r="P136" i="29"/>
  <c r="O140" i="29"/>
  <c r="P173" i="29"/>
  <c r="O102" i="29"/>
  <c r="P97" i="29"/>
  <c r="O92" i="29"/>
  <c r="O38" i="29"/>
  <c r="O59" i="29"/>
  <c r="P612" i="29"/>
  <c r="P572" i="29"/>
  <c r="P567" i="29"/>
  <c r="P527" i="29"/>
  <c r="P506" i="29"/>
  <c r="O488" i="29"/>
  <c r="O491" i="29"/>
  <c r="P450" i="29"/>
  <c r="O409" i="29"/>
  <c r="P410" i="29"/>
  <c r="O444" i="29"/>
  <c r="P350" i="29"/>
  <c r="O325" i="29"/>
  <c r="P323" i="29"/>
  <c r="P333" i="29"/>
  <c r="P326" i="29"/>
  <c r="O364" i="29"/>
  <c r="O268" i="29"/>
  <c r="O255" i="29"/>
  <c r="O254" i="29"/>
  <c r="O265" i="29"/>
  <c r="P208" i="29"/>
  <c r="P215" i="29"/>
  <c r="O242" i="29"/>
  <c r="O231" i="29"/>
  <c r="O193" i="29"/>
  <c r="O119" i="29"/>
  <c r="P198" i="29"/>
  <c r="P128" i="29"/>
  <c r="P139" i="29"/>
  <c r="P150" i="29"/>
  <c r="O98" i="29"/>
  <c r="P93" i="29"/>
  <c r="O64" i="29"/>
  <c r="P66" i="29"/>
  <c r="P604" i="29"/>
  <c r="P579" i="29"/>
  <c r="O543" i="29"/>
  <c r="O517" i="29"/>
  <c r="O504" i="29"/>
  <c r="O498" i="29"/>
  <c r="P475" i="29"/>
  <c r="O438" i="29"/>
  <c r="O405" i="29"/>
  <c r="O398" i="29"/>
  <c r="O440" i="29"/>
  <c r="O366" i="29"/>
  <c r="P352" i="29"/>
  <c r="P319" i="29"/>
  <c r="P325" i="29"/>
  <c r="P318" i="29"/>
  <c r="O348" i="29"/>
  <c r="O248" i="29"/>
  <c r="O251" i="29"/>
  <c r="O250" i="29"/>
  <c r="O261" i="29"/>
  <c r="P200" i="29"/>
  <c r="P195" i="29"/>
  <c r="O237" i="29"/>
  <c r="P229" i="29"/>
  <c r="O189" i="29"/>
  <c r="P178" i="29"/>
  <c r="O161" i="29"/>
  <c r="P124" i="29"/>
  <c r="O132" i="29"/>
  <c r="P142" i="29"/>
  <c r="O90" i="29"/>
  <c r="P89" i="29"/>
  <c r="P31" i="29"/>
  <c r="O47" i="29"/>
  <c r="O595" i="29"/>
  <c r="P608" i="29"/>
  <c r="O548" i="29"/>
  <c r="P552" i="29"/>
  <c r="P573" i="29"/>
  <c r="P489" i="29"/>
  <c r="P479" i="29"/>
  <c r="P459" i="29"/>
  <c r="P441" i="29"/>
  <c r="O391" i="29"/>
  <c r="P397" i="29"/>
  <c r="P426" i="29"/>
  <c r="O326" i="29"/>
  <c r="P324" i="29"/>
  <c r="O323" i="29"/>
  <c r="O294" i="29"/>
  <c r="O319" i="29"/>
  <c r="P299" i="29"/>
  <c r="O285" i="29"/>
  <c r="P254" i="29"/>
  <c r="P261" i="29"/>
  <c r="P268" i="29"/>
  <c r="O220" i="29"/>
  <c r="P243" i="29"/>
  <c r="P231" i="29"/>
  <c r="P201" i="29"/>
  <c r="O160" i="29"/>
  <c r="P188" i="29"/>
  <c r="O133" i="29"/>
  <c r="P108" i="29"/>
  <c r="P107" i="29"/>
  <c r="O126" i="29"/>
  <c r="P151" i="29"/>
  <c r="P69" i="29"/>
  <c r="O107" i="29"/>
  <c r="O600" i="29"/>
  <c r="P570" i="29"/>
  <c r="O539" i="29"/>
  <c r="O512" i="29"/>
  <c r="O503" i="29"/>
  <c r="O455" i="29"/>
  <c r="O441" i="29"/>
  <c r="P401" i="29"/>
  <c r="P399" i="29"/>
  <c r="P340" i="29"/>
  <c r="P302" i="29"/>
  <c r="O328" i="29"/>
  <c r="O307" i="29"/>
  <c r="O247" i="29"/>
  <c r="P253" i="29"/>
  <c r="P220" i="29"/>
  <c r="O227" i="29"/>
  <c r="O202" i="29"/>
  <c r="O164" i="29"/>
  <c r="P141" i="29"/>
  <c r="O146" i="29"/>
  <c r="P75" i="29"/>
  <c r="O78" i="29"/>
  <c r="P57" i="29"/>
  <c r="P27" i="29"/>
  <c r="O54" i="29"/>
  <c r="P611" i="29"/>
  <c r="P566" i="29"/>
  <c r="O535" i="29"/>
  <c r="O579" i="29"/>
  <c r="P474" i="29"/>
  <c r="O451" i="29"/>
  <c r="O437" i="29"/>
  <c r="P393" i="29"/>
  <c r="P395" i="29"/>
  <c r="P332" i="29"/>
  <c r="P298" i="29"/>
  <c r="O327" i="29"/>
  <c r="P293" i="29"/>
  <c r="O243" i="29"/>
  <c r="P233" i="29"/>
  <c r="P235" i="29"/>
  <c r="O223" i="29"/>
  <c r="O198" i="29"/>
  <c r="P184" i="29"/>
  <c r="P133" i="29"/>
  <c r="P112" i="29"/>
  <c r="P71" i="29"/>
  <c r="O158" i="29"/>
  <c r="P53" i="29"/>
  <c r="O599" i="29"/>
  <c r="P562" i="29"/>
  <c r="O531" i="29"/>
  <c r="P515" i="29"/>
  <c r="O490" i="29"/>
  <c r="O431" i="29"/>
  <c r="P472" i="29"/>
  <c r="P389" i="29"/>
  <c r="P362" i="29"/>
  <c r="P320" i="29"/>
  <c r="P294" i="29"/>
  <c r="O320" i="29"/>
  <c r="P285" i="29"/>
  <c r="O239" i="29"/>
  <c r="P322" i="29"/>
  <c r="O234" i="29"/>
  <c r="O219" i="29"/>
  <c r="P225" i="29"/>
  <c r="O167" i="29"/>
  <c r="P129" i="29"/>
  <c r="P104" i="29"/>
  <c r="P67" i="29"/>
  <c r="O152" i="29"/>
  <c r="P49" i="29"/>
  <c r="I634" i="29"/>
  <c r="P558" i="29"/>
  <c r="O530" i="29"/>
  <c r="P511" i="29"/>
  <c r="P483" i="29"/>
  <c r="O427" i="29"/>
  <c r="P435" i="29"/>
  <c r="P439" i="29"/>
  <c r="O358" i="29"/>
  <c r="P316" i="29"/>
  <c r="P290" i="29"/>
  <c r="P304" i="29"/>
  <c r="P277" i="29"/>
  <c r="P258" i="29"/>
  <c r="O301" i="29"/>
  <c r="O228" i="29"/>
  <c r="O215" i="29"/>
  <c r="P217" i="29"/>
  <c r="O163" i="29"/>
  <c r="O157" i="29"/>
  <c r="P100" i="29"/>
  <c r="P59" i="29"/>
  <c r="O128" i="29"/>
  <c r="O71" i="29"/>
  <c r="O36" i="29"/>
  <c r="O601" i="29"/>
  <c r="P550" i="29"/>
  <c r="O540" i="29"/>
  <c r="P493" i="29"/>
  <c r="O477" i="29"/>
  <c r="O426" i="29"/>
  <c r="O416" i="29"/>
  <c r="O456" i="29"/>
  <c r="P345" i="29"/>
  <c r="P315" i="29"/>
  <c r="O286" i="29"/>
  <c r="O284" i="29"/>
  <c r="O277" i="29"/>
  <c r="P289" i="29"/>
  <c r="P272" i="29"/>
  <c r="O180" i="29"/>
  <c r="P218" i="29"/>
  <c r="O225" i="29"/>
  <c r="P166" i="29"/>
  <c r="O121" i="29"/>
  <c r="P131" i="29"/>
  <c r="P102" i="29"/>
  <c r="P105" i="29"/>
  <c r="O70" i="29"/>
  <c r="P627" i="29"/>
  <c r="P46" i="29"/>
  <c r="O605" i="29"/>
  <c r="P533" i="29"/>
  <c r="O501" i="29"/>
  <c r="O419" i="29"/>
  <c r="O404" i="29"/>
  <c r="P412" i="29"/>
  <c r="P343" i="29"/>
  <c r="O312" i="29"/>
  <c r="O236" i="29"/>
  <c r="P269" i="29"/>
  <c r="O196" i="29"/>
  <c r="O226" i="29"/>
  <c r="O155" i="29"/>
  <c r="P156" i="29"/>
  <c r="P134" i="29"/>
  <c r="P85" i="29"/>
  <c r="P15" i="29"/>
  <c r="P43" i="29"/>
  <c r="O105" i="29"/>
  <c r="O113" i="29"/>
  <c r="O28" i="29"/>
  <c r="P154" i="29"/>
  <c r="O31" i="29"/>
  <c r="O482" i="29"/>
  <c r="O378" i="29"/>
  <c r="O308" i="29"/>
  <c r="P191" i="29"/>
  <c r="P158" i="29"/>
  <c r="P61" i="29"/>
  <c r="O33" i="29"/>
  <c r="O51" i="29"/>
  <c r="P187" i="29"/>
  <c r="P499" i="29"/>
  <c r="O357" i="29"/>
  <c r="P317" i="29"/>
  <c r="P273" i="29"/>
  <c r="P193" i="29"/>
  <c r="P80" i="29"/>
  <c r="O77" i="29"/>
  <c r="O57" i="29"/>
  <c r="O584" i="29"/>
  <c r="P529" i="29"/>
  <c r="P500" i="29"/>
  <c r="O480" i="29"/>
  <c r="P402" i="29"/>
  <c r="O354" i="29"/>
  <c r="O368" i="29"/>
  <c r="O309" i="29"/>
  <c r="P330" i="29"/>
  <c r="P265" i="29"/>
  <c r="O192" i="29"/>
  <c r="O218" i="29"/>
  <c r="O151" i="29"/>
  <c r="P152" i="29"/>
  <c r="O150" i="29"/>
  <c r="P81" i="29"/>
  <c r="O74" i="29"/>
  <c r="P70" i="29"/>
  <c r="O56" i="29"/>
  <c r="O67" i="29"/>
  <c r="P29" i="29"/>
  <c r="O528" i="29"/>
  <c r="O386" i="29"/>
  <c r="O316" i="29"/>
  <c r="O291" i="29"/>
  <c r="P209" i="29"/>
  <c r="P110" i="29"/>
  <c r="O627" i="29"/>
  <c r="P138" i="29"/>
  <c r="P72" i="29"/>
  <c r="O53" i="29"/>
  <c r="P464" i="29"/>
  <c r="O295" i="29"/>
  <c r="P98" i="29"/>
  <c r="O574" i="29"/>
  <c r="P432" i="29"/>
  <c r="O287" i="29"/>
  <c r="P161" i="29"/>
  <c r="O61" i="29"/>
  <c r="O45" i="29"/>
  <c r="O20" i="29"/>
  <c r="O29" i="29"/>
  <c r="O60" i="29"/>
  <c r="P508" i="29"/>
  <c r="P421" i="29"/>
  <c r="O310" i="29"/>
  <c r="P250" i="29"/>
  <c r="P175" i="29"/>
  <c r="P153" i="29"/>
  <c r="P68" i="29"/>
  <c r="O97" i="29"/>
  <c r="P588" i="29"/>
  <c r="P525" i="29"/>
  <c r="P496" i="29"/>
  <c r="P462" i="29"/>
  <c r="P398" i="29"/>
  <c r="O350" i="29"/>
  <c r="O363" i="29"/>
  <c r="O339" i="29"/>
  <c r="P271" i="29"/>
  <c r="P257" i="29"/>
  <c r="O188" i="29"/>
  <c r="O210" i="29"/>
  <c r="O131" i="29"/>
  <c r="P148" i="29"/>
  <c r="O142" i="29"/>
  <c r="P77" i="29"/>
  <c r="P19" i="29"/>
  <c r="P58" i="29"/>
  <c r="O87" i="29"/>
  <c r="O72" i="29"/>
  <c r="O513" i="29"/>
  <c r="P349" i="29"/>
  <c r="O257" i="29"/>
  <c r="P205" i="29"/>
  <c r="O32" i="29"/>
  <c r="O35" i="29"/>
  <c r="O509" i="29"/>
  <c r="P538" i="29"/>
  <c r="P437" i="29"/>
  <c r="P341" i="29"/>
  <c r="P310" i="29"/>
  <c r="O304" i="29"/>
  <c r="O297" i="29"/>
  <c r="P197" i="29"/>
  <c r="P84" i="29"/>
  <c r="P94" i="29"/>
  <c r="P23" i="29"/>
  <c r="O505" i="29"/>
  <c r="P418" i="29"/>
  <c r="O279" i="29"/>
  <c r="P157" i="29"/>
  <c r="O76" i="29"/>
  <c r="O13" i="29"/>
  <c r="O349" i="29"/>
  <c r="P86" i="29"/>
  <c r="P574" i="29"/>
  <c r="O544" i="29"/>
  <c r="P492" i="29"/>
  <c r="O434" i="29"/>
  <c r="O394" i="29"/>
  <c r="O330" i="29"/>
  <c r="O324" i="29"/>
  <c r="P329" i="29"/>
  <c r="P267" i="29"/>
  <c r="O299" i="29"/>
  <c r="O235" i="29"/>
  <c r="O206" i="29"/>
  <c r="P170" i="29"/>
  <c r="O162" i="29"/>
  <c r="O134" i="29"/>
  <c r="P73" i="29"/>
  <c r="O21" i="29"/>
  <c r="O117" i="29"/>
  <c r="O83" i="29"/>
  <c r="O96" i="29"/>
  <c r="O19" i="29"/>
  <c r="O578" i="29"/>
  <c r="P488" i="29"/>
  <c r="O430" i="29"/>
  <c r="P353" i="29"/>
  <c r="P321" i="29"/>
  <c r="P263" i="29"/>
  <c r="P227" i="29"/>
  <c r="P162" i="29"/>
  <c r="O154" i="29"/>
  <c r="P65" i="29"/>
  <c r="P52" i="29"/>
  <c r="O40" i="29"/>
  <c r="O85" i="29"/>
  <c r="P575" i="29"/>
  <c r="O315" i="29"/>
  <c r="P92" i="29"/>
  <c r="O104" i="29"/>
  <c r="O562" i="29"/>
  <c r="P433" i="29"/>
  <c r="O335" i="29"/>
  <c r="P183" i="29"/>
  <c r="P90" i="29"/>
  <c r="P56" i="29"/>
  <c r="O552" i="29"/>
  <c r="P480" i="29"/>
  <c r="O414" i="29"/>
  <c r="P313" i="29"/>
  <c r="P260" i="29"/>
  <c r="O229" i="29"/>
  <c r="P76" i="29"/>
  <c r="O109" i="29"/>
  <c r="P167" i="29"/>
  <c r="O238" i="29"/>
  <c r="O298" i="29"/>
  <c r="O428" i="29"/>
  <c r="P490" i="29"/>
  <c r="P586" i="29"/>
  <c r="O63" i="29"/>
  <c r="P109" i="29"/>
  <c r="O395" i="29"/>
  <c r="O58" i="29"/>
  <c r="O118" i="29"/>
  <c r="O244" i="29"/>
  <c r="P312" i="29"/>
  <c r="P537" i="29"/>
  <c r="P42" i="29"/>
  <c r="P120" i="29"/>
  <c r="P276" i="29"/>
  <c r="O571" i="29"/>
  <c r="P36" i="29"/>
  <c r="P44" i="29"/>
  <c r="P79" i="29"/>
  <c r="P180" i="29"/>
  <c r="P244" i="29"/>
  <c r="P307" i="29"/>
  <c r="O376" i="29"/>
  <c r="P467" i="29"/>
  <c r="P571" i="29"/>
  <c r="P186" i="29"/>
  <c r="P113" i="29"/>
  <c r="O141" i="29"/>
  <c r="O191" i="29"/>
  <c r="O372" i="29"/>
  <c r="P428" i="29"/>
  <c r="O516" i="29"/>
  <c r="P78" i="29"/>
  <c r="P39" i="29"/>
  <c r="O200" i="29"/>
  <c r="P127" i="29"/>
  <c r="O224" i="29"/>
  <c r="P275" i="29"/>
  <c r="P348" i="29"/>
  <c r="O499" i="29"/>
  <c r="O580" i="29"/>
  <c r="O111" i="29"/>
  <c r="O65" i="29"/>
  <c r="P99" i="29"/>
  <c r="O185" i="29"/>
  <c r="P248" i="29"/>
  <c r="O340" i="29"/>
  <c r="O400" i="29"/>
  <c r="O481" i="29"/>
  <c r="P580" i="29"/>
  <c r="O44" i="29"/>
  <c r="E159" i="8"/>
  <c r="AP53" i="29"/>
  <c r="AQ53" i="29" s="1"/>
  <c r="AR53" i="29" s="1"/>
  <c r="AP143" i="29"/>
  <c r="AQ143" i="29" s="1"/>
  <c r="AR143" i="29" s="1"/>
  <c r="AM216" i="29"/>
  <c r="AN102" i="29"/>
  <c r="AN195" i="29"/>
  <c r="AM77" i="29"/>
  <c r="AO77" i="29" s="1"/>
  <c r="U77" i="29" s="1"/>
  <c r="AP149" i="29"/>
  <c r="AQ149" i="29" s="1"/>
  <c r="AR149" i="29" s="1"/>
  <c r="AN198" i="29"/>
  <c r="AM33" i="29"/>
  <c r="AP95" i="29"/>
  <c r="AQ95" i="29" s="1"/>
  <c r="AR95" i="29" s="1"/>
  <c r="AP157" i="29"/>
  <c r="AQ157" i="29" s="1"/>
  <c r="AR157" i="29" s="1"/>
  <c r="AM217" i="29"/>
  <c r="AN62" i="29"/>
  <c r="AM119" i="29"/>
  <c r="AO119" i="29" s="1"/>
  <c r="AP173" i="29"/>
  <c r="AQ173" i="29" s="1"/>
  <c r="AR173" i="29" s="1"/>
  <c r="AN18" i="29"/>
  <c r="AN57" i="29"/>
  <c r="AP103" i="29"/>
  <c r="AQ103" i="29" s="1"/>
  <c r="AR103" i="29" s="1"/>
  <c r="AN145" i="29"/>
  <c r="AP186" i="29"/>
  <c r="AQ186" i="29" s="1"/>
  <c r="AR186" i="29" s="1"/>
  <c r="AM228" i="29"/>
  <c r="AM53" i="29"/>
  <c r="AO53" i="29" s="1"/>
  <c r="AM94" i="29"/>
  <c r="AO94" i="29" s="1"/>
  <c r="AP137" i="29"/>
  <c r="AQ137" i="29" s="1"/>
  <c r="AR137" i="29" s="1"/>
  <c r="AN179" i="29"/>
  <c r="AP220" i="29"/>
  <c r="AQ220" i="29" s="1"/>
  <c r="AR220" i="29" s="1"/>
  <c r="AP50" i="29"/>
  <c r="AQ50" i="29" s="1"/>
  <c r="AR50" i="29" s="1"/>
  <c r="AP91" i="29"/>
  <c r="AQ91" i="29" s="1"/>
  <c r="AR91" i="29" s="1"/>
  <c r="AP132" i="29"/>
  <c r="AQ132" i="29" s="1"/>
  <c r="AR132" i="29" s="1"/>
  <c r="AP174" i="29"/>
  <c r="AQ174" i="29" s="1"/>
  <c r="AR174" i="29" s="1"/>
  <c r="AN218" i="29"/>
  <c r="AN257" i="29"/>
  <c r="AO257" i="29" s="1"/>
  <c r="V257" i="29" s="1"/>
  <c r="AN307" i="29"/>
  <c r="AO307" i="29" s="1"/>
  <c r="AN350" i="29"/>
  <c r="AN395" i="29"/>
  <c r="AM439" i="29"/>
  <c r="AN265" i="29"/>
  <c r="AO265" i="29" s="1"/>
  <c r="AN310" i="29"/>
  <c r="AN353" i="29"/>
  <c r="AM393" i="29"/>
  <c r="AP244" i="29"/>
  <c r="AQ244" i="29" s="1"/>
  <c r="AR244" i="29" s="1"/>
  <c r="V244" i="29" s="1"/>
  <c r="AM285" i="29"/>
  <c r="AN328" i="29"/>
  <c r="AN371" i="29"/>
  <c r="AM410" i="29"/>
  <c r="AM261" i="29"/>
  <c r="AP305" i="29"/>
  <c r="AQ305" i="29" s="1"/>
  <c r="AR305" i="29" s="1"/>
  <c r="AM349" i="29"/>
  <c r="AP393" i="29"/>
  <c r="AQ393" i="29" s="1"/>
  <c r="AR393" i="29" s="1"/>
  <c r="AN437" i="29"/>
  <c r="AP268" i="29"/>
  <c r="AQ268" i="29" s="1"/>
  <c r="AR268" i="29" s="1"/>
  <c r="AP308" i="29"/>
  <c r="AQ308" i="29" s="1"/>
  <c r="AR308" i="29" s="1"/>
  <c r="AN349" i="29"/>
  <c r="AP391" i="29"/>
  <c r="AQ391" i="29" s="1"/>
  <c r="AR391" i="29" s="1"/>
  <c r="AM238" i="29"/>
  <c r="AO238" i="29" s="1"/>
  <c r="AN281" i="29"/>
  <c r="AP324" i="29"/>
  <c r="AQ324" i="29" s="1"/>
  <c r="AR324" i="29" s="1"/>
  <c r="AP367" i="29"/>
  <c r="AQ367" i="29" s="1"/>
  <c r="AR367" i="29" s="1"/>
  <c r="AP415" i="29"/>
  <c r="AQ415" i="29" s="1"/>
  <c r="AR415" i="29" s="1"/>
  <c r="AN267" i="29"/>
  <c r="AM307" i="29"/>
  <c r="AM348" i="29"/>
  <c r="AM390" i="29"/>
  <c r="AP253" i="29"/>
  <c r="AQ253" i="29" s="1"/>
  <c r="AR253" i="29" s="1"/>
  <c r="AM447" i="29"/>
  <c r="AN489" i="29"/>
  <c r="AN530" i="29"/>
  <c r="AP571" i="29"/>
  <c r="AQ571" i="29" s="1"/>
  <c r="AR571" i="29" s="1"/>
  <c r="AN612" i="29"/>
  <c r="AN415" i="29"/>
  <c r="AM470" i="29"/>
  <c r="AO470" i="29" s="1"/>
  <c r="AN517" i="29"/>
  <c r="AM559" i="29"/>
  <c r="AO559" i="29" s="1"/>
  <c r="AP237" i="29"/>
  <c r="AQ237" i="29" s="1"/>
  <c r="AR237" i="29" s="1"/>
  <c r="AP447" i="29"/>
  <c r="AQ447" i="29" s="1"/>
  <c r="AR447" i="29" s="1"/>
  <c r="AP487" i="29"/>
  <c r="AQ487" i="29" s="1"/>
  <c r="AR487" i="29" s="1"/>
  <c r="AN533" i="29"/>
  <c r="AM575" i="29"/>
  <c r="AP261" i="29"/>
  <c r="AQ261" i="29" s="1"/>
  <c r="AR261" i="29" s="1"/>
  <c r="AP450" i="29"/>
  <c r="AQ450" i="29" s="1"/>
  <c r="AR450" i="29" s="1"/>
  <c r="AM493" i="29"/>
  <c r="AP533" i="29"/>
  <c r="AQ533" i="29" s="1"/>
  <c r="AR533" i="29" s="1"/>
  <c r="AN575" i="29"/>
  <c r="AO575" i="29" s="1"/>
  <c r="AN283" i="29"/>
  <c r="AP458" i="29"/>
  <c r="AQ458" i="29" s="1"/>
  <c r="AR458" i="29" s="1"/>
  <c r="AM61" i="29"/>
  <c r="AM149" i="29"/>
  <c r="AP226" i="29"/>
  <c r="AQ226" i="29" s="1"/>
  <c r="AR226" i="29" s="1"/>
  <c r="AM105" i="29"/>
  <c r="AM198" i="29"/>
  <c r="AN82" i="29"/>
  <c r="AP154" i="29"/>
  <c r="AQ154" i="29" s="1"/>
  <c r="AR154" i="29" s="1"/>
  <c r="AP200" i="29"/>
  <c r="AQ200" i="29" s="1"/>
  <c r="AR200" i="29" s="1"/>
  <c r="AN40" i="29"/>
  <c r="AM98" i="29"/>
  <c r="AN160" i="29"/>
  <c r="AP219" i="29"/>
  <c r="AQ219" i="29" s="1"/>
  <c r="AR219" i="29" s="1"/>
  <c r="AM67" i="29"/>
  <c r="AP121" i="29"/>
  <c r="AQ121" i="29" s="1"/>
  <c r="AR121" i="29" s="1"/>
  <c r="AP178" i="29"/>
  <c r="AQ178" i="29" s="1"/>
  <c r="AR178" i="29" s="1"/>
  <c r="AM21" i="29"/>
  <c r="AO21" i="29" s="1"/>
  <c r="AM60" i="29"/>
  <c r="AN106" i="29"/>
  <c r="AO106" i="29" s="1"/>
  <c r="U106" i="29" s="1"/>
  <c r="AM148" i="29"/>
  <c r="AM189" i="29"/>
  <c r="AO189" i="29" s="1"/>
  <c r="AM16" i="29"/>
  <c r="AN55" i="29"/>
  <c r="AP98" i="29"/>
  <c r="AQ98" i="29" s="1"/>
  <c r="AR98" i="29" s="1"/>
  <c r="AN140" i="29"/>
  <c r="AM182" i="29"/>
  <c r="AN223" i="29"/>
  <c r="AN53" i="29"/>
  <c r="AN94" i="29"/>
  <c r="AN135" i="29"/>
  <c r="AM177" i="29"/>
  <c r="AM221" i="29"/>
  <c r="AM260" i="29"/>
  <c r="AO260" i="29" s="1"/>
  <c r="AM310" i="29"/>
  <c r="AO310" i="29" s="1"/>
  <c r="U310" i="29" s="1"/>
  <c r="AM353" i="29"/>
  <c r="AO353" i="29" s="1"/>
  <c r="AM398" i="29"/>
  <c r="AO398" i="29" s="1"/>
  <c r="AN441" i="29"/>
  <c r="AO441" i="29" s="1"/>
  <c r="AN270" i="29"/>
  <c r="AM313" i="29"/>
  <c r="AM356" i="29"/>
  <c r="AP395" i="29"/>
  <c r="AQ395" i="29" s="1"/>
  <c r="AR395" i="29" s="1"/>
  <c r="AN247" i="29"/>
  <c r="AP287" i="29"/>
  <c r="AQ287" i="29" s="1"/>
  <c r="AR287" i="29" s="1"/>
  <c r="AM331" i="29"/>
  <c r="AP373" i="29"/>
  <c r="AQ373" i="29" s="1"/>
  <c r="AR373" i="29" s="1"/>
  <c r="AM412" i="29"/>
  <c r="AN263" i="29"/>
  <c r="AO263" i="29" s="1"/>
  <c r="AN308" i="29"/>
  <c r="AN351" i="29"/>
  <c r="AN396" i="29"/>
  <c r="AO396" i="29" s="1"/>
  <c r="AN442" i="29"/>
  <c r="AN271" i="29"/>
  <c r="AO271" i="29" s="1"/>
  <c r="V271" i="29" s="1"/>
  <c r="AN311" i="29"/>
  <c r="AP351" i="29"/>
  <c r="AQ351" i="29" s="1"/>
  <c r="AR351" i="29" s="1"/>
  <c r="AM394" i="29"/>
  <c r="AP240" i="29"/>
  <c r="AQ240" i="29" s="1"/>
  <c r="AR240" i="29" s="1"/>
  <c r="AP283" i="29"/>
  <c r="AQ283" i="29" s="1"/>
  <c r="AR283" i="29" s="1"/>
  <c r="AM327" i="29"/>
  <c r="AN370" i="29"/>
  <c r="AM418" i="29"/>
  <c r="AP269" i="29"/>
  <c r="AQ269" i="29" s="1"/>
  <c r="AR269" i="29" s="1"/>
  <c r="AP309" i="29"/>
  <c r="AQ309" i="29" s="1"/>
  <c r="AR309" i="29" s="1"/>
  <c r="AM350" i="29"/>
  <c r="AO350" i="29" s="1"/>
  <c r="AP392" i="29"/>
  <c r="AQ392" i="29" s="1"/>
  <c r="AR392" i="29" s="1"/>
  <c r="AN274" i="29"/>
  <c r="AP449" i="29"/>
  <c r="AQ449" i="29" s="1"/>
  <c r="AR449" i="29" s="1"/>
  <c r="AM492" i="29"/>
  <c r="AO492" i="29" s="1"/>
  <c r="AP532" i="29"/>
  <c r="AQ532" i="29" s="1"/>
  <c r="AR532" i="29" s="1"/>
  <c r="AN574" i="29"/>
  <c r="AM13" i="29"/>
  <c r="AN425" i="29"/>
  <c r="AP472" i="29"/>
  <c r="AQ472" i="29" s="1"/>
  <c r="AR472" i="29" s="1"/>
  <c r="AM520" i="29"/>
  <c r="AP561" i="29"/>
  <c r="AQ561" i="29" s="1"/>
  <c r="AR561" i="29" s="1"/>
  <c r="AM259" i="29"/>
  <c r="AN450" i="29"/>
  <c r="AO450" i="29" s="1"/>
  <c r="AM490" i="29"/>
  <c r="AO490" i="29" s="1"/>
  <c r="AP535" i="29"/>
  <c r="AQ535" i="29" s="1"/>
  <c r="AR535" i="29" s="1"/>
  <c r="AP577" i="29"/>
  <c r="AQ577" i="29" s="1"/>
  <c r="AR577" i="29" s="1"/>
  <c r="AM281" i="29"/>
  <c r="AN453" i="29"/>
  <c r="AN495" i="29"/>
  <c r="AM536" i="29"/>
  <c r="AO536" i="29" s="1"/>
  <c r="AM578" i="29"/>
  <c r="AO578" i="29" s="1"/>
  <c r="AN324" i="29"/>
  <c r="AO324" i="29" s="1"/>
  <c r="AM66" i="29"/>
  <c r="AN151" i="29"/>
  <c r="AN14" i="29"/>
  <c r="AP107" i="29"/>
  <c r="AQ107" i="29" s="1"/>
  <c r="AR107" i="29" s="1"/>
  <c r="AM203" i="29"/>
  <c r="AM85" i="29"/>
  <c r="AM160" i="29"/>
  <c r="AN203" i="29"/>
  <c r="AP42" i="29"/>
  <c r="AQ42" i="29" s="1"/>
  <c r="AR42" i="29" s="1"/>
  <c r="AN100" i="29"/>
  <c r="AM163" i="29"/>
  <c r="AM225" i="29"/>
  <c r="AN72" i="29"/>
  <c r="AO72" i="29" s="1"/>
  <c r="AN124" i="29"/>
  <c r="AP183" i="29"/>
  <c r="AQ183" i="29" s="1"/>
  <c r="AR183" i="29" s="1"/>
  <c r="V183" i="29" s="1"/>
  <c r="AP23" i="29"/>
  <c r="AQ23" i="29" s="1"/>
  <c r="AR23" i="29" s="1"/>
  <c r="U23" i="29" s="1"/>
  <c r="AP62" i="29"/>
  <c r="AQ62" i="29" s="1"/>
  <c r="AR62" i="29" s="1"/>
  <c r="AM109" i="29"/>
  <c r="AN150" i="29"/>
  <c r="AP191" i="29"/>
  <c r="AQ191" i="29" s="1"/>
  <c r="AR191" i="29" s="1"/>
  <c r="AP18" i="29"/>
  <c r="AQ18" i="29" s="1"/>
  <c r="AR18" i="29" s="1"/>
  <c r="AP57" i="29"/>
  <c r="AQ57" i="29" s="1"/>
  <c r="AR57" i="29" s="1"/>
  <c r="AN101" i="29"/>
  <c r="AM143" i="29"/>
  <c r="AO143" i="29" s="1"/>
  <c r="U143" i="29" s="1"/>
  <c r="AN184" i="29"/>
  <c r="AM226" i="29"/>
  <c r="AO226" i="29" s="1"/>
  <c r="AP55" i="29"/>
  <c r="AQ55" i="29" s="1"/>
  <c r="AR55" i="29" s="1"/>
  <c r="AP96" i="29"/>
  <c r="AQ96" i="29" s="1"/>
  <c r="AR96" i="29" s="1"/>
  <c r="AM138" i="29"/>
  <c r="AO138" i="29" s="1"/>
  <c r="AP179" i="29"/>
  <c r="AQ179" i="29" s="1"/>
  <c r="AR179" i="29" s="1"/>
  <c r="AP223" i="29"/>
  <c r="AQ223" i="29" s="1"/>
  <c r="AR223" i="29" s="1"/>
  <c r="AN262" i="29"/>
  <c r="AP312" i="29"/>
  <c r="AQ312" i="29" s="1"/>
  <c r="AR312" i="29" s="1"/>
  <c r="AP355" i="29"/>
  <c r="AQ355" i="29" s="1"/>
  <c r="AR355" i="29" s="1"/>
  <c r="AM400" i="29"/>
  <c r="AP443" i="29"/>
  <c r="AQ443" i="29" s="1"/>
  <c r="AR443" i="29" s="1"/>
  <c r="AM273" i="29"/>
  <c r="AP315" i="29"/>
  <c r="AQ315" i="29" s="1"/>
  <c r="AR315" i="29" s="1"/>
  <c r="AP358" i="29"/>
  <c r="AQ358" i="29" s="1"/>
  <c r="AR358" i="29" s="1"/>
  <c r="AN398" i="29"/>
  <c r="AM250" i="29"/>
  <c r="AM290" i="29"/>
  <c r="AP333" i="29"/>
  <c r="AQ333" i="29" s="1"/>
  <c r="AR333" i="29" s="1"/>
  <c r="AN376" i="29"/>
  <c r="AP414" i="29"/>
  <c r="AQ414" i="29" s="1"/>
  <c r="AR414" i="29" s="1"/>
  <c r="AM266" i="29"/>
  <c r="AO266" i="29" s="1"/>
  <c r="AM311" i="29"/>
  <c r="AO311" i="29" s="1"/>
  <c r="U311" i="29" s="1"/>
  <c r="AM354" i="29"/>
  <c r="AO354" i="29" s="1"/>
  <c r="AM401" i="29"/>
  <c r="AM232" i="29"/>
  <c r="AM274" i="29"/>
  <c r="AM314" i="29"/>
  <c r="AN354" i="29"/>
  <c r="AP396" i="29"/>
  <c r="AQ396" i="29" s="1"/>
  <c r="AR396" i="29" s="1"/>
  <c r="AN243" i="29"/>
  <c r="AN286" i="29"/>
  <c r="AP329" i="29"/>
  <c r="AQ329" i="29" s="1"/>
  <c r="AR329" i="29" s="1"/>
  <c r="AP372" i="29"/>
  <c r="AQ372" i="29" s="1"/>
  <c r="AR372" i="29" s="1"/>
  <c r="AP420" i="29"/>
  <c r="AQ420" i="29" s="1"/>
  <c r="AR420" i="29" s="1"/>
  <c r="AN272" i="29"/>
  <c r="AN312" i="29"/>
  <c r="AO312" i="29" s="1"/>
  <c r="AP352" i="29"/>
  <c r="AQ352" i="29" s="1"/>
  <c r="AR352" i="29" s="1"/>
  <c r="AM395" i="29"/>
  <c r="AO395" i="29" s="1"/>
  <c r="AP293" i="29"/>
  <c r="AQ293" i="29" s="1"/>
  <c r="AR293" i="29" s="1"/>
  <c r="AN452" i="29"/>
  <c r="AP494" i="29"/>
  <c r="AQ494" i="29" s="1"/>
  <c r="AR494" i="29" s="1"/>
  <c r="AM535" i="29"/>
  <c r="AM577" i="29"/>
  <c r="AM593" i="29"/>
  <c r="AN428" i="29"/>
  <c r="AN475" i="29"/>
  <c r="AP522" i="29"/>
  <c r="AQ522" i="29" s="1"/>
  <c r="AR522" i="29" s="1"/>
  <c r="AN564" i="29"/>
  <c r="AM279" i="29"/>
  <c r="AO279" i="29" s="1"/>
  <c r="V279" i="29" s="1"/>
  <c r="AM453" i="29"/>
  <c r="AO453" i="29" s="1"/>
  <c r="U453" i="29" s="1"/>
  <c r="AP492" i="29"/>
  <c r="AQ492" i="29" s="1"/>
  <c r="AR492" i="29" s="1"/>
  <c r="AN538" i="29"/>
  <c r="AO538" i="29" s="1"/>
  <c r="AN580" i="29"/>
  <c r="AN301" i="29"/>
  <c r="AM456" i="29"/>
  <c r="AO456" i="29" s="1"/>
  <c r="V456" i="29" s="1"/>
  <c r="AP497" i="29"/>
  <c r="AQ497" i="29" s="1"/>
  <c r="AR497" i="29" s="1"/>
  <c r="AP538" i="29"/>
  <c r="AQ538" i="29" s="1"/>
  <c r="AR538" i="29" s="1"/>
  <c r="AP580" i="29"/>
  <c r="AQ580" i="29" s="1"/>
  <c r="AR580" i="29" s="1"/>
  <c r="AM345" i="29"/>
  <c r="AN68" i="29"/>
  <c r="AM154" i="29"/>
  <c r="AN22" i="29"/>
  <c r="AM118" i="29"/>
  <c r="AN208" i="29"/>
  <c r="AN87" i="29"/>
  <c r="AN165" i="29"/>
  <c r="AM206" i="29"/>
  <c r="AP44" i="29"/>
  <c r="AQ44" i="29" s="1"/>
  <c r="AR44" i="29" s="1"/>
  <c r="AM103" i="29"/>
  <c r="AN168" i="29"/>
  <c r="AP227" i="29"/>
  <c r="AQ227" i="29" s="1"/>
  <c r="AR227" i="29" s="1"/>
  <c r="AP77" i="29"/>
  <c r="AQ77" i="29" s="1"/>
  <c r="AR77" i="29" s="1"/>
  <c r="AM127" i="29"/>
  <c r="AN191" i="29"/>
  <c r="AN26" i="29"/>
  <c r="AM65" i="29"/>
  <c r="AP111" i="29"/>
  <c r="AQ111" i="29" s="1"/>
  <c r="AR111" i="29" s="1"/>
  <c r="AM153" i="29"/>
  <c r="AM194" i="29"/>
  <c r="AN21" i="29"/>
  <c r="AN60" i="29"/>
  <c r="AM104" i="29"/>
  <c r="AO104" i="29" s="1"/>
  <c r="AP145" i="29"/>
  <c r="AQ145" i="29" s="1"/>
  <c r="AR145" i="29" s="1"/>
  <c r="AM187" i="29"/>
  <c r="AN228" i="29"/>
  <c r="AM58" i="29"/>
  <c r="AM99" i="29"/>
  <c r="AP140" i="29"/>
  <c r="AQ140" i="29" s="1"/>
  <c r="AR140" i="29" s="1"/>
  <c r="AN182" i="29"/>
  <c r="AN226" i="29"/>
  <c r="AM265" i="29"/>
  <c r="AN315" i="29"/>
  <c r="AN358" i="29"/>
  <c r="AP402" i="29"/>
  <c r="AQ402" i="29" s="1"/>
  <c r="AR402" i="29" s="1"/>
  <c r="AP230" i="29"/>
  <c r="AQ230" i="29" s="1"/>
  <c r="AR230" i="29" s="1"/>
  <c r="AP275" i="29"/>
  <c r="AQ275" i="29" s="1"/>
  <c r="AR275" i="29" s="1"/>
  <c r="AN318" i="29"/>
  <c r="AM361" i="29"/>
  <c r="AN400" i="29"/>
  <c r="AO400" i="29" s="1"/>
  <c r="AP252" i="29"/>
  <c r="AQ252" i="29" s="1"/>
  <c r="AR252" i="29" s="1"/>
  <c r="AP292" i="29"/>
  <c r="AQ292" i="29" s="1"/>
  <c r="AR292" i="29" s="1"/>
  <c r="AN336" i="29"/>
  <c r="AP378" i="29"/>
  <c r="AQ378" i="29" s="1"/>
  <c r="AR378" i="29" s="1"/>
  <c r="AN419" i="29"/>
  <c r="AN268" i="29"/>
  <c r="AP313" i="29"/>
  <c r="AQ313" i="29" s="1"/>
  <c r="AR313" i="29" s="1"/>
  <c r="AP356" i="29"/>
  <c r="AQ356" i="29" s="1"/>
  <c r="AR356" i="29" s="1"/>
  <c r="AN403" i="29"/>
  <c r="AP234" i="29"/>
  <c r="AQ234" i="29" s="1"/>
  <c r="AR234" i="29" s="1"/>
  <c r="AP276" i="29"/>
  <c r="AQ276" i="29" s="1"/>
  <c r="AR276" i="29" s="1"/>
  <c r="AP316" i="29"/>
  <c r="AQ316" i="29" s="1"/>
  <c r="AR316" i="29" s="1"/>
  <c r="AM357" i="29"/>
  <c r="AM399" i="29"/>
  <c r="AO399" i="29" s="1"/>
  <c r="AM246" i="29"/>
  <c r="AO246" i="29" s="1"/>
  <c r="AM289" i="29"/>
  <c r="AN332" i="29"/>
  <c r="AM375" i="29"/>
  <c r="AO375" i="29" s="1"/>
  <c r="AM233" i="29"/>
  <c r="AO233" i="29" s="1"/>
  <c r="AM275" i="29"/>
  <c r="AO275" i="29" s="1"/>
  <c r="AM315" i="29"/>
  <c r="AO315" i="29" s="1"/>
  <c r="AN355" i="29"/>
  <c r="AP397" i="29"/>
  <c r="AQ397" i="29" s="1"/>
  <c r="AR397" i="29" s="1"/>
  <c r="AN314" i="29"/>
  <c r="AM455" i="29"/>
  <c r="AP496" i="29"/>
  <c r="AQ496" i="29" s="1"/>
  <c r="AR496" i="29" s="1"/>
  <c r="AP537" i="29"/>
  <c r="AQ537" i="29" s="1"/>
  <c r="AR537" i="29" s="1"/>
  <c r="AP579" i="29"/>
  <c r="AQ579" i="29" s="1"/>
  <c r="AR579" i="29" s="1"/>
  <c r="AN598" i="29"/>
  <c r="AM432" i="29"/>
  <c r="AM478" i="29"/>
  <c r="AO478" i="29" s="1"/>
  <c r="AN525" i="29"/>
  <c r="AM567" i="29"/>
  <c r="AO567" i="29" s="1"/>
  <c r="U567" i="29" s="1"/>
  <c r="AM299" i="29"/>
  <c r="AP455" i="29"/>
  <c r="AQ455" i="29" s="1"/>
  <c r="AR455" i="29" s="1"/>
  <c r="AM495" i="29"/>
  <c r="AO495" i="29" s="1"/>
  <c r="U495" i="29" s="1"/>
  <c r="AP540" i="29"/>
  <c r="AQ540" i="29" s="1"/>
  <c r="AR540" i="29" s="1"/>
  <c r="AM583" i="29"/>
  <c r="AM322" i="29"/>
  <c r="AN458" i="29"/>
  <c r="AM500" i="29"/>
  <c r="AM541" i="29"/>
  <c r="AN583" i="29"/>
  <c r="AP384" i="29"/>
  <c r="AQ384" i="29" s="1"/>
  <c r="AR384" i="29" s="1"/>
  <c r="AM71" i="29"/>
  <c r="AP164" i="29"/>
  <c r="AQ164" i="29" s="1"/>
  <c r="AR164" i="29" s="1"/>
  <c r="AM25" i="29"/>
  <c r="AP130" i="29"/>
  <c r="AQ130" i="29" s="1"/>
  <c r="AR130" i="29" s="1"/>
  <c r="AM211" i="29"/>
  <c r="AN95" i="29"/>
  <c r="AM168" i="29"/>
  <c r="AO168" i="29" s="1"/>
  <c r="AN211" i="29"/>
  <c r="AN49" i="29"/>
  <c r="AN108" i="29"/>
  <c r="AN178" i="29"/>
  <c r="AN15" i="29"/>
  <c r="AO15" i="29" s="1"/>
  <c r="AM83" i="29"/>
  <c r="AP131" i="29"/>
  <c r="AQ131" i="29" s="1"/>
  <c r="AR131" i="29" s="1"/>
  <c r="AN196" i="29"/>
  <c r="AM29" i="29"/>
  <c r="AO29" i="29" s="1"/>
  <c r="AN67" i="29"/>
  <c r="AN114" i="29"/>
  <c r="AP155" i="29"/>
  <c r="AQ155" i="29" s="1"/>
  <c r="AR155" i="29" s="1"/>
  <c r="AP196" i="29"/>
  <c r="AQ196" i="29" s="1"/>
  <c r="AR196" i="29" s="1"/>
  <c r="AM24" i="29"/>
  <c r="AO24" i="29" s="1"/>
  <c r="AM63" i="29"/>
  <c r="AO63" i="29" s="1"/>
  <c r="AP106" i="29"/>
  <c r="AQ106" i="29" s="1"/>
  <c r="AR106" i="29" s="1"/>
  <c r="AN148" i="29"/>
  <c r="AN189" i="29"/>
  <c r="AN16" i="29"/>
  <c r="AP60" i="29"/>
  <c r="AQ60" i="29" s="1"/>
  <c r="AR60" i="29" s="1"/>
  <c r="AP101" i="29"/>
  <c r="AQ101" i="29" s="1"/>
  <c r="AR101" i="29" s="1"/>
  <c r="AN143" i="29"/>
  <c r="AP184" i="29"/>
  <c r="AQ184" i="29" s="1"/>
  <c r="AR184" i="29" s="1"/>
  <c r="AP228" i="29"/>
  <c r="AQ228" i="29" s="1"/>
  <c r="AR228" i="29" s="1"/>
  <c r="AP267" i="29"/>
  <c r="AQ267" i="29" s="1"/>
  <c r="AR267" i="29" s="1"/>
  <c r="AM318" i="29"/>
  <c r="AP360" i="29"/>
  <c r="AQ360" i="29" s="1"/>
  <c r="AR360" i="29" s="1"/>
  <c r="AN407" i="29"/>
  <c r="AP233" i="29"/>
  <c r="AQ233" i="29" s="1"/>
  <c r="AR233" i="29" s="1"/>
  <c r="AM278" i="29"/>
  <c r="AO278" i="29" s="1"/>
  <c r="U278" i="29" s="1"/>
  <c r="AP320" i="29"/>
  <c r="AQ320" i="29" s="1"/>
  <c r="AR320" i="29" s="1"/>
  <c r="AP363" i="29"/>
  <c r="AQ363" i="29" s="1"/>
  <c r="AR363" i="29" s="1"/>
  <c r="AM405" i="29"/>
  <c r="AO405" i="29" s="1"/>
  <c r="V405" i="29" s="1"/>
  <c r="AN255" i="29"/>
  <c r="AN295" i="29"/>
  <c r="AP338" i="29"/>
  <c r="AQ338" i="29" s="1"/>
  <c r="AR338" i="29" s="1"/>
  <c r="AM381" i="29"/>
  <c r="AO381" i="29" s="1"/>
  <c r="AM422" i="29"/>
  <c r="AM271" i="29"/>
  <c r="AN316" i="29"/>
  <c r="AN359" i="29"/>
  <c r="AP405" i="29"/>
  <c r="AQ405" i="29" s="1"/>
  <c r="AR405" i="29" s="1"/>
  <c r="AN237" i="29"/>
  <c r="AP278" i="29"/>
  <c r="AQ278" i="29" s="1"/>
  <c r="AR278" i="29" s="1"/>
  <c r="AN319" i="29"/>
  <c r="AP359" i="29"/>
  <c r="AQ359" i="29" s="1"/>
  <c r="AR359" i="29" s="1"/>
  <c r="AN401" i="29"/>
  <c r="AP248" i="29"/>
  <c r="AQ248" i="29" s="1"/>
  <c r="AR248" i="29" s="1"/>
  <c r="AN291" i="29"/>
  <c r="AM335" i="29"/>
  <c r="AN377" i="29"/>
  <c r="AP235" i="29"/>
  <c r="AQ235" i="29" s="1"/>
  <c r="AR235" i="29" s="1"/>
  <c r="AP277" i="29"/>
  <c r="AQ277" i="29" s="1"/>
  <c r="AR277" i="29" s="1"/>
  <c r="AP317" i="29"/>
  <c r="AQ317" i="29" s="1"/>
  <c r="AR317" i="29" s="1"/>
  <c r="AM358" i="29"/>
  <c r="AP399" i="29"/>
  <c r="AQ399" i="29" s="1"/>
  <c r="AR399" i="29" s="1"/>
  <c r="AP334" i="29"/>
  <c r="AQ334" i="29" s="1"/>
  <c r="AR334" i="29" s="1"/>
  <c r="AN457" i="29"/>
  <c r="AN499" i="29"/>
  <c r="AM540" i="29"/>
  <c r="AO540" i="29" s="1"/>
  <c r="AN582" i="29"/>
  <c r="AM603" i="29"/>
  <c r="AO603" i="29" s="1"/>
  <c r="AP435" i="29"/>
  <c r="AQ435" i="29" s="1"/>
  <c r="AR435" i="29" s="1"/>
  <c r="AN480" i="29"/>
  <c r="AO480" i="29" s="1"/>
  <c r="AM528" i="29"/>
  <c r="AO528" i="29" s="1"/>
  <c r="AP569" i="29"/>
  <c r="AQ569" i="29" s="1"/>
  <c r="AR569" i="29" s="1"/>
  <c r="AP319" i="29"/>
  <c r="AQ319" i="29" s="1"/>
  <c r="AR319" i="29" s="1"/>
  <c r="AM458" i="29"/>
  <c r="AN497" i="29"/>
  <c r="AN543" i="29"/>
  <c r="AP585" i="29"/>
  <c r="AQ585" i="29" s="1"/>
  <c r="AR585" i="29" s="1"/>
  <c r="AN342" i="29"/>
  <c r="AP460" i="29"/>
  <c r="AQ460" i="29" s="1"/>
  <c r="AR460" i="29" s="1"/>
  <c r="AP502" i="29"/>
  <c r="AQ502" i="29" s="1"/>
  <c r="AR502" i="29" s="1"/>
  <c r="AP543" i="29"/>
  <c r="AQ543" i="29" s="1"/>
  <c r="AR543" i="29" s="1"/>
  <c r="AM586" i="29"/>
  <c r="AM404" i="29"/>
  <c r="AO404" i="29" s="1"/>
  <c r="AM97" i="29"/>
  <c r="AM190" i="29"/>
  <c r="AN66" i="29"/>
  <c r="AN154" i="29"/>
  <c r="AP30" i="29"/>
  <c r="AQ30" i="29" s="1"/>
  <c r="AR30" i="29" s="1"/>
  <c r="AP110" i="29"/>
  <c r="AQ110" i="29" s="1"/>
  <c r="AR110" i="29" s="1"/>
  <c r="AP180" i="29"/>
  <c r="AQ180" i="29" s="1"/>
  <c r="AR180" i="29" s="1"/>
  <c r="AP229" i="29"/>
  <c r="AQ229" i="29" s="1"/>
  <c r="AR229" i="29" s="1"/>
  <c r="AP66" i="29"/>
  <c r="AQ66" i="29" s="1"/>
  <c r="AR66" i="29" s="1"/>
  <c r="AM129" i="29"/>
  <c r="AP198" i="29"/>
  <c r="AQ198" i="29" s="1"/>
  <c r="AR198" i="29" s="1"/>
  <c r="AM31" i="29"/>
  <c r="AM96" i="29"/>
  <c r="AP147" i="29"/>
  <c r="AQ147" i="29" s="1"/>
  <c r="AR147" i="29" s="1"/>
  <c r="AM212" i="29"/>
  <c r="AM41" i="29"/>
  <c r="AO41" i="29" s="1"/>
  <c r="AP80" i="29"/>
  <c r="AQ80" i="29" s="1"/>
  <c r="AR80" i="29" s="1"/>
  <c r="AN127" i="29"/>
  <c r="AO127" i="29" s="1"/>
  <c r="AM169" i="29"/>
  <c r="AO169" i="29" s="1"/>
  <c r="AP209" i="29"/>
  <c r="AQ209" i="29" s="1"/>
  <c r="AR209" i="29" s="1"/>
  <c r="AN36" i="29"/>
  <c r="AP75" i="29"/>
  <c r="AQ75" i="29" s="1"/>
  <c r="AR75" i="29" s="1"/>
  <c r="AP119" i="29"/>
  <c r="AQ119" i="29" s="1"/>
  <c r="AR119" i="29" s="1"/>
  <c r="AN161" i="29"/>
  <c r="AM202" i="29"/>
  <c r="AP29" i="29"/>
  <c r="AQ29" i="29" s="1"/>
  <c r="AR29" i="29" s="1"/>
  <c r="AN73" i="29"/>
  <c r="AM115" i="29"/>
  <c r="AN156" i="29"/>
  <c r="AN197" i="29"/>
  <c r="AO197" i="29" s="1"/>
  <c r="AP238" i="29"/>
  <c r="AQ238" i="29" s="1"/>
  <c r="AR238" i="29" s="1"/>
  <c r="AM287" i="29"/>
  <c r="AN330" i="29"/>
  <c r="AO330" i="29" s="1"/>
  <c r="AP375" i="29"/>
  <c r="AQ375" i="29" s="1"/>
  <c r="AR375" i="29" s="1"/>
  <c r="AP418" i="29"/>
  <c r="AQ418" i="29" s="1"/>
  <c r="AR418" i="29" s="1"/>
  <c r="AM247" i="29"/>
  <c r="AN292" i="29"/>
  <c r="AN333" i="29"/>
  <c r="AM376" i="29"/>
  <c r="AM419" i="29"/>
  <c r="AM268" i="29"/>
  <c r="AO268" i="29" s="1"/>
  <c r="AM308" i="29"/>
  <c r="AP353" i="29"/>
  <c r="AQ353" i="29" s="1"/>
  <c r="AR353" i="29" s="1"/>
  <c r="AN393" i="29"/>
  <c r="AN242" i="29"/>
  <c r="AM288" i="29"/>
  <c r="AO288" i="29" s="1"/>
  <c r="AN331" i="29"/>
  <c r="AP371" i="29"/>
  <c r="AQ371" i="29" s="1"/>
  <c r="AR371" i="29" s="1"/>
  <c r="AP419" i="29"/>
  <c r="AQ419" i="29" s="1"/>
  <c r="AR419" i="29" s="1"/>
  <c r="AP250" i="29"/>
  <c r="AQ250" i="29" s="1"/>
  <c r="AR250" i="29" s="1"/>
  <c r="AP290" i="29"/>
  <c r="AQ290" i="29" s="1"/>
  <c r="AR290" i="29" s="1"/>
  <c r="AP331" i="29"/>
  <c r="AQ331" i="29" s="1"/>
  <c r="AR331" i="29" s="1"/>
  <c r="AM372" i="29"/>
  <c r="AP412" i="29"/>
  <c r="AQ412" i="29" s="1"/>
  <c r="AR412" i="29" s="1"/>
  <c r="AN264" i="29"/>
  <c r="AM304" i="29"/>
  <c r="AP347" i="29"/>
  <c r="AQ347" i="29" s="1"/>
  <c r="AR347" i="29" s="1"/>
  <c r="AN392" i="29"/>
  <c r="AM249" i="29"/>
  <c r="AN289" i="29"/>
  <c r="AM330" i="29"/>
  <c r="AP370" i="29"/>
  <c r="AQ370" i="29" s="1"/>
  <c r="AR370" i="29" s="1"/>
  <c r="AM411" i="29"/>
  <c r="AO411" i="29" s="1"/>
  <c r="AM425" i="29"/>
  <c r="AO425" i="29" s="1"/>
  <c r="AP469" i="29"/>
  <c r="AQ469" i="29" s="1"/>
  <c r="AR469" i="29" s="1"/>
  <c r="AP511" i="29"/>
  <c r="AQ511" i="29" s="1"/>
  <c r="AR511" i="29" s="1"/>
  <c r="AN553" i="29"/>
  <c r="AO553" i="29" s="1"/>
  <c r="AN595" i="29"/>
  <c r="AM277" i="29"/>
  <c r="AM450" i="29"/>
  <c r="AM497" i="29"/>
  <c r="AN540" i="29"/>
  <c r="AP582" i="29"/>
  <c r="AQ582" i="29" s="1"/>
  <c r="AR582" i="29" s="1"/>
  <c r="AP425" i="29"/>
  <c r="AQ425" i="29" s="1"/>
  <c r="AR425" i="29" s="1"/>
  <c r="AN470" i="29"/>
  <c r="AN512" i="29"/>
  <c r="AO512" i="29" s="1"/>
  <c r="V512" i="29" s="1"/>
  <c r="AP556" i="29"/>
  <c r="AQ556" i="29" s="1"/>
  <c r="AR556" i="29" s="1"/>
  <c r="AP598" i="29"/>
  <c r="AQ598" i="29" s="1"/>
  <c r="AR598" i="29" s="1"/>
  <c r="AM426" i="29"/>
  <c r="AN473" i="29"/>
  <c r="AN515" i="29"/>
  <c r="AM557" i="29"/>
  <c r="AM601" i="29"/>
  <c r="AO601" i="29" s="1"/>
  <c r="AM440" i="29"/>
  <c r="AO440" i="29" s="1"/>
  <c r="AP86" i="29"/>
  <c r="AQ86" i="29" s="1"/>
  <c r="AR86" i="29" s="1"/>
  <c r="AP202" i="29"/>
  <c r="AQ202" i="29" s="1"/>
  <c r="AR202" i="29" s="1"/>
  <c r="AP146" i="29"/>
  <c r="AQ146" i="29" s="1"/>
  <c r="AR146" i="29" s="1"/>
  <c r="AP71" i="29"/>
  <c r="AQ71" i="29" s="1"/>
  <c r="AR71" i="29" s="1"/>
  <c r="AP185" i="29"/>
  <c r="AQ185" i="29" s="1"/>
  <c r="AR185" i="29" s="1"/>
  <c r="AP56" i="29"/>
  <c r="AQ56" i="29" s="1"/>
  <c r="AR56" i="29" s="1"/>
  <c r="AP144" i="29"/>
  <c r="AQ144" i="29" s="1"/>
  <c r="AR144" i="29" s="1"/>
  <c r="AM26" i="29"/>
  <c r="AO26" i="29" s="1"/>
  <c r="AP116" i="29"/>
  <c r="AQ116" i="29" s="1"/>
  <c r="AR116" i="29" s="1"/>
  <c r="AM220" i="29"/>
  <c r="AO220" i="29" s="1"/>
  <c r="AP72" i="29"/>
  <c r="AQ72" i="29" s="1"/>
  <c r="AR72" i="29" s="1"/>
  <c r="AN137" i="29"/>
  <c r="AM207" i="29"/>
  <c r="AO207" i="29" s="1"/>
  <c r="AN50" i="29"/>
  <c r="AM125" i="29"/>
  <c r="AN194" i="29"/>
  <c r="AM39" i="29"/>
  <c r="AO39" i="29" s="1"/>
  <c r="AN112" i="29"/>
  <c r="AM172" i="29"/>
  <c r="AM244" i="29"/>
  <c r="AM323" i="29"/>
  <c r="AN385" i="29"/>
  <c r="AN244" i="29"/>
  <c r="AO244" i="29" s="1"/>
  <c r="AP307" i="29"/>
  <c r="AQ307" i="29" s="1"/>
  <c r="AR307" i="29" s="1"/>
  <c r="AP380" i="29"/>
  <c r="AQ380" i="29" s="1"/>
  <c r="AR380" i="29" s="1"/>
  <c r="AP260" i="29"/>
  <c r="AQ260" i="29" s="1"/>
  <c r="AR260" i="29" s="1"/>
  <c r="U260" i="29" s="1"/>
  <c r="AP318" i="29"/>
  <c r="AQ318" i="29" s="1"/>
  <c r="AR318" i="29" s="1"/>
  <c r="AM391" i="29"/>
  <c r="AN258" i="29"/>
  <c r="AP336" i="29"/>
  <c r="AQ336" i="29" s="1"/>
  <c r="AR336" i="29" s="1"/>
  <c r="AN410" i="29"/>
  <c r="AN261" i="29"/>
  <c r="AO261" i="29" s="1"/>
  <c r="V261" i="29" s="1"/>
  <c r="AM329" i="29"/>
  <c r="AO329" i="29" s="1"/>
  <c r="AM389" i="29"/>
  <c r="AN269" i="29"/>
  <c r="AM340" i="29"/>
  <c r="AN404" i="29"/>
  <c r="AP286" i="29"/>
  <c r="AQ286" i="29" s="1"/>
  <c r="AR286" i="29" s="1"/>
  <c r="AP345" i="29"/>
  <c r="AQ345" i="29" s="1"/>
  <c r="AR345" i="29" s="1"/>
  <c r="AM416" i="29"/>
  <c r="AO416" i="29" s="1"/>
  <c r="AM462" i="29"/>
  <c r="AN522" i="29"/>
  <c r="AP592" i="29"/>
  <c r="AQ592" i="29" s="1"/>
  <c r="AR592" i="29" s="1"/>
  <c r="AM397" i="29"/>
  <c r="AM502" i="29"/>
  <c r="AO502" i="29" s="1"/>
  <c r="U502" i="29" s="1"/>
  <c r="AP574" i="29"/>
  <c r="AQ574" i="29" s="1"/>
  <c r="AR574" i="29" s="1"/>
  <c r="AN439" i="29"/>
  <c r="AP509" i="29"/>
  <c r="AQ509" i="29" s="1"/>
  <c r="AR509" i="29" s="1"/>
  <c r="AN572" i="29"/>
  <c r="AM433" i="29"/>
  <c r="AN507" i="29"/>
  <c r="AP567" i="29"/>
  <c r="AQ567" i="29" s="1"/>
  <c r="AR567" i="29" s="1"/>
  <c r="AN433" i="29"/>
  <c r="AM486" i="29"/>
  <c r="AN526" i="29"/>
  <c r="AP570" i="29"/>
  <c r="AQ570" i="29" s="1"/>
  <c r="AR570" i="29" s="1"/>
  <c r="AP245" i="29"/>
  <c r="AQ245" i="29" s="1"/>
  <c r="AR245" i="29" s="1"/>
  <c r="AM446" i="29"/>
  <c r="AO446" i="29" s="1"/>
  <c r="V446" i="29" s="1"/>
  <c r="AN486" i="29"/>
  <c r="AO486" i="29" s="1"/>
  <c r="V486" i="29" s="1"/>
  <c r="AN529" i="29"/>
  <c r="AN573" i="29"/>
  <c r="AN248" i="29"/>
  <c r="AP446" i="29"/>
  <c r="AQ446" i="29" s="1"/>
  <c r="AR446" i="29" s="1"/>
  <c r="AM489" i="29"/>
  <c r="AO489" i="29" s="1"/>
  <c r="V489" i="29" s="1"/>
  <c r="AN532" i="29"/>
  <c r="AP576" i="29"/>
  <c r="AQ576" i="29" s="1"/>
  <c r="AR576" i="29" s="1"/>
  <c r="AP610" i="29"/>
  <c r="AQ610" i="29" s="1"/>
  <c r="AR610" i="29" s="1"/>
  <c r="AP581" i="29"/>
  <c r="AQ581" i="29" s="1"/>
  <c r="AR581" i="29" s="1"/>
  <c r="AM309" i="29"/>
  <c r="AM519" i="29"/>
  <c r="AM424" i="29"/>
  <c r="AM92" i="29"/>
  <c r="AO92" i="29" s="1"/>
  <c r="AN205" i="29"/>
  <c r="AM157" i="29"/>
  <c r="AP97" i="29"/>
  <c r="AQ97" i="29" s="1"/>
  <c r="AR97" i="29" s="1"/>
  <c r="AN188" i="29"/>
  <c r="AN59" i="29"/>
  <c r="AO59" i="29" s="1"/>
  <c r="AN152" i="29"/>
  <c r="AP35" i="29"/>
  <c r="AQ35" i="29" s="1"/>
  <c r="AR35" i="29" s="1"/>
  <c r="AM137" i="29"/>
  <c r="AO137" i="29" s="1"/>
  <c r="AP222" i="29"/>
  <c r="AQ222" i="29" s="1"/>
  <c r="AR222" i="29" s="1"/>
  <c r="AN75" i="29"/>
  <c r="AM140" i="29"/>
  <c r="AN212" i="29"/>
  <c r="AN65" i="29"/>
  <c r="AP127" i="29"/>
  <c r="AQ127" i="29" s="1"/>
  <c r="AR127" i="29" s="1"/>
  <c r="AM197" i="29"/>
  <c r="AP41" i="29"/>
  <c r="AQ41" i="29" s="1"/>
  <c r="AR41" i="29" s="1"/>
  <c r="AP117" i="29"/>
  <c r="AQ117" i="29" s="1"/>
  <c r="AR117" i="29" s="1"/>
  <c r="AN187" i="29"/>
  <c r="AP246" i="29"/>
  <c r="AQ246" i="29" s="1"/>
  <c r="AR246" i="29" s="1"/>
  <c r="AN325" i="29"/>
  <c r="AM388" i="29"/>
  <c r="AP249" i="29"/>
  <c r="AQ249" i="29" s="1"/>
  <c r="AR249" i="29" s="1"/>
  <c r="AN323" i="29"/>
  <c r="AN383" i="29"/>
  <c r="AM263" i="29"/>
  <c r="AM321" i="29"/>
  <c r="AM396" i="29"/>
  <c r="AP273" i="29"/>
  <c r="AQ273" i="29" s="1"/>
  <c r="AR273" i="29" s="1"/>
  <c r="AM339" i="29"/>
  <c r="AN412" i="29"/>
  <c r="AP263" i="29"/>
  <c r="AQ263" i="29" s="1"/>
  <c r="AR263" i="29" s="1"/>
  <c r="AN334" i="29"/>
  <c r="AP403" i="29"/>
  <c r="AQ403" i="29" s="1"/>
  <c r="AR403" i="29" s="1"/>
  <c r="AM272" i="29"/>
  <c r="AO272" i="29" s="1"/>
  <c r="AP342" i="29"/>
  <c r="AQ342" i="29" s="1"/>
  <c r="AR342" i="29" s="1"/>
  <c r="AP406" i="29"/>
  <c r="AQ406" i="29" s="1"/>
  <c r="AR406" i="29" s="1"/>
  <c r="AP291" i="29"/>
  <c r="AQ291" i="29" s="1"/>
  <c r="AR291" i="29" s="1"/>
  <c r="AN360" i="29"/>
  <c r="AO360" i="29" s="1"/>
  <c r="AN418" i="29"/>
  <c r="AP464" i="29"/>
  <c r="AQ464" i="29" s="1"/>
  <c r="AR464" i="29" s="1"/>
  <c r="AM525" i="29"/>
  <c r="AM598" i="29"/>
  <c r="AP438" i="29"/>
  <c r="AQ438" i="29" s="1"/>
  <c r="AR438" i="29" s="1"/>
  <c r="AN504" i="29"/>
  <c r="AN577" i="29"/>
  <c r="AP442" i="29"/>
  <c r="AQ442" i="29" s="1"/>
  <c r="AR442" i="29" s="1"/>
  <c r="AM515" i="29"/>
  <c r="AM588" i="29"/>
  <c r="AN436" i="29"/>
  <c r="AM510" i="29"/>
  <c r="AO510" i="29" s="1"/>
  <c r="AN570" i="29"/>
  <c r="AO570" i="29" s="1"/>
  <c r="AM443" i="29"/>
  <c r="AN488" i="29"/>
  <c r="AM529" i="29"/>
  <c r="AO529" i="29" s="1"/>
  <c r="V529" i="29" s="1"/>
  <c r="AM573" i="29"/>
  <c r="AP266" i="29"/>
  <c r="AQ266" i="29" s="1"/>
  <c r="AR266" i="29" s="1"/>
  <c r="AP448" i="29"/>
  <c r="AQ448" i="29" s="1"/>
  <c r="AR448" i="29" s="1"/>
  <c r="AP488" i="29"/>
  <c r="AQ488" i="29" s="1"/>
  <c r="AR488" i="29" s="1"/>
  <c r="AP531" i="29"/>
  <c r="AQ531" i="29" s="1"/>
  <c r="AR531" i="29" s="1"/>
  <c r="AM576" i="29"/>
  <c r="AN329" i="29"/>
  <c r="AN449" i="29"/>
  <c r="AP491" i="29"/>
  <c r="AQ491" i="29" s="1"/>
  <c r="AR491" i="29" s="1"/>
  <c r="AN537" i="29"/>
  <c r="AN579" i="29"/>
  <c r="AM269" i="29"/>
  <c r="AO269" i="29" s="1"/>
  <c r="AN461" i="29"/>
  <c r="AO461" i="29" s="1"/>
  <c r="AN434" i="29"/>
  <c r="AO434" i="29" s="1"/>
  <c r="V434" i="29" s="1"/>
  <c r="AN539" i="29"/>
  <c r="AM449" i="29"/>
  <c r="AO449" i="29" s="1"/>
  <c r="AP94" i="29"/>
  <c r="AQ94" i="29" s="1"/>
  <c r="AR94" i="29" s="1"/>
  <c r="AN213" i="29"/>
  <c r="AP167" i="29"/>
  <c r="AQ167" i="29" s="1"/>
  <c r="AR167" i="29" s="1"/>
  <c r="AM100" i="29"/>
  <c r="AP190" i="29"/>
  <c r="AQ190" i="29" s="1"/>
  <c r="AR190" i="29" s="1"/>
  <c r="AM62" i="29"/>
  <c r="AO62" i="29" s="1"/>
  <c r="V62" i="29" s="1"/>
  <c r="AM155" i="29"/>
  <c r="AP40" i="29"/>
  <c r="AQ40" i="29" s="1"/>
  <c r="AR40" i="29" s="1"/>
  <c r="AP139" i="29"/>
  <c r="AQ139" i="29" s="1"/>
  <c r="AR139" i="29" s="1"/>
  <c r="AN225" i="29"/>
  <c r="AM78" i="29"/>
  <c r="AP142" i="29"/>
  <c r="AQ142" i="29" s="1"/>
  <c r="AR142" i="29" s="1"/>
  <c r="AM215" i="29"/>
  <c r="AP67" i="29"/>
  <c r="AQ67" i="29" s="1"/>
  <c r="AR67" i="29" s="1"/>
  <c r="AM130" i="29"/>
  <c r="AO130" i="29" s="1"/>
  <c r="V130" i="29" s="1"/>
  <c r="AP199" i="29"/>
  <c r="AQ199" i="29" s="1"/>
  <c r="AR199" i="29" s="1"/>
  <c r="AM48" i="29"/>
  <c r="AM120" i="29"/>
  <c r="AO120" i="29" s="1"/>
  <c r="AP189" i="29"/>
  <c r="AQ189" i="29" s="1"/>
  <c r="AR189" i="29" s="1"/>
  <c r="AN249" i="29"/>
  <c r="AP327" i="29"/>
  <c r="AQ327" i="29" s="1"/>
  <c r="AR327" i="29" s="1"/>
  <c r="AN390" i="29"/>
  <c r="AN252" i="29"/>
  <c r="AP325" i="29"/>
  <c r="AQ325" i="29" s="1"/>
  <c r="AR325" i="29" s="1"/>
  <c r="AP385" i="29"/>
  <c r="AQ385" i="29" s="1"/>
  <c r="AR385" i="29" s="1"/>
  <c r="AP265" i="29"/>
  <c r="AQ265" i="29" s="1"/>
  <c r="AR265" i="29" s="1"/>
  <c r="AP323" i="29"/>
  <c r="AQ323" i="29" s="1"/>
  <c r="AR323" i="29" s="1"/>
  <c r="AP398" i="29"/>
  <c r="AQ398" i="29" s="1"/>
  <c r="AR398" i="29" s="1"/>
  <c r="AN276" i="29"/>
  <c r="AP341" i="29"/>
  <c r="AQ341" i="29" s="1"/>
  <c r="AR341" i="29" s="1"/>
  <c r="AM417" i="29"/>
  <c r="AO417" i="29" s="1"/>
  <c r="U417" i="29" s="1"/>
  <c r="AN266" i="29"/>
  <c r="AM337" i="29"/>
  <c r="AO337" i="29" s="1"/>
  <c r="AM406" i="29"/>
  <c r="AO406" i="29" s="1"/>
  <c r="AP274" i="29"/>
  <c r="AQ274" i="29" s="1"/>
  <c r="AR274" i="29" s="1"/>
  <c r="AN345" i="29"/>
  <c r="AN413" i="29"/>
  <c r="AN294" i="29"/>
  <c r="AM363" i="29"/>
  <c r="AM421" i="29"/>
  <c r="AM467" i="29"/>
  <c r="AO467" i="29" s="1"/>
  <c r="AP527" i="29"/>
  <c r="AQ527" i="29" s="1"/>
  <c r="AR527" i="29" s="1"/>
  <c r="AM600" i="29"/>
  <c r="AM442" i="29"/>
  <c r="AN509" i="29"/>
  <c r="AM580" i="29"/>
  <c r="AM445" i="29"/>
  <c r="AO445" i="29" s="1"/>
  <c r="AP517" i="29"/>
  <c r="AQ517" i="29" s="1"/>
  <c r="AR517" i="29" s="1"/>
  <c r="AP590" i="29"/>
  <c r="AQ590" i="29" s="1"/>
  <c r="AR590" i="29" s="1"/>
  <c r="AP439" i="29"/>
  <c r="AQ439" i="29" s="1"/>
  <c r="AR439" i="29" s="1"/>
  <c r="AP512" i="29"/>
  <c r="AQ512" i="29" s="1"/>
  <c r="AR512" i="29" s="1"/>
  <c r="AP572" i="29"/>
  <c r="AQ572" i="29" s="1"/>
  <c r="AR572" i="29" s="1"/>
  <c r="AP445" i="29"/>
  <c r="AQ445" i="29" s="1"/>
  <c r="AR445" i="29" s="1"/>
  <c r="AP490" i="29"/>
  <c r="AQ490" i="29" s="1"/>
  <c r="AR490" i="29" s="1"/>
  <c r="AN531" i="29"/>
  <c r="AP575" i="29"/>
  <c r="AQ575" i="29" s="1"/>
  <c r="AR575" i="29" s="1"/>
  <c r="AM286" i="29"/>
  <c r="AN451" i="29"/>
  <c r="AM491" i="29"/>
  <c r="AN534" i="29"/>
  <c r="AP578" i="29"/>
  <c r="AQ578" i="29" s="1"/>
  <c r="AR578" i="29" s="1"/>
  <c r="AM251" i="29"/>
  <c r="AO251" i="29" s="1"/>
  <c r="AM452" i="29"/>
  <c r="AO452" i="29" s="1"/>
  <c r="U452" i="29" s="1"/>
  <c r="AN494" i="29"/>
  <c r="AP539" i="29"/>
  <c r="AQ539" i="29" s="1"/>
  <c r="AR539" i="29" s="1"/>
  <c r="AM582" i="29"/>
  <c r="AO582" i="29" s="1"/>
  <c r="AP427" i="29"/>
  <c r="AQ427" i="29" s="1"/>
  <c r="AR427" i="29" s="1"/>
  <c r="AM542" i="29"/>
  <c r="AM477" i="29"/>
  <c r="AM482" i="29"/>
  <c r="AM469" i="29"/>
  <c r="AN107" i="29"/>
  <c r="AP39" i="29"/>
  <c r="AQ39" i="29" s="1"/>
  <c r="AR39" i="29" s="1"/>
  <c r="AN175" i="29"/>
  <c r="AN105" i="29"/>
  <c r="AN193" i="29"/>
  <c r="AO193" i="29" s="1"/>
  <c r="U193" i="29" s="1"/>
  <c r="AN69" i="29"/>
  <c r="AM181" i="29"/>
  <c r="AM45" i="29"/>
  <c r="AN142" i="29"/>
  <c r="AM230" i="29"/>
  <c r="AO230" i="29" s="1"/>
  <c r="AN83" i="29"/>
  <c r="AO83" i="29" s="1"/>
  <c r="AN158" i="29"/>
  <c r="AP217" i="29"/>
  <c r="AQ217" i="29" s="1"/>
  <c r="AR217" i="29" s="1"/>
  <c r="AN70" i="29"/>
  <c r="AN132" i="29"/>
  <c r="AP204" i="29"/>
  <c r="AQ204" i="29" s="1"/>
  <c r="AR204" i="29" s="1"/>
  <c r="AN63" i="29"/>
  <c r="AP122" i="29"/>
  <c r="AQ122" i="29" s="1"/>
  <c r="AR122" i="29" s="1"/>
  <c r="AN192" i="29"/>
  <c r="AM252" i="29"/>
  <c r="AO252" i="29" s="1"/>
  <c r="AM333" i="29"/>
  <c r="AN409" i="29"/>
  <c r="AM255" i="29"/>
  <c r="AO255" i="29" s="1"/>
  <c r="AM328" i="29"/>
  <c r="AN388" i="29"/>
  <c r="AP270" i="29"/>
  <c r="AQ270" i="29" s="1"/>
  <c r="AR270" i="29" s="1"/>
  <c r="AN341" i="29"/>
  <c r="AP400" i="29"/>
  <c r="AQ400" i="29" s="1"/>
  <c r="AR400" i="29" s="1"/>
  <c r="AP282" i="29"/>
  <c r="AQ282" i="29" s="1"/>
  <c r="AR282" i="29" s="1"/>
  <c r="AN344" i="29"/>
  <c r="AN422" i="29"/>
  <c r="AP280" i="29"/>
  <c r="AQ280" i="29" s="1"/>
  <c r="AR280" i="29" s="1"/>
  <c r="AN339" i="29"/>
  <c r="AN408" i="29"/>
  <c r="AN277" i="29"/>
  <c r="AN352" i="29"/>
  <c r="AN238" i="29"/>
  <c r="AM297" i="29"/>
  <c r="AN365" i="29"/>
  <c r="AP423" i="29"/>
  <c r="AQ423" i="29" s="1"/>
  <c r="AR423" i="29" s="1"/>
  <c r="AN472" i="29"/>
  <c r="AO472" i="29" s="1"/>
  <c r="AP542" i="29"/>
  <c r="AQ542" i="29" s="1"/>
  <c r="AR542" i="29" s="1"/>
  <c r="AP602" i="29"/>
  <c r="AQ602" i="29" s="1"/>
  <c r="AR602" i="29" s="1"/>
  <c r="U602" i="29" s="1"/>
  <c r="AP444" i="29"/>
  <c r="AQ444" i="29" s="1"/>
  <c r="AR444" i="29" s="1"/>
  <c r="AM512" i="29"/>
  <c r="AN585" i="29"/>
  <c r="AN460" i="29"/>
  <c r="AN520" i="29"/>
  <c r="AN593" i="29"/>
  <c r="AN445" i="29"/>
  <c r="AM518" i="29"/>
  <c r="AN588" i="29"/>
  <c r="AN448" i="29"/>
  <c r="AN493" i="29"/>
  <c r="AM534" i="29"/>
  <c r="AN578" i="29"/>
  <c r="AN306" i="29"/>
  <c r="AM454" i="29"/>
  <c r="AO454" i="29" s="1"/>
  <c r="AP493" i="29"/>
  <c r="AQ493" i="29" s="1"/>
  <c r="AR493" i="29" s="1"/>
  <c r="AP536" i="29"/>
  <c r="AQ536" i="29" s="1"/>
  <c r="AR536" i="29" s="1"/>
  <c r="AN581" i="29"/>
  <c r="AP271" i="29"/>
  <c r="AQ271" i="29" s="1"/>
  <c r="AR271" i="29" s="1"/>
  <c r="AP454" i="29"/>
  <c r="AQ454" i="29" s="1"/>
  <c r="AR454" i="29" s="1"/>
  <c r="AN496" i="29"/>
  <c r="AN542" i="29"/>
  <c r="AO542" i="29" s="1"/>
  <c r="AP584" i="29"/>
  <c r="AQ584" i="29" s="1"/>
  <c r="AR584" i="29" s="1"/>
  <c r="AP451" i="29"/>
  <c r="AQ451" i="29" s="1"/>
  <c r="AR451" i="29" s="1"/>
  <c r="AP486" i="29"/>
  <c r="AQ486" i="29" s="1"/>
  <c r="AR486" i="29" s="1"/>
  <c r="AM496" i="29"/>
  <c r="AP604" i="29"/>
  <c r="AQ604" i="29" s="1"/>
  <c r="AR604" i="29" s="1"/>
  <c r="AN508" i="29"/>
  <c r="AP112" i="29"/>
  <c r="AQ112" i="29" s="1"/>
  <c r="AR112" i="29" s="1"/>
  <c r="AN44" i="29"/>
  <c r="AO44" i="29" s="1"/>
  <c r="V44" i="29" s="1"/>
  <c r="AP177" i="29"/>
  <c r="AQ177" i="29" s="1"/>
  <c r="AR177" i="29" s="1"/>
  <c r="AM108" i="29"/>
  <c r="AO108" i="29" s="1"/>
  <c r="AP195" i="29"/>
  <c r="AQ195" i="29" s="1"/>
  <c r="AR195" i="29" s="1"/>
  <c r="AM72" i="29"/>
  <c r="AN183" i="29"/>
  <c r="AM47" i="29"/>
  <c r="AO47" i="29" s="1"/>
  <c r="AM145" i="29"/>
  <c r="AP15" i="29"/>
  <c r="AQ15" i="29" s="1"/>
  <c r="AR15" i="29" s="1"/>
  <c r="AN88" i="29"/>
  <c r="AO88" i="29" s="1"/>
  <c r="U88" i="29" s="1"/>
  <c r="AM161" i="29"/>
  <c r="AO161" i="29" s="1"/>
  <c r="AN220" i="29"/>
  <c r="AM73" i="29"/>
  <c r="AM135" i="29"/>
  <c r="AO135" i="29" s="1"/>
  <c r="AN207" i="29"/>
  <c r="AP65" i="29"/>
  <c r="AQ65" i="29" s="1"/>
  <c r="AR65" i="29" s="1"/>
  <c r="AN125" i="29"/>
  <c r="AP194" i="29"/>
  <c r="AQ194" i="29" s="1"/>
  <c r="AR194" i="29" s="1"/>
  <c r="AP254" i="29"/>
  <c r="AQ254" i="29" s="1"/>
  <c r="AR254" i="29" s="1"/>
  <c r="AP335" i="29"/>
  <c r="AQ335" i="29" s="1"/>
  <c r="AR335" i="29" s="1"/>
  <c r="AN411" i="29"/>
  <c r="AP257" i="29"/>
  <c r="AQ257" i="29" s="1"/>
  <c r="AR257" i="29" s="1"/>
  <c r="AP330" i="29"/>
  <c r="AQ330" i="29" s="1"/>
  <c r="AR330" i="29" s="1"/>
  <c r="AP390" i="29"/>
  <c r="AQ390" i="29" s="1"/>
  <c r="AR390" i="29" s="1"/>
  <c r="AN273" i="29"/>
  <c r="AO273" i="29" s="1"/>
  <c r="U273" i="29" s="1"/>
  <c r="AM344" i="29"/>
  <c r="AM403" i="29"/>
  <c r="AO403" i="29" s="1"/>
  <c r="U403" i="29" s="1"/>
  <c r="AN285" i="29"/>
  <c r="AP346" i="29"/>
  <c r="AQ346" i="29" s="1"/>
  <c r="AR346" i="29" s="1"/>
  <c r="AP424" i="29"/>
  <c r="AQ424" i="29" s="1"/>
  <c r="AR424" i="29" s="1"/>
  <c r="AM283" i="29"/>
  <c r="AO283" i="29" s="1"/>
  <c r="AM342" i="29"/>
  <c r="AP410" i="29"/>
  <c r="AQ410" i="29" s="1"/>
  <c r="AR410" i="29" s="1"/>
  <c r="AN279" i="29"/>
  <c r="AM355" i="29"/>
  <c r="AO355" i="29" s="1"/>
  <c r="AM241" i="29"/>
  <c r="AP299" i="29"/>
  <c r="AQ299" i="29" s="1"/>
  <c r="AR299" i="29" s="1"/>
  <c r="AM368" i="29"/>
  <c r="AN232" i="29"/>
  <c r="AO232" i="29" s="1"/>
  <c r="AM475" i="29"/>
  <c r="AN545" i="29"/>
  <c r="AN605" i="29"/>
  <c r="AN447" i="29"/>
  <c r="AP514" i="29"/>
  <c r="AQ514" i="29" s="1"/>
  <c r="AR514" i="29" s="1"/>
  <c r="AP587" i="29"/>
  <c r="AQ587" i="29" s="1"/>
  <c r="AR587" i="29" s="1"/>
  <c r="AP462" i="29"/>
  <c r="AQ462" i="29" s="1"/>
  <c r="AR462" i="29" s="1"/>
  <c r="AM523" i="29"/>
  <c r="AO523" i="29" s="1"/>
  <c r="V523" i="29" s="1"/>
  <c r="AM596" i="29"/>
  <c r="AO596" i="29" s="1"/>
  <c r="U596" i="29" s="1"/>
  <c r="AM448" i="29"/>
  <c r="AO448" i="29" s="1"/>
  <c r="AP520" i="29"/>
  <c r="AQ520" i="29" s="1"/>
  <c r="AR520" i="29" s="1"/>
  <c r="AM591" i="29"/>
  <c r="AM451" i="29"/>
  <c r="AP495" i="29"/>
  <c r="AQ495" i="29" s="1"/>
  <c r="AR495" i="29" s="1"/>
  <c r="AN536" i="29"/>
  <c r="AM581" i="29"/>
  <c r="AP326" i="29"/>
  <c r="AQ326" i="29" s="1"/>
  <c r="AR326" i="29" s="1"/>
  <c r="AP456" i="29"/>
  <c r="AQ456" i="29" s="1"/>
  <c r="AR456" i="29" s="1"/>
  <c r="AN498" i="29"/>
  <c r="AM539" i="29"/>
  <c r="AO539" i="29" s="1"/>
  <c r="AM584" i="29"/>
  <c r="AM291" i="29"/>
  <c r="AM457" i="29"/>
  <c r="AM499" i="29"/>
  <c r="AM545" i="29"/>
  <c r="AO545" i="29" s="1"/>
  <c r="AM587" i="29"/>
  <c r="AO587" i="29" s="1"/>
  <c r="AP471" i="29"/>
  <c r="AQ471" i="29" s="1"/>
  <c r="AR471" i="29" s="1"/>
  <c r="AN589" i="29"/>
  <c r="AO589" i="29" s="1"/>
  <c r="AN516" i="29"/>
  <c r="AP568" i="29"/>
  <c r="AQ568" i="29" s="1"/>
  <c r="AR568" i="29" s="1"/>
  <c r="AP529" i="29"/>
  <c r="AQ529" i="29" s="1"/>
  <c r="AR529" i="29" s="1"/>
  <c r="AM14" i="29"/>
  <c r="AO14" i="29" s="1"/>
  <c r="AM170" i="29"/>
  <c r="AN79" i="29"/>
  <c r="AN17" i="29"/>
  <c r="AP133" i="29"/>
  <c r="AQ133" i="29" s="1"/>
  <c r="AR133" i="29" s="1"/>
  <c r="AM15" i="29"/>
  <c r="AP113" i="29"/>
  <c r="AQ113" i="29" s="1"/>
  <c r="AR113" i="29" s="1"/>
  <c r="AN206" i="29"/>
  <c r="AP90" i="29"/>
  <c r="AQ90" i="29" s="1"/>
  <c r="AR90" i="29" s="1"/>
  <c r="AN163" i="29"/>
  <c r="AN43" i="29"/>
  <c r="AM117" i="29"/>
  <c r="AO117" i="29" s="1"/>
  <c r="AN176" i="29"/>
  <c r="AP31" i="29"/>
  <c r="AQ31" i="29" s="1"/>
  <c r="AR31" i="29" s="1"/>
  <c r="AP88" i="29"/>
  <c r="AQ88" i="29" s="1"/>
  <c r="AR88" i="29" s="1"/>
  <c r="AM164" i="29"/>
  <c r="AM19" i="29"/>
  <c r="AN81" i="29"/>
  <c r="AM151" i="29"/>
  <c r="AM213" i="29"/>
  <c r="AP289" i="29"/>
  <c r="AQ289" i="29" s="1"/>
  <c r="AR289" i="29" s="1"/>
  <c r="AN363" i="29"/>
  <c r="AP428" i="29"/>
  <c r="AQ428" i="29" s="1"/>
  <c r="AR428" i="29" s="1"/>
  <c r="AP284" i="29"/>
  <c r="AQ284" i="29" s="1"/>
  <c r="AR284" i="29" s="1"/>
  <c r="AP348" i="29"/>
  <c r="AQ348" i="29" s="1"/>
  <c r="AR348" i="29" s="1"/>
  <c r="AP421" i="29"/>
  <c r="AQ421" i="29" s="1"/>
  <c r="AR421" i="29" s="1"/>
  <c r="AM298" i="29"/>
  <c r="AO298" i="29" s="1"/>
  <c r="U298" i="29" s="1"/>
  <c r="AN361" i="29"/>
  <c r="AM237" i="29"/>
  <c r="AO237" i="29" s="1"/>
  <c r="AP300" i="29"/>
  <c r="AQ300" i="29" s="1"/>
  <c r="AR300" i="29" s="1"/>
  <c r="AM374" i="29"/>
  <c r="AM240" i="29"/>
  <c r="AP298" i="29"/>
  <c r="AQ298" i="29" s="1"/>
  <c r="AR298" i="29" s="1"/>
  <c r="AM367" i="29"/>
  <c r="AP232" i="29"/>
  <c r="AQ232" i="29" s="1"/>
  <c r="AR232" i="29" s="1"/>
  <c r="AP306" i="29"/>
  <c r="AQ306" i="29" s="1"/>
  <c r="AR306" i="29" s="1"/>
  <c r="AP379" i="29"/>
  <c r="AQ379" i="29" s="1"/>
  <c r="AR379" i="29" s="1"/>
  <c r="AM257" i="29"/>
  <c r="AM325" i="29"/>
  <c r="AM385" i="29"/>
  <c r="AO385" i="29" s="1"/>
  <c r="AM428" i="29"/>
  <c r="AO428" i="29" s="1"/>
  <c r="AP501" i="29"/>
  <c r="AQ501" i="29" s="1"/>
  <c r="AR501" i="29" s="1"/>
  <c r="AN561" i="29"/>
  <c r="AM235" i="29"/>
  <c r="AO235" i="29" s="1"/>
  <c r="AN462" i="29"/>
  <c r="AO462" i="29" s="1"/>
  <c r="AM543" i="29"/>
  <c r="AP339" i="29"/>
  <c r="AQ339" i="29" s="1"/>
  <c r="AR339" i="29" s="1"/>
  <c r="AN478" i="29"/>
  <c r="AN551" i="29"/>
  <c r="AM613" i="29"/>
  <c r="AM476" i="29"/>
  <c r="AO476" i="29" s="1"/>
  <c r="AN546" i="29"/>
  <c r="AP608" i="29"/>
  <c r="AQ608" i="29" s="1"/>
  <c r="AR608" i="29" s="1"/>
  <c r="AN468" i="29"/>
  <c r="AP507" i="29"/>
  <c r="AQ507" i="29" s="1"/>
  <c r="AR507" i="29" s="1"/>
  <c r="AM552" i="29"/>
  <c r="AM594" i="29"/>
  <c r="AO594" i="29" s="1"/>
  <c r="AN423" i="29"/>
  <c r="AO423" i="29" s="1"/>
  <c r="AP468" i="29"/>
  <c r="AQ468" i="29" s="1"/>
  <c r="AR468" i="29" s="1"/>
  <c r="AP510" i="29"/>
  <c r="AQ510" i="29" s="1"/>
  <c r="AR510" i="29" s="1"/>
  <c r="AN552" i="29"/>
  <c r="AO552" i="29" s="1"/>
  <c r="V552" i="29" s="1"/>
  <c r="AM597" i="29"/>
  <c r="AM392" i="29"/>
  <c r="AM472" i="29"/>
  <c r="AM514" i="29"/>
  <c r="AN558" i="29"/>
  <c r="AP599" i="29"/>
  <c r="AQ599" i="29" s="1"/>
  <c r="AR599" i="29" s="1"/>
  <c r="AP573" i="29"/>
  <c r="AQ573" i="29" s="1"/>
  <c r="AR573" i="29" s="1"/>
  <c r="AM494" i="29"/>
  <c r="AP521" i="29"/>
  <c r="AQ521" i="29" s="1"/>
  <c r="AR521" i="29" s="1"/>
  <c r="AN524" i="29"/>
  <c r="AP440" i="29"/>
  <c r="AQ440" i="29" s="1"/>
  <c r="AR440" i="29" s="1"/>
  <c r="AM123" i="29"/>
  <c r="AM136" i="29"/>
  <c r="AM131" i="29"/>
  <c r="AN54" i="29"/>
  <c r="AP211" i="29"/>
  <c r="AQ211" i="29" s="1"/>
  <c r="AR211" i="29" s="1"/>
  <c r="AP152" i="29"/>
  <c r="AQ152" i="29" s="1"/>
  <c r="AR152" i="29" s="1"/>
  <c r="AP52" i="29"/>
  <c r="AQ52" i="29" s="1"/>
  <c r="AR52" i="29" s="1"/>
  <c r="AM174" i="29"/>
  <c r="AP47" i="29"/>
  <c r="AQ47" i="29" s="1"/>
  <c r="AR47" i="29" s="1"/>
  <c r="AN169" i="29"/>
  <c r="AP70" i="29"/>
  <c r="AQ70" i="29" s="1"/>
  <c r="AR70" i="29" s="1"/>
  <c r="AN164" i="29"/>
  <c r="AO164" i="29" s="1"/>
  <c r="AN284" i="29"/>
  <c r="AO284" i="29" s="1"/>
  <c r="AM383" i="29"/>
  <c r="AM295" i="29"/>
  <c r="AO295" i="29" s="1"/>
  <c r="U295" i="29" s="1"/>
  <c r="AP411" i="29"/>
  <c r="AQ411" i="29" s="1"/>
  <c r="AR411" i="29" s="1"/>
  <c r="AP310" i="29"/>
  <c r="AQ310" i="29" s="1"/>
  <c r="AR310" i="29" s="1"/>
  <c r="AN234" i="29"/>
  <c r="AO234" i="29" s="1"/>
  <c r="V234" i="29" s="1"/>
  <c r="AM334" i="29"/>
  <c r="AO334" i="29" s="1"/>
  <c r="U334" i="29" s="1"/>
  <c r="AN245" i="29"/>
  <c r="AO245" i="29" s="1"/>
  <c r="U245" i="29" s="1"/>
  <c r="AM347" i="29"/>
  <c r="AO347" i="29" s="1"/>
  <c r="V347" i="29" s="1"/>
  <c r="AP256" i="29"/>
  <c r="AQ256" i="29" s="1"/>
  <c r="AR256" i="29" s="1"/>
  <c r="AM365" i="29"/>
  <c r="AM284" i="29"/>
  <c r="AN402" i="29"/>
  <c r="AM480" i="29"/>
  <c r="AM585" i="29"/>
  <c r="AM460" i="29"/>
  <c r="AM572" i="29"/>
  <c r="AO572" i="29" s="1"/>
  <c r="AN483" i="29"/>
  <c r="AN603" i="29"/>
  <c r="AM488" i="29"/>
  <c r="AN606" i="29"/>
  <c r="AP483" i="29"/>
  <c r="AQ483" i="29" s="1"/>
  <c r="AR483" i="29" s="1"/>
  <c r="AN557" i="29"/>
  <c r="AN367" i="29"/>
  <c r="AO367" i="29" s="1"/>
  <c r="AN479" i="29"/>
  <c r="AO479" i="29" s="1"/>
  <c r="V479" i="29" s="1"/>
  <c r="AP549" i="29"/>
  <c r="AQ549" i="29" s="1"/>
  <c r="AR549" i="29" s="1"/>
  <c r="AP613" i="29"/>
  <c r="AQ613" i="29" s="1"/>
  <c r="AR613" i="29" s="1"/>
  <c r="AN477" i="29"/>
  <c r="AN550" i="29"/>
  <c r="AM610" i="29"/>
  <c r="AN474" i="29"/>
  <c r="AP498" i="29"/>
  <c r="AQ498" i="29" s="1"/>
  <c r="AR498" i="29" s="1"/>
  <c r="AN446" i="29"/>
  <c r="AP125" i="29"/>
  <c r="AQ125" i="29" s="1"/>
  <c r="AR125" i="29" s="1"/>
  <c r="AN141" i="29"/>
  <c r="AN144" i="29"/>
  <c r="AO144" i="29" s="1"/>
  <c r="U144" i="29" s="1"/>
  <c r="AN77" i="29"/>
  <c r="AN214" i="29"/>
  <c r="AN155" i="29"/>
  <c r="AM55" i="29"/>
  <c r="AM179" i="29"/>
  <c r="AO179" i="29" s="1"/>
  <c r="AN78" i="29"/>
  <c r="AP171" i="29"/>
  <c r="AQ171" i="29" s="1"/>
  <c r="AR171" i="29" s="1"/>
  <c r="AM76" i="29"/>
  <c r="AM167" i="29"/>
  <c r="AM292" i="29"/>
  <c r="AM414" i="29"/>
  <c r="AP297" i="29"/>
  <c r="AQ297" i="29" s="1"/>
  <c r="AR297" i="29" s="1"/>
  <c r="AN414" i="29"/>
  <c r="AO414" i="29" s="1"/>
  <c r="AN313" i="29"/>
  <c r="AP239" i="29"/>
  <c r="AQ239" i="29" s="1"/>
  <c r="AR239" i="29" s="1"/>
  <c r="AP361" i="29"/>
  <c r="AQ361" i="29" s="1"/>
  <c r="AR361" i="29" s="1"/>
  <c r="AM248" i="29"/>
  <c r="AM362" i="29"/>
  <c r="AN259" i="29"/>
  <c r="AN382" i="29"/>
  <c r="AO382" i="29" s="1"/>
  <c r="AM302" i="29"/>
  <c r="AO302" i="29" s="1"/>
  <c r="AP404" i="29"/>
  <c r="AQ404" i="29" s="1"/>
  <c r="AR404" i="29" s="1"/>
  <c r="AP482" i="29"/>
  <c r="AQ482" i="29" s="1"/>
  <c r="AR482" i="29" s="1"/>
  <c r="AN587" i="29"/>
  <c r="AN467" i="29"/>
  <c r="AN590" i="29"/>
  <c r="AN485" i="29"/>
  <c r="AM606" i="29"/>
  <c r="AO606" i="29" s="1"/>
  <c r="AN490" i="29"/>
  <c r="AN613" i="29"/>
  <c r="AM498" i="29"/>
  <c r="AM560" i="29"/>
  <c r="AM387" i="29"/>
  <c r="AP481" i="29"/>
  <c r="AQ481" i="29" s="1"/>
  <c r="AR481" i="29" s="1"/>
  <c r="AM555" i="29"/>
  <c r="AO555" i="29" s="1"/>
  <c r="U555" i="29" s="1"/>
  <c r="AP311" i="29"/>
  <c r="AQ311" i="29" s="1"/>
  <c r="AR311" i="29" s="1"/>
  <c r="AP479" i="29"/>
  <c r="AQ479" i="29" s="1"/>
  <c r="AR479" i="29" s="1"/>
  <c r="AM553" i="29"/>
  <c r="AM612" i="29"/>
  <c r="AP513" i="29"/>
  <c r="AQ513" i="29" s="1"/>
  <c r="AR513" i="29" s="1"/>
  <c r="AN389" i="29"/>
  <c r="AO389" i="29" s="1"/>
  <c r="AN547" i="29"/>
  <c r="AN138" i="29"/>
  <c r="AM144" i="29"/>
  <c r="AP170" i="29"/>
  <c r="AQ170" i="29" s="1"/>
  <c r="AR170" i="29" s="1"/>
  <c r="AP82" i="29"/>
  <c r="AQ82" i="29" s="1"/>
  <c r="AR82" i="29" s="1"/>
  <c r="AM18" i="29"/>
  <c r="AO18" i="29" s="1"/>
  <c r="AM158" i="29"/>
  <c r="AO158" i="29" s="1"/>
  <c r="AM70" i="29"/>
  <c r="AO70" i="29" s="1"/>
  <c r="AP181" i="29"/>
  <c r="AQ181" i="29" s="1"/>
  <c r="AR181" i="29" s="1"/>
  <c r="AM81" i="29"/>
  <c r="AO81" i="29" s="1"/>
  <c r="AN174" i="29"/>
  <c r="AP78" i="29"/>
  <c r="AQ78" i="29" s="1"/>
  <c r="AR78" i="29" s="1"/>
  <c r="AP169" i="29"/>
  <c r="AQ169" i="29" s="1"/>
  <c r="AR169" i="29" s="1"/>
  <c r="AP294" i="29"/>
  <c r="AQ294" i="29" s="1"/>
  <c r="AR294" i="29" s="1"/>
  <c r="AN416" i="29"/>
  <c r="AM300" i="29"/>
  <c r="AP416" i="29"/>
  <c r="AQ416" i="29" s="1"/>
  <c r="AR416" i="29" s="1"/>
  <c r="AM316" i="29"/>
  <c r="AM245" i="29"/>
  <c r="AN364" i="29"/>
  <c r="AO364" i="29" s="1"/>
  <c r="AN253" i="29"/>
  <c r="AP364" i="29"/>
  <c r="AQ364" i="29" s="1"/>
  <c r="AR364" i="29" s="1"/>
  <c r="AM267" i="29"/>
  <c r="AO267" i="29" s="1"/>
  <c r="AN387" i="29"/>
  <c r="AN304" i="29"/>
  <c r="AM407" i="29"/>
  <c r="AO407" i="29" s="1"/>
  <c r="AN487" i="29"/>
  <c r="AM590" i="29"/>
  <c r="AO590" i="29" s="1"/>
  <c r="AM483" i="29"/>
  <c r="AP595" i="29"/>
  <c r="AQ595" i="29" s="1"/>
  <c r="AR595" i="29" s="1"/>
  <c r="AN502" i="29"/>
  <c r="AN608" i="29"/>
  <c r="AM505" i="29"/>
  <c r="AM243" i="29"/>
  <c r="AN500" i="29"/>
  <c r="AO500" i="29" s="1"/>
  <c r="AP562" i="29"/>
  <c r="AQ562" i="29" s="1"/>
  <c r="AR562" i="29" s="1"/>
  <c r="AN406" i="29"/>
  <c r="AM484" i="29"/>
  <c r="AO484" i="29" s="1"/>
  <c r="AP557" i="29"/>
  <c r="AQ557" i="29" s="1"/>
  <c r="AR557" i="29" s="1"/>
  <c r="AM332" i="29"/>
  <c r="AN482" i="29"/>
  <c r="AP555" i="29"/>
  <c r="AQ555" i="29" s="1"/>
  <c r="AR555" i="29" s="1"/>
  <c r="AN13" i="29"/>
  <c r="AO13" i="29" s="1"/>
  <c r="U13" i="29" s="1"/>
  <c r="AP534" i="29"/>
  <c r="AQ534" i="29" s="1"/>
  <c r="AR534" i="29" s="1"/>
  <c r="AM464" i="29"/>
  <c r="AM180" i="29"/>
  <c r="AO180" i="29" s="1"/>
  <c r="U180" i="29" s="1"/>
  <c r="AN180" i="29"/>
  <c r="AM173" i="29"/>
  <c r="AP87" i="29"/>
  <c r="AQ87" i="29" s="1"/>
  <c r="AR87" i="29" s="1"/>
  <c r="AP20" i="29"/>
  <c r="AQ20" i="29" s="1"/>
  <c r="AR20" i="29" s="1"/>
  <c r="AP168" i="29"/>
  <c r="AQ168" i="29" s="1"/>
  <c r="AR168" i="29" s="1"/>
  <c r="AM91" i="29"/>
  <c r="AO91" i="29" s="1"/>
  <c r="AM184" i="29"/>
  <c r="AP83" i="29"/>
  <c r="AQ83" i="29" s="1"/>
  <c r="AR83" i="29" s="1"/>
  <c r="AP176" i="29"/>
  <c r="AQ176" i="29" s="1"/>
  <c r="AR176" i="29" s="1"/>
  <c r="AM84" i="29"/>
  <c r="AN202" i="29"/>
  <c r="AO202" i="29" s="1"/>
  <c r="AN297" i="29"/>
  <c r="AN421" i="29"/>
  <c r="AO421" i="29" s="1"/>
  <c r="AP302" i="29"/>
  <c r="AQ302" i="29" s="1"/>
  <c r="AR302" i="29" s="1"/>
  <c r="AN231" i="29"/>
  <c r="AN346" i="29"/>
  <c r="AP247" i="29"/>
  <c r="AQ247" i="29" s="1"/>
  <c r="AR247" i="29" s="1"/>
  <c r="AP366" i="29"/>
  <c r="AQ366" i="29" s="1"/>
  <c r="AR366" i="29" s="1"/>
  <c r="AM256" i="29"/>
  <c r="AP369" i="29"/>
  <c r="AQ369" i="29" s="1"/>
  <c r="AR369" i="29" s="1"/>
  <c r="AM294" i="29"/>
  <c r="AO294" i="29" s="1"/>
  <c r="AP389" i="29"/>
  <c r="AQ389" i="29" s="1"/>
  <c r="AR389" i="29" s="1"/>
  <c r="AM320" i="29"/>
  <c r="AM409" i="29"/>
  <c r="AO409" i="29" s="1"/>
  <c r="AM504" i="29"/>
  <c r="AO504" i="29" s="1"/>
  <c r="AP607" i="29"/>
  <c r="AQ607" i="29" s="1"/>
  <c r="AR607" i="29" s="1"/>
  <c r="AM485" i="29"/>
  <c r="AO485" i="29" s="1"/>
  <c r="U485" i="29" s="1"/>
  <c r="AN600" i="29"/>
  <c r="AP504" i="29"/>
  <c r="AQ504" i="29" s="1"/>
  <c r="AR504" i="29" s="1"/>
  <c r="AN240" i="29"/>
  <c r="AO240" i="29" s="1"/>
  <c r="AN523" i="29"/>
  <c r="AM264" i="29"/>
  <c r="AM503" i="29"/>
  <c r="AN565" i="29"/>
  <c r="AM427" i="29"/>
  <c r="AP500" i="29"/>
  <c r="AQ500" i="29" s="1"/>
  <c r="AR500" i="29" s="1"/>
  <c r="AN560" i="29"/>
  <c r="AM352" i="29"/>
  <c r="AP484" i="29"/>
  <c r="AQ484" i="29" s="1"/>
  <c r="AR484" i="29" s="1"/>
  <c r="AM561" i="29"/>
  <c r="AN491" i="29"/>
  <c r="AO491" i="29" s="1"/>
  <c r="U491" i="29" s="1"/>
  <c r="AN597" i="29"/>
  <c r="AO597" i="29" s="1"/>
  <c r="V597" i="29" s="1"/>
  <c r="AN484" i="29"/>
  <c r="AM200" i="29"/>
  <c r="AM40" i="29"/>
  <c r="AO40" i="29" s="1"/>
  <c r="V40" i="29" s="1"/>
  <c r="AM222" i="29"/>
  <c r="AN131" i="29"/>
  <c r="AM88" i="29"/>
  <c r="AP214" i="29"/>
  <c r="AQ214" i="29" s="1"/>
  <c r="AR214" i="29" s="1"/>
  <c r="AM122" i="29"/>
  <c r="AP225" i="29"/>
  <c r="AQ225" i="29" s="1"/>
  <c r="AR225" i="29" s="1"/>
  <c r="AP114" i="29"/>
  <c r="AQ114" i="29" s="1"/>
  <c r="AR114" i="29" s="1"/>
  <c r="AM218" i="29"/>
  <c r="AO218" i="29" s="1"/>
  <c r="AP109" i="29"/>
  <c r="AQ109" i="29" s="1"/>
  <c r="AR109" i="29" s="1"/>
  <c r="AM231" i="29"/>
  <c r="AP340" i="29"/>
  <c r="AQ340" i="29" s="1"/>
  <c r="AR340" i="29" s="1"/>
  <c r="AN236" i="29"/>
  <c r="AM346" i="29"/>
  <c r="AO346" i="29" s="1"/>
  <c r="AM258" i="29"/>
  <c r="AO258" i="29" s="1"/>
  <c r="U258" i="29" s="1"/>
  <c r="AN366" i="29"/>
  <c r="AM293" i="29"/>
  <c r="AO293" i="29" s="1"/>
  <c r="V293" i="29" s="1"/>
  <c r="AN386" i="29"/>
  <c r="AM296" i="29"/>
  <c r="AP386" i="29"/>
  <c r="AQ386" i="29" s="1"/>
  <c r="AR386" i="29" s="1"/>
  <c r="AM312" i="29"/>
  <c r="AN246" i="29"/>
  <c r="AM338" i="29"/>
  <c r="AM413" i="29"/>
  <c r="AP519" i="29"/>
  <c r="AQ519" i="29" s="1"/>
  <c r="AR519" i="29" s="1"/>
  <c r="AN296" i="29"/>
  <c r="AO296" i="29" s="1"/>
  <c r="AM533" i="29"/>
  <c r="AM429" i="29"/>
  <c r="AO429" i="29" s="1"/>
  <c r="V429" i="29" s="1"/>
  <c r="AP548" i="29"/>
  <c r="AQ548" i="29" s="1"/>
  <c r="AR548" i="29" s="1"/>
  <c r="AN429" i="29"/>
  <c r="AP551" i="29"/>
  <c r="AQ551" i="29" s="1"/>
  <c r="AR551" i="29" s="1"/>
  <c r="AN456" i="29"/>
  <c r="AN518" i="29"/>
  <c r="AO518" i="29" s="1"/>
  <c r="U518" i="29" s="1"/>
  <c r="AN591" i="29"/>
  <c r="AN443" i="29"/>
  <c r="AM516" i="29"/>
  <c r="AM589" i="29"/>
  <c r="AM438" i="29"/>
  <c r="AN511" i="29"/>
  <c r="AM574" i="29"/>
  <c r="AP13" i="29"/>
  <c r="AQ13" i="29" s="1"/>
  <c r="AR13" i="29" s="1"/>
  <c r="AM558" i="29"/>
  <c r="AP408" i="29"/>
  <c r="AQ408" i="29" s="1"/>
  <c r="AR408" i="29" s="1"/>
  <c r="AP24" i="29"/>
  <c r="AQ24" i="29" s="1"/>
  <c r="AR24" i="29" s="1"/>
  <c r="AN51" i="29"/>
  <c r="AP51" i="29"/>
  <c r="AQ51" i="29" s="1"/>
  <c r="AR51" i="29" s="1"/>
  <c r="AP224" i="29"/>
  <c r="AQ224" i="29" s="1"/>
  <c r="AR224" i="29" s="1"/>
  <c r="AM134" i="29"/>
  <c r="AN93" i="29"/>
  <c r="AN31" i="29"/>
  <c r="AP124" i="29"/>
  <c r="AQ124" i="29" s="1"/>
  <c r="AR124" i="29" s="1"/>
  <c r="AP26" i="29"/>
  <c r="AQ26" i="29" s="1"/>
  <c r="AR26" i="29" s="1"/>
  <c r="AN117" i="29"/>
  <c r="AP21" i="29"/>
  <c r="AQ21" i="29" s="1"/>
  <c r="AR21" i="29" s="1"/>
  <c r="AM128" i="29"/>
  <c r="AN230" i="29"/>
  <c r="AN343" i="29"/>
  <c r="AM239" i="29"/>
  <c r="AP350" i="29"/>
  <c r="AQ350" i="29" s="1"/>
  <c r="AR350" i="29" s="1"/>
  <c r="AM276" i="29"/>
  <c r="AO276" i="29" s="1"/>
  <c r="AM369" i="29"/>
  <c r="AP295" i="29"/>
  <c r="AQ295" i="29" s="1"/>
  <c r="AR295" i="29" s="1"/>
  <c r="AN391" i="29"/>
  <c r="AO391" i="29" s="1"/>
  <c r="V391" i="29" s="1"/>
  <c r="AM301" i="29"/>
  <c r="AO301" i="29" s="1"/>
  <c r="AM415" i="29"/>
  <c r="AO415" i="29" s="1"/>
  <c r="AP314" i="29"/>
  <c r="AQ314" i="29" s="1"/>
  <c r="AR314" i="29" s="1"/>
  <c r="AP251" i="29"/>
  <c r="AQ251" i="29" s="1"/>
  <c r="AR251" i="29" s="1"/>
  <c r="AN340" i="29"/>
  <c r="AP431" i="29"/>
  <c r="AQ431" i="29" s="1"/>
  <c r="AR431" i="29" s="1"/>
  <c r="AM548" i="29"/>
  <c r="AM317" i="29"/>
  <c r="AN535" i="29"/>
  <c r="AP432" i="29"/>
  <c r="AQ432" i="29" s="1"/>
  <c r="AR432" i="29" s="1"/>
  <c r="AM554" i="29"/>
  <c r="AM463" i="29"/>
  <c r="AN554" i="29"/>
  <c r="AN463" i="29"/>
  <c r="AO463" i="29" s="1"/>
  <c r="AM521" i="29"/>
  <c r="AP596" i="29"/>
  <c r="AQ596" i="29" s="1"/>
  <c r="AR596" i="29" s="1"/>
  <c r="AM459" i="29"/>
  <c r="AO459" i="29" s="1"/>
  <c r="AP518" i="29"/>
  <c r="AQ518" i="29" s="1"/>
  <c r="AR518" i="29" s="1"/>
  <c r="AP591" i="29"/>
  <c r="AQ591" i="29" s="1"/>
  <c r="AR591" i="29" s="1"/>
  <c r="AM441" i="29"/>
  <c r="AP516" i="29"/>
  <c r="AQ516" i="29" s="1"/>
  <c r="AR516" i="29" s="1"/>
  <c r="AP589" i="29"/>
  <c r="AQ589" i="29" s="1"/>
  <c r="AR589" i="29" s="1"/>
  <c r="AN555" i="29"/>
  <c r="AN599" i="29"/>
  <c r="AM506" i="29"/>
  <c r="AM185" i="29"/>
  <c r="AM121" i="29"/>
  <c r="AP126" i="29"/>
  <c r="AQ126" i="29" s="1"/>
  <c r="AR126" i="29" s="1"/>
  <c r="AM150" i="29"/>
  <c r="AO150" i="29" s="1"/>
  <c r="AM132" i="29"/>
  <c r="AO132" i="29" s="1"/>
  <c r="V132" i="29" s="1"/>
  <c r="AN91" i="29"/>
  <c r="AN34" i="29"/>
  <c r="AO34" i="29" s="1"/>
  <c r="AP215" i="29"/>
  <c r="AQ215" i="29" s="1"/>
  <c r="AR215" i="29" s="1"/>
  <c r="AN380" i="29"/>
  <c r="AP368" i="29"/>
  <c r="AQ368" i="29" s="1"/>
  <c r="AR368" i="29" s="1"/>
  <c r="AN356" i="29"/>
  <c r="AN321" i="29"/>
  <c r="AN293" i="29"/>
  <c r="AM254" i="29"/>
  <c r="AP259" i="29"/>
  <c r="AQ259" i="29" s="1"/>
  <c r="AR259" i="29" s="1"/>
  <c r="AP354" i="29"/>
  <c r="AQ354" i="29" s="1"/>
  <c r="AR354" i="29" s="1"/>
  <c r="AM564" i="29"/>
  <c r="AP530" i="29"/>
  <c r="AQ530" i="29" s="1"/>
  <c r="AR530" i="29" s="1"/>
  <c r="AP480" i="29"/>
  <c r="AQ480" i="29" s="1"/>
  <c r="AR480" i="29" s="1"/>
  <c r="AM468" i="29"/>
  <c r="AO468" i="29" s="1"/>
  <c r="AP426" i="29"/>
  <c r="AQ426" i="29" s="1"/>
  <c r="AR426" i="29" s="1"/>
  <c r="AP546" i="29"/>
  <c r="AQ546" i="29" s="1"/>
  <c r="AR546" i="29" s="1"/>
  <c r="AN440" i="29"/>
  <c r="AM547" i="29"/>
  <c r="AO547" i="29" s="1"/>
  <c r="U547" i="29" s="1"/>
  <c r="AP461" i="29"/>
  <c r="AQ461" i="29" s="1"/>
  <c r="AR461" i="29" s="1"/>
  <c r="AN566" i="29"/>
  <c r="AO566" i="29" s="1"/>
  <c r="AP288" i="29"/>
  <c r="AQ288" i="29" s="1"/>
  <c r="AR288" i="29" s="1"/>
  <c r="AM607" i="29"/>
  <c r="AP192" i="29"/>
  <c r="AQ192" i="29" s="1"/>
  <c r="AR192" i="29" s="1"/>
  <c r="AP123" i="29"/>
  <c r="AQ123" i="29" s="1"/>
  <c r="AR123" i="29" s="1"/>
  <c r="AN139" i="29"/>
  <c r="AN201" i="29"/>
  <c r="AO201" i="29" s="1"/>
  <c r="AP134" i="29"/>
  <c r="AQ134" i="29" s="1"/>
  <c r="AR134" i="29" s="1"/>
  <c r="AN109" i="29"/>
  <c r="AP36" i="29"/>
  <c r="AQ36" i="29" s="1"/>
  <c r="AR36" i="29" s="1"/>
  <c r="AN233" i="29"/>
  <c r="AN426" i="29"/>
  <c r="AM371" i="29"/>
  <c r="AM359" i="29"/>
  <c r="AO359" i="29" s="1"/>
  <c r="V359" i="29" s="1"/>
  <c r="AM326" i="29"/>
  <c r="AO326" i="29" s="1"/>
  <c r="U326" i="29" s="1"/>
  <c r="AP303" i="29"/>
  <c r="AQ303" i="29" s="1"/>
  <c r="AR303" i="29" s="1"/>
  <c r="AP296" i="29"/>
  <c r="AQ296" i="29" s="1"/>
  <c r="AR296" i="29" s="1"/>
  <c r="V296" i="29" s="1"/>
  <c r="AM262" i="29"/>
  <c r="AP374" i="29"/>
  <c r="AQ374" i="29" s="1"/>
  <c r="AR374" i="29" s="1"/>
  <c r="AP566" i="29"/>
  <c r="AQ566" i="29" s="1"/>
  <c r="AR566" i="29" s="1"/>
  <c r="AM538" i="29"/>
  <c r="AM507" i="29"/>
  <c r="AP470" i="29"/>
  <c r="AQ470" i="29" s="1"/>
  <c r="AR470" i="29" s="1"/>
  <c r="AM430" i="29"/>
  <c r="AN549" i="29"/>
  <c r="AM461" i="29"/>
  <c r="AM563" i="29"/>
  <c r="AO563" i="29" s="1"/>
  <c r="AN464" i="29"/>
  <c r="AM569" i="29"/>
  <c r="AP430" i="29"/>
  <c r="AQ430" i="29" s="1"/>
  <c r="AR430" i="29" s="1"/>
  <c r="AP609" i="29"/>
  <c r="AQ609" i="29" s="1"/>
  <c r="AR609" i="29" s="1"/>
  <c r="AM195" i="29"/>
  <c r="AO195" i="29" s="1"/>
  <c r="V195" i="29" s="1"/>
  <c r="AN126" i="29"/>
  <c r="AP188" i="29"/>
  <c r="AQ188" i="29" s="1"/>
  <c r="AR188" i="29" s="1"/>
  <c r="AM204" i="29"/>
  <c r="AP163" i="29"/>
  <c r="AQ163" i="29" s="1"/>
  <c r="AR163" i="29" s="1"/>
  <c r="AM112" i="29"/>
  <c r="AM68" i="29"/>
  <c r="AM236" i="29"/>
  <c r="AN431" i="29"/>
  <c r="AN373" i="29"/>
  <c r="AO373" i="29" s="1"/>
  <c r="AM364" i="29"/>
  <c r="AP328" i="29"/>
  <c r="AQ328" i="29" s="1"/>
  <c r="AR328" i="29" s="1"/>
  <c r="AM306" i="29"/>
  <c r="AN299" i="29"/>
  <c r="AP264" i="29"/>
  <c r="AQ264" i="29" s="1"/>
  <c r="AR264" i="29" s="1"/>
  <c r="AN394" i="29"/>
  <c r="AO394" i="29" s="1"/>
  <c r="U394" i="29" s="1"/>
  <c r="AN569" i="29"/>
  <c r="AP545" i="29"/>
  <c r="AQ545" i="29" s="1"/>
  <c r="AR545" i="29" s="1"/>
  <c r="AP525" i="29"/>
  <c r="AQ525" i="29" s="1"/>
  <c r="AR525" i="29" s="1"/>
  <c r="AP478" i="29"/>
  <c r="AQ478" i="29" s="1"/>
  <c r="AR478" i="29" s="1"/>
  <c r="AP453" i="29"/>
  <c r="AQ453" i="29" s="1"/>
  <c r="AR453" i="29" s="1"/>
  <c r="AP554" i="29"/>
  <c r="AQ554" i="29" s="1"/>
  <c r="AR554" i="29" s="1"/>
  <c r="AP463" i="29"/>
  <c r="AQ463" i="29" s="1"/>
  <c r="AR463" i="29" s="1"/>
  <c r="AP565" i="29"/>
  <c r="AQ565" i="29" s="1"/>
  <c r="AR565" i="29" s="1"/>
  <c r="AP466" i="29"/>
  <c r="AQ466" i="29" s="1"/>
  <c r="AR466" i="29" s="1"/>
  <c r="AN571" i="29"/>
  <c r="AO571" i="29" s="1"/>
  <c r="AN454" i="29"/>
  <c r="AM550" i="29"/>
  <c r="AM56" i="29"/>
  <c r="AP175" i="29"/>
  <c r="AQ175" i="29" s="1"/>
  <c r="AR175" i="29" s="1"/>
  <c r="AP193" i="29"/>
  <c r="AQ193" i="29" s="1"/>
  <c r="AR193" i="29" s="1"/>
  <c r="AP206" i="29"/>
  <c r="AQ206" i="29" s="1"/>
  <c r="AR206" i="29" s="1"/>
  <c r="AN166" i="29"/>
  <c r="AN122" i="29"/>
  <c r="AO122" i="29" s="1"/>
  <c r="AN86" i="29"/>
  <c r="AN241" i="29"/>
  <c r="AM434" i="29"/>
  <c r="AN378" i="29"/>
  <c r="AP383" i="29"/>
  <c r="AQ383" i="29" s="1"/>
  <c r="AR383" i="29" s="1"/>
  <c r="AN369" i="29"/>
  <c r="AP321" i="29"/>
  <c r="AQ321" i="29" s="1"/>
  <c r="AR321" i="29" s="1"/>
  <c r="AP301" i="29"/>
  <c r="AQ301" i="29" s="1"/>
  <c r="AR301" i="29" s="1"/>
  <c r="AP279" i="29"/>
  <c r="AQ279" i="29" s="1"/>
  <c r="AR279" i="29" s="1"/>
  <c r="AN435" i="29"/>
  <c r="AN610" i="29"/>
  <c r="AN548" i="29"/>
  <c r="AO548" i="29" s="1"/>
  <c r="AN528" i="29"/>
  <c r="AM481" i="29"/>
  <c r="AO481" i="29" s="1"/>
  <c r="AP465" i="29"/>
  <c r="AQ465" i="29" s="1"/>
  <c r="AR465" i="29" s="1"/>
  <c r="AM568" i="29"/>
  <c r="AO568" i="29" s="1"/>
  <c r="V568" i="29" s="1"/>
  <c r="AM466" i="29"/>
  <c r="AN568" i="29"/>
  <c r="AN469" i="29"/>
  <c r="AN592" i="29"/>
  <c r="AM602" i="29"/>
  <c r="AM571" i="29"/>
  <c r="AN97" i="29"/>
  <c r="AP17" i="29"/>
  <c r="AQ17" i="29" s="1"/>
  <c r="AR17" i="29" s="1"/>
  <c r="AN52" i="29"/>
  <c r="AN45" i="29"/>
  <c r="AO45" i="29" s="1"/>
  <c r="AM223" i="29"/>
  <c r="AO223" i="29" s="1"/>
  <c r="AP166" i="29"/>
  <c r="AQ166" i="29" s="1"/>
  <c r="AR166" i="29" s="1"/>
  <c r="AM146" i="29"/>
  <c r="AP304" i="29"/>
  <c r="AQ304" i="29" s="1"/>
  <c r="AR304" i="29" s="1"/>
  <c r="AM280" i="29"/>
  <c r="AO280" i="29" s="1"/>
  <c r="U280" i="29" s="1"/>
  <c r="AM242" i="29"/>
  <c r="AO242" i="29" s="1"/>
  <c r="AP231" i="29"/>
  <c r="AQ231" i="29" s="1"/>
  <c r="AR231" i="29" s="1"/>
  <c r="AN427" i="29"/>
  <c r="AM379" i="29"/>
  <c r="AP357" i="29"/>
  <c r="AQ357" i="29" s="1"/>
  <c r="AR357" i="29" s="1"/>
  <c r="AN335" i="29"/>
  <c r="AP477" i="29"/>
  <c r="AQ477" i="29" s="1"/>
  <c r="AR477" i="29" s="1"/>
  <c r="AN357" i="29"/>
  <c r="AO357" i="29" s="1"/>
  <c r="AN379" i="29"/>
  <c r="AO379" i="29" s="1"/>
  <c r="AN567" i="29"/>
  <c r="AM549" i="29"/>
  <c r="AO549" i="29" s="1"/>
  <c r="AN481" i="29"/>
  <c r="AM604" i="29"/>
  <c r="AP505" i="29"/>
  <c r="AQ505" i="29" s="1"/>
  <c r="AR505" i="29" s="1"/>
  <c r="AN604" i="29"/>
  <c r="AO604" i="29" s="1"/>
  <c r="V604" i="29" s="1"/>
  <c r="AP508" i="29"/>
  <c r="AQ508" i="29" s="1"/>
  <c r="AR508" i="29" s="1"/>
  <c r="AN607" i="29"/>
  <c r="AO607" i="29" s="1"/>
  <c r="AN584" i="29"/>
  <c r="AM37" i="29"/>
  <c r="AP221" i="29"/>
  <c r="AQ221" i="29" s="1"/>
  <c r="AR221" i="29" s="1"/>
  <c r="AM23" i="29"/>
  <c r="AP85" i="29"/>
  <c r="AQ85" i="29" s="1"/>
  <c r="AR85" i="29" s="1"/>
  <c r="AM50" i="29"/>
  <c r="AM34" i="29"/>
  <c r="AM210" i="29"/>
  <c r="AP153" i="29"/>
  <c r="AQ153" i="29" s="1"/>
  <c r="AR153" i="29" s="1"/>
  <c r="AN338" i="29"/>
  <c r="AN287" i="29"/>
  <c r="AN280" i="29"/>
  <c r="AM253" i="29"/>
  <c r="AN432" i="29"/>
  <c r="AN384" i="29"/>
  <c r="AO384" i="29" s="1"/>
  <c r="AP362" i="29"/>
  <c r="AQ362" i="29" s="1"/>
  <c r="AR362" i="29" s="1"/>
  <c r="AN375" i="29"/>
  <c r="AM509" i="29"/>
  <c r="AP452" i="29"/>
  <c r="AQ452" i="29" s="1"/>
  <c r="AR452" i="29" s="1"/>
  <c r="AP417" i="29"/>
  <c r="AQ417" i="29" s="1"/>
  <c r="AR417" i="29" s="1"/>
  <c r="AP600" i="29"/>
  <c r="AQ600" i="29" s="1"/>
  <c r="AR600" i="29" s="1"/>
  <c r="AN562" i="29"/>
  <c r="AN510" i="29"/>
  <c r="AM609" i="29"/>
  <c r="AO609" i="29" s="1"/>
  <c r="U609" i="29" s="1"/>
  <c r="AN513" i="29"/>
  <c r="AN611" i="29"/>
  <c r="AM522" i="29"/>
  <c r="AM532" i="29"/>
  <c r="AP349" i="29"/>
  <c r="AQ349" i="29" s="1"/>
  <c r="AR349" i="29" s="1"/>
  <c r="AN71" i="29"/>
  <c r="AM93" i="29"/>
  <c r="AN38" i="29"/>
  <c r="AM86" i="29"/>
  <c r="AM159" i="29"/>
  <c r="AP241" i="29"/>
  <c r="AQ241" i="29" s="1"/>
  <c r="AR241" i="29" s="1"/>
  <c r="AM303" i="29"/>
  <c r="AM408" i="29"/>
  <c r="AN251" i="29"/>
  <c r="AP377" i="29"/>
  <c r="AQ377" i="29" s="1"/>
  <c r="AR377" i="29" s="1"/>
  <c r="AP612" i="29"/>
  <c r="AQ612" i="29" s="1"/>
  <c r="AR612" i="29" s="1"/>
  <c r="AP467" i="29"/>
  <c r="AQ467" i="29" s="1"/>
  <c r="AR467" i="29" s="1"/>
  <c r="AM531" i="29"/>
  <c r="AM544" i="29"/>
  <c r="AO544" i="29" s="1"/>
  <c r="AN521" i="29"/>
  <c r="AO521" i="29" s="1"/>
  <c r="AM487" i="29"/>
  <c r="AN576" i="29"/>
  <c r="AO576" i="29" s="1"/>
  <c r="U576" i="29" s="1"/>
  <c r="AM82" i="29"/>
  <c r="AO82" i="29" s="1"/>
  <c r="AP118" i="29"/>
  <c r="AQ118" i="29" s="1"/>
  <c r="AR118" i="29" s="1"/>
  <c r="AN47" i="29"/>
  <c r="AP150" i="29"/>
  <c r="AQ150" i="29" s="1"/>
  <c r="AR150" i="29" s="1"/>
  <c r="AP161" i="29"/>
  <c r="AQ161" i="29" s="1"/>
  <c r="AR161" i="29" s="1"/>
  <c r="AN260" i="29"/>
  <c r="AN305" i="29"/>
  <c r="AP429" i="29"/>
  <c r="AQ429" i="29" s="1"/>
  <c r="AR429" i="29" s="1"/>
  <c r="AN309" i="29"/>
  <c r="AM380" i="29"/>
  <c r="AN256" i="29"/>
  <c r="AM473" i="29"/>
  <c r="AO473" i="29" s="1"/>
  <c r="AP559" i="29"/>
  <c r="AQ559" i="29" s="1"/>
  <c r="AR559" i="29" s="1"/>
  <c r="AP583" i="29"/>
  <c r="AQ583" i="29" s="1"/>
  <c r="AR583" i="29" s="1"/>
  <c r="AM524" i="29"/>
  <c r="AO524" i="29" s="1"/>
  <c r="AN501" i="29"/>
  <c r="AO501" i="29" s="1"/>
  <c r="U501" i="29" s="1"/>
  <c r="AM579" i="29"/>
  <c r="AO579" i="29" s="1"/>
  <c r="AN92" i="29"/>
  <c r="AM124" i="29"/>
  <c r="AP93" i="29"/>
  <c r="AQ93" i="29" s="1"/>
  <c r="AR93" i="29" s="1"/>
  <c r="AN153" i="29"/>
  <c r="AM205" i="29"/>
  <c r="AO205" i="29" s="1"/>
  <c r="AP262" i="29"/>
  <c r="AQ262" i="29" s="1"/>
  <c r="AR262" i="29" s="1"/>
  <c r="AM351" i="29"/>
  <c r="AM435" i="29"/>
  <c r="AN317" i="29"/>
  <c r="AO317" i="29" s="1"/>
  <c r="AP382" i="29"/>
  <c r="AQ382" i="29" s="1"/>
  <c r="AR382" i="29" s="1"/>
  <c r="AN337" i="29"/>
  <c r="AP475" i="29"/>
  <c r="AQ475" i="29" s="1"/>
  <c r="AR475" i="29" s="1"/>
  <c r="AM565" i="29"/>
  <c r="AN586" i="29"/>
  <c r="AO586" i="29" s="1"/>
  <c r="AP526" i="29"/>
  <c r="AQ526" i="29" s="1"/>
  <c r="AR526" i="29" s="1"/>
  <c r="AN506" i="29"/>
  <c r="AO506" i="29" s="1"/>
  <c r="AP560" i="29"/>
  <c r="AQ560" i="29" s="1"/>
  <c r="AR560" i="29" s="1"/>
  <c r="AM193" i="29"/>
  <c r="AM201" i="29"/>
  <c r="AN96" i="29"/>
  <c r="AM156" i="29"/>
  <c r="AO156" i="29" s="1"/>
  <c r="AP207" i="29"/>
  <c r="AQ207" i="29" s="1"/>
  <c r="AR207" i="29" s="1"/>
  <c r="AM282" i="29"/>
  <c r="AM386" i="29"/>
  <c r="AP242" i="29"/>
  <c r="AQ242" i="29" s="1"/>
  <c r="AR242" i="29" s="1"/>
  <c r="AN322" i="29"/>
  <c r="AP387" i="29"/>
  <c r="AQ387" i="29" s="1"/>
  <c r="AR387" i="29" s="1"/>
  <c r="AM377" i="29"/>
  <c r="AO377" i="29" s="1"/>
  <c r="AM546" i="29"/>
  <c r="AP593" i="29"/>
  <c r="AQ593" i="29" s="1"/>
  <c r="AR593" i="29" s="1"/>
  <c r="AP588" i="29"/>
  <c r="AQ588" i="29" s="1"/>
  <c r="AR588" i="29" s="1"/>
  <c r="AP541" i="29"/>
  <c r="AQ541" i="29" s="1"/>
  <c r="AR541" i="29" s="1"/>
  <c r="AN519" i="29"/>
  <c r="AM501" i="29"/>
  <c r="AP61" i="29"/>
  <c r="AQ61" i="29" s="1"/>
  <c r="AR61" i="29" s="1"/>
  <c r="AP100" i="29"/>
  <c r="AQ100" i="29" s="1"/>
  <c r="AR100" i="29" s="1"/>
  <c r="AN199" i="29"/>
  <c r="AN24" i="29"/>
  <c r="AN302" i="29"/>
  <c r="AM366" i="29"/>
  <c r="AP255" i="29"/>
  <c r="AQ255" i="29" s="1"/>
  <c r="AR255" i="29" s="1"/>
  <c r="AN326" i="29"/>
  <c r="AM402" i="29"/>
  <c r="AO402" i="29" s="1"/>
  <c r="V402" i="29" s="1"/>
  <c r="AP459" i="29"/>
  <c r="AQ459" i="29" s="1"/>
  <c r="AR459" i="29" s="1"/>
  <c r="AP499" i="29"/>
  <c r="AQ499" i="29" s="1"/>
  <c r="AR499" i="29" s="1"/>
  <c r="AN362" i="29"/>
  <c r="AP473" i="29"/>
  <c r="AQ473" i="29" s="1"/>
  <c r="AR473" i="29" s="1"/>
  <c r="AN430" i="29"/>
  <c r="AO430" i="29" s="1"/>
  <c r="AP601" i="29"/>
  <c r="AQ601" i="29" s="1"/>
  <c r="AR601" i="29" s="1"/>
  <c r="AP563" i="29"/>
  <c r="AQ563" i="29" s="1"/>
  <c r="AR563" i="29" s="1"/>
  <c r="AP437" i="29"/>
  <c r="AQ437" i="29" s="1"/>
  <c r="AR437" i="29" s="1"/>
  <c r="AM227" i="29"/>
  <c r="AP108" i="29"/>
  <c r="AQ108" i="29" s="1"/>
  <c r="AR108" i="29" s="1"/>
  <c r="AP45" i="29"/>
  <c r="AQ45" i="29" s="1"/>
  <c r="AR45" i="29" s="1"/>
  <c r="AN320" i="29"/>
  <c r="AN282" i="29"/>
  <c r="AM324" i="29"/>
  <c r="AN327" i="29"/>
  <c r="AP489" i="29"/>
  <c r="AQ489" i="29" s="1"/>
  <c r="AR489" i="29" s="1"/>
  <c r="AN465" i="29"/>
  <c r="AP606" i="29"/>
  <c r="AQ606" i="29" s="1"/>
  <c r="AR606" i="29" s="1"/>
  <c r="AN424" i="29"/>
  <c r="AN466" i="29"/>
  <c r="AO466" i="29" s="1"/>
  <c r="U466" i="29" s="1"/>
  <c r="AM20" i="29"/>
  <c r="AO20" i="29" s="1"/>
  <c r="AN111" i="29"/>
  <c r="AP158" i="29"/>
  <c r="AQ158" i="29" s="1"/>
  <c r="AR158" i="29" s="1"/>
  <c r="AN348" i="29"/>
  <c r="AN300" i="29"/>
  <c r="AP344" i="29"/>
  <c r="AQ344" i="29" s="1"/>
  <c r="AR344" i="29" s="1"/>
  <c r="AP332" i="29"/>
  <c r="AQ332" i="29" s="1"/>
  <c r="AR332" i="29" s="1"/>
  <c r="AN492" i="29"/>
  <c r="AP485" i="29"/>
  <c r="AQ485" i="29" s="1"/>
  <c r="AR485" i="29" s="1"/>
  <c r="AM611" i="29"/>
  <c r="AO611" i="29" s="1"/>
  <c r="AM431" i="29"/>
  <c r="AM537" i="29"/>
  <c r="AO537" i="29" s="1"/>
  <c r="AN56" i="29"/>
  <c r="AM114" i="29"/>
  <c r="AM192" i="29"/>
  <c r="AO192" i="29" s="1"/>
  <c r="AP365" i="29"/>
  <c r="AQ365" i="29" s="1"/>
  <c r="AR365" i="29" s="1"/>
  <c r="AP388" i="29"/>
  <c r="AQ388" i="29" s="1"/>
  <c r="AR388" i="29" s="1"/>
  <c r="AN374" i="29"/>
  <c r="AM343" i="29"/>
  <c r="AM551" i="29"/>
  <c r="AM526" i="29"/>
  <c r="AN347" i="29"/>
  <c r="AP434" i="29"/>
  <c r="AQ434" i="29" s="1"/>
  <c r="AR434" i="29" s="1"/>
  <c r="AM370" i="29"/>
  <c r="AO370" i="29" s="1"/>
  <c r="AM59" i="29"/>
  <c r="AN209" i="29"/>
  <c r="AO209" i="29" s="1"/>
  <c r="AP212" i="29"/>
  <c r="AQ212" i="29" s="1"/>
  <c r="AR212" i="29" s="1"/>
  <c r="AN368" i="29"/>
  <c r="AO368" i="29" s="1"/>
  <c r="AN405" i="29"/>
  <c r="AP381" i="29"/>
  <c r="AQ381" i="29" s="1"/>
  <c r="AR381" i="29" s="1"/>
  <c r="AP413" i="29"/>
  <c r="AQ413" i="29" s="1"/>
  <c r="AR413" i="29" s="1"/>
  <c r="AP553" i="29"/>
  <c r="AQ553" i="29" s="1"/>
  <c r="AR553" i="29" s="1"/>
  <c r="AP528" i="29"/>
  <c r="AQ528" i="29" s="1"/>
  <c r="AR528" i="29" s="1"/>
  <c r="AP433" i="29"/>
  <c r="AQ433" i="29" s="1"/>
  <c r="AR433" i="29" s="1"/>
  <c r="AM444" i="29"/>
  <c r="AM527" i="29"/>
  <c r="AM30" i="29"/>
  <c r="AP25" i="29"/>
  <c r="AQ25" i="29" s="1"/>
  <c r="AR25" i="29" s="1"/>
  <c r="AN171" i="29"/>
  <c r="AM107" i="29"/>
  <c r="AM341" i="29"/>
  <c r="AM319" i="29"/>
  <c r="AO319" i="29" s="1"/>
  <c r="AM360" i="29"/>
  <c r="AM517" i="29"/>
  <c r="AO517" i="29" s="1"/>
  <c r="AN559" i="29"/>
  <c r="AM479" i="29"/>
  <c r="AM508" i="29"/>
  <c r="AO508" i="29" s="1"/>
  <c r="AM595" i="29"/>
  <c r="AP611" i="29"/>
  <c r="AQ611" i="29" s="1"/>
  <c r="AR611" i="29" s="1"/>
  <c r="BM49" i="24"/>
  <c r="AN514" i="29"/>
  <c r="BM132" i="24"/>
  <c r="BL173" i="25"/>
  <c r="BM96" i="24"/>
  <c r="BM48" i="24"/>
  <c r="BL11" i="25"/>
  <c r="BL59" i="25"/>
  <c r="BL91" i="25"/>
  <c r="AM605" i="29"/>
  <c r="AM474" i="29"/>
  <c r="AO474" i="29" s="1"/>
  <c r="U474" i="29" s="1"/>
  <c r="AP506" i="29"/>
  <c r="AQ506" i="29" s="1"/>
  <c r="AR506" i="29" s="1"/>
  <c r="AP285" i="29"/>
  <c r="AQ285" i="29" s="1"/>
  <c r="AR285" i="29" s="1"/>
  <c r="AM336" i="29"/>
  <c r="AN28" i="29"/>
  <c r="K58" i="2"/>
  <c r="BM196" i="24"/>
  <c r="BM206" i="24"/>
  <c r="BM181" i="24"/>
  <c r="BM117" i="24"/>
  <c r="BL120" i="25"/>
  <c r="BL118" i="25"/>
  <c r="BL194" i="25"/>
  <c r="BM95" i="24"/>
  <c r="BM79" i="24"/>
  <c r="BM63" i="24"/>
  <c r="BM47" i="24"/>
  <c r="BM31" i="24"/>
  <c r="BM15" i="24"/>
  <c r="D159" i="8"/>
  <c r="BL28" i="25"/>
  <c r="BL44" i="25"/>
  <c r="BL60" i="25"/>
  <c r="BL76" i="25"/>
  <c r="BL92" i="25"/>
  <c r="AN602" i="29"/>
  <c r="AN471" i="29"/>
  <c r="AM570" i="29"/>
  <c r="AN444" i="29"/>
  <c r="AP258" i="29"/>
  <c r="AQ258" i="29" s="1"/>
  <c r="AR258" i="29" s="1"/>
  <c r="AM305" i="29"/>
  <c r="AO305" i="29" s="1"/>
  <c r="V305" i="29" s="1"/>
  <c r="AN41" i="29"/>
  <c r="AN20" i="29"/>
  <c r="BM97" i="24"/>
  <c r="BM17" i="24"/>
  <c r="BL74" i="25"/>
  <c r="AM511" i="29"/>
  <c r="AO511" i="29" s="1"/>
  <c r="AP401" i="29"/>
  <c r="AQ401" i="29" s="1"/>
  <c r="AR401" i="29" s="1"/>
  <c r="AN215" i="29"/>
  <c r="BM187" i="24"/>
  <c r="BM191" i="24"/>
  <c r="BM200" i="24"/>
  <c r="BM210" i="24"/>
  <c r="BM116" i="24"/>
  <c r="BM177" i="24"/>
  <c r="BM113" i="24"/>
  <c r="BM94" i="24"/>
  <c r="BM78" i="24"/>
  <c r="BM62" i="24"/>
  <c r="BM46" i="24"/>
  <c r="BM30" i="24"/>
  <c r="BM14" i="24"/>
  <c r="BL13" i="25"/>
  <c r="BL77" i="25"/>
  <c r="BL93" i="25"/>
  <c r="AP597" i="29"/>
  <c r="AQ597" i="29" s="1"/>
  <c r="AR597" i="29" s="1"/>
  <c r="AM437" i="29"/>
  <c r="AP564" i="29"/>
  <c r="AQ564" i="29" s="1"/>
  <c r="AR564" i="29" s="1"/>
  <c r="AP441" i="29"/>
  <c r="AQ441" i="29" s="1"/>
  <c r="AR441" i="29" s="1"/>
  <c r="AM384" i="29"/>
  <c r="AP436" i="29"/>
  <c r="AQ436" i="29" s="1"/>
  <c r="AR436" i="29" s="1"/>
  <c r="AP38" i="29"/>
  <c r="AQ38" i="29" s="1"/>
  <c r="AR38" i="29" s="1"/>
  <c r="AN227" i="29"/>
  <c r="BM65" i="24"/>
  <c r="BL58" i="25"/>
  <c r="AP343" i="29"/>
  <c r="AQ343" i="29" s="1"/>
  <c r="AR343" i="29" s="1"/>
  <c r="BM202" i="24"/>
  <c r="BL116" i="25"/>
  <c r="BL114" i="25"/>
  <c r="BM64" i="24"/>
  <c r="BM16" i="24"/>
  <c r="BL27" i="25"/>
  <c r="AM382" i="29"/>
  <c r="AP43" i="29"/>
  <c r="AQ43" i="29" s="1"/>
  <c r="AR43" i="29" s="1"/>
  <c r="BL185" i="25"/>
  <c r="BM77" i="24"/>
  <c r="BM61" i="24"/>
  <c r="BM29" i="24"/>
  <c r="BM13" i="24"/>
  <c r="BL14" i="25"/>
  <c r="BL46" i="25"/>
  <c r="BL62" i="25"/>
  <c r="BL94" i="25"/>
  <c r="AP547" i="29"/>
  <c r="AQ547" i="29" s="1"/>
  <c r="AR547" i="29" s="1"/>
  <c r="AN601" i="29"/>
  <c r="AM562" i="29"/>
  <c r="AO562" i="29" s="1"/>
  <c r="U562" i="29" s="1"/>
  <c r="AN438" i="29"/>
  <c r="AO438" i="29" s="1"/>
  <c r="AN381" i="29"/>
  <c r="AM378" i="29"/>
  <c r="AN29" i="29"/>
  <c r="AP216" i="29"/>
  <c r="AQ216" i="29" s="1"/>
  <c r="AR216" i="29" s="1"/>
  <c r="BM81" i="24"/>
  <c r="BM33" i="24"/>
  <c r="AP476" i="29"/>
  <c r="AQ476" i="29" s="1"/>
  <c r="AR476" i="29" s="1"/>
  <c r="AN288" i="29"/>
  <c r="AP203" i="29"/>
  <c r="AQ203" i="29" s="1"/>
  <c r="AR203" i="29" s="1"/>
  <c r="BM185" i="24"/>
  <c r="BL110" i="25"/>
  <c r="BM80" i="24"/>
  <c r="BM32" i="24"/>
  <c r="BM176" i="24"/>
  <c r="BL132" i="25"/>
  <c r="BL206" i="25"/>
  <c r="BM92" i="24"/>
  <c r="BM76" i="24"/>
  <c r="BM60" i="24"/>
  <c r="BM44" i="24"/>
  <c r="BM28" i="24"/>
  <c r="BM12" i="24"/>
  <c r="BL15" i="25"/>
  <c r="BL47" i="25"/>
  <c r="BL63" i="25"/>
  <c r="BL79" i="25"/>
  <c r="BL95" i="25"/>
  <c r="AM530" i="29"/>
  <c r="AN541" i="29"/>
  <c r="AO541" i="29" s="1"/>
  <c r="AM465" i="29"/>
  <c r="AO465" i="29" s="1"/>
  <c r="AP322" i="29"/>
  <c r="AQ322" i="29" s="1"/>
  <c r="AR322" i="29" s="1"/>
  <c r="AP376" i="29"/>
  <c r="AQ376" i="29" s="1"/>
  <c r="AR376" i="29" s="1"/>
  <c r="AM373" i="29"/>
  <c r="AN204" i="29"/>
  <c r="AM183" i="29"/>
  <c r="AO183" i="29" s="1"/>
  <c r="Q4" i="29"/>
  <c r="T471" i="29"/>
  <c r="T456" i="29"/>
  <c r="S459" i="29"/>
  <c r="S317" i="29"/>
  <c r="T244" i="29"/>
  <c r="S256" i="29"/>
  <c r="S498" i="29"/>
  <c r="T483" i="29"/>
  <c r="S484" i="29"/>
  <c r="T273" i="29"/>
  <c r="S247" i="29"/>
  <c r="S285" i="29"/>
  <c r="T552" i="29"/>
  <c r="T544" i="29"/>
  <c r="T575" i="29"/>
  <c r="T297" i="29"/>
  <c r="S279" i="29"/>
  <c r="S238" i="29"/>
  <c r="U389" i="29"/>
  <c r="AO304" i="29"/>
  <c r="AO412" i="29"/>
  <c r="U412" i="29" s="1"/>
  <c r="AO105" i="29"/>
  <c r="AO97" i="29"/>
  <c r="U97" i="29" s="1"/>
  <c r="V180" i="29"/>
  <c r="AO598" i="29"/>
  <c r="AO322" i="29"/>
  <c r="AO299" i="29"/>
  <c r="V299" i="29" s="1"/>
  <c r="AO55" i="29"/>
  <c r="V55" i="29" s="1"/>
  <c r="AO498" i="29"/>
  <c r="C38" i="16"/>
  <c r="D38" i="16"/>
  <c r="Q5" i="29"/>
  <c r="N473" i="29" s="1"/>
  <c r="O329" i="25"/>
  <c r="A208" i="2"/>
  <c r="I325" i="24"/>
  <c r="G327" i="24" s="1"/>
  <c r="I27" i="8" s="1"/>
  <c r="I325" i="25"/>
  <c r="G327" i="25" s="1"/>
  <c r="C39" i="16"/>
  <c r="D39" i="16"/>
  <c r="G322" i="25"/>
  <c r="G322" i="24"/>
  <c r="H110" i="25"/>
  <c r="BB322" i="24"/>
  <c r="C41" i="16"/>
  <c r="D41" i="16" s="1"/>
  <c r="I10" i="8"/>
  <c r="J10" i="8" s="1"/>
  <c r="B171" i="2" s="1"/>
  <c r="B235" i="2" s="1"/>
  <c r="B50" i="19"/>
  <c r="D50" i="19" s="1"/>
  <c r="AO401" i="29"/>
  <c r="U401" i="29" s="1"/>
  <c r="AO155" i="29"/>
  <c r="U155" i="29" s="1"/>
  <c r="M1" i="24"/>
  <c r="BP110" i="25"/>
  <c r="U2" i="24"/>
  <c r="V329" i="29"/>
  <c r="AO160" i="29"/>
  <c r="A235" i="2"/>
  <c r="B226" i="2"/>
  <c r="D31" i="16" s="1"/>
  <c r="AO23" i="29"/>
  <c r="E31" i="23"/>
  <c r="R31" i="23" s="1"/>
  <c r="K203" i="24"/>
  <c r="M160" i="24"/>
  <c r="N160" i="24" s="1"/>
  <c r="P160" i="24" s="1"/>
  <c r="K112" i="24"/>
  <c r="K122" i="24"/>
  <c r="AO533" i="29"/>
  <c r="V533" i="29" s="1"/>
  <c r="M111" i="24"/>
  <c r="N111" i="24" s="1"/>
  <c r="P111" i="24" s="1"/>
  <c r="U62" i="29"/>
  <c r="AO204" i="29"/>
  <c r="V204" i="29" s="1"/>
  <c r="B208" i="2"/>
  <c r="K309" i="24"/>
  <c r="L199" i="25"/>
  <c r="N195" i="25"/>
  <c r="L179" i="25"/>
  <c r="U486" i="29"/>
  <c r="M150" i="24"/>
  <c r="N150" i="24" s="1"/>
  <c r="P150" i="24" s="1"/>
  <c r="F15" i="23"/>
  <c r="G15" i="23" s="1"/>
  <c r="H15" i="23" s="1"/>
  <c r="F6" i="23"/>
  <c r="G6" i="23" s="1"/>
  <c r="H6" i="23" s="1"/>
  <c r="F27" i="23"/>
  <c r="G27" i="23" s="1"/>
  <c r="H27" i="23" s="1"/>
  <c r="I71" i="23"/>
  <c r="I45" i="23"/>
  <c r="N180" i="25"/>
  <c r="U329" i="29"/>
  <c r="AO290" i="29"/>
  <c r="M155" i="24"/>
  <c r="N155" i="24" s="1"/>
  <c r="P155" i="24" s="1"/>
  <c r="K178" i="24"/>
  <c r="N271" i="25"/>
  <c r="N176" i="25"/>
  <c r="L137" i="25"/>
  <c r="N205" i="25"/>
  <c r="N182" i="25"/>
  <c r="C31" i="16"/>
  <c r="B228" i="2"/>
  <c r="AO530" i="29"/>
  <c r="S61" i="2"/>
  <c r="R61" i="2" s="1"/>
  <c r="M144" i="24"/>
  <c r="N144" i="24" s="1"/>
  <c r="P144" i="24" s="1"/>
  <c r="M148" i="24"/>
  <c r="N148" i="24" s="1"/>
  <c r="P148" i="24" s="1"/>
  <c r="K167" i="24"/>
  <c r="M209" i="24"/>
  <c r="N209" i="24" s="1"/>
  <c r="P209" i="24" s="1"/>
  <c r="N177" i="25"/>
  <c r="K56" i="2"/>
  <c r="U512" i="29"/>
  <c r="AO282" i="29"/>
  <c r="V282" i="29" s="1"/>
  <c r="M315" i="24"/>
  <c r="N315" i="24" s="1"/>
  <c r="P315" i="24" s="1"/>
  <c r="N150" i="25"/>
  <c r="H5" i="24"/>
  <c r="F83" i="23"/>
  <c r="G83" i="23" s="1"/>
  <c r="H83" i="23" s="1"/>
  <c r="F106" i="23"/>
  <c r="G106" i="23" s="1"/>
  <c r="H106" i="23" s="1"/>
  <c r="E105" i="23"/>
  <c r="R105" i="23" s="1"/>
  <c r="K152" i="24"/>
  <c r="B9" i="19"/>
  <c r="D9" i="19" s="1"/>
  <c r="E22" i="23"/>
  <c r="R22" i="23" s="1"/>
  <c r="H110" i="24"/>
  <c r="H216" i="25"/>
  <c r="N175" i="25"/>
  <c r="L121" i="25"/>
  <c r="N153" i="25"/>
  <c r="N166" i="25"/>
  <c r="L202" i="25"/>
  <c r="AO613" i="29"/>
  <c r="I53" i="23"/>
  <c r="B30" i="2"/>
  <c r="AW2" i="25" s="1"/>
  <c r="F28" i="1"/>
  <c r="E9" i="23"/>
  <c r="R9" i="23" s="1"/>
  <c r="H216" i="24"/>
  <c r="M128" i="24"/>
  <c r="N128" i="24" s="1"/>
  <c r="P128" i="24" s="1"/>
  <c r="K197" i="24"/>
  <c r="H5" i="25"/>
  <c r="L196" i="25"/>
  <c r="N187" i="25"/>
  <c r="F63" i="23"/>
  <c r="G63" i="23" s="1"/>
  <c r="H63" i="23" s="1"/>
  <c r="E52" i="23"/>
  <c r="R52" i="23" s="1"/>
  <c r="K302" i="24"/>
  <c r="K170" i="24"/>
  <c r="M146" i="24"/>
  <c r="N146" i="24" s="1"/>
  <c r="P146" i="24" s="1"/>
  <c r="D78" i="2"/>
  <c r="B92" i="2"/>
  <c r="L6" i="1" s="1"/>
  <c r="V178" i="29"/>
  <c r="AO503" i="29"/>
  <c r="AO433" i="29"/>
  <c r="AO292" i="29"/>
  <c r="AO348" i="29"/>
  <c r="AO151" i="29"/>
  <c r="AO57" i="29"/>
  <c r="V57" i="29" s="1"/>
  <c r="AO124" i="29"/>
  <c r="V124" i="29" s="1"/>
  <c r="AO93" i="29"/>
  <c r="U93" i="29" s="1"/>
  <c r="U195" i="29"/>
  <c r="AO602" i="29"/>
  <c r="BL187" i="25"/>
  <c r="B252" i="2"/>
  <c r="V389" i="29"/>
  <c r="AO362" i="29"/>
  <c r="AO342" i="29"/>
  <c r="U342" i="29" s="1"/>
  <c r="AO408" i="29"/>
  <c r="U408" i="29" s="1"/>
  <c r="AO253" i="29"/>
  <c r="U253" i="29" s="1"/>
  <c r="V97" i="29"/>
  <c r="V268" i="29"/>
  <c r="AO390" i="29"/>
  <c r="V390" i="29" s="1"/>
  <c r="AO327" i="29"/>
  <c r="AO371" i="29"/>
  <c r="V371" i="29" s="1"/>
  <c r="AO328" i="29"/>
  <c r="AO419" i="29"/>
  <c r="U419" i="29" s="1"/>
  <c r="AO336" i="29"/>
  <c r="U336" i="29" s="1"/>
  <c r="AO184" i="29"/>
  <c r="V184" i="29" s="1"/>
  <c r="AO424" i="29"/>
  <c r="V424" i="29" s="1"/>
  <c r="AO516" i="29"/>
  <c r="V516" i="29" s="1"/>
  <c r="AO325" i="29"/>
  <c r="AO254" i="29"/>
  <c r="V403" i="29"/>
  <c r="A252" i="2"/>
  <c r="M30" i="24"/>
  <c r="AO535" i="29"/>
  <c r="AO67" i="29"/>
  <c r="BV1" i="24"/>
  <c r="C33" i="16"/>
  <c r="C3" i="8"/>
  <c r="C159" i="8" s="1"/>
  <c r="C158" i="8" s="1"/>
  <c r="C157" i="8" s="1"/>
  <c r="G272" i="25"/>
  <c r="I272" i="25" s="1"/>
  <c r="M53" i="24"/>
  <c r="B224" i="2"/>
  <c r="B17" i="19"/>
  <c r="D17" i="19" s="1"/>
  <c r="B19" i="19" s="1"/>
  <c r="D19" i="19" s="1"/>
  <c r="N49" i="25"/>
  <c r="M70" i="24"/>
  <c r="N70" i="24" s="1"/>
  <c r="R50" i="2"/>
  <c r="R51" i="2" s="1"/>
  <c r="M159" i="24"/>
  <c r="N159" i="24" s="1"/>
  <c r="P159" i="24" s="1"/>
  <c r="K155" i="24"/>
  <c r="K65" i="24"/>
  <c r="BM155" i="24"/>
  <c r="M207" i="24"/>
  <c r="N207" i="24" s="1"/>
  <c r="P207" i="24" s="1"/>
  <c r="K120" i="24"/>
  <c r="M65" i="24"/>
  <c r="N65" i="24" s="1"/>
  <c r="K21" i="24"/>
  <c r="B213" i="2"/>
  <c r="K51" i="24"/>
  <c r="K73" i="24"/>
  <c r="B123" i="2"/>
  <c r="M145" i="24"/>
  <c r="N145" i="24" s="1"/>
  <c r="P145" i="24" s="1"/>
  <c r="L141" i="25"/>
  <c r="BL182" i="25"/>
  <c r="L114" i="25"/>
  <c r="L150" i="25"/>
  <c r="N123" i="25"/>
  <c r="N114" i="25"/>
  <c r="L207" i="25"/>
  <c r="BM209" i="24"/>
  <c r="BL137" i="25"/>
  <c r="BL199" i="25"/>
  <c r="K148" i="24"/>
  <c r="L203" i="25"/>
  <c r="M116" i="24"/>
  <c r="N116" i="24" s="1"/>
  <c r="P116" i="24" s="1"/>
  <c r="BL179" i="25"/>
  <c r="BM148" i="24"/>
  <c r="BL205" i="25"/>
  <c r="M200" i="24"/>
  <c r="N200" i="24" s="1"/>
  <c r="P200" i="24" s="1"/>
  <c r="K191" i="24"/>
  <c r="BL176" i="25"/>
  <c r="BM144" i="24"/>
  <c r="N199" i="25"/>
  <c r="BM150" i="24"/>
  <c r="K150" i="24"/>
  <c r="K154" i="24"/>
  <c r="K172" i="24"/>
  <c r="K206" i="24"/>
  <c r="N178" i="25"/>
  <c r="BL65" i="25"/>
  <c r="M39" i="24"/>
  <c r="N39" i="24" s="1"/>
  <c r="K90" i="24"/>
  <c r="L55" i="25"/>
  <c r="M183" i="24"/>
  <c r="N183" i="24" s="1"/>
  <c r="P183" i="24" s="1"/>
  <c r="BM178" i="24"/>
  <c r="M168" i="24"/>
  <c r="N168" i="24" s="1"/>
  <c r="P168" i="24" s="1"/>
  <c r="BL150" i="25"/>
  <c r="BL196" i="25"/>
  <c r="M153" i="24"/>
  <c r="N153" i="24" s="1"/>
  <c r="P153" i="24" s="1"/>
  <c r="K193" i="24"/>
  <c r="N164" i="25"/>
  <c r="N191" i="25"/>
  <c r="BM167" i="24"/>
  <c r="N132" i="25"/>
  <c r="BM146" i="24"/>
  <c r="BL175" i="25"/>
  <c r="M120" i="24"/>
  <c r="N120" i="24" s="1"/>
  <c r="P120" i="24" s="1"/>
  <c r="N118" i="25"/>
  <c r="L118" i="25"/>
  <c r="BL177" i="25"/>
  <c r="L145" i="25"/>
  <c r="N163" i="25"/>
  <c r="BM128" i="24"/>
  <c r="BL202" i="25"/>
  <c r="N210" i="25"/>
  <c r="K146" i="24"/>
  <c r="M130" i="24"/>
  <c r="N130" i="24" s="1"/>
  <c r="P130" i="24" s="1"/>
  <c r="M129" i="24"/>
  <c r="N129" i="24" s="1"/>
  <c r="P129" i="24" s="1"/>
  <c r="L171" i="25"/>
  <c r="BM160" i="24"/>
  <c r="BM197" i="24"/>
  <c r="M165" i="24"/>
  <c r="N165" i="24" s="1"/>
  <c r="P165" i="24" s="1"/>
  <c r="K165" i="24"/>
  <c r="K131" i="24"/>
  <c r="K136" i="24"/>
  <c r="N147" i="25"/>
  <c r="BL166" i="25"/>
  <c r="L210" i="25"/>
  <c r="M204" i="24"/>
  <c r="N204" i="24" s="1"/>
  <c r="P204" i="24" s="1"/>
  <c r="K149" i="24"/>
  <c r="K110" i="24"/>
  <c r="K182" i="24"/>
  <c r="M175" i="24"/>
  <c r="N175" i="24" s="1"/>
  <c r="P175" i="24" s="1"/>
  <c r="K194" i="24"/>
  <c r="M158" i="24"/>
  <c r="N158" i="24" s="1"/>
  <c r="P158" i="24" s="1"/>
  <c r="K187" i="24"/>
  <c r="K116" i="24"/>
  <c r="L157" i="25"/>
  <c r="L127" i="25"/>
  <c r="N112" i="25"/>
  <c r="N185" i="25"/>
  <c r="N174" i="25"/>
  <c r="N140" i="25"/>
  <c r="L172" i="25"/>
  <c r="M125" i="24"/>
  <c r="N125" i="24" s="1"/>
  <c r="P125" i="24" s="1"/>
  <c r="K130" i="24"/>
  <c r="K121" i="24"/>
  <c r="K113" i="24"/>
  <c r="K175" i="24"/>
  <c r="L123" i="25"/>
  <c r="N173" i="25"/>
  <c r="N155" i="25"/>
  <c r="M48" i="24"/>
  <c r="N48" i="24" s="1"/>
  <c r="K76" i="24"/>
  <c r="E86" i="23"/>
  <c r="R86" i="23" s="1"/>
  <c r="K53" i="24"/>
  <c r="M133" i="24"/>
  <c r="N133" i="24" s="1"/>
  <c r="P133" i="24" s="1"/>
  <c r="M189" i="24"/>
  <c r="N189" i="24" s="1"/>
  <c r="P189" i="24" s="1"/>
  <c r="K119" i="24"/>
  <c r="M197" i="24"/>
  <c r="N197" i="24" s="1"/>
  <c r="P197" i="24" s="1"/>
  <c r="K123" i="24"/>
  <c r="M114" i="24"/>
  <c r="N114" i="24" s="1"/>
  <c r="P114" i="24" s="1"/>
  <c r="K177" i="24"/>
  <c r="M191" i="24"/>
  <c r="N191" i="24" s="1"/>
  <c r="P191" i="24" s="1"/>
  <c r="M113" i="24"/>
  <c r="N113" i="24" s="1"/>
  <c r="P113" i="24" s="1"/>
  <c r="L125" i="25"/>
  <c r="L208" i="25"/>
  <c r="N201" i="25"/>
  <c r="N192" i="25"/>
  <c r="L142" i="25"/>
  <c r="L133" i="25"/>
  <c r="N115" i="25"/>
  <c r="M157" i="24"/>
  <c r="N157" i="24" s="1"/>
  <c r="P157" i="24" s="1"/>
  <c r="K129" i="24"/>
  <c r="M188" i="24"/>
  <c r="N188" i="24" s="1"/>
  <c r="P188" i="24" s="1"/>
  <c r="K144" i="24"/>
  <c r="M172" i="24"/>
  <c r="N172" i="24" s="1"/>
  <c r="P172" i="24" s="1"/>
  <c r="K153" i="24"/>
  <c r="M210" i="24"/>
  <c r="N210" i="24" s="1"/>
  <c r="P210" i="24" s="1"/>
  <c r="M115" i="24"/>
  <c r="N115" i="24" s="1"/>
  <c r="P115" i="24" s="1"/>
  <c r="K114" i="24"/>
  <c r="L201" i="25"/>
  <c r="N203" i="25"/>
  <c r="L160" i="25"/>
  <c r="N171" i="25"/>
  <c r="N197" i="25"/>
  <c r="I89" i="23"/>
  <c r="I93" i="23"/>
  <c r="F75" i="23"/>
  <c r="G75" i="23" s="1"/>
  <c r="H75" i="23" s="1"/>
  <c r="I42" i="23"/>
  <c r="F17" i="23"/>
  <c r="G17" i="23" s="1"/>
  <c r="H17" i="23" s="1"/>
  <c r="K44" i="24"/>
  <c r="E25" i="23"/>
  <c r="R25" i="23" s="1"/>
  <c r="M60" i="24"/>
  <c r="N60" i="24" s="1"/>
  <c r="K16" i="24"/>
  <c r="K222" i="24"/>
  <c r="N277" i="25"/>
  <c r="L183" i="25"/>
  <c r="N168" i="25"/>
  <c r="L200" i="25"/>
  <c r="L161" i="25"/>
  <c r="L138" i="25"/>
  <c r="M184" i="24"/>
  <c r="N184" i="24" s="1"/>
  <c r="P184" i="24" s="1"/>
  <c r="M164" i="24"/>
  <c r="N164" i="24" s="1"/>
  <c r="P164" i="24" s="1"/>
  <c r="M198" i="24"/>
  <c r="N198" i="24" s="1"/>
  <c r="P198" i="24" s="1"/>
  <c r="K142" i="24"/>
  <c r="M151" i="24"/>
  <c r="N151" i="24" s="1"/>
  <c r="P151" i="24" s="1"/>
  <c r="M132" i="24"/>
  <c r="N132" i="24" s="1"/>
  <c r="P132" i="24" s="1"/>
  <c r="M166" i="24"/>
  <c r="N166" i="24" s="1"/>
  <c r="P166" i="24" s="1"/>
  <c r="K161" i="24"/>
  <c r="K115" i="24"/>
  <c r="N179" i="25"/>
  <c r="N169" i="25"/>
  <c r="N160" i="25"/>
  <c r="L128" i="25"/>
  <c r="L165" i="25"/>
  <c r="N194" i="25"/>
  <c r="K158" i="24"/>
  <c r="K117" i="24"/>
  <c r="M163" i="24"/>
  <c r="N163" i="24" s="1"/>
  <c r="P163" i="24" s="1"/>
  <c r="K185" i="24"/>
  <c r="K135" i="24"/>
  <c r="K166" i="24"/>
  <c r="K151" i="24"/>
  <c r="L182" i="25"/>
  <c r="L185" i="25"/>
  <c r="L175" i="25"/>
  <c r="L144" i="25"/>
  <c r="N202" i="25"/>
  <c r="L187" i="25"/>
  <c r="L194" i="25"/>
  <c r="N133" i="25"/>
  <c r="N207" i="25"/>
  <c r="N157" i="25"/>
  <c r="I57" i="23"/>
  <c r="F97" i="23"/>
  <c r="G97" i="23" s="1"/>
  <c r="H97" i="23" s="1"/>
  <c r="I90" i="23"/>
  <c r="I18" i="23"/>
  <c r="K35" i="24"/>
  <c r="K37" i="24"/>
  <c r="K64" i="24"/>
  <c r="M78" i="24"/>
  <c r="N78" i="24" s="1"/>
  <c r="E27" i="23"/>
  <c r="N27" i="23" s="1"/>
  <c r="O27" i="23" s="1"/>
  <c r="P27" i="23" s="1"/>
  <c r="Q27" i="23" s="1"/>
  <c r="L51" i="25"/>
  <c r="M259" i="24"/>
  <c r="N259" i="24" s="1"/>
  <c r="P259" i="24" s="1"/>
  <c r="K157" i="24"/>
  <c r="M127" i="24"/>
  <c r="N127" i="24" s="1"/>
  <c r="P127" i="24" s="1"/>
  <c r="K125" i="24"/>
  <c r="M124" i="24"/>
  <c r="N124" i="24" s="1"/>
  <c r="P124" i="24" s="1"/>
  <c r="K196" i="24"/>
  <c r="M135" i="24"/>
  <c r="N135" i="24" s="1"/>
  <c r="P135" i="24" s="1"/>
  <c r="K210" i="24"/>
  <c r="M193" i="24"/>
  <c r="N193" i="24" s="1"/>
  <c r="P193" i="24" s="1"/>
  <c r="K128" i="24"/>
  <c r="L205" i="25"/>
  <c r="N137" i="25"/>
  <c r="N206" i="25"/>
  <c r="N129" i="25"/>
  <c r="L204" i="25"/>
  <c r="L195" i="25"/>
  <c r="L176" i="25"/>
  <c r="K174" i="24"/>
  <c r="M177" i="24"/>
  <c r="N177" i="24" s="1"/>
  <c r="P177" i="24" s="1"/>
  <c r="K118" i="24"/>
  <c r="K202" i="24"/>
  <c r="K126" i="24"/>
  <c r="M142" i="24"/>
  <c r="N142" i="24" s="1"/>
  <c r="P142" i="24" s="1"/>
  <c r="I101" i="23"/>
  <c r="I44" i="23"/>
  <c r="I51" i="23"/>
  <c r="M21" i="24"/>
  <c r="N21" i="24" s="1"/>
  <c r="E49" i="23"/>
  <c r="R49" i="23" s="1"/>
  <c r="M92" i="24"/>
  <c r="N92" i="24" s="1"/>
  <c r="K92" i="24"/>
  <c r="E24" i="23"/>
  <c r="R24" i="23" s="1"/>
  <c r="K223" i="24"/>
  <c r="M123" i="24"/>
  <c r="N123" i="24" s="1"/>
  <c r="P123" i="24" s="1"/>
  <c r="K133" i="24"/>
  <c r="L77" i="25"/>
  <c r="L148" i="25"/>
  <c r="L180" i="25"/>
  <c r="N127" i="25"/>
  <c r="N141" i="25"/>
  <c r="N190" i="25"/>
  <c r="M245" i="24"/>
  <c r="N245" i="24" s="1"/>
  <c r="P245" i="24" s="1"/>
  <c r="M171" i="24"/>
  <c r="N171" i="24" s="1"/>
  <c r="P171" i="24" s="1"/>
  <c r="K159" i="24"/>
  <c r="M178" i="24"/>
  <c r="N178" i="24" s="1"/>
  <c r="P178" i="24" s="1"/>
  <c r="M117" i="24"/>
  <c r="N117" i="24" s="1"/>
  <c r="P117" i="24" s="1"/>
  <c r="K192" i="24"/>
  <c r="K145" i="24"/>
  <c r="K208" i="24"/>
  <c r="K188" i="24"/>
  <c r="N196" i="25"/>
  <c r="L173" i="25"/>
  <c r="N144" i="25"/>
  <c r="N209" i="25"/>
  <c r="L163" i="25"/>
  <c r="L146" i="25"/>
  <c r="N130" i="25"/>
  <c r="S110" i="24"/>
  <c r="T110" i="24" s="1"/>
  <c r="O110" i="24" s="1"/>
  <c r="M179" i="24"/>
  <c r="N179" i="24" s="1"/>
  <c r="P179" i="24" s="1"/>
  <c r="M208" i="24"/>
  <c r="N208" i="24" s="1"/>
  <c r="P208" i="24" s="1"/>
  <c r="L169" i="25"/>
  <c r="N208" i="25"/>
  <c r="L112" i="25"/>
  <c r="L178" i="25"/>
  <c r="L193" i="25"/>
  <c r="I80" i="23"/>
  <c r="F43" i="23"/>
  <c r="G43" i="23" s="1"/>
  <c r="H43" i="23" s="1"/>
  <c r="I78" i="23"/>
  <c r="F10" i="23"/>
  <c r="G10" i="23" s="1"/>
  <c r="H10" i="23" s="1"/>
  <c r="E41" i="23"/>
  <c r="R41" i="23" s="1"/>
  <c r="E81" i="23"/>
  <c r="R81" i="23" s="1"/>
  <c r="E82" i="23"/>
  <c r="R82" i="23" s="1"/>
  <c r="M91" i="24"/>
  <c r="N91" i="24" s="1"/>
  <c r="E20" i="23"/>
  <c r="R20" i="23" s="1"/>
  <c r="M302" i="24"/>
  <c r="N302" i="24" s="1"/>
  <c r="P302" i="24" s="1"/>
  <c r="K259" i="24"/>
  <c r="K179" i="24"/>
  <c r="M126" i="24"/>
  <c r="N126" i="24" s="1"/>
  <c r="P126" i="24" s="1"/>
  <c r="M161" i="24"/>
  <c r="N161" i="24" s="1"/>
  <c r="P161" i="24" s="1"/>
  <c r="N223" i="25"/>
  <c r="M223" i="24"/>
  <c r="N223" i="24" s="1"/>
  <c r="P223" i="24" s="1"/>
  <c r="F42" i="23"/>
  <c r="J42" i="23" s="1"/>
  <c r="L42" i="23" s="1"/>
  <c r="F93" i="23"/>
  <c r="G93" i="23" s="1"/>
  <c r="H93" i="23" s="1"/>
  <c r="I83" i="23"/>
  <c r="F71" i="23"/>
  <c r="G71" i="23" s="1"/>
  <c r="H71" i="23" s="1"/>
  <c r="I92" i="23"/>
  <c r="BL180" i="25"/>
  <c r="L153" i="25"/>
  <c r="BL153" i="25"/>
  <c r="BL130" i="25"/>
  <c r="L130" i="25"/>
  <c r="M328" i="29"/>
  <c r="M438" i="29"/>
  <c r="N93" i="29"/>
  <c r="M153" i="29"/>
  <c r="M359" i="29"/>
  <c r="N589" i="29"/>
  <c r="N196" i="29"/>
  <c r="M560" i="29"/>
  <c r="M400" i="29"/>
  <c r="M241" i="29"/>
  <c r="N387" i="29"/>
  <c r="M341" i="29"/>
  <c r="M582" i="29"/>
  <c r="N380" i="29"/>
  <c r="M486" i="29"/>
  <c r="M193" i="29"/>
  <c r="N549" i="29"/>
  <c r="N476" i="29"/>
  <c r="M549" i="29"/>
  <c r="N340" i="29"/>
  <c r="N30" i="29"/>
  <c r="M506" i="29"/>
  <c r="M407" i="29"/>
  <c r="N470" i="29"/>
  <c r="N418" i="29"/>
  <c r="M532" i="29"/>
  <c r="M462" i="29"/>
  <c r="M451" i="29"/>
  <c r="M330" i="29"/>
  <c r="M394" i="29"/>
  <c r="M444" i="29"/>
  <c r="N234" i="29"/>
  <c r="M377" i="29"/>
  <c r="M177" i="29"/>
  <c r="M443" i="29"/>
  <c r="N461" i="29"/>
  <c r="M21" i="29"/>
  <c r="N110" i="25"/>
  <c r="L110" i="25"/>
  <c r="L131" i="25"/>
  <c r="N116" i="25"/>
  <c r="L166" i="25"/>
  <c r="N227" i="29"/>
  <c r="N497" i="29"/>
  <c r="N365" i="29"/>
  <c r="M260" i="29"/>
  <c r="M49" i="29"/>
  <c r="M363" i="29"/>
  <c r="N148" i="25"/>
  <c r="BL148" i="25"/>
  <c r="F28" i="23"/>
  <c r="G28" i="23" s="1"/>
  <c r="H28" i="23" s="1"/>
  <c r="M170" i="24"/>
  <c r="N170" i="24" s="1"/>
  <c r="P170" i="24" s="1"/>
  <c r="BM170" i="24"/>
  <c r="L174" i="25"/>
  <c r="BL174" i="25"/>
  <c r="L101" i="25"/>
  <c r="L91" i="25"/>
  <c r="E28" i="23"/>
  <c r="R28" i="23" s="1"/>
  <c r="K82" i="24"/>
  <c r="M102" i="24"/>
  <c r="N102" i="24" s="1"/>
  <c r="K5" i="24"/>
  <c r="E93" i="23"/>
  <c r="M17" i="24"/>
  <c r="N17" i="24" s="1"/>
  <c r="K56" i="24"/>
  <c r="K62" i="24"/>
  <c r="M51" i="24"/>
  <c r="N51" i="24" s="1"/>
  <c r="L93" i="25"/>
  <c r="N35" i="25"/>
  <c r="E92" i="23"/>
  <c r="R92" i="23" s="1"/>
  <c r="K85" i="24"/>
  <c r="K71" i="24"/>
  <c r="M36" i="24"/>
  <c r="N36" i="24" s="1"/>
  <c r="E77" i="23"/>
  <c r="R77" i="23" s="1"/>
  <c r="M69" i="24"/>
  <c r="N69" i="24" s="1"/>
  <c r="M16" i="24"/>
  <c r="N16" i="24" s="1"/>
  <c r="K38" i="24"/>
  <c r="M31" i="24"/>
  <c r="N31" i="24" s="1"/>
  <c r="L100" i="25"/>
  <c r="L47" i="25"/>
  <c r="L75" i="25"/>
  <c r="N32" i="25"/>
  <c r="E64" i="23"/>
  <c r="R64" i="23" s="1"/>
  <c r="M80" i="24"/>
  <c r="N80" i="24" s="1"/>
  <c r="M101" i="24"/>
  <c r="N101" i="24" s="1"/>
  <c r="M43" i="24"/>
  <c r="N43" i="24" s="1"/>
  <c r="E98" i="23"/>
  <c r="R98" i="23" s="1"/>
  <c r="M15" i="24"/>
  <c r="N15" i="24" s="1"/>
  <c r="K88" i="24"/>
  <c r="N131" i="25"/>
  <c r="L168" i="25"/>
  <c r="N165" i="25"/>
  <c r="L132" i="25"/>
  <c r="L102" i="25"/>
  <c r="E104" i="23"/>
  <c r="R104" i="23" s="1"/>
  <c r="M89" i="24"/>
  <c r="N89" i="24" s="1"/>
  <c r="M67" i="24"/>
  <c r="N67" i="24" s="1"/>
  <c r="K13" i="24"/>
  <c r="E66" i="23"/>
  <c r="R66" i="23" s="1"/>
  <c r="M23" i="24"/>
  <c r="N23" i="24" s="1"/>
  <c r="K63" i="24"/>
  <c r="L191" i="25"/>
  <c r="N172" i="25"/>
  <c r="N146" i="25"/>
  <c r="L190" i="25"/>
  <c r="BM133" i="24"/>
  <c r="M194" i="24"/>
  <c r="N194" i="24" s="1"/>
  <c r="P194" i="24" s="1"/>
  <c r="BL195" i="25"/>
  <c r="BL190" i="25"/>
  <c r="M57" i="24"/>
  <c r="N57" i="24" s="1"/>
  <c r="K41" i="24"/>
  <c r="K312" i="24"/>
  <c r="K238" i="24"/>
  <c r="M273" i="24"/>
  <c r="N273" i="24" s="1"/>
  <c r="P273" i="24" s="1"/>
  <c r="M202" i="24"/>
  <c r="N202" i="24" s="1"/>
  <c r="P202" i="24" s="1"/>
  <c r="K168" i="24"/>
  <c r="K132" i="24"/>
  <c r="M185" i="24"/>
  <c r="N185" i="24" s="1"/>
  <c r="P185" i="24" s="1"/>
  <c r="L271" i="25"/>
  <c r="L245" i="25"/>
  <c r="L87" i="25"/>
  <c r="N136" i="25"/>
  <c r="L167" i="25"/>
  <c r="E18" i="23"/>
  <c r="R18" i="23" s="1"/>
  <c r="K34" i="24"/>
  <c r="E50" i="23"/>
  <c r="R50" i="23" s="1"/>
  <c r="M79" i="24"/>
  <c r="N79" i="24" s="1"/>
  <c r="K22" i="24"/>
  <c r="N69" i="25"/>
  <c r="I105" i="23"/>
  <c r="M288" i="24"/>
  <c r="N288" i="24" s="1"/>
  <c r="P288" i="24" s="1"/>
  <c r="L266" i="25"/>
  <c r="N252" i="25"/>
  <c r="L313" i="25"/>
  <c r="M239" i="24"/>
  <c r="N239" i="24" s="1"/>
  <c r="P239" i="24" s="1"/>
  <c r="K299" i="24"/>
  <c r="K176" i="24"/>
  <c r="M190" i="24"/>
  <c r="N190" i="24" s="1"/>
  <c r="P190" i="24" s="1"/>
  <c r="M201" i="24"/>
  <c r="N201" i="24" s="1"/>
  <c r="P201" i="24" s="1"/>
  <c r="K169" i="24"/>
  <c r="N294" i="25"/>
  <c r="N256" i="25"/>
  <c r="U381" i="29"/>
  <c r="M309" i="24"/>
  <c r="N309" i="24" s="1"/>
  <c r="P309" i="24" s="1"/>
  <c r="M203" i="24"/>
  <c r="N203" i="24" s="1"/>
  <c r="P203" i="24" s="1"/>
  <c r="K160" i="24"/>
  <c r="K207" i="24"/>
  <c r="M112" i="24"/>
  <c r="N112" i="24" s="1"/>
  <c r="P112" i="24" s="1"/>
  <c r="K127" i="24"/>
  <c r="M122" i="24"/>
  <c r="N122" i="24" s="1"/>
  <c r="P122" i="24" s="1"/>
  <c r="K189" i="24"/>
  <c r="L259" i="25"/>
  <c r="N229" i="25"/>
  <c r="U385" i="29"/>
  <c r="V385" i="29"/>
  <c r="AO436" i="29"/>
  <c r="I104" i="23"/>
  <c r="F96" i="23"/>
  <c r="G96" i="23" s="1"/>
  <c r="H96" i="23" s="1"/>
  <c r="I48" i="23"/>
  <c r="I50" i="23"/>
  <c r="F25" i="23"/>
  <c r="G25" i="23" s="1"/>
  <c r="H25" i="23" s="1"/>
  <c r="K276" i="24"/>
  <c r="M261" i="24"/>
  <c r="N261" i="24" s="1"/>
  <c r="P261" i="24" s="1"/>
  <c r="M192" i="24"/>
  <c r="N192" i="24" s="1"/>
  <c r="P192" i="24" s="1"/>
  <c r="M196" i="24"/>
  <c r="N196" i="24" s="1"/>
  <c r="P196" i="24" s="1"/>
  <c r="M206" i="24"/>
  <c r="N206" i="24" s="1"/>
  <c r="P206" i="24" s="1"/>
  <c r="K163" i="24"/>
  <c r="K111" i="24"/>
  <c r="K124" i="24"/>
  <c r="M149" i="24"/>
  <c r="N149" i="24" s="1"/>
  <c r="P149" i="24" s="1"/>
  <c r="L152" i="25"/>
  <c r="L177" i="25"/>
  <c r="O624" i="29"/>
  <c r="F100" i="23"/>
  <c r="G100" i="23" s="1"/>
  <c r="H100" i="23" s="1"/>
  <c r="I99" i="23"/>
  <c r="I85" i="23"/>
  <c r="I40" i="23"/>
  <c r="F46" i="23"/>
  <c r="G46" i="23" s="1"/>
  <c r="H46" i="23" s="1"/>
  <c r="K268" i="24"/>
  <c r="M222" i="24"/>
  <c r="N222" i="24" s="1"/>
  <c r="P222" i="24" s="1"/>
  <c r="K245" i="24"/>
  <c r="M187" i="24"/>
  <c r="N187" i="24" s="1"/>
  <c r="P187" i="24" s="1"/>
  <c r="K200" i="24"/>
  <c r="M167" i="24"/>
  <c r="N167" i="24" s="1"/>
  <c r="P167" i="24" s="1"/>
  <c r="K209" i="24"/>
  <c r="L303" i="25"/>
  <c r="L277" i="25"/>
  <c r="L149" i="25"/>
  <c r="U624" i="29"/>
  <c r="AO351" i="29"/>
  <c r="V351" i="29" s="1"/>
  <c r="U315" i="29"/>
  <c r="AO333" i="29"/>
  <c r="V333" i="29" s="1"/>
  <c r="U55" i="29"/>
  <c r="AO612" i="29"/>
  <c r="AO369" i="29"/>
  <c r="V369" i="29" s="1"/>
  <c r="AO313" i="29"/>
  <c r="U313" i="29" s="1"/>
  <c r="U292" i="29"/>
  <c r="AO482" i="29"/>
  <c r="V482" i="29" s="1"/>
  <c r="AO475" i="29"/>
  <c r="AO593" i="29"/>
  <c r="AO577" i="29"/>
  <c r="AO556" i="29"/>
  <c r="U556" i="29" s="1"/>
  <c r="AO560" i="29"/>
  <c r="AO520" i="29"/>
  <c r="AO497" i="29"/>
  <c r="U497" i="29" s="1"/>
  <c r="AO100" i="29"/>
  <c r="U465" i="29"/>
  <c r="AO374" i="29"/>
  <c r="U201" i="29"/>
  <c r="AO210" i="29"/>
  <c r="U15" i="29"/>
  <c r="AO56" i="29"/>
  <c r="AO71" i="29"/>
  <c r="AO592" i="29"/>
  <c r="AO372" i="29"/>
  <c r="AO488" i="29"/>
  <c r="AO583" i="29"/>
  <c r="U583" i="29" s="1"/>
  <c r="AO153" i="29"/>
  <c r="AO65" i="29"/>
  <c r="L309" i="25"/>
  <c r="N309" i="25"/>
  <c r="D91" i="23"/>
  <c r="I91" i="23" s="1"/>
  <c r="D95" i="23"/>
  <c r="I95" i="23" s="1"/>
  <c r="D36" i="23"/>
  <c r="I36" i="23" s="1"/>
  <c r="D88" i="23"/>
  <c r="I88" i="23" s="1"/>
  <c r="D35" i="23"/>
  <c r="D64" i="23"/>
  <c r="I64" i="23" s="1"/>
  <c r="D81" i="23"/>
  <c r="I81" i="23" s="1"/>
  <c r="D16" i="23"/>
  <c r="I16" i="23" s="1"/>
  <c r="D74" i="23"/>
  <c r="D38" i="23"/>
  <c r="I38" i="23" s="1"/>
  <c r="D49" i="23"/>
  <c r="D13" i="23"/>
  <c r="F13" i="23" s="1"/>
  <c r="G13" i="23" s="1"/>
  <c r="H13" i="23" s="1"/>
  <c r="I244" i="24"/>
  <c r="K244" i="24" s="1"/>
  <c r="I298" i="24"/>
  <c r="K298" i="24" s="1"/>
  <c r="I296" i="24"/>
  <c r="K296" i="24" s="1"/>
  <c r="I235" i="24"/>
  <c r="K235" i="24" s="1"/>
  <c r="I241" i="24"/>
  <c r="M241" i="24" s="1"/>
  <c r="N241" i="24" s="1"/>
  <c r="P241" i="24" s="1"/>
  <c r="J270" i="25"/>
  <c r="N270" i="25" s="1"/>
  <c r="J310" i="25"/>
  <c r="L310" i="25" s="1"/>
  <c r="J291" i="25"/>
  <c r="L291" i="25" s="1"/>
  <c r="J284" i="25"/>
  <c r="N284" i="25" s="1"/>
  <c r="J261" i="25"/>
  <c r="L261" i="25" s="1"/>
  <c r="M268" i="24"/>
  <c r="N268" i="24" s="1"/>
  <c r="P268" i="24" s="1"/>
  <c r="D69" i="23"/>
  <c r="F69" i="23" s="1"/>
  <c r="G69" i="23" s="1"/>
  <c r="H69" i="23" s="1"/>
  <c r="D20" i="23"/>
  <c r="D19" i="23"/>
  <c r="D65" i="23"/>
  <c r="F65" i="23" s="1"/>
  <c r="G65" i="23" s="1"/>
  <c r="H65" i="23" s="1"/>
  <c r="D66" i="23"/>
  <c r="F66" i="23" s="1"/>
  <c r="G66" i="23" s="1"/>
  <c r="H66" i="23" s="1"/>
  <c r="D30" i="23"/>
  <c r="F30" i="23" s="1"/>
  <c r="G30" i="23" s="1"/>
  <c r="H30" i="23" s="1"/>
  <c r="I307" i="24"/>
  <c r="M307" i="24" s="1"/>
  <c r="N307" i="24" s="1"/>
  <c r="P307" i="24" s="1"/>
  <c r="I264" i="24"/>
  <c r="M264" i="24" s="1"/>
  <c r="N264" i="24" s="1"/>
  <c r="P264" i="24" s="1"/>
  <c r="J227" i="25"/>
  <c r="N227" i="25" s="1"/>
  <c r="J281" i="25"/>
  <c r="N281" i="25" s="1"/>
  <c r="B214" i="2"/>
  <c r="D59" i="23"/>
  <c r="I59" i="23" s="1"/>
  <c r="D73" i="23"/>
  <c r="F73" i="23" s="1"/>
  <c r="G73" i="23" s="1"/>
  <c r="H73" i="23" s="1"/>
  <c r="D12" i="23"/>
  <c r="I12" i="23" s="1"/>
  <c r="D67" i="23"/>
  <c r="F67" i="23" s="1"/>
  <c r="G67" i="23" s="1"/>
  <c r="H67" i="23" s="1"/>
  <c r="D11" i="23"/>
  <c r="F11" i="23" s="1"/>
  <c r="G11" i="23" s="1"/>
  <c r="H11" i="23" s="1"/>
  <c r="D23" i="23"/>
  <c r="I23" i="23" s="1"/>
  <c r="D60" i="23"/>
  <c r="D98" i="23"/>
  <c r="F98" i="23" s="1"/>
  <c r="G98" i="23" s="1"/>
  <c r="H98" i="23" s="1"/>
  <c r="D62" i="23"/>
  <c r="I62" i="23" s="1"/>
  <c r="D26" i="23"/>
  <c r="D33" i="23"/>
  <c r="I33" i="23" s="1"/>
  <c r="I279" i="24"/>
  <c r="I266" i="24"/>
  <c r="M266" i="24" s="1"/>
  <c r="N266" i="24" s="1"/>
  <c r="P266" i="24" s="1"/>
  <c r="I232" i="24"/>
  <c r="I293" i="24"/>
  <c r="K293" i="24" s="1"/>
  <c r="J278" i="25"/>
  <c r="N278" i="25" s="1"/>
  <c r="J239" i="25"/>
  <c r="L239" i="25" s="1"/>
  <c r="J224" i="25"/>
  <c r="J316" i="25"/>
  <c r="J293" i="25"/>
  <c r="N293" i="25" s="1"/>
  <c r="N245" i="25"/>
  <c r="M276" i="24"/>
  <c r="N276" i="24" s="1"/>
  <c r="P276" i="24" s="1"/>
  <c r="D79" i="23"/>
  <c r="D77" i="23"/>
  <c r="D39" i="23"/>
  <c r="F39" i="23" s="1"/>
  <c r="G39" i="23" s="1"/>
  <c r="H39" i="23" s="1"/>
  <c r="D102" i="23"/>
  <c r="F102" i="23" s="1"/>
  <c r="G102" i="23" s="1"/>
  <c r="H102" i="23" s="1"/>
  <c r="D37" i="23"/>
  <c r="F37" i="23" s="1"/>
  <c r="G37" i="23" s="1"/>
  <c r="H37" i="23" s="1"/>
  <c r="I270" i="24"/>
  <c r="I305" i="24"/>
  <c r="K305" i="24" s="1"/>
  <c r="J274" i="25"/>
  <c r="J220" i="25"/>
  <c r="L220" i="25" s="1"/>
  <c r="J300" i="25"/>
  <c r="N300" i="25" s="1"/>
  <c r="I15" i="23"/>
  <c r="N303" i="25"/>
  <c r="D47" i="23"/>
  <c r="D68" i="23"/>
  <c r="D61" i="23"/>
  <c r="F61" i="23" s="1"/>
  <c r="G61" i="23" s="1"/>
  <c r="H61" i="23" s="1"/>
  <c r="D8" i="23"/>
  <c r="F8" i="23" s="1"/>
  <c r="G8" i="23" s="1"/>
  <c r="H8" i="23" s="1"/>
  <c r="D103" i="23"/>
  <c r="I103" i="23" s="1"/>
  <c r="D55" i="23"/>
  <c r="D94" i="23"/>
  <c r="I94" i="23" s="1"/>
  <c r="D58" i="23"/>
  <c r="D22" i="23"/>
  <c r="D29" i="23"/>
  <c r="I247" i="24"/>
  <c r="I254" i="24"/>
  <c r="I224" i="24"/>
  <c r="I277" i="24"/>
  <c r="J218" i="25"/>
  <c r="J255" i="25"/>
  <c r="J236" i="25"/>
  <c r="J217" i="25"/>
  <c r="F45" i="23"/>
  <c r="G45" i="23" s="1"/>
  <c r="H45" i="23" s="1"/>
  <c r="I28" i="23"/>
  <c r="I106" i="23"/>
  <c r="K288" i="24"/>
  <c r="F53" i="23"/>
  <c r="G53" i="23" s="1"/>
  <c r="H53" i="23" s="1"/>
  <c r="F80" i="23"/>
  <c r="G80" i="23" s="1"/>
  <c r="H80" i="23" s="1"/>
  <c r="L223" i="25"/>
  <c r="I27" i="23"/>
  <c r="N266" i="25"/>
  <c r="F104" i="23"/>
  <c r="G104" i="23" s="1"/>
  <c r="H104" i="23" s="1"/>
  <c r="I96" i="23"/>
  <c r="F51" i="23"/>
  <c r="G51" i="23" s="1"/>
  <c r="H51" i="23" s="1"/>
  <c r="F18" i="23"/>
  <c r="G18" i="23" s="1"/>
  <c r="H18" i="23" s="1"/>
  <c r="I97" i="23"/>
  <c r="M238" i="24"/>
  <c r="N238" i="24" s="1"/>
  <c r="P238" i="24" s="1"/>
  <c r="F101" i="23"/>
  <c r="G101" i="23" s="1"/>
  <c r="H101" i="23" s="1"/>
  <c r="I100" i="23"/>
  <c r="F50" i="23"/>
  <c r="G50" i="23" s="1"/>
  <c r="H50" i="23" s="1"/>
  <c r="K273" i="24"/>
  <c r="K261" i="24"/>
  <c r="B28" i="2"/>
  <c r="B257" i="2" s="1"/>
  <c r="F57" i="23"/>
  <c r="G57" i="23" s="1"/>
  <c r="H57" i="23" s="1"/>
  <c r="F40" i="23"/>
  <c r="G40" i="23" s="1"/>
  <c r="H40" i="23" s="1"/>
  <c r="F85" i="23"/>
  <c r="G85" i="23" s="1"/>
  <c r="H85" i="23" s="1"/>
  <c r="M299" i="24"/>
  <c r="N299" i="24" s="1"/>
  <c r="P299" i="24" s="1"/>
  <c r="I75" i="23"/>
  <c r="I43" i="23"/>
  <c r="L256" i="25"/>
  <c r="K239" i="24"/>
  <c r="F92" i="23"/>
  <c r="G92" i="23" s="1"/>
  <c r="H92" i="23" s="1"/>
  <c r="L294" i="25"/>
  <c r="F105" i="23"/>
  <c r="G105" i="23" s="1"/>
  <c r="H105" i="23" s="1"/>
  <c r="AO340" i="29"/>
  <c r="U242" i="29"/>
  <c r="V242" i="29"/>
  <c r="U184" i="29"/>
  <c r="U533" i="29"/>
  <c r="F70" i="23"/>
  <c r="G70" i="23" s="1"/>
  <c r="H70" i="23" s="1"/>
  <c r="I70" i="23"/>
  <c r="I34" i="23"/>
  <c r="F34" i="23"/>
  <c r="G34" i="23" s="1"/>
  <c r="H34" i="23" s="1"/>
  <c r="L226" i="25"/>
  <c r="N226" i="25"/>
  <c r="N288" i="25"/>
  <c r="L288" i="25"/>
  <c r="K180" i="24"/>
  <c r="M180" i="24"/>
  <c r="N180" i="24" s="1"/>
  <c r="P180" i="24" s="1"/>
  <c r="BM147" i="24"/>
  <c r="M147" i="24"/>
  <c r="N147" i="24" s="1"/>
  <c r="P147" i="24" s="1"/>
  <c r="V143" i="29"/>
  <c r="N143" i="25"/>
  <c r="BL143" i="25"/>
  <c r="N120" i="25"/>
  <c r="L120" i="25"/>
  <c r="N184" i="25"/>
  <c r="L184" i="25"/>
  <c r="BL139" i="25"/>
  <c r="L139" i="25"/>
  <c r="L113" i="25"/>
  <c r="N113" i="25"/>
  <c r="BL113" i="25"/>
  <c r="L111" i="25"/>
  <c r="BL111" i="25"/>
  <c r="N111" i="25"/>
  <c r="L158" i="25"/>
  <c r="BL158" i="25"/>
  <c r="V408" i="29"/>
  <c r="V453" i="29"/>
  <c r="U379" i="29"/>
  <c r="V379" i="29"/>
  <c r="U282" i="29"/>
  <c r="V310" i="29"/>
  <c r="BM122" i="24"/>
  <c r="K171" i="24"/>
  <c r="K184" i="24"/>
  <c r="L13" i="25"/>
  <c r="L61" i="25"/>
  <c r="L14" i="25"/>
  <c r="K140" i="24"/>
  <c r="BL183" i="25"/>
  <c r="L24" i="25"/>
  <c r="N17" i="25"/>
  <c r="L74" i="25"/>
  <c r="V315" i="29"/>
  <c r="AO335" i="29"/>
  <c r="AO493" i="29"/>
  <c r="K48" i="16"/>
  <c r="M48" i="16" s="1"/>
  <c r="AO513" i="29"/>
  <c r="U513" i="29" s="1"/>
  <c r="N55" i="25"/>
  <c r="N72" i="25"/>
  <c r="L16" i="25"/>
  <c r="N43" i="25"/>
  <c r="M77" i="24"/>
  <c r="N77" i="24" s="1"/>
  <c r="AO599" i="29"/>
  <c r="AO451" i="29"/>
  <c r="U451" i="29" s="1"/>
  <c r="N9" i="25"/>
  <c r="L73" i="25"/>
  <c r="N71" i="25"/>
  <c r="N67" i="25"/>
  <c r="V562" i="29"/>
  <c r="AO608" i="29"/>
  <c r="AO413" i="29"/>
  <c r="AO36" i="29"/>
  <c r="AO527" i="29"/>
  <c r="U434" i="29"/>
  <c r="AO363" i="29"/>
  <c r="AO270" i="29"/>
  <c r="AO86" i="29"/>
  <c r="AO551" i="29"/>
  <c r="U551" i="29" s="1"/>
  <c r="AO509" i="29"/>
  <c r="AO483" i="29"/>
  <c r="N146" i="29"/>
  <c r="N108" i="29"/>
  <c r="N86" i="29"/>
  <c r="N95" i="29"/>
  <c r="M374" i="29"/>
  <c r="N179" i="29"/>
  <c r="N20" i="29"/>
  <c r="M323" i="29"/>
  <c r="M14" i="29"/>
  <c r="M82" i="29"/>
  <c r="N103" i="29"/>
  <c r="N241" i="29"/>
  <c r="N203" i="29"/>
  <c r="M405" i="29"/>
  <c r="M368" i="29"/>
  <c r="M362" i="29"/>
  <c r="M339" i="29"/>
  <c r="M356" i="29"/>
  <c r="M429" i="29"/>
  <c r="M494" i="29"/>
  <c r="N88" i="29"/>
  <c r="N247" i="29"/>
  <c r="N317" i="29"/>
  <c r="M523" i="29"/>
  <c r="N602" i="29"/>
  <c r="M470" i="29"/>
  <c r="M303" i="29"/>
  <c r="N309" i="29"/>
  <c r="BM124" i="24"/>
  <c r="N401" i="29"/>
  <c r="N416" i="29"/>
  <c r="N525" i="29"/>
  <c r="M577" i="29"/>
  <c r="N404" i="29"/>
  <c r="N585" i="29"/>
  <c r="M533" i="29"/>
  <c r="M528" i="29"/>
  <c r="N415" i="29"/>
  <c r="N406" i="29"/>
  <c r="M345" i="29"/>
  <c r="M361" i="29"/>
  <c r="M471" i="29"/>
  <c r="N550" i="29"/>
  <c r="N13" i="29"/>
  <c r="M52" i="29"/>
  <c r="M442" i="29"/>
  <c r="N24" i="29"/>
  <c r="N276" i="29"/>
  <c r="M73" i="29"/>
  <c r="M355" i="29"/>
  <c r="M16" i="29"/>
  <c r="N281" i="29"/>
  <c r="N156" i="29"/>
  <c r="V570" i="29"/>
  <c r="V596" i="29"/>
  <c r="Y4" i="29"/>
  <c r="M154" i="24"/>
  <c r="N154" i="24" s="1"/>
  <c r="P154" i="24" s="1"/>
  <c r="M602" i="29"/>
  <c r="M275" i="29"/>
  <c r="M389" i="29"/>
  <c r="M454" i="29"/>
  <c r="M469" i="29"/>
  <c r="M440" i="29"/>
  <c r="N319" i="29"/>
  <c r="N485" i="29"/>
  <c r="M261" i="29"/>
  <c r="M132" i="29"/>
  <c r="M455" i="29"/>
  <c r="M84" i="29"/>
  <c r="N569" i="29"/>
  <c r="N440" i="29"/>
  <c r="N454" i="29"/>
  <c r="N36" i="29"/>
  <c r="N195" i="29"/>
  <c r="M23" i="29"/>
  <c r="M137" i="29"/>
  <c r="M395" i="29"/>
  <c r="N474" i="29"/>
  <c r="N126" i="29"/>
  <c r="M113" i="29"/>
  <c r="M156" i="29"/>
  <c r="N328" i="29"/>
  <c r="V201" i="29"/>
  <c r="AO543" i="29"/>
  <c r="AO397" i="29"/>
  <c r="AO262" i="29"/>
  <c r="S410" i="29"/>
  <c r="S458" i="29"/>
  <c r="S431" i="29"/>
  <c r="T565" i="29"/>
  <c r="T574" i="29"/>
  <c r="T572" i="29"/>
  <c r="AO514" i="29"/>
  <c r="AO241" i="29"/>
  <c r="V530" i="29"/>
  <c r="U257" i="29"/>
  <c r="T412" i="29"/>
  <c r="T413" i="29"/>
  <c r="S407" i="29"/>
  <c r="S535" i="29"/>
  <c r="S528" i="29"/>
  <c r="S541" i="29"/>
  <c r="AO600" i="29"/>
  <c r="U390" i="29"/>
  <c r="AO289" i="29"/>
  <c r="AO356" i="29"/>
  <c r="AO591" i="29"/>
  <c r="K137" i="24"/>
  <c r="N313" i="25"/>
  <c r="L197" i="25"/>
  <c r="BM189" i="24"/>
  <c r="K156" i="24"/>
  <c r="BM180" i="24"/>
  <c r="BL200" i="25"/>
  <c r="N183" i="25"/>
  <c r="Y5" i="29"/>
  <c r="M255" i="29"/>
  <c r="N214" i="29"/>
  <c r="N48" i="29"/>
  <c r="N34" i="29"/>
  <c r="F90" i="23"/>
  <c r="G90" i="23" s="1"/>
  <c r="H90" i="23" s="1"/>
  <c r="K183" i="24"/>
  <c r="M174" i="24"/>
  <c r="N174" i="24" s="1"/>
  <c r="P174" i="24" s="1"/>
  <c r="M140" i="24"/>
  <c r="N140" i="24" s="1"/>
  <c r="P140" i="24" s="1"/>
  <c r="M156" i="24"/>
  <c r="N156" i="24" s="1"/>
  <c r="P156" i="24" s="1"/>
  <c r="N167" i="25"/>
  <c r="BM203" i="24"/>
  <c r="M137" i="24"/>
  <c r="N137" i="24" s="1"/>
  <c r="P137" i="24" s="1"/>
  <c r="BL168" i="25"/>
  <c r="M312" i="24"/>
  <c r="N312" i="24" s="1"/>
  <c r="P312" i="24" s="1"/>
  <c r="N259" i="25"/>
  <c r="L229" i="25"/>
  <c r="L252" i="25"/>
  <c r="N161" i="25"/>
  <c r="BM112" i="24"/>
  <c r="K147" i="24"/>
  <c r="K164" i="24"/>
  <c r="M131" i="24"/>
  <c r="N131" i="24" s="1"/>
  <c r="P131" i="24" s="1"/>
  <c r="E158" i="8"/>
  <c r="E157" i="8" s="1"/>
  <c r="M136" i="24"/>
  <c r="N136" i="24" s="1"/>
  <c r="P136" i="24" s="1"/>
  <c r="W3" i="29"/>
  <c r="U357" i="29"/>
  <c r="V357" i="29"/>
  <c r="V502" i="29"/>
  <c r="Y3" i="29"/>
  <c r="K19" i="24"/>
  <c r="M33" i="24"/>
  <c r="N33" i="24" s="1"/>
  <c r="E33" i="23"/>
  <c r="M81" i="24"/>
  <c r="N81" i="24" s="1"/>
  <c r="K26" i="24"/>
  <c r="M49" i="24"/>
  <c r="N49" i="24" s="1"/>
  <c r="E101" i="23"/>
  <c r="R101" i="23" s="1"/>
  <c r="M73" i="24"/>
  <c r="N73" i="24" s="1"/>
  <c r="M85" i="24"/>
  <c r="N85" i="24" s="1"/>
  <c r="E12" i="23"/>
  <c r="R12" i="23" s="1"/>
  <c r="E71" i="23"/>
  <c r="N71" i="23" s="1"/>
  <c r="O71" i="23" s="1"/>
  <c r="P71" i="23" s="1"/>
  <c r="Q71" i="23" s="1"/>
  <c r="N92" i="25"/>
  <c r="N33" i="25"/>
  <c r="L53" i="25"/>
  <c r="L92" i="25"/>
  <c r="N128" i="25"/>
  <c r="L192" i="25"/>
  <c r="N121" i="25"/>
  <c r="L7" i="25"/>
  <c r="L79" i="25"/>
  <c r="L95" i="25"/>
  <c r="L27" i="25"/>
  <c r="L21" i="25"/>
  <c r="L52" i="25"/>
  <c r="L84" i="25"/>
  <c r="AO420" i="29"/>
  <c r="AO358" i="29"/>
  <c r="S599" i="29"/>
  <c r="T577" i="29"/>
  <c r="S575" i="29"/>
  <c r="T478" i="29"/>
  <c r="S477" i="29"/>
  <c r="T449" i="29"/>
  <c r="T406" i="29"/>
  <c r="S378" i="29"/>
  <c r="T420" i="29"/>
  <c r="S557" i="29"/>
  <c r="T582" i="29"/>
  <c r="S556" i="29"/>
  <c r="S429" i="29"/>
  <c r="T452" i="29"/>
  <c r="S440" i="29"/>
  <c r="T349" i="29"/>
  <c r="S362" i="29"/>
  <c r="T300" i="29"/>
  <c r="AO546" i="29"/>
  <c r="AO457" i="29"/>
  <c r="AO558" i="29"/>
  <c r="AO469" i="29"/>
  <c r="U469" i="29" s="1"/>
  <c r="AO460" i="29"/>
  <c r="AO422" i="29"/>
  <c r="AO437" i="29"/>
  <c r="AO247" i="29"/>
  <c r="AO107" i="29"/>
  <c r="AO68" i="29"/>
  <c r="AO477" i="29"/>
  <c r="V477" i="29" s="1"/>
  <c r="AO532" i="29"/>
  <c r="AO444" i="29"/>
  <c r="AO352" i="29"/>
  <c r="AO285" i="29"/>
  <c r="AO264" i="29"/>
  <c r="AO458" i="29"/>
  <c r="U458" i="29" s="1"/>
  <c r="AO259" i="29"/>
  <c r="AO455" i="29"/>
  <c r="AO432" i="29"/>
  <c r="AO320" i="29"/>
  <c r="AO249" i="29"/>
  <c r="F14" i="23"/>
  <c r="G14" i="23" s="1"/>
  <c r="H14" i="23" s="1"/>
  <c r="I14" i="23"/>
  <c r="I21" i="23"/>
  <c r="F21" i="23"/>
  <c r="G21" i="23" s="1"/>
  <c r="H21" i="23" s="1"/>
  <c r="BL151" i="25"/>
  <c r="N151" i="25"/>
  <c r="L151" i="25"/>
  <c r="BL124" i="25"/>
  <c r="L124" i="25"/>
  <c r="L156" i="25"/>
  <c r="N156" i="25"/>
  <c r="BL156" i="25"/>
  <c r="BL188" i="25"/>
  <c r="L188" i="25"/>
  <c r="L159" i="25"/>
  <c r="BL159" i="25"/>
  <c r="N159" i="25"/>
  <c r="BL117" i="25"/>
  <c r="L117" i="25"/>
  <c r="BL149" i="25"/>
  <c r="N149" i="25"/>
  <c r="L181" i="25"/>
  <c r="BL181" i="25"/>
  <c r="N119" i="25"/>
  <c r="L119" i="25"/>
  <c r="BL119" i="25"/>
  <c r="N126" i="25"/>
  <c r="L126" i="25"/>
  <c r="BL126" i="25"/>
  <c r="N162" i="25"/>
  <c r="BL162" i="25"/>
  <c r="L162" i="25"/>
  <c r="L198" i="25"/>
  <c r="BL198" i="25"/>
  <c r="N198" i="25"/>
  <c r="I32" i="23"/>
  <c r="F32" i="23"/>
  <c r="G32" i="23" s="1"/>
  <c r="H32" i="23" s="1"/>
  <c r="BM111" i="24"/>
  <c r="BM192" i="24"/>
  <c r="K234" i="24"/>
  <c r="M234" i="24"/>
  <c r="N234" i="24" s="1"/>
  <c r="P234" i="24" s="1"/>
  <c r="M267" i="24"/>
  <c r="N267" i="24" s="1"/>
  <c r="P267" i="24" s="1"/>
  <c r="K267" i="24"/>
  <c r="K198" i="24"/>
  <c r="BM198" i="24"/>
  <c r="BM110" i="24"/>
  <c r="M110" i="24"/>
  <c r="N110" i="24" s="1"/>
  <c r="M119" i="24"/>
  <c r="N119" i="24" s="1"/>
  <c r="P119" i="24" s="1"/>
  <c r="BM119" i="24"/>
  <c r="BM118" i="24"/>
  <c r="M118" i="24"/>
  <c r="N118" i="24" s="1"/>
  <c r="P118" i="24" s="1"/>
  <c r="BM121" i="24"/>
  <c r="M121" i="24"/>
  <c r="N121" i="24" s="1"/>
  <c r="P121" i="24" s="1"/>
  <c r="K181" i="24"/>
  <c r="M181" i="24"/>
  <c r="N181" i="24" s="1"/>
  <c r="P181" i="24" s="1"/>
  <c r="B24" i="2"/>
  <c r="N104" i="25"/>
  <c r="L8" i="25"/>
  <c r="N81" i="25"/>
  <c r="N13" i="25"/>
  <c r="N40" i="25"/>
  <c r="N61" i="25"/>
  <c r="L65" i="25"/>
  <c r="L76" i="25"/>
  <c r="N19" i="25"/>
  <c r="L32" i="25"/>
  <c r="E47" i="23"/>
  <c r="E40" i="23"/>
  <c r="E43" i="23"/>
  <c r="R43" i="23" s="1"/>
  <c r="M42" i="24"/>
  <c r="N42" i="24" s="1"/>
  <c r="M103" i="24"/>
  <c r="N103" i="24" s="1"/>
  <c r="K69" i="24"/>
  <c r="M100" i="24"/>
  <c r="N100" i="24" s="1"/>
  <c r="M50" i="24"/>
  <c r="N50" i="24" s="1"/>
  <c r="M35" i="24"/>
  <c r="N35" i="24" s="1"/>
  <c r="E53" i="23"/>
  <c r="N93" i="25"/>
  <c r="N38" i="25"/>
  <c r="N45" i="25"/>
  <c r="L89" i="25"/>
  <c r="N20" i="25"/>
  <c r="L57" i="25"/>
  <c r="L72" i="25"/>
  <c r="L33" i="25"/>
  <c r="N90" i="25"/>
  <c r="L49" i="25"/>
  <c r="E55" i="23"/>
  <c r="E48" i="23"/>
  <c r="E51" i="23"/>
  <c r="M26" i="24"/>
  <c r="N26" i="24" s="1"/>
  <c r="K98" i="24"/>
  <c r="M55" i="24"/>
  <c r="N55" i="24" s="1"/>
  <c r="M74" i="24"/>
  <c r="N74" i="24" s="1"/>
  <c r="E70" i="23"/>
  <c r="K72" i="24"/>
  <c r="E21" i="23"/>
  <c r="R21" i="23" s="1"/>
  <c r="N51" i="25"/>
  <c r="L104" i="25"/>
  <c r="L98" i="25"/>
  <c r="N39" i="25"/>
  <c r="N105" i="25"/>
  <c r="N53" i="25"/>
  <c r="N36" i="25"/>
  <c r="L45" i="25"/>
  <c r="L59" i="25"/>
  <c r="L69" i="25"/>
  <c r="B169" i="2"/>
  <c r="E27" i="1" s="1"/>
  <c r="A234" i="2" s="1"/>
  <c r="E95" i="23"/>
  <c r="E88" i="23"/>
  <c r="R88" i="23" s="1"/>
  <c r="E91" i="23"/>
  <c r="R91" i="23" s="1"/>
  <c r="M6" i="24"/>
  <c r="N6" i="24" s="1"/>
  <c r="K81" i="24"/>
  <c r="E106" i="23"/>
  <c r="K84" i="24"/>
  <c r="M95" i="24"/>
  <c r="N95" i="24" s="1"/>
  <c r="M41" i="24"/>
  <c r="N41" i="24" s="1"/>
  <c r="G11" i="2"/>
  <c r="BL184" i="25"/>
  <c r="K32" i="24"/>
  <c r="E29" i="23"/>
  <c r="K47" i="24"/>
  <c r="M14" i="24"/>
  <c r="N14" i="24" s="1"/>
  <c r="K77" i="24"/>
  <c r="E89" i="23"/>
  <c r="M56" i="24"/>
  <c r="N56" i="24" s="1"/>
  <c r="M72" i="24"/>
  <c r="N72" i="24" s="1"/>
  <c r="M12" i="24"/>
  <c r="N12" i="24" s="1"/>
  <c r="E38" i="23"/>
  <c r="E58" i="23"/>
  <c r="E30" i="23"/>
  <c r="E6" i="23"/>
  <c r="E84" i="23"/>
  <c r="R84" i="23" s="1"/>
  <c r="L68" i="25"/>
  <c r="N16" i="25"/>
  <c r="N60" i="25"/>
  <c r="N12" i="25"/>
  <c r="L54" i="25"/>
  <c r="L28" i="25"/>
  <c r="L155" i="25"/>
  <c r="BL121" i="25"/>
  <c r="BL192" i="25"/>
  <c r="BL128" i="25"/>
  <c r="K15" i="24"/>
  <c r="K31" i="24"/>
  <c r="M29" i="24"/>
  <c r="N29" i="24" s="1"/>
  <c r="K94" i="24"/>
  <c r="K17" i="24"/>
  <c r="E13" i="23"/>
  <c r="K83" i="24"/>
  <c r="K23" i="24"/>
  <c r="K68" i="24"/>
  <c r="E90" i="23"/>
  <c r="E94" i="23"/>
  <c r="E67" i="23"/>
  <c r="R67" i="23" s="1"/>
  <c r="E44" i="23"/>
  <c r="K315" i="24"/>
  <c r="M139" i="24"/>
  <c r="N139" i="24" s="1"/>
  <c r="P139" i="24" s="1"/>
  <c r="L80" i="25"/>
  <c r="N87" i="25"/>
  <c r="N14" i="25"/>
  <c r="N64" i="25"/>
  <c r="L62" i="25"/>
  <c r="L48" i="25"/>
  <c r="V417" i="29"/>
  <c r="N54" i="25"/>
  <c r="AO550" i="29"/>
  <c r="M34" i="24"/>
  <c r="N34" i="24" s="1"/>
  <c r="S56" i="29"/>
  <c r="S20" i="29"/>
  <c r="S36" i="29"/>
  <c r="S549" i="29"/>
  <c r="T548" i="29"/>
  <c r="S548" i="29"/>
  <c r="S493" i="29"/>
  <c r="T27" i="29"/>
  <c r="S28" i="29"/>
  <c r="M176" i="24"/>
  <c r="N176" i="24" s="1"/>
  <c r="P176" i="24" s="1"/>
  <c r="N50" i="25"/>
  <c r="U597" i="29"/>
  <c r="AO531" i="29"/>
  <c r="AO274" i="29"/>
  <c r="B50" i="2"/>
  <c r="AO464" i="29"/>
  <c r="AO584" i="29"/>
  <c r="AO101" i="29"/>
  <c r="AO344" i="29"/>
  <c r="AO564" i="29"/>
  <c r="AO365" i="29"/>
  <c r="AO345" i="29"/>
  <c r="AO339" i="29"/>
  <c r="AO236" i="29"/>
  <c r="AO194" i="29"/>
  <c r="AO131" i="29"/>
  <c r="AO595" i="29"/>
  <c r="AO431" i="29"/>
  <c r="AO256" i="29"/>
  <c r="AO507" i="29"/>
  <c r="AO605" i="29"/>
  <c r="AO392" i="29"/>
  <c r="AO581" i="29"/>
  <c r="AO565" i="29"/>
  <c r="AO393" i="29"/>
  <c r="AO125" i="29"/>
  <c r="AO300" i="29"/>
  <c r="F82" i="23"/>
  <c r="G82" i="23" s="1"/>
  <c r="H82" i="23" s="1"/>
  <c r="I82" i="23"/>
  <c r="K286" i="24"/>
  <c r="M286" i="24"/>
  <c r="N286" i="24" s="1"/>
  <c r="P286" i="24" s="1"/>
  <c r="K229" i="24"/>
  <c r="M229" i="24"/>
  <c r="N229" i="24" s="1"/>
  <c r="P229" i="24" s="1"/>
  <c r="BM182" i="24"/>
  <c r="M182" i="24"/>
  <c r="N182" i="24" s="1"/>
  <c r="P182" i="24" s="1"/>
  <c r="K139" i="24"/>
  <c r="BM139" i="24"/>
  <c r="BM186" i="24"/>
  <c r="K186" i="24"/>
  <c r="M186" i="24"/>
  <c r="N186" i="24" s="1"/>
  <c r="P186" i="24" s="1"/>
  <c r="M143" i="24"/>
  <c r="N143" i="24" s="1"/>
  <c r="P143" i="24" s="1"/>
  <c r="K143" i="24"/>
  <c r="BM143" i="24"/>
  <c r="BM195" i="24"/>
  <c r="M195" i="24"/>
  <c r="N195" i="24" s="1"/>
  <c r="P195" i="24" s="1"/>
  <c r="K195" i="24"/>
  <c r="M152" i="24"/>
  <c r="N152" i="24" s="1"/>
  <c r="P152" i="24" s="1"/>
  <c r="BM152" i="24"/>
  <c r="BM204" i="24"/>
  <c r="K204" i="24"/>
  <c r="K162" i="24"/>
  <c r="M162" i="24"/>
  <c r="N162" i="24" s="1"/>
  <c r="P162" i="24" s="1"/>
  <c r="BM162" i="24"/>
  <c r="BM138" i="24"/>
  <c r="K138" i="24"/>
  <c r="M138" i="24"/>
  <c r="N138" i="24" s="1"/>
  <c r="P138" i="24" s="1"/>
  <c r="K205" i="24"/>
  <c r="M205" i="24"/>
  <c r="N205" i="24" s="1"/>
  <c r="P205" i="24" s="1"/>
  <c r="BM205" i="24"/>
  <c r="BM173" i="24"/>
  <c r="K173" i="24"/>
  <c r="M173" i="24"/>
  <c r="N173" i="24" s="1"/>
  <c r="P173" i="24" s="1"/>
  <c r="M141" i="24"/>
  <c r="N141" i="24" s="1"/>
  <c r="P141" i="24" s="1"/>
  <c r="K141" i="24"/>
  <c r="BM141" i="24"/>
  <c r="F87" i="23"/>
  <c r="G87" i="23" s="1"/>
  <c r="H87" i="23" s="1"/>
  <c r="I87" i="23"/>
  <c r="N70" i="29"/>
  <c r="N233" i="29"/>
  <c r="N135" i="29"/>
  <c r="M120" i="29"/>
  <c r="N273" i="29"/>
  <c r="M222" i="29"/>
  <c r="N303" i="29"/>
  <c r="M256" i="29"/>
  <c r="N208" i="29"/>
  <c r="M206" i="29"/>
  <c r="M111" i="29"/>
  <c r="M294" i="29"/>
  <c r="M295" i="29"/>
  <c r="N471" i="29"/>
  <c r="M428" i="29"/>
  <c r="M381" i="29"/>
  <c r="N498" i="29"/>
  <c r="M246" i="29"/>
  <c r="N77" i="29"/>
  <c r="N242" i="29"/>
  <c r="M191" i="29"/>
  <c r="N139" i="29"/>
  <c r="N44" i="29"/>
  <c r="N332" i="29"/>
  <c r="M194" i="29"/>
  <c r="N272" i="29"/>
  <c r="N28" i="29"/>
  <c r="N316" i="29"/>
  <c r="M562" i="29"/>
  <c r="N90" i="29"/>
  <c r="M413" i="29"/>
  <c r="N229" i="29"/>
  <c r="N136" i="29"/>
  <c r="M382" i="29"/>
  <c r="N49" i="29"/>
  <c r="N274" i="29"/>
  <c r="N171" i="29"/>
  <c r="M124" i="29"/>
  <c r="N76" i="29"/>
  <c r="M270" i="29"/>
  <c r="N226" i="29"/>
  <c r="N123" i="29"/>
  <c r="M108" i="29"/>
  <c r="M225" i="29"/>
  <c r="M305" i="29"/>
  <c r="N105" i="29"/>
  <c r="M54" i="29"/>
  <c r="N173" i="29"/>
  <c r="N110" i="29"/>
  <c r="M347" i="29"/>
  <c r="N295" i="29"/>
  <c r="M248" i="29"/>
  <c r="N341" i="29"/>
  <c r="M290" i="29"/>
  <c r="N246" i="29"/>
  <c r="M195" i="29"/>
  <c r="N219" i="29"/>
  <c r="M172" i="29"/>
  <c r="M588" i="29"/>
  <c r="M509" i="29"/>
  <c r="N198" i="29"/>
  <c r="M208" i="29"/>
  <c r="N370" i="29"/>
  <c r="M18" i="29"/>
  <c r="N232" i="29"/>
  <c r="M510" i="29"/>
  <c r="N177" i="29"/>
  <c r="M126" i="29"/>
  <c r="N82" i="29"/>
  <c r="N278" i="29"/>
  <c r="M50" i="29"/>
  <c r="M338" i="29"/>
  <c r="N174" i="29"/>
  <c r="M123" i="29"/>
  <c r="N296" i="29"/>
  <c r="M542" i="29"/>
  <c r="N209" i="29"/>
  <c r="N342" i="29"/>
  <c r="M291" i="29"/>
  <c r="N239" i="29"/>
  <c r="M192" i="29"/>
  <c r="N144" i="29"/>
  <c r="M38" i="29"/>
  <c r="M447" i="29"/>
  <c r="N407" i="29"/>
  <c r="M364" i="29"/>
  <c r="B159" i="8"/>
  <c r="B158" i="8" s="1"/>
  <c r="B157" i="8" s="1"/>
  <c r="K52" i="2"/>
  <c r="A2" i="21" s="1"/>
  <c r="I623" i="29"/>
  <c r="O623" i="29"/>
  <c r="P623" i="29"/>
  <c r="J623" i="29"/>
  <c r="D221" i="2"/>
  <c r="C221" i="2"/>
  <c r="D220" i="2"/>
  <c r="AO378" i="29"/>
  <c r="AO73" i="29"/>
  <c r="D158" i="8"/>
  <c r="D157" i="8" s="1"/>
  <c r="AO303" i="29"/>
  <c r="V292" i="29"/>
  <c r="AO496" i="29"/>
  <c r="AO343" i="29"/>
  <c r="AO376" i="29"/>
  <c r="AO228" i="29"/>
  <c r="AO573" i="29"/>
  <c r="AO443" i="29"/>
  <c r="AO250" i="29"/>
  <c r="AO78" i="29"/>
  <c r="AO16" i="29"/>
  <c r="AO286" i="29"/>
  <c r="AO505" i="29"/>
  <c r="U530" i="29"/>
  <c r="AO522" i="29"/>
  <c r="N298" i="25"/>
  <c r="L298" i="25"/>
  <c r="L287" i="25"/>
  <c r="N287" i="25"/>
  <c r="N268" i="25"/>
  <c r="L268" i="25"/>
  <c r="N249" i="25"/>
  <c r="L249" i="25"/>
  <c r="N125" i="25"/>
  <c r="BL125" i="25"/>
  <c r="BL193" i="25"/>
  <c r="N193" i="25"/>
  <c r="N134" i="25"/>
  <c r="L134" i="25"/>
  <c r="BL134" i="25"/>
  <c r="L170" i="25"/>
  <c r="N170" i="25"/>
  <c r="BL170" i="25"/>
  <c r="A103" i="8"/>
  <c r="A126" i="8"/>
  <c r="F56" i="23"/>
  <c r="G56" i="23" s="1"/>
  <c r="H56" i="23" s="1"/>
  <c r="I56" i="23"/>
  <c r="K190" i="24"/>
  <c r="BM190" i="24"/>
  <c r="M199" i="24"/>
  <c r="N199" i="24" s="1"/>
  <c r="P199" i="24" s="1"/>
  <c r="K199" i="24"/>
  <c r="BM199" i="24"/>
  <c r="M134" i="24"/>
  <c r="N134" i="24" s="1"/>
  <c r="P134" i="24" s="1"/>
  <c r="K134" i="24"/>
  <c r="BM134" i="24"/>
  <c r="K201" i="24"/>
  <c r="BM201" i="24"/>
  <c r="M169" i="24"/>
  <c r="N169" i="24" s="1"/>
  <c r="P169" i="24" s="1"/>
  <c r="BM169" i="24"/>
  <c r="A80" i="8"/>
  <c r="A108" i="8"/>
  <c r="N106" i="29"/>
  <c r="N237" i="29"/>
  <c r="N334" i="29"/>
  <c r="M251" i="29"/>
  <c r="N299" i="29"/>
  <c r="M220" i="29"/>
  <c r="N140" i="29"/>
  <c r="M610" i="29"/>
  <c r="N213" i="29"/>
  <c r="N54" i="29"/>
  <c r="M332" i="29"/>
  <c r="M466" i="29"/>
  <c r="N249" i="29"/>
  <c r="M39" i="29"/>
  <c r="N494" i="29"/>
  <c r="N599" i="29"/>
  <c r="M524" i="29"/>
  <c r="BL30" i="25"/>
  <c r="L30" i="25"/>
  <c r="L38" i="25"/>
  <c r="BL38" i="25"/>
  <c r="BM93" i="24"/>
  <c r="K93" i="24"/>
  <c r="K45" i="24"/>
  <c r="BM45" i="24"/>
  <c r="BL10" i="25"/>
  <c r="N10" i="25"/>
  <c r="L18" i="25"/>
  <c r="N18" i="25"/>
  <c r="BL18" i="25"/>
  <c r="BL26" i="25"/>
  <c r="N26" i="25"/>
  <c r="BL42" i="25"/>
  <c r="N42" i="25"/>
  <c r="BL50" i="25"/>
  <c r="L50" i="25"/>
  <c r="N66" i="25"/>
  <c r="BL66" i="25"/>
  <c r="L66" i="25"/>
  <c r="BL82" i="25"/>
  <c r="N82" i="25"/>
  <c r="L90" i="25"/>
  <c r="BL90" i="25"/>
  <c r="BL98" i="25"/>
  <c r="N98" i="25"/>
  <c r="G159" i="25"/>
  <c r="I159" i="25" s="1"/>
  <c r="G59" i="25"/>
  <c r="G290" i="25"/>
  <c r="I290" i="25" s="1"/>
  <c r="G19" i="25"/>
  <c r="G292" i="25"/>
  <c r="I292" i="25" s="1"/>
  <c r="G285" i="25"/>
  <c r="I285" i="25" s="1"/>
  <c r="G305" i="25"/>
  <c r="I305" i="25" s="1"/>
  <c r="K102" i="24"/>
  <c r="I236" i="24"/>
  <c r="I314" i="24"/>
  <c r="I250" i="24"/>
  <c r="I256" i="24"/>
  <c r="I219" i="24"/>
  <c r="I257" i="24"/>
  <c r="J230" i="25"/>
  <c r="J314" i="25"/>
  <c r="J275" i="25"/>
  <c r="J240" i="25"/>
  <c r="J304" i="25"/>
  <c r="J265" i="25"/>
  <c r="BL54" i="25"/>
  <c r="BL31" i="25"/>
  <c r="L31" i="25"/>
  <c r="N31" i="25"/>
  <c r="J289" i="25"/>
  <c r="J257" i="25"/>
  <c r="J225" i="25"/>
  <c r="J296" i="25"/>
  <c r="J264" i="25"/>
  <c r="J232" i="25"/>
  <c r="J299" i="25"/>
  <c r="J267" i="25"/>
  <c r="J235" i="25"/>
  <c r="J306" i="25"/>
  <c r="J250" i="25"/>
  <c r="J258" i="25"/>
  <c r="I217" i="24"/>
  <c r="I249" i="24"/>
  <c r="I281" i="24"/>
  <c r="I313" i="24"/>
  <c r="I275" i="24"/>
  <c r="I240" i="24"/>
  <c r="I300" i="24"/>
  <c r="I242" i="24"/>
  <c r="I274" i="24"/>
  <c r="I306" i="24"/>
  <c r="I255" i="24"/>
  <c r="I220" i="24"/>
  <c r="I284" i="24"/>
  <c r="J285" i="25"/>
  <c r="J253" i="25"/>
  <c r="J221" i="25"/>
  <c r="J292" i="25"/>
  <c r="J260" i="25"/>
  <c r="J228" i="25"/>
  <c r="J295" i="25"/>
  <c r="J263" i="25"/>
  <c r="J231" i="25"/>
  <c r="J302" i="25"/>
  <c r="J234" i="25"/>
  <c r="J242" i="25"/>
  <c r="I221" i="24"/>
  <c r="I253" i="24"/>
  <c r="I285" i="24"/>
  <c r="I216" i="24"/>
  <c r="I283" i="24"/>
  <c r="I248" i="24"/>
  <c r="I308" i="24"/>
  <c r="I246" i="24"/>
  <c r="I278" i="24"/>
  <c r="I310" i="24"/>
  <c r="I263" i="24"/>
  <c r="I228" i="24"/>
  <c r="I292" i="24"/>
  <c r="J305" i="25"/>
  <c r="J273" i="25"/>
  <c r="J241" i="25"/>
  <c r="J312" i="25"/>
  <c r="J280" i="25"/>
  <c r="J248" i="25"/>
  <c r="J315" i="25"/>
  <c r="J283" i="25"/>
  <c r="J251" i="25"/>
  <c r="J219" i="25"/>
  <c r="J290" i="25"/>
  <c r="J262" i="25"/>
  <c r="J254" i="25"/>
  <c r="I233" i="24"/>
  <c r="I265" i="24"/>
  <c r="I297" i="24"/>
  <c r="I243" i="24"/>
  <c r="I303" i="24"/>
  <c r="I272" i="24"/>
  <c r="I226" i="24"/>
  <c r="I258" i="24"/>
  <c r="I290" i="24"/>
  <c r="I227" i="24"/>
  <c r="I287" i="24"/>
  <c r="I252" i="24"/>
  <c r="I316" i="24"/>
  <c r="J301" i="25"/>
  <c r="J269" i="25"/>
  <c r="J237" i="25"/>
  <c r="J308" i="25"/>
  <c r="J276" i="25"/>
  <c r="J244" i="25"/>
  <c r="J311" i="25"/>
  <c r="J279" i="25"/>
  <c r="J247" i="25"/>
  <c r="J216" i="25"/>
  <c r="J286" i="25"/>
  <c r="J246" i="25"/>
  <c r="J238" i="25"/>
  <c r="I237" i="24"/>
  <c r="I269" i="24"/>
  <c r="I301" i="24"/>
  <c r="I251" i="24"/>
  <c r="I311" i="24"/>
  <c r="I280" i="24"/>
  <c r="I230" i="24"/>
  <c r="I262" i="24"/>
  <c r="I294" i="24"/>
  <c r="I231" i="24"/>
  <c r="I295" i="24"/>
  <c r="I260" i="24"/>
  <c r="S5" i="24"/>
  <c r="T5" i="24" s="1"/>
  <c r="BM5" i="24"/>
  <c r="D31" i="23"/>
  <c r="F31" i="23" s="1"/>
  <c r="G31" i="23" s="1"/>
  <c r="H31" i="23" s="1"/>
  <c r="D84" i="23"/>
  <c r="D52" i="23"/>
  <c r="D72" i="23"/>
  <c r="D7" i="23"/>
  <c r="I7" i="23" s="1"/>
  <c r="D76" i="23"/>
  <c r="I76" i="23" s="1"/>
  <c r="D24" i="23"/>
  <c r="D86" i="23"/>
  <c r="D54" i="23"/>
  <c r="F54" i="23" s="1"/>
  <c r="G54" i="23" s="1"/>
  <c r="H54" i="23" s="1"/>
  <c r="D41" i="23"/>
  <c r="I41" i="23" s="1"/>
  <c r="D9" i="23"/>
  <c r="F9" i="23" s="1"/>
  <c r="G9" i="23" s="1"/>
  <c r="H9" i="23" s="1"/>
  <c r="K78" i="24"/>
  <c r="I304" i="24"/>
  <c r="I271" i="24"/>
  <c r="I282" i="24"/>
  <c r="I218" i="24"/>
  <c r="I291" i="24"/>
  <c r="I289" i="24"/>
  <c r="I225" i="24"/>
  <c r="J222" i="25"/>
  <c r="J282" i="25"/>
  <c r="J243" i="25"/>
  <c r="J307" i="25"/>
  <c r="J272" i="25"/>
  <c r="J233" i="25"/>
  <c r="J297" i="25"/>
  <c r="B157" i="2"/>
  <c r="BM54" i="24"/>
  <c r="M54" i="24"/>
  <c r="N54" i="24" s="1"/>
  <c r="B223" i="2"/>
  <c r="C32" i="16"/>
  <c r="BL78" i="25"/>
  <c r="N78" i="25"/>
  <c r="L78" i="25"/>
  <c r="BL43" i="25"/>
  <c r="BL89" i="25"/>
  <c r="BL96" i="25"/>
  <c r="BL33" i="25"/>
  <c r="BL8" i="25"/>
  <c r="BL9" i="25"/>
  <c r="B218" i="2"/>
  <c r="BL104" i="25"/>
  <c r="BL53" i="25"/>
  <c r="BL45" i="25"/>
  <c r="BL37" i="25"/>
  <c r="BL61" i="25"/>
  <c r="BL83" i="25"/>
  <c r="I212" i="24"/>
  <c r="K212" i="24" s="1"/>
  <c r="J186" i="25"/>
  <c r="J154" i="25"/>
  <c r="J122" i="25"/>
  <c r="J135" i="25"/>
  <c r="J189" i="25"/>
  <c r="B217" i="2"/>
  <c r="BL25" i="25"/>
  <c r="BL49" i="25"/>
  <c r="BL81" i="25"/>
  <c r="BL29" i="25"/>
  <c r="BL75" i="25"/>
  <c r="C220" i="2"/>
  <c r="BL12" i="25"/>
  <c r="BL52" i="25"/>
  <c r="BL100" i="25"/>
  <c r="B272" i="2"/>
  <c r="K623" i="29"/>
  <c r="L623" i="29"/>
  <c r="Q623" i="29"/>
  <c r="V623" i="29"/>
  <c r="U623" i="29"/>
  <c r="AO277" i="29"/>
  <c r="AO585" i="29"/>
  <c r="AO526" i="29"/>
  <c r="AO410" i="29"/>
  <c r="AN32" i="29"/>
  <c r="AO32" i="29" s="1"/>
  <c r="AM46" i="29"/>
  <c r="AP63" i="29"/>
  <c r="AQ63" i="29" s="1"/>
  <c r="AR63" i="29" s="1"/>
  <c r="AN99" i="29"/>
  <c r="AN128" i="29"/>
  <c r="AO128" i="29" s="1"/>
  <c r="AN172" i="29"/>
  <c r="AO172" i="29" s="1"/>
  <c r="AP187" i="29"/>
  <c r="AQ187" i="29" s="1"/>
  <c r="AR187" i="29" s="1"/>
  <c r="AP197" i="29"/>
  <c r="AQ197" i="29" s="1"/>
  <c r="AR197" i="29" s="1"/>
  <c r="AM208" i="29"/>
  <c r="AO208" i="29" s="1"/>
  <c r="AM17" i="29"/>
  <c r="AO17" i="29" s="1"/>
  <c r="AN46" i="29"/>
  <c r="AM74" i="29"/>
  <c r="AP99" i="29"/>
  <c r="AQ99" i="29" s="1"/>
  <c r="AR99" i="29" s="1"/>
  <c r="AN110" i="29"/>
  <c r="AP138" i="29"/>
  <c r="AQ138" i="29" s="1"/>
  <c r="AR138" i="29" s="1"/>
  <c r="AN149" i="29"/>
  <c r="AO149" i="29" s="1"/>
  <c r="AP172" i="29"/>
  <c r="AQ172" i="29" s="1"/>
  <c r="AR172" i="29" s="1"/>
  <c r="AN185" i="29"/>
  <c r="AP205" i="29"/>
  <c r="AQ205" i="29" s="1"/>
  <c r="AR205" i="29" s="1"/>
  <c r="AN229" i="29"/>
  <c r="AN64" i="29"/>
  <c r="AP79" i="29"/>
  <c r="AQ79" i="29" s="1"/>
  <c r="AR79" i="29" s="1"/>
  <c r="AP92" i="29"/>
  <c r="AQ92" i="29" s="1"/>
  <c r="AR92" i="29" s="1"/>
  <c r="AP102" i="29"/>
  <c r="AQ102" i="29" s="1"/>
  <c r="AR102" i="29" s="1"/>
  <c r="AN113" i="29"/>
  <c r="AP128" i="29"/>
  <c r="AQ128" i="29" s="1"/>
  <c r="AR128" i="29" s="1"/>
  <c r="AN136" i="29"/>
  <c r="AO136" i="29" s="1"/>
  <c r="AP162" i="29"/>
  <c r="AQ162" i="29" s="1"/>
  <c r="AR162" i="29" s="1"/>
  <c r="AN19" i="29"/>
  <c r="AO19" i="29" s="1"/>
  <c r="AP34" i="29"/>
  <c r="AQ34" i="29" s="1"/>
  <c r="AR34" i="29" s="1"/>
  <c r="AN48" i="29"/>
  <c r="AN76" i="29"/>
  <c r="AO76" i="29" s="1"/>
  <c r="AM102" i="29"/>
  <c r="AO102" i="29" s="1"/>
  <c r="AM133" i="29"/>
  <c r="AN159" i="29"/>
  <c r="AO159" i="29" s="1"/>
  <c r="AM175" i="29"/>
  <c r="AP210" i="29"/>
  <c r="AQ210" i="29" s="1"/>
  <c r="AR210" i="29" s="1"/>
  <c r="AN221" i="29"/>
  <c r="AP19" i="29"/>
  <c r="AQ19" i="29" s="1"/>
  <c r="AR19" i="29" s="1"/>
  <c r="AN30" i="29"/>
  <c r="AO30" i="29" s="1"/>
  <c r="AP48" i="29"/>
  <c r="AQ48" i="29" s="1"/>
  <c r="AR48" i="29" s="1"/>
  <c r="AN61" i="29"/>
  <c r="AO61" i="29" s="1"/>
  <c r="AP76" i="29"/>
  <c r="AQ76" i="29" s="1"/>
  <c r="AR76" i="29" s="1"/>
  <c r="AM87" i="29"/>
  <c r="AM113" i="29"/>
  <c r="AN123" i="29"/>
  <c r="AO123" i="29" s="1"/>
  <c r="AP151" i="29"/>
  <c r="AQ151" i="29" s="1"/>
  <c r="AR151" i="29" s="1"/>
  <c r="AN162" i="29"/>
  <c r="AM188" i="29"/>
  <c r="AO188" i="29" s="1"/>
  <c r="AN216" i="29"/>
  <c r="AP14" i="29"/>
  <c r="AQ14" i="29" s="1"/>
  <c r="AR14" i="29" s="1"/>
  <c r="AN25" i="29"/>
  <c r="AM35" i="29"/>
  <c r="AM69" i="29"/>
  <c r="AM116" i="29"/>
  <c r="AM139" i="29"/>
  <c r="AO139" i="29" s="1"/>
  <c r="AM22" i="29"/>
  <c r="AO22" i="29" s="1"/>
  <c r="AM51" i="29"/>
  <c r="AO51" i="29" s="1"/>
  <c r="AM79" i="29"/>
  <c r="AO79" i="29" s="1"/>
  <c r="AN89" i="29"/>
  <c r="AO89" i="29" s="1"/>
  <c r="AP104" i="29"/>
  <c r="AQ104" i="29" s="1"/>
  <c r="AR104" i="29" s="1"/>
  <c r="AN115" i="29"/>
  <c r="AO115" i="29" s="1"/>
  <c r="AP135" i="29"/>
  <c r="AQ135" i="29" s="1"/>
  <c r="AR135" i="29" s="1"/>
  <c r="AN146" i="29"/>
  <c r="AO146" i="29" s="1"/>
  <c r="AM162" i="29"/>
  <c r="AN177" i="29"/>
  <c r="AM224" i="29"/>
  <c r="AN37" i="29"/>
  <c r="AO37" i="29" s="1"/>
  <c r="AM64" i="29"/>
  <c r="AO64" i="29" s="1"/>
  <c r="AP89" i="29"/>
  <c r="AQ89" i="29" s="1"/>
  <c r="AR89" i="29" s="1"/>
  <c r="AP115" i="29"/>
  <c r="AQ115" i="29" s="1"/>
  <c r="AR115" i="29" s="1"/>
  <c r="AM126" i="29"/>
  <c r="AM165" i="29"/>
  <c r="AO165" i="29" s="1"/>
  <c r="AN190" i="29"/>
  <c r="AM219" i="29"/>
  <c r="AM28" i="29"/>
  <c r="AP37" i="29"/>
  <c r="AQ37" i="29" s="1"/>
  <c r="AR37" i="29" s="1"/>
  <c r="AM54" i="29"/>
  <c r="AN118" i="29"/>
  <c r="AO118" i="29" s="1"/>
  <c r="AP141" i="29"/>
  <c r="AQ141" i="29" s="1"/>
  <c r="AR141" i="29" s="1"/>
  <c r="AM152" i="29"/>
  <c r="AO152" i="29" s="1"/>
  <c r="AP208" i="29"/>
  <c r="AQ208" i="29" s="1"/>
  <c r="AR208" i="29" s="1"/>
  <c r="AN219" i="29"/>
  <c r="AM52" i="29"/>
  <c r="AO52" i="29" s="1"/>
  <c r="AM80" i="29"/>
  <c r="AN90" i="29"/>
  <c r="AP105" i="29"/>
  <c r="AQ105" i="29" s="1"/>
  <c r="AR105" i="29" s="1"/>
  <c r="AN116" i="29"/>
  <c r="AM142" i="29"/>
  <c r="AN173" i="29"/>
  <c r="AO173" i="29" s="1"/>
  <c r="AM191" i="29"/>
  <c r="AO191" i="29" s="1"/>
  <c r="AN222" i="29"/>
  <c r="AN33" i="29"/>
  <c r="AM43" i="29"/>
  <c r="AP54" i="29"/>
  <c r="AQ54" i="29" s="1"/>
  <c r="AR54" i="29" s="1"/>
  <c r="AP64" i="29"/>
  <c r="AQ64" i="29" s="1"/>
  <c r="AR64" i="29" s="1"/>
  <c r="AM75" i="29"/>
  <c r="AO75" i="29" s="1"/>
  <c r="AN98" i="29"/>
  <c r="AO98" i="29" s="1"/>
  <c r="AN134" i="29"/>
  <c r="AP160" i="29"/>
  <c r="AQ160" i="29" s="1"/>
  <c r="AR160" i="29" s="1"/>
  <c r="AM171" i="29"/>
  <c r="AO171" i="29" s="1"/>
  <c r="AN181" i="29"/>
  <c r="AM199" i="29"/>
  <c r="AO199" i="29" s="1"/>
  <c r="AP16" i="29"/>
  <c r="AQ16" i="29" s="1"/>
  <c r="AR16" i="29" s="1"/>
  <c r="AN27" i="29"/>
  <c r="AO27" i="29" s="1"/>
  <c r="AM42" i="29"/>
  <c r="AN58" i="29"/>
  <c r="AP73" i="29"/>
  <c r="AQ73" i="29" s="1"/>
  <c r="AR73" i="29" s="1"/>
  <c r="AN84" i="29"/>
  <c r="AO84" i="29" s="1"/>
  <c r="AM110" i="29"/>
  <c r="AO110" i="29" s="1"/>
  <c r="AM141" i="29"/>
  <c r="AO141" i="29" s="1"/>
  <c r="AP156" i="29"/>
  <c r="AQ156" i="29" s="1"/>
  <c r="AR156" i="29" s="1"/>
  <c r="AN167" i="29"/>
  <c r="AO167" i="29" s="1"/>
  <c r="AP218" i="29"/>
  <c r="AQ218" i="29" s="1"/>
  <c r="AR218" i="29" s="1"/>
  <c r="AM229" i="29"/>
  <c r="AP27" i="29"/>
  <c r="AQ27" i="29" s="1"/>
  <c r="AR27" i="29" s="1"/>
  <c r="AN42" i="29"/>
  <c r="AP58" i="29"/>
  <c r="AQ58" i="29" s="1"/>
  <c r="AR58" i="29" s="1"/>
  <c r="AP84" i="29"/>
  <c r="AQ84" i="29" s="1"/>
  <c r="AR84" i="29" s="1"/>
  <c r="AM95" i="29"/>
  <c r="AP120" i="29"/>
  <c r="AQ120" i="29" s="1"/>
  <c r="AR120" i="29" s="1"/>
  <c r="AN133" i="29"/>
  <c r="AP159" i="29"/>
  <c r="AQ159" i="29" s="1"/>
  <c r="AR159" i="29" s="1"/>
  <c r="AN170" i="29"/>
  <c r="AO170" i="29" s="1"/>
  <c r="AN200" i="29"/>
  <c r="AP213" i="29"/>
  <c r="AQ213" i="29" s="1"/>
  <c r="AR213" i="29" s="1"/>
  <c r="AN224" i="29"/>
  <c r="AP22" i="29"/>
  <c r="AQ22" i="29" s="1"/>
  <c r="AR22" i="29" s="1"/>
  <c r="AP32" i="29"/>
  <c r="AQ32" i="29" s="1"/>
  <c r="AR32" i="29" s="1"/>
  <c r="AM49" i="29"/>
  <c r="AO49" i="29" s="1"/>
  <c r="AN74" i="29"/>
  <c r="AM90" i="29"/>
  <c r="AM147" i="29"/>
  <c r="AN157" i="29"/>
  <c r="AM214" i="29"/>
  <c r="AN35" i="29"/>
  <c r="AP46" i="29"/>
  <c r="AQ46" i="29" s="1"/>
  <c r="AR46" i="29" s="1"/>
  <c r="AP74" i="29"/>
  <c r="AQ74" i="29" s="1"/>
  <c r="AR74" i="29" s="1"/>
  <c r="AN85" i="29"/>
  <c r="AO85" i="29" s="1"/>
  <c r="AM111" i="29"/>
  <c r="AN121" i="29"/>
  <c r="AO121" i="29" s="1"/>
  <c r="AP136" i="29"/>
  <c r="AQ136" i="29" s="1"/>
  <c r="AR136" i="29" s="1"/>
  <c r="AN147" i="29"/>
  <c r="AP165" i="29"/>
  <c r="AQ165" i="29" s="1"/>
  <c r="AR165" i="29" s="1"/>
  <c r="AM186" i="29"/>
  <c r="AM196" i="29"/>
  <c r="AO196" i="29" s="1"/>
  <c r="AP28" i="29"/>
  <c r="AQ28" i="29" s="1"/>
  <c r="AR28" i="29" s="1"/>
  <c r="AM38" i="29"/>
  <c r="AP49" i="29"/>
  <c r="AQ49" i="29" s="1"/>
  <c r="AR49" i="29" s="1"/>
  <c r="AP59" i="29"/>
  <c r="AQ59" i="29" s="1"/>
  <c r="AR59" i="29" s="1"/>
  <c r="AP69" i="29"/>
  <c r="AQ69" i="29" s="1"/>
  <c r="AR69" i="29" s="1"/>
  <c r="AN80" i="29"/>
  <c r="AN103" i="29"/>
  <c r="AN129" i="29"/>
  <c r="AO129" i="29" s="1"/>
  <c r="AM166" i="29"/>
  <c r="AM176" i="29"/>
  <c r="AN186" i="29"/>
  <c r="AN217" i="29"/>
  <c r="AO217" i="29" s="1"/>
  <c r="AO212" i="29"/>
  <c r="N83" i="25"/>
  <c r="N23" i="25"/>
  <c r="N99" i="25"/>
  <c r="N95" i="25"/>
  <c r="N102" i="25"/>
  <c r="L42" i="25"/>
  <c r="N21" i="25"/>
  <c r="N101" i="25"/>
  <c r="L34" i="25"/>
  <c r="L9" i="25"/>
  <c r="L85" i="25"/>
  <c r="N56" i="25"/>
  <c r="N77" i="25"/>
  <c r="N11" i="25"/>
  <c r="N100" i="25"/>
  <c r="N44" i="25"/>
  <c r="N63" i="25"/>
  <c r="N22" i="25"/>
  <c r="L19" i="25"/>
  <c r="N103" i="25"/>
  <c r="N79" i="25"/>
  <c r="N30" i="25"/>
  <c r="L23" i="25"/>
  <c r="L20" i="25"/>
  <c r="N6" i="25"/>
  <c r="B71" i="2"/>
  <c r="E15" i="23"/>
  <c r="E79" i="23"/>
  <c r="E7" i="23"/>
  <c r="E72" i="23"/>
  <c r="E11" i="23"/>
  <c r="E75" i="23"/>
  <c r="E76" i="23"/>
  <c r="K29" i="24"/>
  <c r="K25" i="24"/>
  <c r="E62" i="23"/>
  <c r="M96" i="24"/>
  <c r="N96" i="24" s="1"/>
  <c r="K75" i="24"/>
  <c r="K50" i="24"/>
  <c r="E42" i="23"/>
  <c r="R42" i="23" s="1"/>
  <c r="K95" i="24"/>
  <c r="M93" i="24"/>
  <c r="N93" i="24" s="1"/>
  <c r="M59" i="24"/>
  <c r="N59" i="24" s="1"/>
  <c r="K99" i="24"/>
  <c r="K58" i="24"/>
  <c r="K36" i="24"/>
  <c r="E85" i="23"/>
  <c r="N85" i="23" s="1"/>
  <c r="O85" i="23" s="1"/>
  <c r="P85" i="23" s="1"/>
  <c r="Q85" i="23" s="1"/>
  <c r="M44" i="24"/>
  <c r="N44" i="24" s="1"/>
  <c r="K105" i="24"/>
  <c r="K28" i="24"/>
  <c r="M24" i="24"/>
  <c r="N24" i="24" s="1"/>
  <c r="K104" i="24"/>
  <c r="M66" i="24"/>
  <c r="N66" i="24" s="1"/>
  <c r="K27" i="24"/>
  <c r="M83" i="24"/>
  <c r="N83" i="24" s="1"/>
  <c r="M68" i="24"/>
  <c r="N68" i="24" s="1"/>
  <c r="M45" i="24"/>
  <c r="N45" i="24" s="1"/>
  <c r="K11" i="24"/>
  <c r="K6" i="24"/>
  <c r="K55" i="24"/>
  <c r="M76" i="24"/>
  <c r="N76" i="24" s="1"/>
  <c r="E10" i="23"/>
  <c r="M99" i="24"/>
  <c r="N99" i="24" s="1"/>
  <c r="M90" i="24"/>
  <c r="N90" i="24" s="1"/>
  <c r="E8" i="23"/>
  <c r="I10" i="23"/>
  <c r="F78" i="23"/>
  <c r="G78" i="23" s="1"/>
  <c r="H78" i="23" s="1"/>
  <c r="F48" i="23"/>
  <c r="G48" i="23" s="1"/>
  <c r="H48" i="23" s="1"/>
  <c r="F99" i="23"/>
  <c r="G99" i="23" s="1"/>
  <c r="H99" i="23" s="1"/>
  <c r="I63" i="23"/>
  <c r="B174" i="2"/>
  <c r="I9" i="8" s="1"/>
  <c r="J9" i="8" s="1"/>
  <c r="B175" i="2" s="1"/>
  <c r="L105" i="25"/>
  <c r="N75" i="25"/>
  <c r="N15" i="25"/>
  <c r="N86" i="25"/>
  <c r="L83" i="25"/>
  <c r="N94" i="25"/>
  <c r="L36" i="25"/>
  <c r="L11" i="25"/>
  <c r="L86" i="25"/>
  <c r="L26" i="25"/>
  <c r="L5" i="25"/>
  <c r="N74" i="25"/>
  <c r="N48" i="25"/>
  <c r="N65" i="25"/>
  <c r="L88" i="25"/>
  <c r="N27" i="25"/>
  <c r="N24" i="25"/>
  <c r="L35" i="25"/>
  <c r="N84" i="25"/>
  <c r="N7" i="25"/>
  <c r="N52" i="25"/>
  <c r="N47" i="25"/>
  <c r="N88" i="25"/>
  <c r="L15" i="25"/>
  <c r="N62" i="25"/>
  <c r="N57" i="25"/>
  <c r="B70" i="2"/>
  <c r="E23" i="23"/>
  <c r="E87" i="23"/>
  <c r="E16" i="23"/>
  <c r="E80" i="23"/>
  <c r="E19" i="23"/>
  <c r="E83" i="23"/>
  <c r="E100" i="23"/>
  <c r="M7" i="24"/>
  <c r="N7" i="24" s="1"/>
  <c r="K20" i="24"/>
  <c r="E46" i="23"/>
  <c r="K91" i="24"/>
  <c r="K70" i="24"/>
  <c r="M5" i="24"/>
  <c r="E26" i="23"/>
  <c r="M84" i="24"/>
  <c r="N84" i="24" s="1"/>
  <c r="K80" i="24"/>
  <c r="K54" i="24"/>
  <c r="M88" i="24"/>
  <c r="N88" i="24" s="1"/>
  <c r="M47" i="24"/>
  <c r="N47" i="24" s="1"/>
  <c r="M25" i="24"/>
  <c r="N25" i="24" s="1"/>
  <c r="E69" i="23"/>
  <c r="M52" i="24"/>
  <c r="N52" i="24" s="1"/>
  <c r="K74" i="24"/>
  <c r="M62" i="24"/>
  <c r="N62" i="24" s="1"/>
  <c r="M40" i="24"/>
  <c r="N40" i="24" s="1"/>
  <c r="M86" i="24"/>
  <c r="N86" i="24" s="1"/>
  <c r="M8" i="24"/>
  <c r="N8" i="24" s="1"/>
  <c r="K43" i="24"/>
  <c r="K87" i="24"/>
  <c r="M98" i="24"/>
  <c r="N98" i="24" s="1"/>
  <c r="K40" i="24"/>
  <c r="E97" i="23"/>
  <c r="M11" i="24"/>
  <c r="N11" i="24" s="1"/>
  <c r="M61" i="24"/>
  <c r="N61" i="24" s="1"/>
  <c r="M82" i="24"/>
  <c r="N82" i="24" s="1"/>
  <c r="E61" i="23"/>
  <c r="K103" i="24"/>
  <c r="K48" i="24"/>
  <c r="M13" i="24"/>
  <c r="N13" i="24" s="1"/>
  <c r="L116" i="25"/>
  <c r="N138" i="25"/>
  <c r="L136" i="25"/>
  <c r="N200" i="25"/>
  <c r="L129" i="25"/>
  <c r="L209" i="25"/>
  <c r="N142" i="25"/>
  <c r="L206" i="25"/>
  <c r="N124" i="25"/>
  <c r="N188" i="25"/>
  <c r="N117" i="25"/>
  <c r="N181" i="25"/>
  <c r="B69" i="2"/>
  <c r="L16" i="1" s="1"/>
  <c r="L97" i="25"/>
  <c r="N59" i="25"/>
  <c r="L64" i="25"/>
  <c r="N70" i="25"/>
  <c r="L67" i="25"/>
  <c r="L82" i="25"/>
  <c r="L22" i="25"/>
  <c r="N91" i="25"/>
  <c r="L70" i="25"/>
  <c r="N89" i="25"/>
  <c r="L99" i="25"/>
  <c r="N37" i="25"/>
  <c r="N28" i="25"/>
  <c r="N29" i="25"/>
  <c r="N25" i="25"/>
  <c r="L81" i="25"/>
  <c r="N85" i="25"/>
  <c r="L10" i="25"/>
  <c r="L63" i="25"/>
  <c r="L40" i="25"/>
  <c r="N73" i="25"/>
  <c r="L44" i="25"/>
  <c r="N68" i="25"/>
  <c r="N5" i="25"/>
  <c r="T5" i="25" s="1"/>
  <c r="L25" i="25"/>
  <c r="E39" i="23"/>
  <c r="E103" i="23"/>
  <c r="E32" i="23"/>
  <c r="E96" i="23"/>
  <c r="E35" i="23"/>
  <c r="E99" i="23"/>
  <c r="M58" i="24"/>
  <c r="N58" i="24" s="1"/>
  <c r="M38" i="24"/>
  <c r="N38" i="24" s="1"/>
  <c r="K12" i="24"/>
  <c r="E14" i="23"/>
  <c r="K101" i="24"/>
  <c r="K67" i="24"/>
  <c r="K49" i="24"/>
  <c r="K100" i="24"/>
  <c r="M63" i="24"/>
  <c r="N63" i="24" s="1"/>
  <c r="E102" i="23"/>
  <c r="K97" i="24"/>
  <c r="K30" i="24"/>
  <c r="M10" i="24"/>
  <c r="N10" i="24" s="1"/>
  <c r="E37" i="23"/>
  <c r="K18" i="24"/>
  <c r="M64" i="24"/>
  <c r="N64" i="24" s="1"/>
  <c r="M20" i="24"/>
  <c r="N20" i="24" s="1"/>
  <c r="K14" i="24"/>
  <c r="K42" i="24"/>
  <c r="E57" i="23"/>
  <c r="M46" i="24"/>
  <c r="N46" i="24" s="1"/>
  <c r="K96" i="24"/>
  <c r="K46" i="24"/>
  <c r="K24" i="24"/>
  <c r="E65" i="23"/>
  <c r="M19" i="24"/>
  <c r="N19" i="24" s="1"/>
  <c r="E54" i="23"/>
  <c r="M27" i="24"/>
  <c r="N27" i="24" s="1"/>
  <c r="M32" i="24"/>
  <c r="N32" i="24" s="1"/>
  <c r="M71" i="24"/>
  <c r="N71" i="24" s="1"/>
  <c r="M22" i="24"/>
  <c r="N22" i="24" s="1"/>
  <c r="I17" i="23"/>
  <c r="I6" i="23"/>
  <c r="F44" i="23"/>
  <c r="G44" i="23" s="1"/>
  <c r="H44" i="23" s="1"/>
  <c r="L164" i="25"/>
  <c r="L143" i="25"/>
  <c r="N152" i="25"/>
  <c r="N139" i="25"/>
  <c r="N145" i="25"/>
  <c r="L147" i="25"/>
  <c r="N158" i="25"/>
  <c r="L115" i="25"/>
  <c r="L140" i="25"/>
  <c r="N204" i="25"/>
  <c r="N96" i="25"/>
  <c r="L37" i="25"/>
  <c r="L12" i="25"/>
  <c r="N34" i="25"/>
  <c r="L96" i="25"/>
  <c r="L58" i="25"/>
  <c r="L60" i="25"/>
  <c r="L94" i="25"/>
  <c r="L46" i="25"/>
  <c r="N41" i="25"/>
  <c r="N97" i="25"/>
  <c r="N76" i="25"/>
  <c r="N8" i="25"/>
  <c r="L41" i="25"/>
  <c r="L17" i="25"/>
  <c r="N80" i="25"/>
  <c r="L29" i="25"/>
  <c r="N46" i="25"/>
  <c r="L39" i="25"/>
  <c r="L6" i="25"/>
  <c r="L103" i="25"/>
  <c r="N58" i="25"/>
  <c r="L43" i="25"/>
  <c r="L56" i="25"/>
  <c r="L71" i="25"/>
  <c r="E63" i="23"/>
  <c r="E68" i="23"/>
  <c r="E56" i="23"/>
  <c r="E60" i="23"/>
  <c r="E59" i="23"/>
  <c r="E36" i="23"/>
  <c r="K10" i="24"/>
  <c r="K57" i="24"/>
  <c r="E78" i="23"/>
  <c r="M87" i="24"/>
  <c r="N87" i="24" s="1"/>
  <c r="M94" i="24"/>
  <c r="N94" i="24" s="1"/>
  <c r="K61" i="24"/>
  <c r="E74" i="23"/>
  <c r="K86" i="24"/>
  <c r="M75" i="24"/>
  <c r="N75" i="24" s="1"/>
  <c r="M105" i="24"/>
  <c r="N105" i="24" s="1"/>
  <c r="K8" i="24"/>
  <c r="K79" i="24"/>
  <c r="K52" i="24"/>
  <c r="K7" i="24"/>
  <c r="M28" i="24"/>
  <c r="N28" i="24" s="1"/>
  <c r="M104" i="24"/>
  <c r="N104" i="24" s="1"/>
  <c r="K60" i="24"/>
  <c r="E45" i="23"/>
  <c r="R45" i="23" s="1"/>
  <c r="M37" i="24"/>
  <c r="N37" i="24" s="1"/>
  <c r="M9" i="24"/>
  <c r="N9" i="24" s="1"/>
  <c r="E34" i="23"/>
  <c r="N34" i="23" s="1"/>
  <c r="O34" i="23" s="1"/>
  <c r="P34" i="23" s="1"/>
  <c r="Q34" i="23" s="1"/>
  <c r="K66" i="24"/>
  <c r="M97" i="24"/>
  <c r="N97" i="24" s="1"/>
  <c r="K9" i="24"/>
  <c r="E17" i="23"/>
  <c r="K39" i="24"/>
  <c r="K89" i="24"/>
  <c r="M18" i="24"/>
  <c r="N18" i="24" s="1"/>
  <c r="K33" i="24"/>
  <c r="E73" i="23"/>
  <c r="K59" i="24"/>
  <c r="I25" i="23"/>
  <c r="I46" i="23"/>
  <c r="F89" i="23"/>
  <c r="G89" i="23" s="1"/>
  <c r="H89" i="23" s="1"/>
  <c r="B11" i="19"/>
  <c r="D11" i="19" s="1"/>
  <c r="G11" i="25"/>
  <c r="G230" i="25"/>
  <c r="I230" i="25" s="1"/>
  <c r="G257" i="25"/>
  <c r="I257" i="25" s="1"/>
  <c r="G252" i="25"/>
  <c r="I252" i="25" s="1"/>
  <c r="G299" i="25"/>
  <c r="I299" i="25" s="1"/>
  <c r="G157" i="25"/>
  <c r="BQ157" i="25" s="1"/>
  <c r="G192" i="25"/>
  <c r="BQ192" i="25" s="1"/>
  <c r="G187" i="25"/>
  <c r="I187" i="25" s="1"/>
  <c r="G103" i="25"/>
  <c r="G182" i="25"/>
  <c r="BQ182" i="25" s="1"/>
  <c r="G153" i="25"/>
  <c r="BQ153" i="25" s="1"/>
  <c r="G124" i="25"/>
  <c r="BQ124" i="25" s="1"/>
  <c r="G119" i="25"/>
  <c r="BQ119" i="25" s="1"/>
  <c r="G71" i="25"/>
  <c r="G90" i="25"/>
  <c r="G137" i="25"/>
  <c r="I137" i="25" s="1"/>
  <c r="G112" i="25"/>
  <c r="BQ112" i="25" s="1"/>
  <c r="G311" i="25"/>
  <c r="I311" i="25" s="1"/>
  <c r="G22" i="25"/>
  <c r="G117" i="25"/>
  <c r="I117" i="25" s="1"/>
  <c r="G96" i="25"/>
  <c r="G231" i="25"/>
  <c r="I231" i="25" s="1"/>
  <c r="G18" i="25"/>
  <c r="G65" i="25"/>
  <c r="G44" i="25"/>
  <c r="B19" i="2"/>
  <c r="B273" i="2" s="1"/>
  <c r="B256" i="2"/>
  <c r="B10" i="19"/>
  <c r="D10" i="19" s="1"/>
  <c r="F7" i="25"/>
  <c r="F6" i="25"/>
  <c r="B13" i="2"/>
  <c r="K7" i="2"/>
  <c r="B14" i="2"/>
  <c r="B38" i="2" s="1"/>
  <c r="CG110" i="25"/>
  <c r="G67" i="25"/>
  <c r="G110" i="25"/>
  <c r="I110" i="25" s="1"/>
  <c r="G250" i="25"/>
  <c r="I250" i="25" s="1"/>
  <c r="G77" i="25"/>
  <c r="G217" i="25"/>
  <c r="I217" i="25" s="1"/>
  <c r="G64" i="25"/>
  <c r="G199" i="25"/>
  <c r="BQ199" i="25" s="1"/>
  <c r="G51" i="25"/>
  <c r="G7" i="25"/>
  <c r="G238" i="25"/>
  <c r="I238" i="25" s="1"/>
  <c r="G73" i="25"/>
  <c r="G208" i="25"/>
  <c r="I208" i="25" s="1"/>
  <c r="G52" i="25"/>
  <c r="G195" i="25"/>
  <c r="G206" i="25"/>
  <c r="G70" i="25"/>
  <c r="G197" i="25"/>
  <c r="I197" i="25" s="1"/>
  <c r="G37" i="25"/>
  <c r="G172" i="25"/>
  <c r="I172" i="25" s="1"/>
  <c r="G16" i="25"/>
  <c r="G111" i="25"/>
  <c r="G143" i="25"/>
  <c r="I143" i="25" s="1"/>
  <c r="G175" i="25"/>
  <c r="I175" i="25" s="1"/>
  <c r="G207" i="25"/>
  <c r="G244" i="25"/>
  <c r="I244" i="25" s="1"/>
  <c r="G276" i="25"/>
  <c r="I276" i="25" s="1"/>
  <c r="G308" i="25"/>
  <c r="G24" i="25"/>
  <c r="G56" i="25"/>
  <c r="G84" i="25"/>
  <c r="G150" i="25"/>
  <c r="BQ150" i="25" s="1"/>
  <c r="G132" i="25"/>
  <c r="BQ132" i="25" s="1"/>
  <c r="G164" i="25"/>
  <c r="BQ164" i="25" s="1"/>
  <c r="G196" i="25"/>
  <c r="BQ196" i="25" s="1"/>
  <c r="G233" i="25"/>
  <c r="I233" i="25" s="1"/>
  <c r="G265" i="25"/>
  <c r="I265" i="25" s="1"/>
  <c r="G297" i="25"/>
  <c r="I297" i="25" s="1"/>
  <c r="G21" i="25"/>
  <c r="G53" i="25"/>
  <c r="G85" i="25"/>
  <c r="G170" i="25"/>
  <c r="I170" i="25" s="1"/>
  <c r="G141" i="25"/>
  <c r="I141" i="25" s="1"/>
  <c r="G173" i="25"/>
  <c r="BQ173" i="25" s="1"/>
  <c r="G205" i="25"/>
  <c r="I205" i="25" s="1"/>
  <c r="G242" i="25"/>
  <c r="I242" i="25" s="1"/>
  <c r="G274" i="25"/>
  <c r="I274" i="25" s="1"/>
  <c r="G306" i="25"/>
  <c r="I306" i="25" s="1"/>
  <c r="G30" i="25"/>
  <c r="G62" i="25"/>
  <c r="G94" i="25"/>
  <c r="G134" i="25"/>
  <c r="I134" i="25" s="1"/>
  <c r="G219" i="25"/>
  <c r="I219" i="25" s="1"/>
  <c r="G27" i="25"/>
  <c r="G303" i="25"/>
  <c r="I303" i="25" s="1"/>
  <c r="G275" i="25"/>
  <c r="I275" i="25" s="1"/>
  <c r="G99" i="25"/>
  <c r="G194" i="25"/>
  <c r="I194" i="25" s="1"/>
  <c r="G23" i="25"/>
  <c r="G79" i="25"/>
  <c r="G115" i="25"/>
  <c r="I115" i="25" s="1"/>
  <c r="G147" i="25"/>
  <c r="I147" i="25" s="1"/>
  <c r="G179" i="25"/>
  <c r="I179" i="25" s="1"/>
  <c r="G216" i="25"/>
  <c r="G248" i="25"/>
  <c r="I248" i="25" s="1"/>
  <c r="G280" i="25"/>
  <c r="I280" i="25" s="1"/>
  <c r="G312" i="25"/>
  <c r="I312" i="25" s="1"/>
  <c r="G28" i="25"/>
  <c r="G60" i="25"/>
  <c r="G88" i="25"/>
  <c r="G162" i="25"/>
  <c r="I162" i="25" s="1"/>
  <c r="G136" i="25"/>
  <c r="I136" i="25" s="1"/>
  <c r="G168" i="25"/>
  <c r="I168" i="25" s="1"/>
  <c r="G200" i="25"/>
  <c r="I200" i="25" s="1"/>
  <c r="G237" i="25"/>
  <c r="I237" i="25" s="1"/>
  <c r="G269" i="25"/>
  <c r="I269" i="25" s="1"/>
  <c r="G301" i="25"/>
  <c r="I301" i="25" s="1"/>
  <c r="G25" i="25"/>
  <c r="G57" i="25"/>
  <c r="G89" i="25"/>
  <c r="G113" i="25"/>
  <c r="G145" i="25"/>
  <c r="BQ145" i="25" s="1"/>
  <c r="G177" i="25"/>
  <c r="BQ177" i="25" s="1"/>
  <c r="G209" i="25"/>
  <c r="BQ209" i="25" s="1"/>
  <c r="G246" i="25"/>
  <c r="I246" i="25" s="1"/>
  <c r="G278" i="25"/>
  <c r="I278" i="25" s="1"/>
  <c r="G310" i="25"/>
  <c r="I310" i="25" s="1"/>
  <c r="G34" i="25"/>
  <c r="G66" i="25"/>
  <c r="G98" i="25"/>
  <c r="G138" i="25"/>
  <c r="I138" i="25" s="1"/>
  <c r="G235" i="25"/>
  <c r="G43" i="25"/>
  <c r="G47" i="25"/>
  <c r="G291" i="25"/>
  <c r="I291" i="25" s="1"/>
  <c r="G87" i="25"/>
  <c r="G210" i="25"/>
  <c r="G39" i="25"/>
  <c r="G151" i="25"/>
  <c r="I151" i="25" s="1"/>
  <c r="G191" i="25"/>
  <c r="I191" i="25" s="1"/>
  <c r="G236" i="25"/>
  <c r="I236" i="25" s="1"/>
  <c r="G284" i="25"/>
  <c r="I284" i="25" s="1"/>
  <c r="G48" i="25"/>
  <c r="G116" i="25"/>
  <c r="BQ116" i="25" s="1"/>
  <c r="G156" i="25"/>
  <c r="I156" i="25" s="1"/>
  <c r="G204" i="25"/>
  <c r="G249" i="25"/>
  <c r="I249" i="25" s="1"/>
  <c r="G289" i="25"/>
  <c r="I289" i="25" s="1"/>
  <c r="G29" i="25"/>
  <c r="G69" i="25"/>
  <c r="G122" i="25"/>
  <c r="I122" i="25" s="1"/>
  <c r="G149" i="25"/>
  <c r="I149" i="25" s="1"/>
  <c r="G189" i="25"/>
  <c r="I189" i="25" s="1"/>
  <c r="G234" i="25"/>
  <c r="I234" i="25" s="1"/>
  <c r="G282" i="25"/>
  <c r="I282" i="25" s="1"/>
  <c r="G14" i="25"/>
  <c r="G54" i="25"/>
  <c r="G102" i="25"/>
  <c r="G158" i="25"/>
  <c r="G315" i="25"/>
  <c r="I315" i="25" s="1"/>
  <c r="G95" i="25"/>
  <c r="G35" i="25"/>
  <c r="G63" i="25"/>
  <c r="G55" i="25"/>
  <c r="G123" i="25"/>
  <c r="I123" i="25" s="1"/>
  <c r="G163" i="25"/>
  <c r="I163" i="25" s="1"/>
  <c r="G203" i="25"/>
  <c r="BQ203" i="25" s="1"/>
  <c r="G256" i="25"/>
  <c r="I256" i="25" s="1"/>
  <c r="G296" i="25"/>
  <c r="G20" i="25"/>
  <c r="G68" i="25"/>
  <c r="G100" i="25"/>
  <c r="G128" i="25"/>
  <c r="BQ128" i="25" s="1"/>
  <c r="G176" i="25"/>
  <c r="I176" i="25" s="1"/>
  <c r="G221" i="25"/>
  <c r="I221" i="25" s="1"/>
  <c r="G261" i="25"/>
  <c r="I261" i="25" s="1"/>
  <c r="G309" i="25"/>
  <c r="G41" i="25"/>
  <c r="G81" i="25"/>
  <c r="G121" i="25"/>
  <c r="I121" i="25" s="1"/>
  <c r="G161" i="25"/>
  <c r="BQ161" i="25" s="1"/>
  <c r="G201" i="25"/>
  <c r="I201" i="25" s="1"/>
  <c r="G254" i="25"/>
  <c r="I254" i="25" s="1"/>
  <c r="G294" i="25"/>
  <c r="I294" i="25" s="1"/>
  <c r="G26" i="25"/>
  <c r="G74" i="25"/>
  <c r="G114" i="25"/>
  <c r="I114" i="25" s="1"/>
  <c r="G198" i="25"/>
  <c r="I198" i="25" s="1"/>
  <c r="G75" i="25"/>
  <c r="G227" i="25"/>
  <c r="I227" i="25" s="1"/>
  <c r="G83" i="25"/>
  <c r="G247" i="25"/>
  <c r="I247" i="25" s="1"/>
  <c r="G202" i="25"/>
  <c r="G127" i="25"/>
  <c r="I127" i="25" s="1"/>
  <c r="G167" i="25"/>
  <c r="BQ167" i="25" s="1"/>
  <c r="G220" i="25"/>
  <c r="I220" i="25" s="1"/>
  <c r="G260" i="25"/>
  <c r="I260" i="25" s="1"/>
  <c r="G300" i="25"/>
  <c r="I300" i="25" s="1"/>
  <c r="G32" i="25"/>
  <c r="G72" i="25"/>
  <c r="G104" i="25"/>
  <c r="G140" i="25"/>
  <c r="I140" i="25" s="1"/>
  <c r="G180" i="25"/>
  <c r="BQ180" i="25" s="1"/>
  <c r="G225" i="25"/>
  <c r="I225" i="25" s="1"/>
  <c r="G273" i="25"/>
  <c r="I273" i="25" s="1"/>
  <c r="G313" i="25"/>
  <c r="I313" i="25" s="1"/>
  <c r="G45" i="25"/>
  <c r="G93" i="25"/>
  <c r="G125" i="25"/>
  <c r="G165" i="25"/>
  <c r="I165" i="25" s="1"/>
  <c r="G218" i="25"/>
  <c r="I218" i="25" s="1"/>
  <c r="G258" i="25"/>
  <c r="I258" i="25" s="1"/>
  <c r="G298" i="25"/>
  <c r="I298" i="25" s="1"/>
  <c r="G38" i="25"/>
  <c r="G78" i="25"/>
  <c r="G126" i="25"/>
  <c r="BQ126" i="25" s="1"/>
  <c r="G251" i="25"/>
  <c r="G91" i="25"/>
  <c r="G243" i="25"/>
  <c r="I243" i="25" s="1"/>
  <c r="G223" i="25"/>
  <c r="I223" i="25" s="1"/>
  <c r="G263" i="25"/>
  <c r="I263" i="25" s="1"/>
  <c r="G271" i="25"/>
  <c r="I271" i="25" s="1"/>
  <c r="G131" i="25"/>
  <c r="I131" i="25" s="1"/>
  <c r="G171" i="25"/>
  <c r="I171" i="25" s="1"/>
  <c r="G224" i="25"/>
  <c r="I224" i="25" s="1"/>
  <c r="G264" i="25"/>
  <c r="I264" i="25" s="1"/>
  <c r="G304" i="25"/>
  <c r="I304" i="25" s="1"/>
  <c r="G36" i="25"/>
  <c r="G118" i="25"/>
  <c r="G144" i="25"/>
  <c r="I144" i="25" s="1"/>
  <c r="G184" i="25"/>
  <c r="I184" i="25" s="1"/>
  <c r="G229" i="25"/>
  <c r="I229" i="25" s="1"/>
  <c r="G277" i="25"/>
  <c r="G9" i="25"/>
  <c r="G49" i="25"/>
  <c r="G97" i="25"/>
  <c r="G129" i="25"/>
  <c r="BQ129" i="25" s="1"/>
  <c r="G169" i="25"/>
  <c r="I169" i="25" s="1"/>
  <c r="G222" i="25"/>
  <c r="I222" i="25" s="1"/>
  <c r="G262" i="25"/>
  <c r="I262" i="25" s="1"/>
  <c r="G302" i="25"/>
  <c r="G42" i="25"/>
  <c r="G82" i="25"/>
  <c r="G130" i="25"/>
  <c r="I130" i="25" s="1"/>
  <c r="G267" i="25"/>
  <c r="I267" i="25" s="1"/>
  <c r="G6" i="25"/>
  <c r="G259" i="25"/>
  <c r="I259" i="25" s="1"/>
  <c r="G239" i="25"/>
  <c r="I239" i="25" s="1"/>
  <c r="G279" i="25"/>
  <c r="G31" i="25"/>
  <c r="G135" i="25"/>
  <c r="BQ135" i="25" s="1"/>
  <c r="G228" i="25"/>
  <c r="G316" i="25"/>
  <c r="I316" i="25" s="1"/>
  <c r="G76" i="25"/>
  <c r="G148" i="25"/>
  <c r="BQ148" i="25" s="1"/>
  <c r="G241" i="25"/>
  <c r="I241" i="25" s="1"/>
  <c r="G13" i="25"/>
  <c r="G101" i="25"/>
  <c r="G181" i="25"/>
  <c r="I181" i="25" s="1"/>
  <c r="G266" i="25"/>
  <c r="G46" i="25"/>
  <c r="G142" i="25"/>
  <c r="BQ142" i="25" s="1"/>
  <c r="G186" i="25"/>
  <c r="BQ186" i="25" s="1"/>
  <c r="G287" i="25"/>
  <c r="I287" i="25" s="1"/>
  <c r="G139" i="25"/>
  <c r="G232" i="25"/>
  <c r="I232" i="25" s="1"/>
  <c r="G8" i="25"/>
  <c r="G80" i="25"/>
  <c r="G152" i="25"/>
  <c r="I152" i="25" s="1"/>
  <c r="G245" i="25"/>
  <c r="I245" i="25" s="1"/>
  <c r="G17" i="25"/>
  <c r="G105" i="25"/>
  <c r="G185" i="25"/>
  <c r="I185" i="25" s="1"/>
  <c r="G270" i="25"/>
  <c r="I270" i="25" s="1"/>
  <c r="G50" i="25"/>
  <c r="G146" i="25"/>
  <c r="BQ146" i="25" s="1"/>
  <c r="G255" i="25"/>
  <c r="I255" i="25" s="1"/>
  <c r="G15" i="25"/>
  <c r="G155" i="25"/>
  <c r="BQ155" i="25" s="1"/>
  <c r="G240" i="25"/>
  <c r="I240" i="25" s="1"/>
  <c r="G12" i="25"/>
  <c r="G92" i="25"/>
  <c r="G160" i="25"/>
  <c r="I160" i="25" s="1"/>
  <c r="G253" i="25"/>
  <c r="I253" i="25" s="1"/>
  <c r="G33" i="25"/>
  <c r="G154" i="25"/>
  <c r="BQ154" i="25" s="1"/>
  <c r="G193" i="25"/>
  <c r="BQ193" i="25" s="1"/>
  <c r="G286" i="25"/>
  <c r="I286" i="25" s="1"/>
  <c r="G58" i="25"/>
  <c r="G166" i="25"/>
  <c r="I166" i="25" s="1"/>
  <c r="G190" i="25"/>
  <c r="I190" i="25" s="1"/>
  <c r="G178" i="25"/>
  <c r="I178" i="25" s="1"/>
  <c r="G183" i="25"/>
  <c r="I183" i="25" s="1"/>
  <c r="G268" i="25"/>
  <c r="I268" i="25" s="1"/>
  <c r="G40" i="25"/>
  <c r="G174" i="25"/>
  <c r="I174" i="25" s="1"/>
  <c r="G188" i="25"/>
  <c r="G281" i="25"/>
  <c r="I281" i="25" s="1"/>
  <c r="G61" i="25"/>
  <c r="G133" i="25"/>
  <c r="I133" i="25" s="1"/>
  <c r="G226" i="25"/>
  <c r="I226" i="25" s="1"/>
  <c r="G314" i="25"/>
  <c r="I314" i="25" s="1"/>
  <c r="G86" i="25"/>
  <c r="G283" i="25"/>
  <c r="I283" i="25" s="1"/>
  <c r="G307" i="25"/>
  <c r="G295" i="25"/>
  <c r="I295" i="25" s="1"/>
  <c r="G293" i="25"/>
  <c r="G120" i="25"/>
  <c r="BQ120" i="25" s="1"/>
  <c r="G288" i="25"/>
  <c r="I288" i="25" s="1"/>
  <c r="I5" i="25"/>
  <c r="I10" i="25"/>
  <c r="C60" i="2"/>
  <c r="B20" i="2"/>
  <c r="B21" i="2"/>
  <c r="B32" i="2"/>
  <c r="B111" i="2" s="1"/>
  <c r="M227" i="29" l="1"/>
  <c r="M434" i="29"/>
  <c r="M34" i="29"/>
  <c r="M271" i="29"/>
  <c r="AG271" i="29" s="1"/>
  <c r="N248" i="29"/>
  <c r="M460" i="29"/>
  <c r="AG460" i="29" s="1"/>
  <c r="M146" i="29"/>
  <c r="M606" i="29"/>
  <c r="N35" i="29"/>
  <c r="N607" i="29"/>
  <c r="N253" i="29"/>
  <c r="AH253" i="29" s="1"/>
  <c r="N605" i="29"/>
  <c r="M253" i="29"/>
  <c r="W253" i="29" s="1"/>
  <c r="AA253" i="29" s="1"/>
  <c r="N389" i="29"/>
  <c r="AH389" i="29" s="1"/>
  <c r="N168" i="29"/>
  <c r="M209" i="29"/>
  <c r="M461" i="29"/>
  <c r="N580" i="29"/>
  <c r="N310" i="29"/>
  <c r="N98" i="29"/>
  <c r="M31" i="29"/>
  <c r="N175" i="29"/>
  <c r="M43" i="29"/>
  <c r="M543" i="29"/>
  <c r="N197" i="29"/>
  <c r="N72" i="29"/>
  <c r="AH72" i="29" s="1"/>
  <c r="M490" i="29"/>
  <c r="M373" i="29"/>
  <c r="M366" i="29"/>
  <c r="N275" i="29"/>
  <c r="M298" i="29"/>
  <c r="AG298" i="29" s="1"/>
  <c r="N369" i="29"/>
  <c r="X369" i="29" s="1"/>
  <c r="Y369" i="29" s="1"/>
  <c r="M539" i="29"/>
  <c r="N574" i="29"/>
  <c r="M573" i="29"/>
  <c r="M297" i="29"/>
  <c r="N78" i="29"/>
  <c r="N71" i="29"/>
  <c r="N31" i="29"/>
  <c r="M122" i="29"/>
  <c r="N337" i="29"/>
  <c r="AH337" i="29" s="1"/>
  <c r="M92" i="29"/>
  <c r="N257" i="29"/>
  <c r="X257" i="29" s="1"/>
  <c r="Y257" i="29" s="1"/>
  <c r="M401" i="29"/>
  <c r="AG401" i="29" s="1"/>
  <c r="M313" i="29"/>
  <c r="W313" i="29" s="1"/>
  <c r="AA313" i="29" s="1"/>
  <c r="N228" i="29"/>
  <c r="N508" i="29"/>
  <c r="N62" i="29"/>
  <c r="N562" i="29"/>
  <c r="N360" i="29"/>
  <c r="N538" i="29"/>
  <c r="N192" i="29"/>
  <c r="N115" i="29"/>
  <c r="N89" i="29"/>
  <c r="M371" i="29"/>
  <c r="W371" i="29" s="1"/>
  <c r="AA371" i="29" s="1"/>
  <c r="N446" i="29"/>
  <c r="M245" i="29"/>
  <c r="N567" i="29"/>
  <c r="X567" i="29" s="1"/>
  <c r="Y567" i="29" s="1"/>
  <c r="N381" i="29"/>
  <c r="N258" i="29"/>
  <c r="AH258" i="29" s="1"/>
  <c r="M272" i="29"/>
  <c r="M436" i="29"/>
  <c r="M205" i="29"/>
  <c r="M354" i="29"/>
  <c r="AG354" i="29" s="1"/>
  <c r="N161" i="29"/>
  <c r="M322" i="29"/>
  <c r="AG322" i="29" s="1"/>
  <c r="M136" i="29"/>
  <c r="M342" i="29"/>
  <c r="W342" i="29" s="1"/>
  <c r="M318" i="29"/>
  <c r="N245" i="29"/>
  <c r="M511" i="29"/>
  <c r="M187" i="29"/>
  <c r="N84" i="29"/>
  <c r="N432" i="29"/>
  <c r="M215" i="29"/>
  <c r="M185" i="29"/>
  <c r="M198" i="29"/>
  <c r="N412" i="29"/>
  <c r="N176" i="29"/>
  <c r="M553" i="29"/>
  <c r="M554" i="29"/>
  <c r="M62" i="29"/>
  <c r="W62" i="29" s="1"/>
  <c r="AA62" i="29" s="1"/>
  <c r="N252" i="29"/>
  <c r="N37" i="29"/>
  <c r="M426" i="29"/>
  <c r="M24" i="29"/>
  <c r="N69" i="29"/>
  <c r="N53" i="29"/>
  <c r="M175" i="29"/>
  <c r="N590" i="29"/>
  <c r="N297" i="29"/>
  <c r="N15" i="29"/>
  <c r="N301" i="29"/>
  <c r="M375" i="29"/>
  <c r="N429" i="29"/>
  <c r="M257" i="29"/>
  <c r="M581" i="29"/>
  <c r="N18" i="29"/>
  <c r="M279" i="29"/>
  <c r="AG279" i="29" s="1"/>
  <c r="N21" i="29"/>
  <c r="M276" i="29"/>
  <c r="M148" i="29"/>
  <c r="N519" i="29"/>
  <c r="N211" i="29"/>
  <c r="N155" i="29"/>
  <c r="M478" i="29"/>
  <c r="M422" i="29"/>
  <c r="M66" i="29"/>
  <c r="N129" i="29"/>
  <c r="N327" i="29"/>
  <c r="M170" i="29"/>
  <c r="N172" i="29"/>
  <c r="M326" i="29"/>
  <c r="AG326" i="29" s="1"/>
  <c r="N33" i="29"/>
  <c r="N109" i="29"/>
  <c r="N91" i="29"/>
  <c r="AH91" i="29" s="1"/>
  <c r="N305" i="29"/>
  <c r="AH305" i="29" s="1"/>
  <c r="N558" i="29"/>
  <c r="N118" i="29"/>
  <c r="N165" i="29"/>
  <c r="N130" i="29"/>
  <c r="M331" i="29"/>
  <c r="N467" i="29"/>
  <c r="N427" i="29"/>
  <c r="N570" i="29"/>
  <c r="M141" i="29"/>
  <c r="M537" i="29"/>
  <c r="N546" i="29"/>
  <c r="N402" i="29"/>
  <c r="X402" i="29" s="1"/>
  <c r="Y402" i="29" s="1"/>
  <c r="N292" i="29"/>
  <c r="N490" i="29"/>
  <c r="N185" i="29"/>
  <c r="M22" i="29"/>
  <c r="N351" i="29"/>
  <c r="M249" i="29"/>
  <c r="N434" i="29"/>
  <c r="AH434" i="29" s="1"/>
  <c r="M406" i="29"/>
  <c r="N320" i="29"/>
  <c r="M607" i="29"/>
  <c r="M280" i="29"/>
  <c r="W280" i="29" s="1"/>
  <c r="N321" i="29"/>
  <c r="M116" i="29"/>
  <c r="M239" i="29"/>
  <c r="AG239" i="29" s="1"/>
  <c r="N264" i="29"/>
  <c r="M264" i="29"/>
  <c r="N117" i="29"/>
  <c r="N112" i="29"/>
  <c r="N39" i="29"/>
  <c r="X39" i="29" s="1"/>
  <c r="Y39" i="29" s="1"/>
  <c r="N314" i="29"/>
  <c r="M188" i="29"/>
  <c r="M445" i="29"/>
  <c r="AG445" i="29" s="1"/>
  <c r="N16" i="29"/>
  <c r="M278" i="29"/>
  <c r="AG278" i="29" s="1"/>
  <c r="M143" i="29"/>
  <c r="AG143" i="29" s="1"/>
  <c r="M219" i="29"/>
  <c r="M570" i="29"/>
  <c r="W570" i="29" s="1"/>
  <c r="M162" i="29"/>
  <c r="M72" i="29"/>
  <c r="M204" i="29"/>
  <c r="AG204" i="29" s="1"/>
  <c r="N455" i="29"/>
  <c r="M568" i="29"/>
  <c r="M536" i="29"/>
  <c r="M491" i="29"/>
  <c r="AG491" i="29" s="1"/>
  <c r="N166" i="29"/>
  <c r="N532" i="29"/>
  <c r="N515" i="29"/>
  <c r="M199" i="29"/>
  <c r="M129" i="29"/>
  <c r="N479" i="29"/>
  <c r="M55" i="29"/>
  <c r="AG55" i="29" s="1"/>
  <c r="M98" i="29"/>
  <c r="N459" i="29"/>
  <c r="M211" i="29"/>
  <c r="M477" i="29"/>
  <c r="N131" i="29"/>
  <c r="N357" i="29"/>
  <c r="AH357" i="29" s="1"/>
  <c r="M517" i="29"/>
  <c r="N250" i="29"/>
  <c r="N43" i="29"/>
  <c r="N101" i="29"/>
  <c r="M254" i="29"/>
  <c r="N158" i="29"/>
  <c r="AH158" i="29" s="1"/>
  <c r="N482" i="29"/>
  <c r="AH482" i="29" s="1"/>
  <c r="N464" i="29"/>
  <c r="N399" i="29"/>
  <c r="M144" i="29"/>
  <c r="AG144" i="29" s="1"/>
  <c r="N346" i="29"/>
  <c r="AH346" i="29" s="1"/>
  <c r="N206" i="29"/>
  <c r="M417" i="29"/>
  <c r="AG417" i="29" s="1"/>
  <c r="M293" i="29"/>
  <c r="N322" i="29"/>
  <c r="M344" i="29"/>
  <c r="N23" i="29"/>
  <c r="M63" i="29"/>
  <c r="M160" i="29"/>
  <c r="M91" i="29"/>
  <c r="AG91" i="29" s="1"/>
  <c r="M161" i="29"/>
  <c r="N235" i="29"/>
  <c r="M492" i="29"/>
  <c r="M32" i="29"/>
  <c r="N329" i="29"/>
  <c r="X329" i="29" s="1"/>
  <c r="Y329" i="29" s="1"/>
  <c r="N194" i="29"/>
  <c r="N270" i="29"/>
  <c r="N56" i="29"/>
  <c r="X56" i="29" s="1"/>
  <c r="Y56" i="29" s="1"/>
  <c r="N107" i="29"/>
  <c r="M103" i="29"/>
  <c r="M166" i="29"/>
  <c r="M380" i="29"/>
  <c r="M561" i="29"/>
  <c r="M147" i="29"/>
  <c r="N189" i="29"/>
  <c r="M81" i="29"/>
  <c r="N160" i="29"/>
  <c r="M600" i="29"/>
  <c r="M100" i="29"/>
  <c r="N582" i="29"/>
  <c r="X582" i="29" s="1"/>
  <c r="Y582" i="29" s="1"/>
  <c r="M78" i="29"/>
  <c r="N285" i="29"/>
  <c r="M316" i="29"/>
  <c r="N430" i="29"/>
  <c r="M516" i="29"/>
  <c r="W516" i="29" s="1"/>
  <c r="N393" i="29"/>
  <c r="M521" i="29"/>
  <c r="N423" i="29"/>
  <c r="M304" i="29"/>
  <c r="AG304" i="29" s="1"/>
  <c r="N502" i="29"/>
  <c r="AH502" i="29" s="1"/>
  <c r="M76" i="29"/>
  <c r="N22" i="29"/>
  <c r="M235" i="29"/>
  <c r="M243" i="29"/>
  <c r="M184" i="29"/>
  <c r="W184" i="29" s="1"/>
  <c r="M67" i="29"/>
  <c r="W67" i="29" s="1"/>
  <c r="M114" i="29"/>
  <c r="M163" i="29"/>
  <c r="N426" i="29"/>
  <c r="M212" i="29"/>
  <c r="N66" i="29"/>
  <c r="M88" i="29"/>
  <c r="W88" i="29" s="1"/>
  <c r="N94" i="29"/>
  <c r="AH94" i="29" s="1"/>
  <c r="N114" i="29"/>
  <c r="N207" i="29"/>
  <c r="N137" i="29"/>
  <c r="M370" i="29"/>
  <c r="M287" i="29"/>
  <c r="AG287" i="29" s="1"/>
  <c r="N535" i="29"/>
  <c r="N79" i="29"/>
  <c r="N41" i="29"/>
  <c r="AH41" i="29" s="1"/>
  <c r="M238" i="29"/>
  <c r="M314" i="29"/>
  <c r="N151" i="29"/>
  <c r="M159" i="29"/>
  <c r="N220" i="29"/>
  <c r="M200" i="29"/>
  <c r="N420" i="29"/>
  <c r="N509" i="29"/>
  <c r="M566" i="29"/>
  <c r="M224" i="29"/>
  <c r="N350" i="29"/>
  <c r="M105" i="29"/>
  <c r="M325" i="29"/>
  <c r="M585" i="29"/>
  <c r="N324" i="29"/>
  <c r="M503" i="29"/>
  <c r="N111" i="29"/>
  <c r="N411" i="29"/>
  <c r="M133" i="29"/>
  <c r="M419" i="29"/>
  <c r="AG419" i="29" s="1"/>
  <c r="M233" i="29"/>
  <c r="M488" i="29"/>
  <c r="N579" i="29"/>
  <c r="N542" i="29"/>
  <c r="X542" i="29" s="1"/>
  <c r="Y542" i="29" s="1"/>
  <c r="N378" i="29"/>
  <c r="N152" i="29"/>
  <c r="N462" i="29"/>
  <c r="M418" i="29"/>
  <c r="M44" i="29"/>
  <c r="M432" i="29"/>
  <c r="M112" i="29"/>
  <c r="M430" i="29"/>
  <c r="N571" i="29"/>
  <c r="N491" i="29"/>
  <c r="N368" i="29"/>
  <c r="M142" i="29"/>
  <c r="N167" i="29"/>
  <c r="M167" i="29"/>
  <c r="M158" i="29"/>
  <c r="M259" i="29"/>
  <c r="M306" i="29"/>
  <c r="N124" i="29"/>
  <c r="X124" i="29" s="1"/>
  <c r="Y124" i="29" s="1"/>
  <c r="N200" i="29"/>
  <c r="M575" i="29"/>
  <c r="W575" i="29" s="1"/>
  <c r="M131" i="29"/>
  <c r="M178" i="29"/>
  <c r="AG178" i="29" s="1"/>
  <c r="N289" i="29"/>
  <c r="AH289" i="29" s="1"/>
  <c r="M26" i="29"/>
  <c r="N254" i="29"/>
  <c r="AH254" i="29" s="1"/>
  <c r="N178" i="29"/>
  <c r="N187" i="29"/>
  <c r="M383" i="29"/>
  <c r="N221" i="29"/>
  <c r="N536" i="29"/>
  <c r="M17" i="29"/>
  <c r="M207" i="29"/>
  <c r="N183" i="29"/>
  <c r="X183" i="29" s="1"/>
  <c r="Y183" i="29" s="1"/>
  <c r="M45" i="29"/>
  <c r="AG45" i="29" s="1"/>
  <c r="N611" i="29"/>
  <c r="N533" i="29"/>
  <c r="X533" i="29" s="1"/>
  <c r="Y533" i="29" s="1"/>
  <c r="M321" i="29"/>
  <c r="N431" i="29"/>
  <c r="N149" i="29"/>
  <c r="M483" i="29"/>
  <c r="N154" i="29"/>
  <c r="N282" i="29"/>
  <c r="AH282" i="29" s="1"/>
  <c r="M244" i="29"/>
  <c r="M289" i="29"/>
  <c r="M500" i="29"/>
  <c r="M104" i="29"/>
  <c r="M311" i="29"/>
  <c r="AG311" i="29" s="1"/>
  <c r="M572" i="29"/>
  <c r="M415" i="29"/>
  <c r="W415" i="29" s="1"/>
  <c r="M130" i="29"/>
  <c r="M154" i="29"/>
  <c r="M110" i="29"/>
  <c r="M312" i="29"/>
  <c r="M319" i="29"/>
  <c r="M157" i="29"/>
  <c r="N290" i="29"/>
  <c r="AH290" i="29" s="1"/>
  <c r="M59" i="29"/>
  <c r="N343" i="29"/>
  <c r="M223" i="29"/>
  <c r="AG223" i="29" s="1"/>
  <c r="N503" i="29"/>
  <c r="M578" i="29"/>
  <c r="N102" i="29"/>
  <c r="N162" i="29"/>
  <c r="M93" i="29"/>
  <c r="AG93" i="29" s="1"/>
  <c r="M386" i="29"/>
  <c r="N218" i="29"/>
  <c r="M458" i="29"/>
  <c r="AG458" i="29" s="1"/>
  <c r="N581" i="29"/>
  <c r="N612" i="29"/>
  <c r="N375" i="29"/>
  <c r="M367" i="29"/>
  <c r="M601" i="29"/>
  <c r="M20" i="29"/>
  <c r="N65" i="29"/>
  <c r="AH65" i="29" s="1"/>
  <c r="M75" i="29"/>
  <c r="M487" i="29"/>
  <c r="N141" i="29"/>
  <c r="M140" i="29"/>
  <c r="N413" i="29"/>
  <c r="N376" i="29"/>
  <c r="M327" i="29"/>
  <c r="M388" i="29"/>
  <c r="N361" i="29"/>
  <c r="M393" i="29"/>
  <c r="U415" i="29"/>
  <c r="V415" i="29"/>
  <c r="U395" i="29"/>
  <c r="V395" i="29"/>
  <c r="U470" i="29"/>
  <c r="V470" i="29"/>
  <c r="V238" i="29"/>
  <c r="U238" i="29"/>
  <c r="V70" i="29"/>
  <c r="U70" i="29"/>
  <c r="V209" i="29"/>
  <c r="AH209" i="29" s="1"/>
  <c r="U209" i="29"/>
  <c r="U263" i="29"/>
  <c r="V263" i="29"/>
  <c r="U611" i="29"/>
  <c r="V611" i="29"/>
  <c r="AH611" i="29" s="1"/>
  <c r="AD557" i="29"/>
  <c r="AD599" i="29"/>
  <c r="U302" i="29"/>
  <c r="V302" i="29"/>
  <c r="S25" i="29"/>
  <c r="S69" i="29"/>
  <c r="S29" i="29"/>
  <c r="T28" i="29"/>
  <c r="T36" i="29"/>
  <c r="S77" i="29"/>
  <c r="S93" i="29"/>
  <c r="T605" i="29"/>
  <c r="T595" i="29"/>
  <c r="S552" i="29"/>
  <c r="S565" i="29"/>
  <c r="T496" i="29"/>
  <c r="S488" i="29"/>
  <c r="S453" i="29"/>
  <c r="S455" i="29"/>
  <c r="S418" i="29"/>
  <c r="T402" i="29"/>
  <c r="T352" i="29"/>
  <c r="S311" i="29"/>
  <c r="T292" i="29"/>
  <c r="S329" i="29"/>
  <c r="T332" i="29"/>
  <c r="S234" i="29"/>
  <c r="S281" i="29"/>
  <c r="S252" i="29"/>
  <c r="S243" i="29"/>
  <c r="T214" i="29"/>
  <c r="T209" i="29"/>
  <c r="S229" i="29"/>
  <c r="S233" i="29"/>
  <c r="S191" i="29"/>
  <c r="S169" i="29"/>
  <c r="T160" i="29"/>
  <c r="T127" i="29"/>
  <c r="T196" i="29"/>
  <c r="T148" i="29"/>
  <c r="T149" i="29"/>
  <c r="T105" i="29"/>
  <c r="T165" i="29"/>
  <c r="T96" i="29"/>
  <c r="S130" i="29"/>
  <c r="S76" i="29"/>
  <c r="T55" i="29"/>
  <c r="T29" i="29"/>
  <c r="T45" i="29"/>
  <c r="T62" i="29"/>
  <c r="T597" i="29"/>
  <c r="T564" i="29"/>
  <c r="S573" i="29"/>
  <c r="T549" i="29"/>
  <c r="T484" i="29"/>
  <c r="T475" i="29"/>
  <c r="S441" i="29"/>
  <c r="S443" i="29"/>
  <c r="T405" i="29"/>
  <c r="T386" i="29"/>
  <c r="T344" i="29"/>
  <c r="T358" i="29"/>
  <c r="T284" i="29"/>
  <c r="S313" i="29"/>
  <c r="T324" i="29"/>
  <c r="S230" i="29"/>
  <c r="T272" i="29"/>
  <c r="S305" i="29"/>
  <c r="S239" i="29"/>
  <c r="T206" i="29"/>
  <c r="T205" i="29"/>
  <c r="T224" i="29"/>
  <c r="T227" i="29"/>
  <c r="S187" i="29"/>
  <c r="S165" i="29"/>
  <c r="T156" i="29"/>
  <c r="T123" i="29"/>
  <c r="T180" i="29"/>
  <c r="T140" i="29"/>
  <c r="S148" i="29"/>
  <c r="T101" i="29"/>
  <c r="S160" i="29"/>
  <c r="T92" i="29"/>
  <c r="T129" i="29"/>
  <c r="T115" i="29"/>
  <c r="T51" i="29"/>
  <c r="S597" i="29"/>
  <c r="T556" i="29"/>
  <c r="S558" i="29"/>
  <c r="T533" i="29"/>
  <c r="T495" i="29"/>
  <c r="T463" i="29"/>
  <c r="S425" i="29"/>
  <c r="S439" i="29"/>
  <c r="S392" i="29"/>
  <c r="T378" i="29"/>
  <c r="S364" i="29"/>
  <c r="T346" i="29"/>
  <c r="T280" i="29"/>
  <c r="S303" i="29"/>
  <c r="T323" i="29"/>
  <c r="T294" i="29"/>
  <c r="T264" i="29"/>
  <c r="S299" i="29"/>
  <c r="T312" i="29"/>
  <c r="T202" i="29"/>
  <c r="T197" i="29"/>
  <c r="T216" i="29"/>
  <c r="T223" i="29"/>
  <c r="S183" i="29"/>
  <c r="S161" i="29"/>
  <c r="T182" i="29"/>
  <c r="T119" i="29"/>
  <c r="T173" i="29"/>
  <c r="T132" i="29"/>
  <c r="S142" i="29"/>
  <c r="T97" i="29"/>
  <c r="S156" i="29"/>
  <c r="T88" i="29"/>
  <c r="S128" i="29"/>
  <c r="T111" i="29"/>
  <c r="T47" i="29"/>
  <c r="S64" i="29"/>
  <c r="S99" i="29"/>
  <c r="T608" i="29"/>
  <c r="S589" i="29"/>
  <c r="T586" i="29"/>
  <c r="S561" i="29"/>
  <c r="T487" i="29"/>
  <c r="S471" i="29"/>
  <c r="S421" i="29"/>
  <c r="S419" i="29"/>
  <c r="S388" i="29"/>
  <c r="S450" i="29"/>
  <c r="S348" i="29"/>
  <c r="T342" i="29"/>
  <c r="S334" i="29"/>
  <c r="S365" i="29"/>
  <c r="S314" i="29"/>
  <c r="T278" i="29"/>
  <c r="T260" i="29"/>
  <c r="T290" i="29"/>
  <c r="T295" i="29"/>
  <c r="S244" i="29"/>
  <c r="T189" i="29"/>
  <c r="T212" i="29"/>
  <c r="T215" i="29"/>
  <c r="S179" i="29"/>
  <c r="S157" i="29"/>
  <c r="T192" i="29"/>
  <c r="T186" i="29"/>
  <c r="T170" i="29"/>
  <c r="T124" i="29"/>
  <c r="T141" i="29"/>
  <c r="T93" i="29"/>
  <c r="S118" i="29"/>
  <c r="T84" i="29"/>
  <c r="S122" i="29"/>
  <c r="T107" i="29"/>
  <c r="T13" i="29"/>
  <c r="S101" i="29"/>
  <c r="T584" i="29"/>
  <c r="S576" i="29"/>
  <c r="S540" i="29"/>
  <c r="T510" i="29"/>
  <c r="S504" i="29"/>
  <c r="T473" i="29"/>
  <c r="S448" i="29"/>
  <c r="T429" i="29"/>
  <c r="T387" i="29"/>
  <c r="T438" i="29"/>
  <c r="T355" i="29"/>
  <c r="T345" i="29"/>
  <c r="S280" i="29"/>
  <c r="T311" i="29"/>
  <c r="T277" i="29"/>
  <c r="S309" i="29"/>
  <c r="S338" i="29"/>
  <c r="T251" i="29"/>
  <c r="T262" i="29"/>
  <c r="S202" i="29"/>
  <c r="S213" i="29"/>
  <c r="S220" i="29"/>
  <c r="T183" i="29"/>
  <c r="S170" i="29"/>
  <c r="S137" i="29"/>
  <c r="T159" i="29"/>
  <c r="S151" i="29"/>
  <c r="T150" i="29"/>
  <c r="T98" i="29"/>
  <c r="S126" i="29"/>
  <c r="T73" i="29"/>
  <c r="T136" i="29"/>
  <c r="T153" i="29"/>
  <c r="S108" i="29"/>
  <c r="T87" i="29"/>
  <c r="T21" i="29"/>
  <c r="T37" i="29"/>
  <c r="S71" i="29"/>
  <c r="S559" i="29"/>
  <c r="S524" i="29"/>
  <c r="T500" i="29"/>
  <c r="T469" i="29"/>
  <c r="T423" i="29"/>
  <c r="T395" i="29"/>
  <c r="T393" i="29"/>
  <c r="T365" i="29"/>
  <c r="T328" i="29"/>
  <c r="T301" i="29"/>
  <c r="S257" i="29"/>
  <c r="T282" i="29"/>
  <c r="T246" i="29"/>
  <c r="T217" i="29"/>
  <c r="S212" i="29"/>
  <c r="S207" i="29"/>
  <c r="S141" i="29"/>
  <c r="T139" i="29"/>
  <c r="T158" i="29"/>
  <c r="T82" i="29"/>
  <c r="T85" i="29"/>
  <c r="T116" i="29"/>
  <c r="T121" i="29"/>
  <c r="T79" i="29"/>
  <c r="T570" i="29"/>
  <c r="T531" i="29"/>
  <c r="S487" i="29"/>
  <c r="S506" i="29"/>
  <c r="T415" i="29"/>
  <c r="T371" i="29"/>
  <c r="T373" i="29"/>
  <c r="T353" i="29"/>
  <c r="T319" i="29"/>
  <c r="T293" i="29"/>
  <c r="S249" i="29"/>
  <c r="T271" i="29"/>
  <c r="T242" i="29"/>
  <c r="T185" i="29"/>
  <c r="S208" i="29"/>
  <c r="S199" i="29"/>
  <c r="S133" i="29"/>
  <c r="T135" i="29"/>
  <c r="T154" i="29"/>
  <c r="T78" i="29"/>
  <c r="T81" i="29"/>
  <c r="T112" i="29"/>
  <c r="S120" i="29"/>
  <c r="T75" i="29"/>
  <c r="T33" i="29"/>
  <c r="S574" i="29"/>
  <c r="T527" i="29"/>
  <c r="T553" i="29"/>
  <c r="S478" i="29"/>
  <c r="S415" i="29"/>
  <c r="S426" i="29"/>
  <c r="T368" i="29"/>
  <c r="T333" i="29"/>
  <c r="T313" i="29"/>
  <c r="T285" i="29"/>
  <c r="S241" i="29"/>
  <c r="T263" i="29"/>
  <c r="T234" i="29"/>
  <c r="T177" i="29"/>
  <c r="S200" i="29"/>
  <c r="S175" i="29"/>
  <c r="S129" i="29"/>
  <c r="T131" i="29"/>
  <c r="T146" i="29"/>
  <c r="T161" i="29"/>
  <c r="T77" i="29"/>
  <c r="T108" i="29"/>
  <c r="S116" i="29"/>
  <c r="T71" i="29"/>
  <c r="S55" i="29"/>
  <c r="S606" i="29"/>
  <c r="S579" i="29"/>
  <c r="T550" i="29"/>
  <c r="T490" i="29"/>
  <c r="S461" i="29"/>
  <c r="T458" i="29"/>
  <c r="T425" i="29"/>
  <c r="S340" i="29"/>
  <c r="T321" i="29"/>
  <c r="T303" i="29"/>
  <c r="S295" i="29"/>
  <c r="T291" i="29"/>
  <c r="T259" i="29"/>
  <c r="T230" i="29"/>
  <c r="T229" i="29"/>
  <c r="S192" i="29"/>
  <c r="S171" i="29"/>
  <c r="S125" i="29"/>
  <c r="S167" i="29"/>
  <c r="T142" i="29"/>
  <c r="S150" i="29"/>
  <c r="T69" i="29"/>
  <c r="T104" i="29"/>
  <c r="S112" i="29"/>
  <c r="T67" i="29"/>
  <c r="T580" i="29"/>
  <c r="T589" i="29"/>
  <c r="T518" i="29"/>
  <c r="T501" i="29"/>
  <c r="T444" i="29"/>
  <c r="S385" i="29"/>
  <c r="S402" i="29"/>
  <c r="S363" i="29"/>
  <c r="S318" i="29"/>
  <c r="S294" i="29"/>
  <c r="S242" i="29"/>
  <c r="S301" i="29"/>
  <c r="S259" i="29"/>
  <c r="S210" i="29"/>
  <c r="S181" i="29"/>
  <c r="T195" i="29"/>
  <c r="T184" i="29"/>
  <c r="S174" i="29"/>
  <c r="S139" i="29"/>
  <c r="T114" i="29"/>
  <c r="S124" i="29"/>
  <c r="T174" i="29"/>
  <c r="S152" i="29"/>
  <c r="S84" i="29"/>
  <c r="S586" i="29"/>
  <c r="S526" i="29"/>
  <c r="S470" i="29"/>
  <c r="S401" i="29"/>
  <c r="T428" i="29"/>
  <c r="T336" i="29"/>
  <c r="S278" i="29"/>
  <c r="T252" i="29"/>
  <c r="T287" i="29"/>
  <c r="S221" i="29"/>
  <c r="T191" i="29"/>
  <c r="S145" i="29"/>
  <c r="S143" i="29"/>
  <c r="T90" i="29"/>
  <c r="T53" i="29"/>
  <c r="S138" i="29"/>
  <c r="S34" i="29"/>
  <c r="S31" i="29"/>
  <c r="T50" i="29"/>
  <c r="S509" i="29"/>
  <c r="T440" i="29"/>
  <c r="S283" i="29"/>
  <c r="S211" i="29"/>
  <c r="S132" i="29"/>
  <c r="S96" i="29"/>
  <c r="T23" i="29"/>
  <c r="S26" i="29"/>
  <c r="S262" i="29"/>
  <c r="S92" i="29"/>
  <c r="S18" i="29"/>
  <c r="T604" i="29"/>
  <c r="T486" i="29"/>
  <c r="T335" i="29"/>
  <c r="S254" i="29"/>
  <c r="S226" i="29"/>
  <c r="T172" i="29"/>
  <c r="T138" i="29"/>
  <c r="T120" i="29"/>
  <c r="T25" i="29"/>
  <c r="S57" i="29"/>
  <c r="S264" i="29"/>
  <c r="S550" i="29"/>
  <c r="S518" i="29"/>
  <c r="T519" i="29"/>
  <c r="S389" i="29"/>
  <c r="S406" i="29"/>
  <c r="T308" i="29"/>
  <c r="S358" i="29"/>
  <c r="T248" i="29"/>
  <c r="T279" i="29"/>
  <c r="S209" i="29"/>
  <c r="T179" i="29"/>
  <c r="S121" i="29"/>
  <c r="S135" i="29"/>
  <c r="T86" i="29"/>
  <c r="T49" i="29"/>
  <c r="T137" i="29"/>
  <c r="T17" i="29"/>
  <c r="S14" i="29"/>
  <c r="S23" i="29"/>
  <c r="S22" i="29"/>
  <c r="S568" i="29"/>
  <c r="T392" i="29"/>
  <c r="S287" i="29"/>
  <c r="T254" i="29"/>
  <c r="S219" i="29"/>
  <c r="T133" i="29"/>
  <c r="S100" i="29"/>
  <c r="T31" i="29"/>
  <c r="T14" i="29"/>
  <c r="S52" i="29"/>
  <c r="S405" i="29"/>
  <c r="S266" i="29"/>
  <c r="S177" i="29"/>
  <c r="T166" i="29"/>
  <c r="S50" i="29"/>
  <c r="T42" i="29"/>
  <c r="S602" i="29"/>
  <c r="T460" i="29"/>
  <c r="T347" i="29"/>
  <c r="S273" i="29"/>
  <c r="T190" i="29"/>
  <c r="T162" i="29"/>
  <c r="T128" i="29"/>
  <c r="T626" i="29"/>
  <c r="T34" i="29"/>
  <c r="S612" i="29"/>
  <c r="S490" i="29"/>
  <c r="S399" i="29"/>
  <c r="S246" i="29"/>
  <c r="S166" i="29"/>
  <c r="T118" i="29"/>
  <c r="S546" i="29"/>
  <c r="T521" i="29"/>
  <c r="T457" i="29"/>
  <c r="S446" i="29"/>
  <c r="T401" i="29"/>
  <c r="T304" i="29"/>
  <c r="S342" i="29"/>
  <c r="T240" i="29"/>
  <c r="S277" i="29"/>
  <c r="S201" i="29"/>
  <c r="S240" i="29"/>
  <c r="T188" i="29"/>
  <c r="S131" i="29"/>
  <c r="S140" i="29"/>
  <c r="S117" i="29"/>
  <c r="S136" i="29"/>
  <c r="S48" i="29"/>
  <c r="S85" i="29"/>
  <c r="S19" i="29"/>
  <c r="S15" i="29"/>
  <c r="T18" i="29"/>
  <c r="T563" i="29"/>
  <c r="S292" i="29"/>
  <c r="T226" i="29"/>
  <c r="T144" i="29"/>
  <c r="S94" i="29"/>
  <c r="T567" i="29"/>
  <c r="T504" i="29"/>
  <c r="T426" i="29"/>
  <c r="S276" i="29"/>
  <c r="T218" i="29"/>
  <c r="S231" i="29"/>
  <c r="T167" i="29"/>
  <c r="T125" i="29"/>
  <c r="S46" i="29"/>
  <c r="S555" i="29"/>
  <c r="T424" i="29"/>
  <c r="S272" i="29"/>
  <c r="T163" i="29"/>
  <c r="S88" i="29"/>
  <c r="S70" i="29"/>
  <c r="S351" i="29"/>
  <c r="T200" i="29"/>
  <c r="T134" i="29"/>
  <c r="S553" i="29"/>
  <c r="T513" i="29"/>
  <c r="T453" i="29"/>
  <c r="T400" i="29"/>
  <c r="S332" i="29"/>
  <c r="S304" i="29"/>
  <c r="T305" i="29"/>
  <c r="T232" i="29"/>
  <c r="T266" i="29"/>
  <c r="S197" i="29"/>
  <c r="S223" i="29"/>
  <c r="T168" i="29"/>
  <c r="S127" i="29"/>
  <c r="S134" i="29"/>
  <c r="S113" i="29"/>
  <c r="S104" i="29"/>
  <c r="T39" i="29"/>
  <c r="S59" i="29"/>
  <c r="S111" i="29"/>
  <c r="S42" i="29"/>
  <c r="S517" i="29"/>
  <c r="T461" i="29"/>
  <c r="S320" i="29"/>
  <c r="S296" i="29"/>
  <c r="T299" i="29"/>
  <c r="S189" i="29"/>
  <c r="T164" i="29"/>
  <c r="S123" i="29"/>
  <c r="T152" i="29"/>
  <c r="S81" i="29"/>
  <c r="T363" i="29"/>
  <c r="T176" i="29"/>
  <c r="T15" i="29"/>
  <c r="S68" i="29"/>
  <c r="S452" i="29"/>
  <c r="S361" i="29"/>
  <c r="T204" i="29"/>
  <c r="S114" i="29"/>
  <c r="T30" i="29"/>
  <c r="S626" i="29"/>
  <c r="T603" i="29"/>
  <c r="S436" i="29"/>
  <c r="S345" i="29"/>
  <c r="S222" i="29"/>
  <c r="T155" i="29"/>
  <c r="T100" i="29"/>
  <c r="S80" i="29"/>
  <c r="S537" i="29"/>
  <c r="T439" i="29"/>
  <c r="T318" i="29"/>
  <c r="T283" i="29"/>
  <c r="S224" i="29"/>
  <c r="S163" i="29"/>
  <c r="T61" i="29"/>
  <c r="S90" i="29"/>
  <c r="S542" i="29"/>
  <c r="T421" i="29"/>
  <c r="T231" i="29"/>
  <c r="T211" i="29"/>
  <c r="T130" i="29"/>
  <c r="S98" i="29"/>
  <c r="S271" i="29"/>
  <c r="S35" i="29"/>
  <c r="S78" i="29"/>
  <c r="S482" i="29"/>
  <c r="S306" i="29"/>
  <c r="S251" i="29"/>
  <c r="S158" i="29"/>
  <c r="T145" i="29"/>
  <c r="T52" i="29"/>
  <c r="T26" i="29"/>
  <c r="S30" i="29"/>
  <c r="T269" i="29"/>
  <c r="T99" i="29"/>
  <c r="S38" i="29"/>
  <c r="S533" i="29"/>
  <c r="T435" i="29"/>
  <c r="S357" i="29"/>
  <c r="S260" i="29"/>
  <c r="S188" i="29"/>
  <c r="S159" i="29"/>
  <c r="T57" i="29"/>
  <c r="S43" i="29"/>
  <c r="S105" i="29"/>
  <c r="S387" i="29"/>
  <c r="T203" i="29"/>
  <c r="S154" i="29"/>
  <c r="S503" i="29"/>
  <c r="S322" i="29"/>
  <c r="S263" i="29"/>
  <c r="S146" i="29"/>
  <c r="T41" i="29"/>
  <c r="S107" i="29"/>
  <c r="S214" i="29"/>
  <c r="T106" i="29"/>
  <c r="T591" i="29"/>
  <c r="S472" i="29"/>
  <c r="T430" i="29"/>
  <c r="S182" i="29"/>
  <c r="S153" i="29"/>
  <c r="T117" i="29"/>
  <c r="S49" i="29"/>
  <c r="S66" i="29"/>
  <c r="T113" i="29"/>
  <c r="S72" i="29"/>
  <c r="S47" i="29"/>
  <c r="S587" i="29"/>
  <c r="S331" i="29"/>
  <c r="S236" i="29"/>
  <c r="T109" i="29"/>
  <c r="T38" i="29"/>
  <c r="S424" i="29"/>
  <c r="S269" i="29"/>
  <c r="T147" i="29"/>
  <c r="T63" i="29"/>
  <c r="T590" i="29"/>
  <c r="T455" i="29"/>
  <c r="T334" i="29"/>
  <c r="S261" i="29"/>
  <c r="T233" i="29"/>
  <c r="T143" i="29"/>
  <c r="T59" i="29"/>
  <c r="S86" i="29"/>
  <c r="S536" i="29"/>
  <c r="T446" i="29"/>
  <c r="S341" i="29"/>
  <c r="T247" i="29"/>
  <c r="S180" i="29"/>
  <c r="S155" i="29"/>
  <c r="T80" i="29"/>
  <c r="T66" i="29"/>
  <c r="S103" i="29"/>
  <c r="T48" i="29"/>
  <c r="T122" i="29"/>
  <c r="T103" i="29"/>
  <c r="T261" i="29"/>
  <c r="S54" i="29"/>
  <c r="T64" i="29"/>
  <c r="T598" i="29"/>
  <c r="S315" i="29"/>
  <c r="T221" i="29"/>
  <c r="T89" i="29"/>
  <c r="S527" i="29"/>
  <c r="S438" i="29"/>
  <c r="S349" i="29"/>
  <c r="T239" i="29"/>
  <c r="S176" i="29"/>
  <c r="S147" i="29"/>
  <c r="T169" i="29"/>
  <c r="S73" i="29"/>
  <c r="T302" i="29"/>
  <c r="S164" i="29"/>
  <c r="T526" i="29"/>
  <c r="T298" i="29"/>
  <c r="T126" i="29"/>
  <c r="S379" i="29"/>
  <c r="S162" i="29"/>
  <c r="T157" i="29"/>
  <c r="S408" i="29"/>
  <c r="T110" i="29"/>
  <c r="S79" i="29"/>
  <c r="S496" i="29"/>
  <c r="T404" i="29"/>
  <c r="S290" i="29"/>
  <c r="T194" i="29"/>
  <c r="S144" i="29"/>
  <c r="T22" i="29"/>
  <c r="T610" i="29"/>
  <c r="T468" i="29"/>
  <c r="S394" i="29"/>
  <c r="W394" i="29" s="1"/>
  <c r="AA394" i="29" s="1"/>
  <c r="S282" i="29"/>
  <c r="S194" i="29"/>
  <c r="T178" i="29"/>
  <c r="T102" i="29"/>
  <c r="T602" i="29"/>
  <c r="T481" i="29"/>
  <c r="S382" i="29"/>
  <c r="S190" i="29"/>
  <c r="T171" i="29"/>
  <c r="T94" i="29"/>
  <c r="T95" i="29"/>
  <c r="T607" i="29"/>
  <c r="S467" i="29"/>
  <c r="S339" i="29"/>
  <c r="T257" i="29"/>
  <c r="S178" i="29"/>
  <c r="S149" i="29"/>
  <c r="T91" i="29"/>
  <c r="T46" i="29"/>
  <c r="S474" i="29"/>
  <c r="T249" i="29"/>
  <c r="T151" i="29"/>
  <c r="T83" i="29"/>
  <c r="S61" i="29"/>
  <c r="T65" i="29"/>
  <c r="S39" i="29"/>
  <c r="S603" i="29"/>
  <c r="S466" i="29"/>
  <c r="S316" i="29"/>
  <c r="T253" i="29"/>
  <c r="S225" i="29"/>
  <c r="S562" i="29"/>
  <c r="S460" i="29"/>
  <c r="T361" i="29"/>
  <c r="T236" i="29"/>
  <c r="S228" i="29"/>
  <c r="S627" i="29"/>
  <c r="T441" i="29"/>
  <c r="S319" i="29"/>
  <c r="S289" i="29"/>
  <c r="S173" i="29"/>
  <c r="T599" i="29"/>
  <c r="S473" i="29"/>
  <c r="S355" i="29"/>
  <c r="S253" i="29"/>
  <c r="S193" i="29"/>
  <c r="S545" i="29"/>
  <c r="T451" i="29"/>
  <c r="S346" i="29"/>
  <c r="S275" i="29"/>
  <c r="S196" i="29"/>
  <c r="S563" i="29"/>
  <c r="S409" i="29"/>
  <c r="T338" i="29"/>
  <c r="T256" i="29"/>
  <c r="T208" i="29"/>
  <c r="T576" i="29"/>
  <c r="S449" i="29"/>
  <c r="S372" i="29"/>
  <c r="T275" i="29"/>
  <c r="T228" i="29"/>
  <c r="S578" i="29"/>
  <c r="S451" i="29"/>
  <c r="T288" i="29"/>
  <c r="S248" i="29"/>
  <c r="S232" i="29"/>
  <c r="T561" i="29"/>
  <c r="S444" i="29"/>
  <c r="T337" i="29"/>
  <c r="S325" i="29"/>
  <c r="S216" i="29"/>
  <c r="S564" i="29"/>
  <c r="T489" i="29"/>
  <c r="T317" i="29"/>
  <c r="S291" i="29"/>
  <c r="S204" i="29"/>
  <c r="T539" i="29"/>
  <c r="S393" i="29"/>
  <c r="S350" i="29"/>
  <c r="T235" i="29"/>
  <c r="S227" i="29"/>
  <c r="T551" i="29"/>
  <c r="S423" i="29"/>
  <c r="T276" i="29"/>
  <c r="S297" i="29"/>
  <c r="T219" i="29"/>
  <c r="T611" i="29"/>
  <c r="T396" i="29"/>
  <c r="T307" i="29"/>
  <c r="S255" i="29"/>
  <c r="S203" i="29"/>
  <c r="S512" i="29"/>
  <c r="S375" i="29"/>
  <c r="S353" i="29"/>
  <c r="T222" i="29"/>
  <c r="S27" i="29"/>
  <c r="T523" i="29"/>
  <c r="T399" i="29"/>
  <c r="S330" i="29"/>
  <c r="T270" i="29"/>
  <c r="S532" i="29"/>
  <c r="S374" i="29"/>
  <c r="T274" i="29"/>
  <c r="S593" i="29"/>
  <c r="T388" i="29"/>
  <c r="S250" i="29"/>
  <c r="T199" i="29"/>
  <c r="AE199" i="29" s="1"/>
  <c r="T488" i="29"/>
  <c r="T339" i="29"/>
  <c r="T238" i="29"/>
  <c r="S370" i="29"/>
  <c r="AD370" i="29" s="1"/>
  <c r="T459" i="29"/>
  <c r="AE459" i="29" s="1"/>
  <c r="T554" i="29"/>
  <c r="AE554" i="29" s="1"/>
  <c r="T391" i="29"/>
  <c r="T472" i="29"/>
  <c r="S582" i="29"/>
  <c r="AD582" i="29" s="1"/>
  <c r="S570" i="29"/>
  <c r="S491" i="29"/>
  <c r="S435" i="29"/>
  <c r="T356" i="29"/>
  <c r="S584" i="29"/>
  <c r="T516" i="29"/>
  <c r="S427" i="29"/>
  <c r="T367" i="29"/>
  <c r="T289" i="29"/>
  <c r="S75" i="29"/>
  <c r="AD75" i="29" s="1"/>
  <c r="T613" i="29"/>
  <c r="T569" i="29"/>
  <c r="T497" i="29"/>
  <c r="T542" i="29"/>
  <c r="T397" i="29"/>
  <c r="T243" i="29"/>
  <c r="S595" i="29"/>
  <c r="T434" i="29"/>
  <c r="T286" i="29"/>
  <c r="S195" i="29"/>
  <c r="T498" i="29"/>
  <c r="S312" i="29"/>
  <c r="T210" i="29"/>
  <c r="S352" i="29"/>
  <c r="AD352" i="29" s="1"/>
  <c r="S456" i="29"/>
  <c r="T535" i="29"/>
  <c r="AE535" i="29" s="1"/>
  <c r="S454" i="29"/>
  <c r="T515" i="29"/>
  <c r="AE515" i="29" s="1"/>
  <c r="S591" i="29"/>
  <c r="AD591" i="29" s="1"/>
  <c r="S554" i="29"/>
  <c r="AD554" i="29" s="1"/>
  <c r="T482" i="29"/>
  <c r="AE482" i="29" s="1"/>
  <c r="T466" i="29"/>
  <c r="AE466" i="29" s="1"/>
  <c r="S356" i="29"/>
  <c r="T606" i="29"/>
  <c r="S505" i="29"/>
  <c r="T450" i="29"/>
  <c r="T372" i="29"/>
  <c r="S270" i="29"/>
  <c r="T16" i="29"/>
  <c r="AE16" i="29" s="1"/>
  <c r="S601" i="29"/>
  <c r="S544" i="29"/>
  <c r="T493" i="29"/>
  <c r="T530" i="29"/>
  <c r="T340" i="29"/>
  <c r="S293" i="29"/>
  <c r="S607" i="29"/>
  <c r="T433" i="29"/>
  <c r="T245" i="29"/>
  <c r="AE245" i="29" s="1"/>
  <c r="T70" i="29"/>
  <c r="T507" i="29"/>
  <c r="S288" i="29"/>
  <c r="S218" i="29"/>
  <c r="T364" i="29"/>
  <c r="S417" i="29"/>
  <c r="T593" i="29"/>
  <c r="T380" i="29"/>
  <c r="S495" i="29"/>
  <c r="T588" i="29"/>
  <c r="S577" i="29"/>
  <c r="S486" i="29"/>
  <c r="S430" i="29"/>
  <c r="S324" i="29"/>
  <c r="T578" i="29"/>
  <c r="S483" i="29"/>
  <c r="S420" i="29"/>
  <c r="S335" i="29"/>
  <c r="S119" i="29"/>
  <c r="S17" i="29"/>
  <c r="T592" i="29"/>
  <c r="S543" i="29"/>
  <c r="S489" i="29"/>
  <c r="T528" i="29"/>
  <c r="T314" i="29"/>
  <c r="T258" i="29"/>
  <c r="T560" i="29"/>
  <c r="T416" i="29"/>
  <c r="S245" i="29"/>
  <c r="T76" i="29"/>
  <c r="S501" i="29"/>
  <c r="T320" i="29"/>
  <c r="S186" i="29"/>
  <c r="S404" i="29"/>
  <c r="S457" i="29"/>
  <c r="T566" i="29"/>
  <c r="T341" i="29"/>
  <c r="S381" i="29"/>
  <c r="T492" i="29"/>
  <c r="T600" i="29"/>
  <c r="AE600" i="29" s="1"/>
  <c r="S572" i="29"/>
  <c r="S508" i="29"/>
  <c r="AD508" i="29" s="1"/>
  <c r="S397" i="29"/>
  <c r="T351" i="29"/>
  <c r="S571" i="29"/>
  <c r="T506" i="29"/>
  <c r="S377" i="29"/>
  <c r="AD377" i="29" s="1"/>
  <c r="T366" i="29"/>
  <c r="T43" i="29"/>
  <c r="T60" i="29"/>
  <c r="S596" i="29"/>
  <c r="S538" i="29"/>
  <c r="S485" i="29"/>
  <c r="T491" i="29"/>
  <c r="T296" i="29"/>
  <c r="S235" i="29"/>
  <c r="T579" i="29"/>
  <c r="T436" i="29"/>
  <c r="T268" i="29"/>
  <c r="S83" i="29"/>
  <c r="T532" i="29"/>
  <c r="S307" i="29"/>
  <c r="T213" i="29"/>
  <c r="S442" i="29"/>
  <c r="S465" i="29"/>
  <c r="T558" i="29"/>
  <c r="T322" i="29"/>
  <c r="S422" i="29"/>
  <c r="S513" i="29"/>
  <c r="T601" i="29"/>
  <c r="T562" i="29"/>
  <c r="S464" i="29"/>
  <c r="T418" i="29"/>
  <c r="S359" i="29"/>
  <c r="S585" i="29"/>
  <c r="AD585" i="29" s="1"/>
  <c r="T476" i="29"/>
  <c r="T384" i="29"/>
  <c r="T326" i="29"/>
  <c r="AE326" i="29" s="1"/>
  <c r="T68" i="29"/>
  <c r="S580" i="29"/>
  <c r="T537" i="29"/>
  <c r="S500" i="29"/>
  <c r="T538" i="29"/>
  <c r="S308" i="29"/>
  <c r="T198" i="29"/>
  <c r="S534" i="29"/>
  <c r="T381" i="29"/>
  <c r="T267" i="29"/>
  <c r="S24" i="29"/>
  <c r="T465" i="29"/>
  <c r="S286" i="29"/>
  <c r="T181" i="29"/>
  <c r="S492" i="29"/>
  <c r="T370" i="29"/>
  <c r="U204" i="29"/>
  <c r="S469" i="29"/>
  <c r="AD469" i="29" s="1"/>
  <c r="S507" i="29"/>
  <c r="U290" i="29"/>
  <c r="S298" i="29"/>
  <c r="U81" i="29"/>
  <c r="V81" i="29"/>
  <c r="U587" i="29"/>
  <c r="V587" i="29"/>
  <c r="U94" i="29"/>
  <c r="V94" i="29"/>
  <c r="AO54" i="29"/>
  <c r="T502" i="29"/>
  <c r="S567" i="29"/>
  <c r="T477" i="29"/>
  <c r="AE477" i="29" s="1"/>
  <c r="S403" i="29"/>
  <c r="S516" i="29"/>
  <c r="T627" i="29"/>
  <c r="S522" i="29"/>
  <c r="S416" i="29"/>
  <c r="U244" i="29"/>
  <c r="U328" i="29"/>
  <c r="V328" i="29"/>
  <c r="U322" i="29"/>
  <c r="U24" i="29"/>
  <c r="V24" i="29"/>
  <c r="AO60" i="29"/>
  <c r="AO200" i="29"/>
  <c r="AO33" i="29"/>
  <c r="T494" i="29"/>
  <c r="T568" i="29"/>
  <c r="S168" i="29"/>
  <c r="T422" i="29"/>
  <c r="AE422" i="29" s="1"/>
  <c r="T503" i="29"/>
  <c r="T609" i="29"/>
  <c r="T375" i="29"/>
  <c r="T512" i="29"/>
  <c r="S605" i="29"/>
  <c r="S468" i="29"/>
  <c r="T377" i="29"/>
  <c r="T540" i="29"/>
  <c r="AE540" i="29" s="1"/>
  <c r="T379" i="29"/>
  <c r="U293" i="29"/>
  <c r="U598" i="29"/>
  <c r="S215" i="29"/>
  <c r="T410" i="29"/>
  <c r="T24" i="29"/>
  <c r="S337" i="29"/>
  <c r="S62" i="29"/>
  <c r="AD62" i="29" s="1"/>
  <c r="S274" i="29"/>
  <c r="T583" i="29"/>
  <c r="AE583" i="29" s="1"/>
  <c r="AO114" i="29"/>
  <c r="U548" i="29"/>
  <c r="AO569" i="29"/>
  <c r="V346" i="29"/>
  <c r="AO332" i="29"/>
  <c r="AO387" i="29"/>
  <c r="AO248" i="29"/>
  <c r="AO499" i="29"/>
  <c r="AO534" i="29"/>
  <c r="U255" i="29"/>
  <c r="V255" i="29"/>
  <c r="AO580" i="29"/>
  <c r="V425" i="29"/>
  <c r="U425" i="29"/>
  <c r="AO287" i="29"/>
  <c r="U287" i="29" s="1"/>
  <c r="AO206" i="29"/>
  <c r="AO225" i="29"/>
  <c r="V260" i="29"/>
  <c r="V265" i="29"/>
  <c r="U265" i="29"/>
  <c r="AE420" i="29"/>
  <c r="AE413" i="29"/>
  <c r="T19" i="29"/>
  <c r="S344" i="29"/>
  <c r="S569" i="29"/>
  <c r="T587" i="29"/>
  <c r="S414" i="29"/>
  <c r="AD414" i="29" s="1"/>
  <c r="V155" i="29"/>
  <c r="T58" i="29"/>
  <c r="S336" i="29"/>
  <c r="S510" i="29"/>
  <c r="AD510" i="29" s="1"/>
  <c r="U407" i="29"/>
  <c r="V407" i="29"/>
  <c r="T20" i="29"/>
  <c r="T612" i="29"/>
  <c r="T524" i="29"/>
  <c r="T432" i="29"/>
  <c r="T360" i="29"/>
  <c r="S594" i="29"/>
  <c r="T310" i="29"/>
  <c r="S511" i="29"/>
  <c r="T315" i="29"/>
  <c r="S560" i="29"/>
  <c r="U192" i="29"/>
  <c r="V192" i="29"/>
  <c r="AO487" i="29"/>
  <c r="U545" i="29"/>
  <c r="V545" i="29"/>
  <c r="AO388" i="29"/>
  <c r="AO211" i="29"/>
  <c r="V252" i="29"/>
  <c r="U252" i="29"/>
  <c r="AO187" i="29"/>
  <c r="V72" i="29"/>
  <c r="U72" i="29"/>
  <c r="V396" i="29"/>
  <c r="U396" i="29"/>
  <c r="AO176" i="29"/>
  <c r="AO111" i="29"/>
  <c r="AO222" i="29"/>
  <c r="AO28" i="29"/>
  <c r="V28" i="29" s="1"/>
  <c r="AO87" i="29"/>
  <c r="U87" i="29" s="1"/>
  <c r="S499" i="29"/>
  <c r="S590" i="29"/>
  <c r="AD590" i="29" s="1"/>
  <c r="S32" i="29"/>
  <c r="S386" i="29"/>
  <c r="T467" i="29"/>
  <c r="S58" i="29"/>
  <c r="T409" i="29"/>
  <c r="T509" i="29"/>
  <c r="S598" i="29"/>
  <c r="S67" i="29"/>
  <c r="AD67" i="29" s="1"/>
  <c r="S475" i="29"/>
  <c r="AD475" i="29" s="1"/>
  <c r="S368" i="29"/>
  <c r="T520" i="29"/>
  <c r="S395" i="29"/>
  <c r="AD395" i="29" s="1"/>
  <c r="U405" i="29"/>
  <c r="T187" i="29"/>
  <c r="S398" i="29"/>
  <c r="T74" i="29"/>
  <c r="S300" i="29"/>
  <c r="T44" i="29"/>
  <c r="S310" i="29"/>
  <c r="S613" i="29"/>
  <c r="U377" i="29"/>
  <c r="V377" i="29"/>
  <c r="U223" i="29"/>
  <c r="V223" i="29"/>
  <c r="AO306" i="29"/>
  <c r="U504" i="29"/>
  <c r="V267" i="29"/>
  <c r="V158" i="29"/>
  <c r="U158" i="29"/>
  <c r="AO297" i="29"/>
  <c r="AO215" i="29"/>
  <c r="U570" i="29"/>
  <c r="AO426" i="29"/>
  <c r="U411" i="29"/>
  <c r="V411" i="29"/>
  <c r="U246" i="29"/>
  <c r="V246" i="29"/>
  <c r="AO361" i="29"/>
  <c r="AO163" i="29"/>
  <c r="AO281" i="29"/>
  <c r="AO439" i="29"/>
  <c r="V439" i="29" s="1"/>
  <c r="AD28" i="29"/>
  <c r="U535" i="29"/>
  <c r="V535" i="29"/>
  <c r="AE27" i="29"/>
  <c r="AD528" i="29"/>
  <c r="T462" i="29"/>
  <c r="T485" i="29"/>
  <c r="T545" i="29"/>
  <c r="T571" i="29"/>
  <c r="U362" i="29"/>
  <c r="T331" i="29"/>
  <c r="S592" i="29"/>
  <c r="T309" i="29"/>
  <c r="T511" i="29"/>
  <c r="T464" i="29"/>
  <c r="V230" i="29"/>
  <c r="U230" i="29"/>
  <c r="U169" i="29"/>
  <c r="V169" i="29"/>
  <c r="V168" i="29"/>
  <c r="U168" i="29"/>
  <c r="Q394" i="29"/>
  <c r="R217" i="29"/>
  <c r="Q381" i="29"/>
  <c r="Q228" i="29"/>
  <c r="R18" i="29"/>
  <c r="AE18" i="29" s="1"/>
  <c r="R375" i="29"/>
  <c r="R185" i="29"/>
  <c r="AE185" i="29" s="1"/>
  <c r="Q383" i="29"/>
  <c r="R161" i="29"/>
  <c r="AE161" i="29" s="1"/>
  <c r="Q333" i="29"/>
  <c r="R159" i="29"/>
  <c r="AE159" i="29" s="1"/>
  <c r="Q30" i="29"/>
  <c r="AD30" i="29" s="1"/>
  <c r="R523" i="29"/>
  <c r="AE523" i="29" s="1"/>
  <c r="Q323" i="29"/>
  <c r="R84" i="29"/>
  <c r="AE84" i="29" s="1"/>
  <c r="Q416" i="29"/>
  <c r="R346" i="29"/>
  <c r="R609" i="29"/>
  <c r="R318" i="29"/>
  <c r="AE318" i="29" s="1"/>
  <c r="Q145" i="29"/>
  <c r="AD145" i="29" s="1"/>
  <c r="Q334" i="29"/>
  <c r="AD334" i="29" s="1"/>
  <c r="Q582" i="29"/>
  <c r="R316" i="29"/>
  <c r="Q559" i="29"/>
  <c r="AD559" i="29" s="1"/>
  <c r="R214" i="29"/>
  <c r="AE214" i="29" s="1"/>
  <c r="R453" i="29"/>
  <c r="AE453" i="29" s="1"/>
  <c r="Q283" i="29"/>
  <c r="AD283" i="29" s="1"/>
  <c r="R296" i="29"/>
  <c r="AE296" i="29" s="1"/>
  <c r="Q261" i="29"/>
  <c r="AD261" i="29" s="1"/>
  <c r="R85" i="29"/>
  <c r="AE85" i="29" s="1"/>
  <c r="I635" i="29"/>
  <c r="R75" i="29"/>
  <c r="Q299" i="29"/>
  <c r="R372" i="29"/>
  <c r="Q258" i="29"/>
  <c r="R605" i="29"/>
  <c r="AE605" i="29" s="1"/>
  <c r="R556" i="29"/>
  <c r="R589" i="29"/>
  <c r="AE589" i="29" s="1"/>
  <c r="Q78" i="29"/>
  <c r="AD78" i="29" s="1"/>
  <c r="R179" i="29"/>
  <c r="AE179" i="29" s="1"/>
  <c r="R355" i="29"/>
  <c r="AE355" i="29" s="1"/>
  <c r="R428" i="29"/>
  <c r="AE428" i="29" s="1"/>
  <c r="Q350" i="29"/>
  <c r="AD350" i="29" s="1"/>
  <c r="R577" i="29"/>
  <c r="AE577" i="29" s="1"/>
  <c r="Q543" i="29"/>
  <c r="R595" i="29"/>
  <c r="AE595" i="29" s="1"/>
  <c r="Q28" i="29"/>
  <c r="R30" i="29"/>
  <c r="AE30" i="29" s="1"/>
  <c r="R46" i="29"/>
  <c r="Q236" i="29"/>
  <c r="R395" i="29"/>
  <c r="AE395" i="29" s="1"/>
  <c r="R465" i="29"/>
  <c r="AE465" i="29" s="1"/>
  <c r="Q356" i="29"/>
  <c r="Q585" i="29"/>
  <c r="R538" i="29"/>
  <c r="AE538" i="29" s="1"/>
  <c r="Q605" i="29"/>
  <c r="Q65" i="29"/>
  <c r="AD65" i="29" s="1"/>
  <c r="Q525" i="29"/>
  <c r="Q47" i="29"/>
  <c r="AD47" i="29" s="1"/>
  <c r="Q66" i="29"/>
  <c r="Q290" i="29"/>
  <c r="AD290" i="29" s="1"/>
  <c r="Q460" i="29"/>
  <c r="Q531" i="29"/>
  <c r="R400" i="29"/>
  <c r="AE400" i="29" s="1"/>
  <c r="Q597" i="29"/>
  <c r="Q508" i="29"/>
  <c r="Q591" i="29"/>
  <c r="R291" i="29"/>
  <c r="AE291" i="29" s="1"/>
  <c r="Q474" i="29"/>
  <c r="Q112" i="29"/>
  <c r="AD112" i="29" s="1"/>
  <c r="R51" i="29"/>
  <c r="AE51" i="29" s="1"/>
  <c r="Q94" i="29"/>
  <c r="AD94" i="29" s="1"/>
  <c r="Q566" i="29"/>
  <c r="Q61" i="29"/>
  <c r="AD61" i="29" s="1"/>
  <c r="Q570" i="29"/>
  <c r="R474" i="29"/>
  <c r="Q88" i="29"/>
  <c r="AD88" i="29" s="1"/>
  <c r="R289" i="29"/>
  <c r="Q98" i="29"/>
  <c r="R482" i="29"/>
  <c r="R599" i="29"/>
  <c r="AE599" i="29" s="1"/>
  <c r="R23" i="29"/>
  <c r="AE23" i="29" s="1"/>
  <c r="R31" i="29"/>
  <c r="Q533" i="29"/>
  <c r="R472" i="29"/>
  <c r="R397" i="29"/>
  <c r="Q332" i="29"/>
  <c r="AD332" i="29" s="1"/>
  <c r="R588" i="29"/>
  <c r="AE588" i="29" s="1"/>
  <c r="Q507" i="29"/>
  <c r="Q430" i="29"/>
  <c r="Q455" i="29"/>
  <c r="AD455" i="29" s="1"/>
  <c r="R297" i="29"/>
  <c r="AE297" i="29" s="1"/>
  <c r="R233" i="29"/>
  <c r="AE233" i="29" s="1"/>
  <c r="Q213" i="29"/>
  <c r="R83" i="29"/>
  <c r="AE83" i="29" s="1"/>
  <c r="Q23" i="29"/>
  <c r="AD23" i="29" s="1"/>
  <c r="Q575" i="29"/>
  <c r="R496" i="29"/>
  <c r="R186" i="29"/>
  <c r="Q90" i="29"/>
  <c r="R374" i="29"/>
  <c r="Q14" i="29"/>
  <c r="AD14" i="29" s="1"/>
  <c r="R524" i="29"/>
  <c r="Q580" i="29"/>
  <c r="Q63" i="29"/>
  <c r="Q121" i="29"/>
  <c r="AD121" i="29" s="1"/>
  <c r="R528" i="29"/>
  <c r="Q472" i="29"/>
  <c r="AD472" i="29" s="1"/>
  <c r="R439" i="29"/>
  <c r="AE439" i="29" s="1"/>
  <c r="R359" i="29"/>
  <c r="R607" i="29"/>
  <c r="Q523" i="29"/>
  <c r="R461" i="29"/>
  <c r="R403" i="29"/>
  <c r="Q367" i="29"/>
  <c r="Q257" i="29"/>
  <c r="Q181" i="29"/>
  <c r="AD181" i="29" s="1"/>
  <c r="Q123" i="29"/>
  <c r="Q27" i="29"/>
  <c r="AD27" i="29" s="1"/>
  <c r="Q609" i="29"/>
  <c r="Q496" i="29"/>
  <c r="AD496" i="29" s="1"/>
  <c r="R404" i="29"/>
  <c r="AE404" i="29" s="1"/>
  <c r="R378" i="29"/>
  <c r="AE378" i="29" s="1"/>
  <c r="R307" i="29"/>
  <c r="AE307" i="29" s="1"/>
  <c r="Q248" i="29"/>
  <c r="Q180" i="29"/>
  <c r="AD180" i="29" s="1"/>
  <c r="Q141" i="29"/>
  <c r="Q96" i="29"/>
  <c r="AD96" i="29" s="1"/>
  <c r="Q494" i="29"/>
  <c r="Q409" i="29"/>
  <c r="AD409" i="29" s="1"/>
  <c r="R274" i="29"/>
  <c r="Q174" i="29"/>
  <c r="AD174" i="29" s="1"/>
  <c r="R82" i="29"/>
  <c r="AE82" i="29" s="1"/>
  <c r="R608" i="29"/>
  <c r="AE608" i="29" s="1"/>
  <c r="R498" i="29"/>
  <c r="X498" i="29" s="1"/>
  <c r="Y498" i="29" s="1"/>
  <c r="R345" i="29"/>
  <c r="AE345" i="29" s="1"/>
  <c r="Q266" i="29"/>
  <c r="AD266" i="29" s="1"/>
  <c r="R196" i="29"/>
  <c r="AE196" i="29" s="1"/>
  <c r="Q117" i="29"/>
  <c r="AD117" i="29" s="1"/>
  <c r="Q564" i="29"/>
  <c r="AD564" i="29" s="1"/>
  <c r="R458" i="29"/>
  <c r="AE458" i="29" s="1"/>
  <c r="Q325" i="29"/>
  <c r="AD325" i="29" s="1"/>
  <c r="Q288" i="29"/>
  <c r="AD288" i="29" s="1"/>
  <c r="Q220" i="29"/>
  <c r="R154" i="29"/>
  <c r="R515" i="29"/>
  <c r="Q386" i="29"/>
  <c r="Q305" i="29"/>
  <c r="AD305" i="29" s="1"/>
  <c r="R235" i="29"/>
  <c r="AE235" i="29" s="1"/>
  <c r="Q136" i="29"/>
  <c r="AD136" i="29" s="1"/>
  <c r="Q45" i="29"/>
  <c r="AD45" i="29" s="1"/>
  <c r="R565" i="29"/>
  <c r="AE565" i="29" s="1"/>
  <c r="R494" i="29"/>
  <c r="Q345" i="29"/>
  <c r="AD345" i="29" s="1"/>
  <c r="Q246" i="29"/>
  <c r="Q233" i="29"/>
  <c r="AD233" i="29" s="1"/>
  <c r="Q89" i="29"/>
  <c r="Q503" i="29"/>
  <c r="Q256" i="29"/>
  <c r="AD256" i="29" s="1"/>
  <c r="R131" i="29"/>
  <c r="AE131" i="29" s="1"/>
  <c r="Q103" i="29"/>
  <c r="AD103" i="29" s="1"/>
  <c r="R422" i="29"/>
  <c r="Q62" i="29"/>
  <c r="Q578" i="29"/>
  <c r="Q20" i="29"/>
  <c r="R606" i="29"/>
  <c r="Q584" i="29"/>
  <c r="Q463" i="29"/>
  <c r="Q393" i="29"/>
  <c r="AD393" i="29" s="1"/>
  <c r="R327" i="29"/>
  <c r="R586" i="29"/>
  <c r="AE586" i="29" s="1"/>
  <c r="R517" i="29"/>
  <c r="Q457" i="29"/>
  <c r="R371" i="29"/>
  <c r="Q297" i="29"/>
  <c r="AD297" i="29" s="1"/>
  <c r="R273" i="29"/>
  <c r="AE273" i="29" s="1"/>
  <c r="R212" i="29"/>
  <c r="R134" i="29"/>
  <c r="AE134" i="29" s="1"/>
  <c r="Q35" i="29"/>
  <c r="AD35" i="29" s="1"/>
  <c r="R580" i="29"/>
  <c r="AE580" i="29" s="1"/>
  <c r="R491" i="29"/>
  <c r="AE491" i="29" s="1"/>
  <c r="Q432" i="29"/>
  <c r="R349" i="29"/>
  <c r="AE349" i="29" s="1"/>
  <c r="Q307" i="29"/>
  <c r="AD307" i="29" s="1"/>
  <c r="R271" i="29"/>
  <c r="Q159" i="29"/>
  <c r="AD159" i="29" s="1"/>
  <c r="R109" i="29"/>
  <c r="R602" i="29"/>
  <c r="R480" i="29"/>
  <c r="Q413" i="29"/>
  <c r="Q231" i="29"/>
  <c r="AD231" i="29" s="1"/>
  <c r="Q229" i="29"/>
  <c r="AD229" i="29" s="1"/>
  <c r="Q171" i="29"/>
  <c r="R579" i="29"/>
  <c r="Q462" i="29"/>
  <c r="Q329" i="29"/>
  <c r="AD329" i="29" s="1"/>
  <c r="Q296" i="29"/>
  <c r="AD296" i="29" s="1"/>
  <c r="Q224" i="29"/>
  <c r="AD224" i="29" s="1"/>
  <c r="Q169" i="29"/>
  <c r="AD169" i="29" s="1"/>
  <c r="R570" i="29"/>
  <c r="AE570" i="29" s="1"/>
  <c r="Q434" i="29"/>
  <c r="W434" i="29" s="1"/>
  <c r="Q360" i="29"/>
  <c r="AD360" i="29" s="1"/>
  <c r="R237" i="29"/>
  <c r="AE237" i="29" s="1"/>
  <c r="Q172" i="29"/>
  <c r="AD172" i="29" s="1"/>
  <c r="R116" i="29"/>
  <c r="AE116" i="29" s="1"/>
  <c r="R514" i="29"/>
  <c r="R410" i="29"/>
  <c r="AE410" i="29" s="1"/>
  <c r="R304" i="29"/>
  <c r="R199" i="29"/>
  <c r="R151" i="29"/>
  <c r="AE151" i="29" s="1"/>
  <c r="R25" i="29"/>
  <c r="AE25" i="29" s="1"/>
  <c r="Q567" i="29"/>
  <c r="Q454" i="29"/>
  <c r="R352" i="29"/>
  <c r="R253" i="29"/>
  <c r="AE253" i="29" s="1"/>
  <c r="Q196" i="29"/>
  <c r="AD196" i="29" s="1"/>
  <c r="R138" i="29"/>
  <c r="AE138" i="29" s="1"/>
  <c r="Q477" i="29"/>
  <c r="AD477" i="29" s="1"/>
  <c r="R203" i="29"/>
  <c r="R149" i="29"/>
  <c r="AE149" i="29" s="1"/>
  <c r="R34" i="29"/>
  <c r="AE34" i="29" s="1"/>
  <c r="R57" i="29"/>
  <c r="AE57" i="29" s="1"/>
  <c r="R485" i="29"/>
  <c r="R17" i="29"/>
  <c r="AE17" i="29" s="1"/>
  <c r="R575" i="29"/>
  <c r="AE575" i="29" s="1"/>
  <c r="Q102" i="29"/>
  <c r="R613" i="29"/>
  <c r="R534" i="29"/>
  <c r="AE534" i="29" s="1"/>
  <c r="Q498" i="29"/>
  <c r="AD498" i="29" s="1"/>
  <c r="Q419" i="29"/>
  <c r="R358" i="29"/>
  <c r="AE358" i="29" s="1"/>
  <c r="Q576" i="29"/>
  <c r="R497" i="29"/>
  <c r="Q425" i="29"/>
  <c r="AD425" i="29" s="1"/>
  <c r="Q395" i="29"/>
  <c r="Q318" i="29"/>
  <c r="R244" i="29"/>
  <c r="R180" i="29"/>
  <c r="AE180" i="29" s="1"/>
  <c r="R98" i="29"/>
  <c r="AE98" i="29" s="1"/>
  <c r="R19" i="29"/>
  <c r="Q557" i="29"/>
  <c r="Q487" i="29"/>
  <c r="R459" i="29"/>
  <c r="Q349" i="29"/>
  <c r="Q275" i="29"/>
  <c r="AD275" i="29" s="1"/>
  <c r="R239" i="29"/>
  <c r="AE239" i="29" s="1"/>
  <c r="Q154" i="29"/>
  <c r="AD154" i="29" s="1"/>
  <c r="R158" i="29"/>
  <c r="AE158" i="29" s="1"/>
  <c r="R612" i="29"/>
  <c r="AE612" i="29" s="1"/>
  <c r="R468" i="29"/>
  <c r="AE468" i="29" s="1"/>
  <c r="R407" i="29"/>
  <c r="X407" i="29" s="1"/>
  <c r="Y407" i="29" s="1"/>
  <c r="R258" i="29"/>
  <c r="AE258" i="29" s="1"/>
  <c r="Q189" i="29"/>
  <c r="R105" i="29"/>
  <c r="AE105" i="29" s="1"/>
  <c r="Q551" i="29"/>
  <c r="Q438" i="29"/>
  <c r="AD438" i="29" s="1"/>
  <c r="Q368" i="29"/>
  <c r="R241" i="29"/>
  <c r="Q176" i="29"/>
  <c r="AD176" i="29" s="1"/>
  <c r="R121" i="29"/>
  <c r="AE121" i="29" s="1"/>
  <c r="G625" i="29"/>
  <c r="R441" i="29"/>
  <c r="AE441" i="29" s="1"/>
  <c r="R367" i="29"/>
  <c r="R332" i="29"/>
  <c r="AE332" i="29" s="1"/>
  <c r="Q170" i="29"/>
  <c r="AD170" i="29" s="1"/>
  <c r="R76" i="29"/>
  <c r="AE76" i="29" s="1"/>
  <c r="R509" i="29"/>
  <c r="R423" i="29"/>
  <c r="AE423" i="29" s="1"/>
  <c r="Q339" i="29"/>
  <c r="AD339" i="29" s="1"/>
  <c r="Q191" i="29"/>
  <c r="R107" i="29"/>
  <c r="R37" i="29"/>
  <c r="Q569" i="29"/>
  <c r="Q406" i="29"/>
  <c r="Q336" i="29"/>
  <c r="Q269" i="29"/>
  <c r="AD269" i="29" s="1"/>
  <c r="Q167" i="29"/>
  <c r="AD167" i="29" s="1"/>
  <c r="R92" i="29"/>
  <c r="R462" i="29"/>
  <c r="Q237" i="29"/>
  <c r="Q140" i="29"/>
  <c r="R224" i="29"/>
  <c r="AE224" i="29" s="1"/>
  <c r="R28" i="29"/>
  <c r="AE28" i="29" s="1"/>
  <c r="Q19" i="29"/>
  <c r="AD19" i="29" s="1"/>
  <c r="Q530" i="29"/>
  <c r="R583" i="29"/>
  <c r="Q560" i="29"/>
  <c r="R481" i="29"/>
  <c r="AE481" i="29" s="1"/>
  <c r="R456" i="29"/>
  <c r="AE456" i="29" s="1"/>
  <c r="Q379" i="29"/>
  <c r="Q54" i="29"/>
  <c r="R558" i="29"/>
  <c r="Q479" i="29"/>
  <c r="Q374" i="29"/>
  <c r="AD374" i="29" s="1"/>
  <c r="R344" i="29"/>
  <c r="AE344" i="29" s="1"/>
  <c r="Q271" i="29"/>
  <c r="AD271" i="29" s="1"/>
  <c r="Q215" i="29"/>
  <c r="AD215" i="29" s="1"/>
  <c r="R157" i="29"/>
  <c r="AE157" i="29" s="1"/>
  <c r="Q77" i="29"/>
  <c r="AD77" i="29" s="1"/>
  <c r="Q602" i="29"/>
  <c r="AD602" i="29" s="1"/>
  <c r="R566" i="29"/>
  <c r="R466" i="29"/>
  <c r="Q439" i="29"/>
  <c r="AD439" i="29" s="1"/>
  <c r="Q373" i="29"/>
  <c r="Q270" i="29"/>
  <c r="Q210" i="29"/>
  <c r="R191" i="29"/>
  <c r="AE191" i="29" s="1"/>
  <c r="Q51" i="29"/>
  <c r="Q529" i="29"/>
  <c r="R432" i="29"/>
  <c r="R350" i="29"/>
  <c r="AE350" i="29" s="1"/>
  <c r="R292" i="29"/>
  <c r="R165" i="29"/>
  <c r="AE165" i="29" s="1"/>
  <c r="R24" i="29"/>
  <c r="Q515" i="29"/>
  <c r="R437" i="29"/>
  <c r="AE437" i="29" s="1"/>
  <c r="Q281" i="29"/>
  <c r="R223" i="29"/>
  <c r="AE223" i="29" s="1"/>
  <c r="R167" i="29"/>
  <c r="Q29" i="29"/>
  <c r="Q506" i="29"/>
  <c r="R467" i="29"/>
  <c r="Q327" i="29"/>
  <c r="Q203" i="29"/>
  <c r="AD203" i="29" s="1"/>
  <c r="R123" i="29"/>
  <c r="AE123" i="29" s="1"/>
  <c r="Q596" i="29"/>
  <c r="Q464" i="29"/>
  <c r="R370" i="29"/>
  <c r="X370" i="29" s="1"/>
  <c r="Y370" i="29" s="1"/>
  <c r="Q294" i="29"/>
  <c r="AD294" i="29" s="1"/>
  <c r="R220" i="29"/>
  <c r="AE220" i="29" s="1"/>
  <c r="Q151" i="29"/>
  <c r="AD151" i="29" s="1"/>
  <c r="Q42" i="29"/>
  <c r="AD42" i="29" s="1"/>
  <c r="R510" i="29"/>
  <c r="AE510" i="29" s="1"/>
  <c r="R401" i="29"/>
  <c r="Q366" i="29"/>
  <c r="Q227" i="29"/>
  <c r="R147" i="29"/>
  <c r="AE147" i="29" s="1"/>
  <c r="Q80" i="29"/>
  <c r="AD80" i="29" s="1"/>
  <c r="Q361" i="29"/>
  <c r="AD361" i="29" s="1"/>
  <c r="Q518" i="29"/>
  <c r="AD518" i="29" s="1"/>
  <c r="Q298" i="29"/>
  <c r="AD298" i="29" s="1"/>
  <c r="R594" i="29"/>
  <c r="Q571" i="29"/>
  <c r="R578" i="29"/>
  <c r="R445" i="29"/>
  <c r="Q337" i="29"/>
  <c r="AD337" i="29" s="1"/>
  <c r="Q546" i="29"/>
  <c r="AD546" i="29" s="1"/>
  <c r="Q493" i="29"/>
  <c r="AD493" i="29" s="1"/>
  <c r="R382" i="29"/>
  <c r="R279" i="29"/>
  <c r="Q216" i="29"/>
  <c r="AD216" i="29" s="1"/>
  <c r="R137" i="29"/>
  <c r="AE137" i="29" s="1"/>
  <c r="Q572" i="29"/>
  <c r="Q475" i="29"/>
  <c r="R399" i="29"/>
  <c r="R294" i="29"/>
  <c r="AE294" i="29" s="1"/>
  <c r="R238" i="29"/>
  <c r="AE238" i="29" s="1"/>
  <c r="Q119" i="29"/>
  <c r="Q592" i="29"/>
  <c r="AD592" i="29" s="1"/>
  <c r="Q437" i="29"/>
  <c r="AD437" i="29" s="1"/>
  <c r="Q355" i="29"/>
  <c r="AD355" i="29" s="1"/>
  <c r="R204" i="29"/>
  <c r="R48" i="29"/>
  <c r="AE48" i="29" s="1"/>
  <c r="R487" i="29"/>
  <c r="AE487" i="29" s="1"/>
  <c r="Q320" i="29"/>
  <c r="AD320" i="29" s="1"/>
  <c r="R259" i="29"/>
  <c r="AE259" i="29" s="1"/>
  <c r="R114" i="29"/>
  <c r="AE114" i="29" s="1"/>
  <c r="R546" i="29"/>
  <c r="R429" i="29"/>
  <c r="AE429" i="29" s="1"/>
  <c r="Q259" i="29"/>
  <c r="Q130" i="29"/>
  <c r="AD130" i="29" s="1"/>
  <c r="R597" i="29"/>
  <c r="AE597" i="29" s="1"/>
  <c r="Q449" i="29"/>
  <c r="AD449" i="29" s="1"/>
  <c r="Q343" i="29"/>
  <c r="Q197" i="29"/>
  <c r="AD197" i="29" s="1"/>
  <c r="R56" i="29"/>
  <c r="R582" i="29"/>
  <c r="AE582" i="29" s="1"/>
  <c r="Q382" i="29"/>
  <c r="AD382" i="29" s="1"/>
  <c r="R278" i="29"/>
  <c r="Q146" i="29"/>
  <c r="AD146" i="29" s="1"/>
  <c r="Q55" i="29"/>
  <c r="Q287" i="29"/>
  <c r="Q48" i="29"/>
  <c r="R368" i="29"/>
  <c r="R125" i="29"/>
  <c r="Q447" i="29"/>
  <c r="Q204" i="29"/>
  <c r="Q499" i="29"/>
  <c r="R251" i="29"/>
  <c r="AE251" i="29" s="1"/>
  <c r="Q554" i="29"/>
  <c r="Q255" i="29"/>
  <c r="R69" i="29"/>
  <c r="AE69" i="29" s="1"/>
  <c r="R488" i="29"/>
  <c r="AE488" i="29" s="1"/>
  <c r="R310" i="29"/>
  <c r="X310" i="29" s="1"/>
  <c r="Y310" i="29" s="1"/>
  <c r="Q627" i="29"/>
  <c r="Q81" i="29"/>
  <c r="R60" i="29"/>
  <c r="Q552" i="29"/>
  <c r="AD552" i="29" s="1"/>
  <c r="Q451" i="29"/>
  <c r="Q536" i="29"/>
  <c r="R276" i="29"/>
  <c r="Q532" i="29"/>
  <c r="AD532" i="29" s="1"/>
  <c r="R340" i="29"/>
  <c r="R208" i="29"/>
  <c r="AE208" i="29" s="1"/>
  <c r="Q175" i="29"/>
  <c r="R144" i="29"/>
  <c r="Q72" i="29"/>
  <c r="AD72" i="29" s="1"/>
  <c r="Q230" i="29"/>
  <c r="AD230" i="29" s="1"/>
  <c r="Q387" i="29"/>
  <c r="AD387" i="29" s="1"/>
  <c r="R87" i="29"/>
  <c r="AE87" i="29" s="1"/>
  <c r="R409" i="29"/>
  <c r="R171" i="29"/>
  <c r="AE171" i="29" s="1"/>
  <c r="R427" i="29"/>
  <c r="R232" i="29"/>
  <c r="R184" i="29"/>
  <c r="AE184" i="29" s="1"/>
  <c r="R162" i="29"/>
  <c r="R101" i="29"/>
  <c r="AE101" i="29" s="1"/>
  <c r="R183" i="29"/>
  <c r="R78" i="29"/>
  <c r="Q79" i="29"/>
  <c r="AD79" i="29" s="1"/>
  <c r="Q390" i="29"/>
  <c r="Q436" i="29"/>
  <c r="R61" i="29"/>
  <c r="AE61" i="29" s="1"/>
  <c r="Q344" i="29"/>
  <c r="R130" i="29"/>
  <c r="R249" i="29"/>
  <c r="AE249" i="29" s="1"/>
  <c r="R303" i="29"/>
  <c r="AE303" i="29" s="1"/>
  <c r="R36" i="29"/>
  <c r="AE36" i="29" s="1"/>
  <c r="Q240" i="29"/>
  <c r="AD240" i="29" s="1"/>
  <c r="R425" i="29"/>
  <c r="Q18" i="29"/>
  <c r="Q435" i="29"/>
  <c r="Q524" i="29"/>
  <c r="AD524" i="29" s="1"/>
  <c r="Q280" i="29"/>
  <c r="AD280" i="29" s="1"/>
  <c r="Q372" i="29"/>
  <c r="Q144" i="29"/>
  <c r="AD144" i="29" s="1"/>
  <c r="R221" i="29"/>
  <c r="AE221" i="29" s="1"/>
  <c r="Q577" i="29"/>
  <c r="R581" i="29"/>
  <c r="R430" i="29"/>
  <c r="AE430" i="29" s="1"/>
  <c r="Q520" i="29"/>
  <c r="Q276" i="29"/>
  <c r="Q16" i="29"/>
  <c r="Q312" i="29"/>
  <c r="R229" i="29"/>
  <c r="AE229" i="29" s="1"/>
  <c r="R555" i="29"/>
  <c r="Q265" i="29"/>
  <c r="R604" i="29"/>
  <c r="AE604" i="29" s="1"/>
  <c r="Q295" i="29"/>
  <c r="AD295" i="29" s="1"/>
  <c r="R483" i="29"/>
  <c r="AE483" i="29" s="1"/>
  <c r="R542" i="29"/>
  <c r="R181" i="29"/>
  <c r="R365" i="29"/>
  <c r="AE365" i="29" s="1"/>
  <c r="R522" i="29"/>
  <c r="R611" i="29"/>
  <c r="AE611" i="29" s="1"/>
  <c r="R386" i="29"/>
  <c r="R200" i="29"/>
  <c r="AE200" i="29" s="1"/>
  <c r="Q492" i="29"/>
  <c r="Q359" i="29"/>
  <c r="Q561" i="29"/>
  <c r="AD561" i="29" s="1"/>
  <c r="Q553" i="29"/>
  <c r="AD553" i="29" s="1"/>
  <c r="R545" i="29"/>
  <c r="Q441" i="29"/>
  <c r="AD441" i="29" s="1"/>
  <c r="R360" i="29"/>
  <c r="R563" i="29"/>
  <c r="R470" i="29"/>
  <c r="R353" i="29"/>
  <c r="R324" i="29"/>
  <c r="AE324" i="29" s="1"/>
  <c r="Q184" i="29"/>
  <c r="R104" i="29"/>
  <c r="R552" i="29"/>
  <c r="AE552" i="29" s="1"/>
  <c r="Q466" i="29"/>
  <c r="AD466" i="29" s="1"/>
  <c r="Q443" i="29"/>
  <c r="AD443" i="29" s="1"/>
  <c r="Q267" i="29"/>
  <c r="AD267" i="29" s="1"/>
  <c r="Q178" i="29"/>
  <c r="AD178" i="29" s="1"/>
  <c r="R133" i="29"/>
  <c r="AE133" i="29" s="1"/>
  <c r="R557" i="29"/>
  <c r="Q444" i="29"/>
  <c r="R329" i="29"/>
  <c r="Q232" i="29"/>
  <c r="R44" i="29"/>
  <c r="AE44" i="29" s="1"/>
  <c r="R479" i="29"/>
  <c r="R323" i="29"/>
  <c r="Q207" i="29"/>
  <c r="AD207" i="29" s="1"/>
  <c r="R74" i="29"/>
  <c r="R536" i="29"/>
  <c r="Q385" i="29"/>
  <c r="AD385" i="29" s="1"/>
  <c r="R300" i="29"/>
  <c r="R187" i="29"/>
  <c r="AE187" i="29" s="1"/>
  <c r="Q600" i="29"/>
  <c r="R448" i="29"/>
  <c r="Q330" i="29"/>
  <c r="AD330" i="29" s="1"/>
  <c r="R234" i="29"/>
  <c r="R20" i="29"/>
  <c r="Q537" i="29"/>
  <c r="AD537" i="29" s="1"/>
  <c r="R419" i="29"/>
  <c r="Q243" i="29"/>
  <c r="AD243" i="29" s="1"/>
  <c r="R169" i="29"/>
  <c r="Q86" i="29"/>
  <c r="Q347" i="29"/>
  <c r="R71" i="29"/>
  <c r="AE71" i="29" s="1"/>
  <c r="R331" i="29"/>
  <c r="AE331" i="29" s="1"/>
  <c r="Q165" i="29"/>
  <c r="AD165" i="29" s="1"/>
  <c r="R431" i="29"/>
  <c r="Q118" i="29"/>
  <c r="AD118" i="29" s="1"/>
  <c r="Q476" i="29"/>
  <c r="R226" i="29"/>
  <c r="AE226" i="29" s="1"/>
  <c r="R532" i="29"/>
  <c r="AE532" i="29" s="1"/>
  <c r="R280" i="29"/>
  <c r="AE280" i="29" s="1"/>
  <c r="Q38" i="29"/>
  <c r="R572" i="29"/>
  <c r="AE572" i="29" s="1"/>
  <c r="R626" i="29"/>
  <c r="Q71" i="29"/>
  <c r="Q76" i="29"/>
  <c r="AD76" i="29" s="1"/>
  <c r="R39" i="29"/>
  <c r="AE39" i="29" s="1"/>
  <c r="Q541" i="29"/>
  <c r="AD541" i="29" s="1"/>
  <c r="Q420" i="29"/>
  <c r="R551" i="29"/>
  <c r="Q348" i="29"/>
  <c r="AD348" i="29" s="1"/>
  <c r="Q126" i="29"/>
  <c r="AD126" i="29" s="1"/>
  <c r="R540" i="29"/>
  <c r="Q317" i="29"/>
  <c r="AD317" i="29" s="1"/>
  <c r="Q302" i="29"/>
  <c r="Q105" i="29"/>
  <c r="AD105" i="29" s="1"/>
  <c r="R393" i="29"/>
  <c r="AE393" i="29" s="1"/>
  <c r="Q142" i="29"/>
  <c r="R449" i="29"/>
  <c r="Q206" i="29"/>
  <c r="Q511" i="29"/>
  <c r="R256" i="29"/>
  <c r="AE256" i="29" s="1"/>
  <c r="R567" i="29"/>
  <c r="AE567" i="29" s="1"/>
  <c r="R266" i="29"/>
  <c r="AE266" i="29" s="1"/>
  <c r="Q562" i="29"/>
  <c r="AD562" i="29" s="1"/>
  <c r="Q132" i="29"/>
  <c r="AD132" i="29" s="1"/>
  <c r="Q225" i="29"/>
  <c r="AD225" i="29" s="1"/>
  <c r="R364" i="29"/>
  <c r="Q188" i="29"/>
  <c r="AD188" i="29" s="1"/>
  <c r="R227" i="29"/>
  <c r="R22" i="29"/>
  <c r="AE22" i="29" s="1"/>
  <c r="Q43" i="29"/>
  <c r="AD43" i="29" s="1"/>
  <c r="R408" i="29"/>
  <c r="AE408" i="29" s="1"/>
  <c r="Q60" i="29"/>
  <c r="Q331" i="29"/>
  <c r="R314" i="29"/>
  <c r="Q429" i="29"/>
  <c r="R489" i="29"/>
  <c r="AE489" i="29" s="1"/>
  <c r="Q534" i="29"/>
  <c r="AD534" i="29" s="1"/>
  <c r="R505" i="29"/>
  <c r="R103" i="29"/>
  <c r="AE103" i="29" s="1"/>
  <c r="R287" i="29"/>
  <c r="AE287" i="29" s="1"/>
  <c r="Q397" i="29"/>
  <c r="R210" i="29"/>
  <c r="AE210" i="29" s="1"/>
  <c r="R40" i="29"/>
  <c r="AE40" i="29" s="1"/>
  <c r="R533" i="29"/>
  <c r="AE533" i="29" s="1"/>
  <c r="Q527" i="29"/>
  <c r="AD527" i="29" s="1"/>
  <c r="R120" i="29"/>
  <c r="AE120" i="29" s="1"/>
  <c r="Q421" i="29"/>
  <c r="AD421" i="29" s="1"/>
  <c r="R176" i="29"/>
  <c r="AE176" i="29" s="1"/>
  <c r="R526" i="29"/>
  <c r="Q610" i="29"/>
  <c r="Q221" i="29"/>
  <c r="AD221" i="29" s="1"/>
  <c r="R390" i="29"/>
  <c r="R257" i="29"/>
  <c r="R503" i="29"/>
  <c r="Q166" i="29"/>
  <c r="AD166" i="29" s="1"/>
  <c r="Q36" i="29"/>
  <c r="Q418" i="29"/>
  <c r="AD418" i="29" s="1"/>
  <c r="R112" i="29"/>
  <c r="AE112" i="29" s="1"/>
  <c r="Q152" i="29"/>
  <c r="AD152" i="29" s="1"/>
  <c r="R341" i="29"/>
  <c r="R140" i="29"/>
  <c r="Q468" i="29"/>
  <c r="Q324" i="29"/>
  <c r="R564" i="29"/>
  <c r="Q590" i="29"/>
  <c r="Q558" i="29"/>
  <c r="AD558" i="29" s="1"/>
  <c r="R424" i="29"/>
  <c r="Q364" i="29"/>
  <c r="AD364" i="29" s="1"/>
  <c r="R560" i="29"/>
  <c r="Q470" i="29"/>
  <c r="AD470" i="29" s="1"/>
  <c r="Q353" i="29"/>
  <c r="AD353" i="29" s="1"/>
  <c r="Q278" i="29"/>
  <c r="AD278" i="29" s="1"/>
  <c r="Q163" i="29"/>
  <c r="AD163" i="29" s="1"/>
  <c r="R72" i="29"/>
  <c r="AE72" i="29" s="1"/>
  <c r="Q548" i="29"/>
  <c r="Q458" i="29"/>
  <c r="Q391" i="29"/>
  <c r="Q235" i="29"/>
  <c r="R209" i="29"/>
  <c r="R94" i="29"/>
  <c r="AE94" i="29" s="1"/>
  <c r="R584" i="29"/>
  <c r="R451" i="29"/>
  <c r="Q303" i="29"/>
  <c r="Q192" i="29"/>
  <c r="AD192" i="29" s="1"/>
  <c r="Q37" i="29"/>
  <c r="Q473" i="29"/>
  <c r="AD473" i="29" s="1"/>
  <c r="R334" i="29"/>
  <c r="AE334" i="29" s="1"/>
  <c r="R222" i="29"/>
  <c r="Q133" i="29"/>
  <c r="AD133" i="29" s="1"/>
  <c r="Q535" i="29"/>
  <c r="AD535" i="29" s="1"/>
  <c r="R384" i="29"/>
  <c r="R246" i="29"/>
  <c r="R132" i="29"/>
  <c r="AE132" i="29" s="1"/>
  <c r="R571" i="29"/>
  <c r="Q456" i="29"/>
  <c r="R282" i="29"/>
  <c r="Q200" i="29"/>
  <c r="R32" i="29"/>
  <c r="Q540" i="29"/>
  <c r="R418" i="29"/>
  <c r="R262" i="29"/>
  <c r="R156" i="29"/>
  <c r="AE156" i="29" s="1"/>
  <c r="Q31" i="29"/>
  <c r="AD31" i="29" s="1"/>
  <c r="Q254" i="29"/>
  <c r="Q32" i="29"/>
  <c r="R285" i="29"/>
  <c r="AE285" i="29" s="1"/>
  <c r="R153" i="29"/>
  <c r="AE153" i="29" s="1"/>
  <c r="R434" i="29"/>
  <c r="Q164" i="29"/>
  <c r="AD164" i="29" s="1"/>
  <c r="Q442" i="29"/>
  <c r="Q194" i="29"/>
  <c r="AD194" i="29" s="1"/>
  <c r="Q519" i="29"/>
  <c r="Q358" i="29"/>
  <c r="Q46" i="29"/>
  <c r="AD46" i="29" s="1"/>
  <c r="Q510" i="29"/>
  <c r="Q316" i="29"/>
  <c r="AD316" i="29" s="1"/>
  <c r="Q453" i="29"/>
  <c r="Q401" i="29"/>
  <c r="AD401" i="29" s="1"/>
  <c r="R328" i="29"/>
  <c r="AE328" i="29" s="1"/>
  <c r="Q282" i="29"/>
  <c r="R53" i="29"/>
  <c r="AE53" i="29" s="1"/>
  <c r="R587" i="29"/>
  <c r="AE587" i="29" s="1"/>
  <c r="R315" i="29"/>
  <c r="AE315" i="29" s="1"/>
  <c r="Q467" i="29"/>
  <c r="AD467" i="29" s="1"/>
  <c r="Q586" i="29"/>
  <c r="AD586" i="29" s="1"/>
  <c r="R13" i="29"/>
  <c r="AE13" i="29" s="1"/>
  <c r="Q252" i="29"/>
  <c r="AD252" i="29" s="1"/>
  <c r="Q516" i="29"/>
  <c r="R261" i="29"/>
  <c r="R405" i="29"/>
  <c r="AE405" i="29" s="1"/>
  <c r="R420" i="29"/>
  <c r="Q505" i="29"/>
  <c r="R544" i="29"/>
  <c r="AE544" i="29" s="1"/>
  <c r="R160" i="29"/>
  <c r="AE160" i="29" s="1"/>
  <c r="Q264" i="29"/>
  <c r="AD264" i="29" s="1"/>
  <c r="R554" i="29"/>
  <c r="R146" i="29"/>
  <c r="AE146" i="29" s="1"/>
  <c r="R67" i="29"/>
  <c r="AE67" i="29" s="1"/>
  <c r="R576" i="29"/>
  <c r="R14" i="29"/>
  <c r="AE14" i="29" s="1"/>
  <c r="R311" i="29"/>
  <c r="R507" i="29"/>
  <c r="AE507" i="29" s="1"/>
  <c r="Q212" i="29"/>
  <c r="AD212" i="29" s="1"/>
  <c r="Q392" i="29"/>
  <c r="Q428" i="29"/>
  <c r="R77" i="29"/>
  <c r="AE77" i="29" s="1"/>
  <c r="R110" i="29"/>
  <c r="AE110" i="29" s="1"/>
  <c r="Q310" i="29"/>
  <c r="AD310" i="29" s="1"/>
  <c r="R543" i="29"/>
  <c r="R141" i="29"/>
  <c r="AE141" i="29" s="1"/>
  <c r="R264" i="29"/>
  <c r="AE264" i="29" s="1"/>
  <c r="Q67" i="29"/>
  <c r="R412" i="29"/>
  <c r="AE412" i="29" s="1"/>
  <c r="Q101" i="29"/>
  <c r="AD101" i="29" s="1"/>
  <c r="Q50" i="29"/>
  <c r="AD50" i="29" s="1"/>
  <c r="R627" i="29"/>
  <c r="R55" i="29"/>
  <c r="Q604" i="29"/>
  <c r="Q549" i="29"/>
  <c r="AD549" i="29" s="1"/>
  <c r="Q544" i="29"/>
  <c r="R541" i="29"/>
  <c r="Q452" i="29"/>
  <c r="AD452" i="29" s="1"/>
  <c r="R326" i="29"/>
  <c r="Q526" i="29"/>
  <c r="R475" i="29"/>
  <c r="Q321" i="29"/>
  <c r="Q242" i="29"/>
  <c r="AD242" i="29" s="1"/>
  <c r="Q158" i="29"/>
  <c r="AD158" i="29" s="1"/>
  <c r="R49" i="29"/>
  <c r="AE49" i="29" s="1"/>
  <c r="R547" i="29"/>
  <c r="Q426" i="29"/>
  <c r="Q417" i="29"/>
  <c r="R270" i="29"/>
  <c r="AE270" i="29" s="1"/>
  <c r="Q209" i="29"/>
  <c r="R62" i="29"/>
  <c r="R549" i="29"/>
  <c r="Q378" i="29"/>
  <c r="Q311" i="29"/>
  <c r="R195" i="29"/>
  <c r="AE195" i="29" s="1"/>
  <c r="Q68" i="29"/>
  <c r="AD68" i="29" s="1"/>
  <c r="Q545" i="29"/>
  <c r="R305" i="29"/>
  <c r="AE305" i="29" s="1"/>
  <c r="R182" i="29"/>
  <c r="AE182" i="29" s="1"/>
  <c r="R97" i="29"/>
  <c r="Q504" i="29"/>
  <c r="AD504" i="29" s="1"/>
  <c r="Q376" i="29"/>
  <c r="AD376" i="29" s="1"/>
  <c r="Q262" i="29"/>
  <c r="AD262" i="29" s="1"/>
  <c r="Q156" i="29"/>
  <c r="AD156" i="29" s="1"/>
  <c r="Q550" i="29"/>
  <c r="AD550" i="29" s="1"/>
  <c r="Q408" i="29"/>
  <c r="Q247" i="29"/>
  <c r="AD247" i="29" s="1"/>
  <c r="R173" i="29"/>
  <c r="Q58" i="29"/>
  <c r="R530" i="29"/>
  <c r="Q396" i="29"/>
  <c r="R288" i="29"/>
  <c r="R174" i="29"/>
  <c r="R598" i="29"/>
  <c r="AE598" i="29" s="1"/>
  <c r="Q315" i="29"/>
  <c r="AD315" i="29" s="1"/>
  <c r="R601" i="29"/>
  <c r="Q308" i="29"/>
  <c r="AD308" i="29" s="1"/>
  <c r="R41" i="29"/>
  <c r="AE41" i="29" s="1"/>
  <c r="R402" i="29"/>
  <c r="AE402" i="29" s="1"/>
  <c r="R119" i="29"/>
  <c r="AE119" i="29" s="1"/>
  <c r="R452" i="29"/>
  <c r="R228" i="29"/>
  <c r="AE228" i="29" s="1"/>
  <c r="R527" i="29"/>
  <c r="AE527" i="29" s="1"/>
  <c r="Q273" i="29"/>
  <c r="Q57" i="29"/>
  <c r="AD57" i="29" s="1"/>
  <c r="R548" i="29"/>
  <c r="R518" i="29"/>
  <c r="AE518" i="29" s="1"/>
  <c r="Q314" i="29"/>
  <c r="AD314" i="29" s="1"/>
  <c r="R440" i="29"/>
  <c r="R265" i="29"/>
  <c r="AE265" i="29" s="1"/>
  <c r="Q106" i="29"/>
  <c r="R457" i="29"/>
  <c r="AE457" i="29" s="1"/>
  <c r="Q177" i="29"/>
  <c r="AD177" i="29" s="1"/>
  <c r="R574" i="29"/>
  <c r="AE574" i="29" s="1"/>
  <c r="Q286" i="29"/>
  <c r="R15" i="29"/>
  <c r="Q351" i="29"/>
  <c r="AD351" i="29" s="1"/>
  <c r="R80" i="29"/>
  <c r="AE80" i="29" s="1"/>
  <c r="R383" i="29"/>
  <c r="R163" i="29"/>
  <c r="Q423" i="29"/>
  <c r="Q150" i="29"/>
  <c r="R45" i="29"/>
  <c r="AE45" i="29" s="1"/>
  <c r="R413" i="29"/>
  <c r="R275" i="29"/>
  <c r="Q608" i="29"/>
  <c r="Q556" i="29"/>
  <c r="Q99" i="29"/>
  <c r="AD99" i="29" s="1"/>
  <c r="R106" i="29"/>
  <c r="AE106" i="29" s="1"/>
  <c r="Q398" i="29"/>
  <c r="R469" i="29"/>
  <c r="AE469" i="29" s="1"/>
  <c r="Q129" i="29"/>
  <c r="AD129" i="29" s="1"/>
  <c r="Q59" i="29"/>
  <c r="AD59" i="29" s="1"/>
  <c r="R47" i="29"/>
  <c r="AE47" i="29" s="1"/>
  <c r="R152" i="29"/>
  <c r="AE152" i="29" s="1"/>
  <c r="Q528" i="29"/>
  <c r="R16" i="29"/>
  <c r="Q250" i="29"/>
  <c r="Q573" i="29"/>
  <c r="Q73" i="29"/>
  <c r="Q251" i="29"/>
  <c r="AD251" i="29" s="1"/>
  <c r="R343" i="29"/>
  <c r="Q168" i="29"/>
  <c r="Q161" i="29"/>
  <c r="Q147" i="29"/>
  <c r="AD147" i="29" s="1"/>
  <c r="R433" i="29"/>
  <c r="AE433" i="29" s="1"/>
  <c r="R164" i="29"/>
  <c r="AE164" i="29" s="1"/>
  <c r="R484" i="29"/>
  <c r="AE484" i="29" s="1"/>
  <c r="Q404" i="29"/>
  <c r="R436" i="29"/>
  <c r="R100" i="29"/>
  <c r="AE100" i="29" s="1"/>
  <c r="Q128" i="29"/>
  <c r="Q173" i="29"/>
  <c r="AD173" i="29" s="1"/>
  <c r="R255" i="29"/>
  <c r="R435" i="29"/>
  <c r="Q26" i="29"/>
  <c r="AD26" i="29" s="1"/>
  <c r="Q284" i="29"/>
  <c r="R539" i="29"/>
  <c r="AE539" i="29" s="1"/>
  <c r="Q304" i="29"/>
  <c r="R95" i="29"/>
  <c r="Q131" i="29"/>
  <c r="AD131" i="29" s="1"/>
  <c r="Q114" i="29"/>
  <c r="AD114" i="29" s="1"/>
  <c r="Q581" i="29"/>
  <c r="R380" i="29"/>
  <c r="R511" i="29"/>
  <c r="AE511" i="29" s="1"/>
  <c r="R342" i="29"/>
  <c r="AE342" i="29" s="1"/>
  <c r="Q120" i="29"/>
  <c r="AD120" i="29" s="1"/>
  <c r="R535" i="29"/>
  <c r="R339" i="29"/>
  <c r="AE339" i="29" s="1"/>
  <c r="Q122" i="29"/>
  <c r="AD122" i="29" s="1"/>
  <c r="R506" i="29"/>
  <c r="R268" i="29"/>
  <c r="R568" i="29"/>
  <c r="R306" i="29"/>
  <c r="Q104" i="29"/>
  <c r="AD104" i="29" s="1"/>
  <c r="R319" i="29"/>
  <c r="R70" i="29"/>
  <c r="AE70" i="29" s="1"/>
  <c r="R447" i="29"/>
  <c r="AE447" i="29" s="1"/>
  <c r="Q155" i="29"/>
  <c r="Q483" i="29"/>
  <c r="R231" i="29"/>
  <c r="Q497" i="29"/>
  <c r="R499" i="29"/>
  <c r="Q579" i="29"/>
  <c r="R33" i="29"/>
  <c r="R102" i="29"/>
  <c r="R175" i="29"/>
  <c r="R38" i="29"/>
  <c r="AE38" i="29" s="1"/>
  <c r="R512" i="29"/>
  <c r="Q563" i="29"/>
  <c r="Q491" i="29"/>
  <c r="Q149" i="29"/>
  <c r="Q362" i="29"/>
  <c r="AD362" i="29" s="1"/>
  <c r="Q223" i="29"/>
  <c r="AD223" i="29" s="1"/>
  <c r="Q116" i="29"/>
  <c r="AD116" i="29" s="1"/>
  <c r="R351" i="29"/>
  <c r="Q445" i="29"/>
  <c r="Q186" i="29"/>
  <c r="AD186" i="29" s="1"/>
  <c r="R520" i="29"/>
  <c r="Q107" i="29"/>
  <c r="R519" i="29"/>
  <c r="AE519" i="29" s="1"/>
  <c r="Q56" i="29"/>
  <c r="R477" i="29"/>
  <c r="Q279" i="29"/>
  <c r="AD279" i="29" s="1"/>
  <c r="Q293" i="29"/>
  <c r="Q485" i="29"/>
  <c r="R260" i="29"/>
  <c r="AE260" i="29" s="1"/>
  <c r="R299" i="29"/>
  <c r="Q93" i="29"/>
  <c r="AD93" i="29" s="1"/>
  <c r="R201" i="29"/>
  <c r="AE201" i="29" s="1"/>
  <c r="R464" i="29"/>
  <c r="AE464" i="29" s="1"/>
  <c r="R43" i="29"/>
  <c r="Q193" i="29"/>
  <c r="AD193" i="29" s="1"/>
  <c r="R42" i="29"/>
  <c r="AE42" i="29" s="1"/>
  <c r="Q607" i="29"/>
  <c r="AD607" i="29" s="1"/>
  <c r="Q509" i="29"/>
  <c r="Q109" i="29"/>
  <c r="Q319" i="29"/>
  <c r="AD319" i="29" s="1"/>
  <c r="R463" i="29"/>
  <c r="AE463" i="29" s="1"/>
  <c r="Q222" i="29"/>
  <c r="Q244" i="29"/>
  <c r="R302" i="29"/>
  <c r="AE302" i="29" s="1"/>
  <c r="R96" i="29"/>
  <c r="AE96" i="29" s="1"/>
  <c r="R216" i="29"/>
  <c r="AE216" i="29" s="1"/>
  <c r="Q375" i="29"/>
  <c r="AD375" i="29" s="1"/>
  <c r="Q502" i="29"/>
  <c r="R411" i="29"/>
  <c r="R336" i="29"/>
  <c r="AE336" i="29" s="1"/>
  <c r="R415" i="29"/>
  <c r="AE415" i="29" s="1"/>
  <c r="R218" i="29"/>
  <c r="AE218" i="29" s="1"/>
  <c r="R254" i="29"/>
  <c r="AE254" i="29" s="1"/>
  <c r="Q461" i="29"/>
  <c r="R490" i="29"/>
  <c r="Q599" i="29"/>
  <c r="R240" i="29"/>
  <c r="R348" i="29"/>
  <c r="Q389" i="29"/>
  <c r="R178" i="29"/>
  <c r="AE178" i="29" s="1"/>
  <c r="Q268" i="29"/>
  <c r="R325" i="29"/>
  <c r="R170" i="29"/>
  <c r="AE170" i="29" s="1"/>
  <c r="R379" i="29"/>
  <c r="Q272" i="29"/>
  <c r="AD272" i="29" s="1"/>
  <c r="R26" i="29"/>
  <c r="AE26" i="29" s="1"/>
  <c r="R188" i="29"/>
  <c r="AE188" i="29" s="1"/>
  <c r="Q153" i="29"/>
  <c r="AD153" i="29" s="1"/>
  <c r="Q588" i="29"/>
  <c r="Q388" i="29"/>
  <c r="R500" i="29"/>
  <c r="AE500" i="29" s="1"/>
  <c r="Q338" i="29"/>
  <c r="R143" i="29"/>
  <c r="Q522" i="29"/>
  <c r="R338" i="29"/>
  <c r="AE338" i="29" s="1"/>
  <c r="R193" i="29"/>
  <c r="AE193" i="29" s="1"/>
  <c r="Q513" i="29"/>
  <c r="Q260" i="29"/>
  <c r="AD260" i="29" s="1"/>
  <c r="R562" i="29"/>
  <c r="AE562" i="29" s="1"/>
  <c r="Q263" i="29"/>
  <c r="AD263" i="29" s="1"/>
  <c r="Q53" i="29"/>
  <c r="R330" i="29"/>
  <c r="Q125" i="29"/>
  <c r="AD125" i="29" s="1"/>
  <c r="Q357" i="29"/>
  <c r="R142" i="29"/>
  <c r="AE142" i="29" s="1"/>
  <c r="Q482" i="29"/>
  <c r="AD482" i="29" s="1"/>
  <c r="Q187" i="29"/>
  <c r="AD187" i="29" s="1"/>
  <c r="Q440" i="29"/>
  <c r="R508" i="29"/>
  <c r="Q542" i="29"/>
  <c r="Q82" i="29"/>
  <c r="R89" i="29"/>
  <c r="R168" i="29"/>
  <c r="AE168" i="29" s="1"/>
  <c r="Q148" i="29"/>
  <c r="Q277" i="29"/>
  <c r="AD277" i="29" s="1"/>
  <c r="Q412" i="29"/>
  <c r="R398" i="29"/>
  <c r="R113" i="29"/>
  <c r="AE113" i="29" s="1"/>
  <c r="R139" i="29"/>
  <c r="AE139" i="29" s="1"/>
  <c r="Q514" i="29"/>
  <c r="Q594" i="29"/>
  <c r="AD594" i="29" s="1"/>
  <c r="R444" i="29"/>
  <c r="Q459" i="29"/>
  <c r="AD459" i="29" s="1"/>
  <c r="Q538" i="29"/>
  <c r="Q83" i="29"/>
  <c r="R369" i="29"/>
  <c r="R298" i="29"/>
  <c r="Q486" i="29"/>
  <c r="R111" i="29"/>
  <c r="AE111" i="29" s="1"/>
  <c r="R190" i="29"/>
  <c r="R284" i="29"/>
  <c r="AE284" i="29" s="1"/>
  <c r="Q40" i="29"/>
  <c r="R145" i="29"/>
  <c r="Q384" i="29"/>
  <c r="R531" i="29"/>
  <c r="AE531" i="29" s="1"/>
  <c r="R281" i="29"/>
  <c r="AE281" i="29" s="1"/>
  <c r="Q484" i="29"/>
  <c r="R406" i="29"/>
  <c r="Q49" i="29"/>
  <c r="Q253" i="29"/>
  <c r="AD253" i="29" s="1"/>
  <c r="R135" i="29"/>
  <c r="AE135" i="29" s="1"/>
  <c r="R478" i="29"/>
  <c r="AE478" i="29" s="1"/>
  <c r="R283" i="29"/>
  <c r="AE283" i="29" s="1"/>
  <c r="R347" i="29"/>
  <c r="AE347" i="29" s="1"/>
  <c r="Q306" i="29"/>
  <c r="AD306" i="29" s="1"/>
  <c r="R438" i="29"/>
  <c r="AE438" i="29" s="1"/>
  <c r="R215" i="29"/>
  <c r="AE215" i="29" s="1"/>
  <c r="R381" i="29"/>
  <c r="Q139" i="29"/>
  <c r="AD139" i="29" s="1"/>
  <c r="Q52" i="29"/>
  <c r="AD52" i="29" s="1"/>
  <c r="R312" i="29"/>
  <c r="AE312" i="29" s="1"/>
  <c r="Q606" i="29"/>
  <c r="AD606" i="29" s="1"/>
  <c r="R206" i="29"/>
  <c r="AE206" i="29" s="1"/>
  <c r="Q274" i="29"/>
  <c r="Q328" i="29"/>
  <c r="R136" i="29"/>
  <c r="AE136" i="29" s="1"/>
  <c r="Q202" i="29"/>
  <c r="Q70" i="29"/>
  <c r="Q143" i="29"/>
  <c r="R252" i="29"/>
  <c r="AE252" i="29" s="1"/>
  <c r="Q469" i="29"/>
  <c r="Q377" i="29"/>
  <c r="R596" i="29"/>
  <c r="AE596" i="29" s="1"/>
  <c r="R211" i="29"/>
  <c r="R335" i="29"/>
  <c r="Q380" i="29"/>
  <c r="R471" i="29"/>
  <c r="Q480" i="29"/>
  <c r="R63" i="29"/>
  <c r="AE63" i="29" s="1"/>
  <c r="R52" i="29"/>
  <c r="Q208" i="29"/>
  <c r="AD208" i="29" s="1"/>
  <c r="Q352" i="29"/>
  <c r="Q309" i="29"/>
  <c r="AD309" i="29" s="1"/>
  <c r="R54" i="29"/>
  <c r="R454" i="29"/>
  <c r="R603" i="29"/>
  <c r="AE603" i="29" s="1"/>
  <c r="Q214" i="29"/>
  <c r="R392" i="29"/>
  <c r="AE392" i="29" s="1"/>
  <c r="Q211" i="29"/>
  <c r="AD211" i="29" s="1"/>
  <c r="Q41" i="29"/>
  <c r="Q85" i="29"/>
  <c r="AD85" i="29" s="1"/>
  <c r="R391" i="29"/>
  <c r="Q217" i="29"/>
  <c r="AD217" i="29" s="1"/>
  <c r="R502" i="29"/>
  <c r="R610" i="29"/>
  <c r="AE610" i="29" s="1"/>
  <c r="R337" i="29"/>
  <c r="AE337" i="29" s="1"/>
  <c r="Q74" i="29"/>
  <c r="Q138" i="29"/>
  <c r="Q195" i="29"/>
  <c r="AD195" i="29" s="1"/>
  <c r="R322" i="29"/>
  <c r="R128" i="29"/>
  <c r="Q446" i="29"/>
  <c r="AD446" i="29" s="1"/>
  <c r="Q405" i="29"/>
  <c r="AD405" i="29" s="1"/>
  <c r="R600" i="29"/>
  <c r="Q179" i="29"/>
  <c r="AD179" i="29" s="1"/>
  <c r="Q108" i="29"/>
  <c r="AD108" i="29" s="1"/>
  <c r="R129" i="29"/>
  <c r="AE129" i="29" s="1"/>
  <c r="R91" i="29"/>
  <c r="Q241" i="29"/>
  <c r="AD241" i="29" s="1"/>
  <c r="Q190" i="29"/>
  <c r="AD190" i="29" s="1"/>
  <c r="Q335" i="29"/>
  <c r="Q95" i="29"/>
  <c r="Q198" i="29"/>
  <c r="R245" i="29"/>
  <c r="R207" i="29"/>
  <c r="Q568" i="29"/>
  <c r="Q547" i="29"/>
  <c r="Q427" i="29"/>
  <c r="R573" i="29"/>
  <c r="R443" i="29"/>
  <c r="R59" i="29"/>
  <c r="AE59" i="29" s="1"/>
  <c r="Q289" i="29"/>
  <c r="AD289" i="29" s="1"/>
  <c r="R394" i="29"/>
  <c r="AE394" i="29" s="1"/>
  <c r="Q115" i="29"/>
  <c r="R192" i="29"/>
  <c r="R205" i="29"/>
  <c r="AE205" i="29" s="1"/>
  <c r="R592" i="29"/>
  <c r="AE592" i="29" s="1"/>
  <c r="R29" i="29"/>
  <c r="Q157" i="29"/>
  <c r="Q185" i="29"/>
  <c r="Q354" i="29"/>
  <c r="Q219" i="29"/>
  <c r="Q15" i="29"/>
  <c r="Q583" i="29"/>
  <c r="R426" i="29"/>
  <c r="AE426" i="29" s="1"/>
  <c r="Q500" i="29"/>
  <c r="R320" i="29"/>
  <c r="AE320" i="29" s="1"/>
  <c r="R115" i="29"/>
  <c r="AE115" i="29" s="1"/>
  <c r="R513" i="29"/>
  <c r="AE513" i="29" s="1"/>
  <c r="R333" i="29"/>
  <c r="AE333" i="29" s="1"/>
  <c r="R148" i="29"/>
  <c r="R492" i="29"/>
  <c r="R267" i="29"/>
  <c r="Q574" i="29"/>
  <c r="AD574" i="29" s="1"/>
  <c r="Q342" i="29"/>
  <c r="Q75" i="29"/>
  <c r="R301" i="29"/>
  <c r="AE301" i="29" s="1"/>
  <c r="R93" i="29"/>
  <c r="AE93" i="29" s="1"/>
  <c r="R356" i="29"/>
  <c r="R90" i="29"/>
  <c r="AE90" i="29" s="1"/>
  <c r="R476" i="29"/>
  <c r="R194" i="29"/>
  <c r="R421" i="29"/>
  <c r="AE421" i="29" s="1"/>
  <c r="R450" i="29"/>
  <c r="R537" i="29"/>
  <c r="Q64" i="29"/>
  <c r="AD64" i="29" s="1"/>
  <c r="R122" i="29"/>
  <c r="AE122" i="29" s="1"/>
  <c r="Q124" i="29"/>
  <c r="AD124" i="29" s="1"/>
  <c r="Q512" i="29"/>
  <c r="Q555" i="29"/>
  <c r="Q13" i="29"/>
  <c r="AC625" i="29"/>
  <c r="R553" i="29"/>
  <c r="AE553" i="29" s="1"/>
  <c r="R81" i="29"/>
  <c r="Q450" i="29"/>
  <c r="R501" i="29"/>
  <c r="AE501" i="29" s="1"/>
  <c r="Q291" i="29"/>
  <c r="AD291" i="29" s="1"/>
  <c r="Q371" i="29"/>
  <c r="R309" i="29"/>
  <c r="R446" i="29"/>
  <c r="R108" i="29"/>
  <c r="AE108" i="29" s="1"/>
  <c r="Q369" i="29"/>
  <c r="R591" i="29"/>
  <c r="AE591" i="29" s="1"/>
  <c r="R559" i="29"/>
  <c r="R68" i="29"/>
  <c r="Q517" i="29"/>
  <c r="R155" i="29"/>
  <c r="Q162" i="29"/>
  <c r="R247" i="29"/>
  <c r="AE247" i="29" s="1"/>
  <c r="Q44" i="29"/>
  <c r="Q370" i="29"/>
  <c r="Q87" i="29"/>
  <c r="R385" i="29"/>
  <c r="Q465" i="29"/>
  <c r="R236" i="29"/>
  <c r="AE236" i="29" s="1"/>
  <c r="R354" i="29"/>
  <c r="AE354" i="29" s="1"/>
  <c r="R150" i="29"/>
  <c r="R366" i="29"/>
  <c r="Q238" i="29"/>
  <c r="Q603" i="29"/>
  <c r="AD603" i="29" s="1"/>
  <c r="Q481" i="29"/>
  <c r="Q218" i="29"/>
  <c r="R73" i="29"/>
  <c r="Q490" i="29"/>
  <c r="AD490" i="29" s="1"/>
  <c r="Q415" i="29"/>
  <c r="AD415" i="29" s="1"/>
  <c r="Q593" i="29"/>
  <c r="AD593" i="29" s="1"/>
  <c r="Q25" i="29"/>
  <c r="R126" i="29"/>
  <c r="AE126" i="29" s="1"/>
  <c r="Q489" i="29"/>
  <c r="Q292" i="29"/>
  <c r="R277" i="29"/>
  <c r="AE277" i="29" s="1"/>
  <c r="Q201" i="29"/>
  <c r="R321" i="29"/>
  <c r="AE321" i="29" s="1"/>
  <c r="R295" i="29"/>
  <c r="AE295" i="29" s="1"/>
  <c r="R286" i="29"/>
  <c r="AE286" i="29" s="1"/>
  <c r="R127" i="29"/>
  <c r="AE127" i="29" s="1"/>
  <c r="R569" i="29"/>
  <c r="Q182" i="29"/>
  <c r="AD182" i="29" s="1"/>
  <c r="Q400" i="29"/>
  <c r="R373" i="29"/>
  <c r="Q399" i="29"/>
  <c r="AD399" i="29" s="1"/>
  <c r="Q424" i="29"/>
  <c r="AD424" i="29" s="1"/>
  <c r="R442" i="29"/>
  <c r="R585" i="29"/>
  <c r="Q110" i="29"/>
  <c r="R124" i="29"/>
  <c r="AE124" i="29" s="1"/>
  <c r="Q285" i="29"/>
  <c r="Q363" i="29"/>
  <c r="AD363" i="29" s="1"/>
  <c r="R35" i="29"/>
  <c r="R561" i="29"/>
  <c r="AE561" i="29" s="1"/>
  <c r="R387" i="29"/>
  <c r="AE387" i="29" s="1"/>
  <c r="R495" i="29"/>
  <c r="AE495" i="29" s="1"/>
  <c r="R313" i="29"/>
  <c r="AE313" i="29" s="1"/>
  <c r="R66" i="29"/>
  <c r="AE66" i="29" s="1"/>
  <c r="R493" i="29"/>
  <c r="R293" i="29"/>
  <c r="AE293" i="29" s="1"/>
  <c r="R197" i="29"/>
  <c r="AE197" i="29" s="1"/>
  <c r="Q521" i="29"/>
  <c r="Q234" i="29"/>
  <c r="AD234" i="29" s="1"/>
  <c r="Q539" i="29"/>
  <c r="R250" i="29"/>
  <c r="AE250" i="29" s="1"/>
  <c r="R27" i="29"/>
  <c r="Q346" i="29"/>
  <c r="AD346" i="29" s="1"/>
  <c r="Q113" i="29"/>
  <c r="AD113" i="29" s="1"/>
  <c r="Q340" i="29"/>
  <c r="AD340" i="29" s="1"/>
  <c r="R50" i="29"/>
  <c r="R550" i="29"/>
  <c r="AE550" i="29" s="1"/>
  <c r="Q226" i="29"/>
  <c r="AD226" i="29" s="1"/>
  <c r="R376" i="29"/>
  <c r="Q433" i="29"/>
  <c r="R521" i="29"/>
  <c r="Q612" i="29"/>
  <c r="AD612" i="29" s="1"/>
  <c r="Q21" i="29"/>
  <c r="R166" i="29"/>
  <c r="AE166" i="29" s="1"/>
  <c r="Q24" i="29"/>
  <c r="AD24" i="29" s="1"/>
  <c r="R417" i="29"/>
  <c r="Q313" i="29"/>
  <c r="AD313" i="29" s="1"/>
  <c r="R473" i="29"/>
  <c r="Q471" i="29"/>
  <c r="Q249" i="29"/>
  <c r="AD249" i="29" s="1"/>
  <c r="R65" i="29"/>
  <c r="AE65" i="29" s="1"/>
  <c r="R118" i="29"/>
  <c r="AE118" i="29" s="1"/>
  <c r="Q403" i="29"/>
  <c r="R58" i="29"/>
  <c r="Q565" i="29"/>
  <c r="AD565" i="29" s="1"/>
  <c r="Q478" i="29"/>
  <c r="AD478" i="29" s="1"/>
  <c r="Q245" i="29"/>
  <c r="R362" i="29"/>
  <c r="R363" i="29"/>
  <c r="AE363" i="29" s="1"/>
  <c r="Q127" i="29"/>
  <c r="R504" i="29"/>
  <c r="AE504" i="29" s="1"/>
  <c r="R308" i="29"/>
  <c r="AE308" i="29" s="1"/>
  <c r="Q589" i="29"/>
  <c r="AD589" i="29" s="1"/>
  <c r="Q448" i="29"/>
  <c r="Q137" i="29"/>
  <c r="AD137" i="29" s="1"/>
  <c r="R590" i="29"/>
  <c r="AE590" i="29" s="1"/>
  <c r="Q239" i="29"/>
  <c r="Q501" i="29"/>
  <c r="R79" i="29"/>
  <c r="AE79" i="29" s="1"/>
  <c r="R516" i="29"/>
  <c r="Q587" i="29"/>
  <c r="AD587" i="29" s="1"/>
  <c r="Q611" i="29"/>
  <c r="R455" i="29"/>
  <c r="Q326" i="29"/>
  <c r="R460" i="29"/>
  <c r="AE460" i="29" s="1"/>
  <c r="Q69" i="29"/>
  <c r="Q205" i="29"/>
  <c r="Q111" i="29"/>
  <c r="AD111" i="29" s="1"/>
  <c r="R243" i="29"/>
  <c r="Q402" i="29"/>
  <c r="AD402" i="29" s="1"/>
  <c r="R361" i="29"/>
  <c r="R189" i="29"/>
  <c r="R219" i="29"/>
  <c r="AE219" i="29" s="1"/>
  <c r="Q34" i="29"/>
  <c r="AD34" i="29" s="1"/>
  <c r="R86" i="29"/>
  <c r="AE86" i="29" s="1"/>
  <c r="R290" i="29"/>
  <c r="R21" i="29"/>
  <c r="R529" i="29"/>
  <c r="R525" i="29"/>
  <c r="Q100" i="29"/>
  <c r="R272" i="29"/>
  <c r="Q341" i="29"/>
  <c r="R99" i="29"/>
  <c r="Q134" i="29"/>
  <c r="Q488" i="29"/>
  <c r="AD488" i="29" s="1"/>
  <c r="Q84" i="29"/>
  <c r="R172" i="29"/>
  <c r="AE172" i="29" s="1"/>
  <c r="Q199" i="29"/>
  <c r="AD199" i="29" s="1"/>
  <c r="Q431" i="29"/>
  <c r="AD431" i="29" s="1"/>
  <c r="Q39" i="29"/>
  <c r="AD39" i="29" s="1"/>
  <c r="Q183" i="29"/>
  <c r="AD183" i="29" s="1"/>
  <c r="Q411" i="29"/>
  <c r="AD411" i="29" s="1"/>
  <c r="Q17" i="29"/>
  <c r="R177" i="29"/>
  <c r="Q495" i="29"/>
  <c r="R117" i="29"/>
  <c r="R269" i="29"/>
  <c r="Q92" i="29"/>
  <c r="R377" i="29"/>
  <c r="R388" i="29"/>
  <c r="AE388" i="29" s="1"/>
  <c r="R486" i="29"/>
  <c r="AE486" i="29" s="1"/>
  <c r="Q97" i="29"/>
  <c r="R357" i="29"/>
  <c r="Q626" i="29"/>
  <c r="AD626" i="29" s="1"/>
  <c r="Q595" i="29"/>
  <c r="R593" i="29"/>
  <c r="R242" i="29"/>
  <c r="R414" i="29"/>
  <c r="AE414" i="29" s="1"/>
  <c r="Q33" i="29"/>
  <c r="Q135" i="29"/>
  <c r="Q160" i="29"/>
  <c r="R225" i="29"/>
  <c r="R198" i="29"/>
  <c r="AE198" i="29" s="1"/>
  <c r="Q301" i="29"/>
  <c r="R64" i="29"/>
  <c r="R263" i="29"/>
  <c r="AE263" i="29" s="1"/>
  <c r="Q598" i="29"/>
  <c r="R396" i="29"/>
  <c r="AE396" i="29" s="1"/>
  <c r="Q613" i="29"/>
  <c r="AD613" i="29" s="1"/>
  <c r="R317" i="29"/>
  <c r="AE317" i="29" s="1"/>
  <c r="R416" i="29"/>
  <c r="AE416" i="29" s="1"/>
  <c r="R230" i="29"/>
  <c r="AE230" i="29" s="1"/>
  <c r="Q91" i="29"/>
  <c r="Q300" i="29"/>
  <c r="Q365" i="29"/>
  <c r="AD365" i="29" s="1"/>
  <c r="Q601" i="29"/>
  <c r="R389" i="29"/>
  <c r="Q414" i="29"/>
  <c r="R213" i="29"/>
  <c r="R202" i="29"/>
  <c r="AE202" i="29" s="1"/>
  <c r="R88" i="29"/>
  <c r="Q407" i="29"/>
  <c r="Q410" i="29"/>
  <c r="AD410" i="29" s="1"/>
  <c r="Q322" i="29"/>
  <c r="Q22" i="29"/>
  <c r="AD22" i="29" s="1"/>
  <c r="R248" i="29"/>
  <c r="AE248" i="29" s="1"/>
  <c r="Q422" i="29"/>
  <c r="S566" i="29"/>
  <c r="T348" i="29"/>
  <c r="AE348" i="29" s="1"/>
  <c r="S497" i="29"/>
  <c r="AD497" i="29" s="1"/>
  <c r="S390" i="29"/>
  <c r="AD390" i="29" s="1"/>
  <c r="V465" i="29"/>
  <c r="V555" i="29"/>
  <c r="U353" i="29"/>
  <c r="V353" i="29"/>
  <c r="T480" i="29"/>
  <c r="S82" i="29"/>
  <c r="AD82" i="29" s="1"/>
  <c r="V394" i="29"/>
  <c r="T220" i="29"/>
  <c r="T72" i="29"/>
  <c r="AO291" i="29"/>
  <c r="V399" i="29"/>
  <c r="U399" i="29"/>
  <c r="V575" i="29"/>
  <c r="U575" i="29"/>
  <c r="T508" i="29"/>
  <c r="AE508" i="29" s="1"/>
  <c r="T54" i="29"/>
  <c r="AE54" i="29" s="1"/>
  <c r="T398" i="29"/>
  <c r="T536" i="29"/>
  <c r="S37" i="29"/>
  <c r="AD37" i="29" s="1"/>
  <c r="T343" i="29"/>
  <c r="S520" i="29"/>
  <c r="S412" i="29"/>
  <c r="T408" i="29"/>
  <c r="T175" i="29"/>
  <c r="S302" i="29"/>
  <c r="T325" i="29"/>
  <c r="AE325" i="29" s="1"/>
  <c r="T525" i="29"/>
  <c r="T445" i="29"/>
  <c r="AE445" i="29" s="1"/>
  <c r="S333" i="29"/>
  <c r="T374" i="29"/>
  <c r="S514" i="29"/>
  <c r="T443" i="29"/>
  <c r="AE443" i="29" s="1"/>
  <c r="S371" i="29"/>
  <c r="AD371" i="29" s="1"/>
  <c r="S323" i="29"/>
  <c r="AD323" i="29" s="1"/>
  <c r="U234" i="29"/>
  <c r="S383" i="29"/>
  <c r="AO341" i="29"/>
  <c r="AO214" i="29"/>
  <c r="T623" i="29"/>
  <c r="S51" i="29"/>
  <c r="AD51" i="29" s="1"/>
  <c r="T522" i="29"/>
  <c r="AE522" i="29" s="1"/>
  <c r="S91" i="29"/>
  <c r="S321" i="29"/>
  <c r="AD321" i="29" s="1"/>
  <c r="T403" i="29"/>
  <c r="T546" i="29"/>
  <c r="AE546" i="29" s="1"/>
  <c r="T330" i="29"/>
  <c r="S432" i="29"/>
  <c r="AD432" i="29" s="1"/>
  <c r="S539" i="29"/>
  <c r="AD539" i="29" s="1"/>
  <c r="T581" i="29"/>
  <c r="T448" i="29"/>
  <c r="S609" i="29"/>
  <c r="S481" i="29"/>
  <c r="T350" i="29"/>
  <c r="V474" i="29"/>
  <c r="V602" i="29"/>
  <c r="U271" i="29"/>
  <c r="T255" i="29"/>
  <c r="T437" i="29"/>
  <c r="T225" i="29"/>
  <c r="AE225" i="29" s="1"/>
  <c r="T454" i="29"/>
  <c r="AE454" i="29" s="1"/>
  <c r="T241" i="29"/>
  <c r="AE241" i="29" s="1"/>
  <c r="T383" i="29"/>
  <c r="AO50" i="29"/>
  <c r="AD429" i="29"/>
  <c r="V498" i="29"/>
  <c r="U498" i="29"/>
  <c r="T559" i="29"/>
  <c r="T382" i="29"/>
  <c r="S480" i="29"/>
  <c r="T594" i="29"/>
  <c r="AE594" i="29" s="1"/>
  <c r="T385" i="29"/>
  <c r="AE385" i="29" s="1"/>
  <c r="AO166" i="29"/>
  <c r="V166" i="29" s="1"/>
  <c r="S53" i="29"/>
  <c r="S608" i="29"/>
  <c r="AD608" i="29" s="1"/>
  <c r="S16" i="29"/>
  <c r="T442" i="29"/>
  <c r="S102" i="29"/>
  <c r="S21" i="29"/>
  <c r="AD21" i="29" s="1"/>
  <c r="S184" i="29"/>
  <c r="T354" i="29"/>
  <c r="S60" i="29"/>
  <c r="V45" i="29"/>
  <c r="U45" i="29"/>
  <c r="U468" i="29"/>
  <c r="U409" i="29"/>
  <c r="V409" i="29"/>
  <c r="V18" i="29"/>
  <c r="U18" i="29"/>
  <c r="V510" i="29"/>
  <c r="V288" i="29"/>
  <c r="U288" i="29"/>
  <c r="U226" i="29"/>
  <c r="S41" i="29"/>
  <c r="S369" i="29"/>
  <c r="T517" i="29"/>
  <c r="T376" i="29"/>
  <c r="S89" i="29"/>
  <c r="S479" i="29"/>
  <c r="V290" i="29"/>
  <c r="S205" i="29"/>
  <c r="S347" i="29"/>
  <c r="AD347" i="29" s="1"/>
  <c r="T40" i="29"/>
  <c r="AO142" i="29"/>
  <c r="S391" i="29"/>
  <c r="T411" i="29"/>
  <c r="S63" i="29"/>
  <c r="U482" i="29"/>
  <c r="S95" i="29"/>
  <c r="AD95" i="29" s="1"/>
  <c r="S115" i="29"/>
  <c r="S367" i="29"/>
  <c r="AD367" i="29" s="1"/>
  <c r="U347" i="29"/>
  <c r="V93" i="29"/>
  <c r="X93" i="29" s="1"/>
  <c r="Y93" i="29" s="1"/>
  <c r="S396" i="29"/>
  <c r="T207" i="29"/>
  <c r="T32" i="29"/>
  <c r="U296" i="29"/>
  <c r="AO447" i="29"/>
  <c r="V447" i="29" s="1"/>
  <c r="AO126" i="29"/>
  <c r="S434" i="29"/>
  <c r="T505" i="29"/>
  <c r="AE505" i="29" s="1"/>
  <c r="S267" i="29"/>
  <c r="S360" i="29"/>
  <c r="S172" i="29"/>
  <c r="U164" i="29"/>
  <c r="S87" i="29"/>
  <c r="S515" i="29"/>
  <c r="S106" i="29"/>
  <c r="T327" i="29"/>
  <c r="S384" i="29"/>
  <c r="S531" i="29"/>
  <c r="AD531" i="29" s="1"/>
  <c r="T362" i="29"/>
  <c r="T470" i="29"/>
  <c r="AE470" i="29" s="1"/>
  <c r="S583" i="29"/>
  <c r="AD583" i="29" s="1"/>
  <c r="U552" i="29"/>
  <c r="T557" i="29"/>
  <c r="S428" i="29"/>
  <c r="AD428" i="29" s="1"/>
  <c r="S611" i="29"/>
  <c r="AD611" i="29" s="1"/>
  <c r="S463" i="29"/>
  <c r="T369" i="29"/>
  <c r="V336" i="29"/>
  <c r="S268" i="29"/>
  <c r="T427" i="29"/>
  <c r="S198" i="29"/>
  <c r="S437" i="29"/>
  <c r="T201" i="29"/>
  <c r="S376" i="29"/>
  <c r="AD440" i="29"/>
  <c r="AD285" i="29"/>
  <c r="AD378" i="29"/>
  <c r="U582" i="29"/>
  <c r="V582" i="29"/>
  <c r="U528" i="29"/>
  <c r="V528" i="29"/>
  <c r="U354" i="29"/>
  <c r="V354" i="29"/>
  <c r="V189" i="29"/>
  <c r="U189" i="29"/>
  <c r="S258" i="29"/>
  <c r="AO148" i="29"/>
  <c r="AO48" i="29"/>
  <c r="T417" i="29"/>
  <c r="AE417" i="29" s="1"/>
  <c r="S400" i="29"/>
  <c r="AD400" i="29" s="1"/>
  <c r="V304" i="29"/>
  <c r="U304" i="29"/>
  <c r="T281" i="29"/>
  <c r="AO43" i="29"/>
  <c r="AO58" i="29"/>
  <c r="S380" i="29"/>
  <c r="AD380" i="29" s="1"/>
  <c r="S328" i="29"/>
  <c r="AD328" i="29" s="1"/>
  <c r="T394" i="29"/>
  <c r="V342" i="29"/>
  <c r="T390" i="29"/>
  <c r="S354" i="29"/>
  <c r="U368" i="29"/>
  <c r="U150" i="29"/>
  <c r="V150" i="29"/>
  <c r="U484" i="29"/>
  <c r="V484" i="29"/>
  <c r="S97" i="29"/>
  <c r="T35" i="29"/>
  <c r="S40" i="29"/>
  <c r="S185" i="29"/>
  <c r="AD185" i="29" s="1"/>
  <c r="S366" i="29"/>
  <c r="AO103" i="29"/>
  <c r="S521" i="29"/>
  <c r="AD521" i="29" s="1"/>
  <c r="S109" i="29"/>
  <c r="T514" i="29"/>
  <c r="T359" i="29"/>
  <c r="AO380" i="29"/>
  <c r="U364" i="29"/>
  <c r="AO31" i="29"/>
  <c r="U29" i="29"/>
  <c r="V29" i="29"/>
  <c r="AO95" i="29"/>
  <c r="T306" i="29"/>
  <c r="S519" i="29"/>
  <c r="AD519" i="29" s="1"/>
  <c r="T357" i="29"/>
  <c r="S530" i="29"/>
  <c r="AD530" i="29" s="1"/>
  <c r="S581" i="29"/>
  <c r="S433" i="29"/>
  <c r="AD433" i="29" s="1"/>
  <c r="S610" i="29"/>
  <c r="AD610" i="29" s="1"/>
  <c r="U424" i="29"/>
  <c r="S373" i="29"/>
  <c r="S65" i="29"/>
  <c r="T585" i="29"/>
  <c r="S74" i="29"/>
  <c r="AD74" i="29" s="1"/>
  <c r="S284" i="29"/>
  <c r="AD284" i="29" s="1"/>
  <c r="T407" i="29"/>
  <c r="T543" i="29"/>
  <c r="S327" i="29"/>
  <c r="AD327" i="29" s="1"/>
  <c r="S413" i="29"/>
  <c r="AD413" i="29" s="1"/>
  <c r="S525" i="29"/>
  <c r="T573" i="29"/>
  <c r="AE573" i="29" s="1"/>
  <c r="T431" i="29"/>
  <c r="AE431" i="29" s="1"/>
  <c r="S588" i="29"/>
  <c r="T479" i="29"/>
  <c r="T329" i="29"/>
  <c r="AE329" i="29" s="1"/>
  <c r="V567" i="29"/>
  <c r="V419" i="29"/>
  <c r="V412" i="29"/>
  <c r="Q624" i="29"/>
  <c r="V548" i="29"/>
  <c r="V23" i="29"/>
  <c r="S265" i="29"/>
  <c r="T534" i="29"/>
  <c r="T237" i="29"/>
  <c r="T474" i="29"/>
  <c r="X474" i="29" s="1"/>
  <c r="Y474" i="29" s="1"/>
  <c r="S237" i="29"/>
  <c r="T414" i="29"/>
  <c r="AE300" i="29"/>
  <c r="AE449" i="29"/>
  <c r="AD575" i="29"/>
  <c r="AE406" i="29"/>
  <c r="V471" i="29"/>
  <c r="U471" i="29"/>
  <c r="S604" i="29"/>
  <c r="T529" i="29"/>
  <c r="AE529" i="29" s="1"/>
  <c r="T596" i="29"/>
  <c r="S547" i="29"/>
  <c r="AO557" i="29"/>
  <c r="U557" i="29" s="1"/>
  <c r="T316" i="29"/>
  <c r="S476" i="29"/>
  <c r="S523" i="29"/>
  <c r="AD523" i="29" s="1"/>
  <c r="S462" i="29"/>
  <c r="AD462" i="29" s="1"/>
  <c r="T499" i="29"/>
  <c r="V298" i="29"/>
  <c r="V239" i="29"/>
  <c r="U276" i="29"/>
  <c r="V276" i="29"/>
  <c r="AO561" i="29"/>
  <c r="AO442" i="29"/>
  <c r="AO190" i="29"/>
  <c r="S13" i="29"/>
  <c r="S45" i="29"/>
  <c r="S343" i="29"/>
  <c r="AD343" i="29" s="1"/>
  <c r="S494" i="29"/>
  <c r="AD494" i="29" s="1"/>
  <c r="S217" i="29"/>
  <c r="AO554" i="29"/>
  <c r="AO494" i="29"/>
  <c r="S110" i="29"/>
  <c r="AD110" i="29" s="1"/>
  <c r="S33" i="29"/>
  <c r="U593" i="29"/>
  <c r="T193" i="29"/>
  <c r="S623" i="29"/>
  <c r="R623" i="29"/>
  <c r="S44" i="29"/>
  <c r="T547" i="29"/>
  <c r="T56" i="29"/>
  <c r="S326" i="29"/>
  <c r="AD326" i="29" s="1"/>
  <c r="T447" i="29"/>
  <c r="S529" i="29"/>
  <c r="AD529" i="29" s="1"/>
  <c r="T389" i="29"/>
  <c r="S445" i="29"/>
  <c r="AD445" i="29" s="1"/>
  <c r="S551" i="29"/>
  <c r="AD551" i="29" s="1"/>
  <c r="T555" i="29"/>
  <c r="AE555" i="29" s="1"/>
  <c r="S447" i="29"/>
  <c r="AD447" i="29" s="1"/>
  <c r="S600" i="29"/>
  <c r="T419" i="29"/>
  <c r="K266" i="24"/>
  <c r="U523" i="29"/>
  <c r="U67" i="29"/>
  <c r="T265" i="29"/>
  <c r="T541" i="29"/>
  <c r="T250" i="29"/>
  <c r="S502" i="29"/>
  <c r="S206" i="29"/>
  <c r="S411" i="29"/>
  <c r="M268" i="29"/>
  <c r="AG268" i="29" s="1"/>
  <c r="M439" i="29"/>
  <c r="N147" i="29"/>
  <c r="N359" i="29"/>
  <c r="M340" i="29"/>
  <c r="N539" i="29"/>
  <c r="M201" i="29"/>
  <c r="N563" i="29"/>
  <c r="M230" i="29"/>
  <c r="AG230" i="29" s="1"/>
  <c r="M529" i="29"/>
  <c r="M217" i="29"/>
  <c r="M538" i="29"/>
  <c r="N560" i="29"/>
  <c r="N362" i="29"/>
  <c r="N554" i="29"/>
  <c r="M593" i="29"/>
  <c r="W593" i="29" s="1"/>
  <c r="AA593" i="29" s="1"/>
  <c r="M505" i="29"/>
  <c r="M604" i="29"/>
  <c r="AG604" i="29" s="1"/>
  <c r="N371" i="29"/>
  <c r="AH371" i="29" s="1"/>
  <c r="N57" i="29"/>
  <c r="X57" i="29" s="1"/>
  <c r="Y57" i="29" s="1"/>
  <c r="M489" i="29"/>
  <c r="M609" i="29"/>
  <c r="W609" i="29" s="1"/>
  <c r="AA609" i="29" s="1"/>
  <c r="M292" i="29"/>
  <c r="M181" i="29"/>
  <c r="N500" i="29"/>
  <c r="M459" i="29"/>
  <c r="M97" i="29"/>
  <c r="W97" i="29" s="1"/>
  <c r="N556" i="29"/>
  <c r="M567" i="29"/>
  <c r="W567" i="29" s="1"/>
  <c r="AA567" i="29" s="1"/>
  <c r="N577" i="29"/>
  <c r="N339" i="29"/>
  <c r="M87" i="29"/>
  <c r="M385" i="29"/>
  <c r="W385" i="29" s="1"/>
  <c r="AA385" i="29" s="1"/>
  <c r="M228" i="29"/>
  <c r="N132" i="29"/>
  <c r="AH132" i="29" s="1"/>
  <c r="N524" i="29"/>
  <c r="M197" i="29"/>
  <c r="N83" i="29"/>
  <c r="N452" i="29"/>
  <c r="N55" i="29"/>
  <c r="AH55" i="29" s="1"/>
  <c r="M472" i="29"/>
  <c r="N384" i="29"/>
  <c r="N323" i="29"/>
  <c r="N32" i="29"/>
  <c r="M545" i="29"/>
  <c r="N505" i="29"/>
  <c r="N575" i="29"/>
  <c r="AH575" i="29" s="1"/>
  <c r="M234" i="29"/>
  <c r="M583" i="29"/>
  <c r="AG583" i="29" s="1"/>
  <c r="M189" i="29"/>
  <c r="M232" i="29"/>
  <c r="M121" i="29"/>
  <c r="N444" i="29"/>
  <c r="M463" i="29"/>
  <c r="N127" i="29"/>
  <c r="N469" i="29"/>
  <c r="M352" i="29"/>
  <c r="N280" i="29"/>
  <c r="M337" i="29"/>
  <c r="N576" i="29"/>
  <c r="N593" i="29"/>
  <c r="N565" i="29"/>
  <c r="M365" i="29"/>
  <c r="M480" i="29"/>
  <c r="N564" i="29"/>
  <c r="N259" i="29"/>
  <c r="N613" i="29"/>
  <c r="N46" i="29"/>
  <c r="N486" i="29"/>
  <c r="M603" i="29"/>
  <c r="M77" i="29"/>
  <c r="W77" i="29" s="1"/>
  <c r="AA77" i="29" s="1"/>
  <c r="M586" i="29"/>
  <c r="N308" i="29"/>
  <c r="AO366" i="29"/>
  <c r="AO386" i="29"/>
  <c r="AO435" i="29"/>
  <c r="U435" i="29" s="1"/>
  <c r="AO213" i="29"/>
  <c r="U467" i="29"/>
  <c r="V467" i="29"/>
  <c r="AO515" i="29"/>
  <c r="AO418" i="29"/>
  <c r="AO331" i="29"/>
  <c r="AO349" i="29"/>
  <c r="J624" i="29"/>
  <c r="X624" i="29" s="1"/>
  <c r="Y624" i="29" s="1"/>
  <c r="P624" i="29"/>
  <c r="I624" i="29"/>
  <c r="AG624" i="29" s="1"/>
  <c r="K634" i="29" s="1"/>
  <c r="R624" i="29"/>
  <c r="S624" i="29"/>
  <c r="K624" i="29"/>
  <c r="V624" i="29"/>
  <c r="L624" i="29"/>
  <c r="AO181" i="29"/>
  <c r="AO221" i="29"/>
  <c r="N225" i="29"/>
  <c r="M127" i="29"/>
  <c r="AG127" i="29" s="1"/>
  <c r="M182" i="29"/>
  <c r="M336" i="29"/>
  <c r="W336" i="29" s="1"/>
  <c r="N188" i="29"/>
  <c r="M482" i="29"/>
  <c r="M218" i="29"/>
  <c r="N85" i="29"/>
  <c r="N142" i="29"/>
  <c r="N424" i="29"/>
  <c r="M334" i="29"/>
  <c r="AG334" i="29" s="1"/>
  <c r="N338" i="29"/>
  <c r="N125" i="29"/>
  <c r="N182" i="29"/>
  <c r="N231" i="29"/>
  <c r="N352" i="29"/>
  <c r="M288" i="29"/>
  <c r="W288" i="29" s="1"/>
  <c r="N17" i="29"/>
  <c r="M526" i="29"/>
  <c r="M530" i="29"/>
  <c r="W530" i="29" s="1"/>
  <c r="N181" i="29"/>
  <c r="N238" i="29"/>
  <c r="X238" i="29" s="1"/>
  <c r="Y238" i="29" s="1"/>
  <c r="N81" i="29"/>
  <c r="M179" i="29"/>
  <c r="M168" i="29"/>
  <c r="W168" i="29" s="1"/>
  <c r="AA168" i="29" s="1"/>
  <c r="N559" i="29"/>
  <c r="M378" i="29"/>
  <c r="M541" i="29"/>
  <c r="N460" i="29"/>
  <c r="N29" i="29"/>
  <c r="X29" i="29" s="1"/>
  <c r="Y29" i="29" s="1"/>
  <c r="N392" i="29"/>
  <c r="M464" i="29"/>
  <c r="N481" i="29"/>
  <c r="N433" i="29"/>
  <c r="N572" i="29"/>
  <c r="M387" i="29"/>
  <c r="N478" i="29"/>
  <c r="N386" i="29"/>
  <c r="M576" i="29"/>
  <c r="N75" i="29"/>
  <c r="N25" i="29"/>
  <c r="N353" i="29"/>
  <c r="AH353" i="29" s="1"/>
  <c r="M427" i="29"/>
  <c r="N449" i="29"/>
  <c r="N526" i="29"/>
  <c r="M501" i="29"/>
  <c r="N87" i="29"/>
  <c r="M398" i="29"/>
  <c r="M299" i="29"/>
  <c r="N573" i="29"/>
  <c r="N609" i="29"/>
  <c r="U254" i="29"/>
  <c r="U370" i="29"/>
  <c r="V370" i="29"/>
  <c r="AH370" i="29" s="1"/>
  <c r="AO574" i="29"/>
  <c r="AO243" i="29"/>
  <c r="AO316" i="29"/>
  <c r="V542" i="29"/>
  <c r="AO519" i="29"/>
  <c r="AO308" i="29"/>
  <c r="AO154" i="29"/>
  <c r="AO157" i="29"/>
  <c r="M522" i="29"/>
  <c r="M274" i="29"/>
  <c r="AG274" i="29" s="1"/>
  <c r="N120" i="29"/>
  <c r="N240" i="29"/>
  <c r="N210" i="29"/>
  <c r="N265" i="29"/>
  <c r="N159" i="29"/>
  <c r="M236" i="29"/>
  <c r="N236" i="29"/>
  <c r="N269" i="29"/>
  <c r="M450" i="29"/>
  <c r="M186" i="29"/>
  <c r="M41" i="29"/>
  <c r="M46" i="29"/>
  <c r="N50" i="29"/>
  <c r="N325" i="29"/>
  <c r="N186" i="29"/>
  <c r="M226" i="29"/>
  <c r="AG226" i="29" s="1"/>
  <c r="M283" i="29"/>
  <c r="N184" i="29"/>
  <c r="X184" i="29" s="1"/>
  <c r="Y184" i="29" s="1"/>
  <c r="N335" i="29"/>
  <c r="AH335" i="29" s="1"/>
  <c r="M346" i="29"/>
  <c r="AG346" i="29" s="1"/>
  <c r="N128" i="29"/>
  <c r="N284" i="29"/>
  <c r="M546" i="29"/>
  <c r="M282" i="29"/>
  <c r="AG282" i="29" s="1"/>
  <c r="N263" i="29"/>
  <c r="N312" i="29"/>
  <c r="N336" i="29"/>
  <c r="M484" i="29"/>
  <c r="AG484" i="29" s="1"/>
  <c r="M499" i="29"/>
  <c r="N489" i="29"/>
  <c r="AH489" i="29" s="1"/>
  <c r="M456" i="29"/>
  <c r="W456" i="29" s="1"/>
  <c r="M242" i="29"/>
  <c r="W242" i="29" s="1"/>
  <c r="AA242" i="29" s="1"/>
  <c r="N330" i="29"/>
  <c r="N551" i="29"/>
  <c r="M557" i="29"/>
  <c r="N528" i="29"/>
  <c r="M176" i="29"/>
  <c r="N537" i="29"/>
  <c r="M329" i="29"/>
  <c r="M399" i="29"/>
  <c r="N395" i="29"/>
  <c r="AH395" i="29" s="1"/>
  <c r="M565" i="29"/>
  <c r="M574" i="29"/>
  <c r="N439" i="29"/>
  <c r="U599" i="29"/>
  <c r="U372" i="29"/>
  <c r="M423" i="29"/>
  <c r="M285" i="29"/>
  <c r="N477" i="29"/>
  <c r="N92" i="29"/>
  <c r="M265" i="29"/>
  <c r="W265" i="29" s="1"/>
  <c r="AA265" i="29" s="1"/>
  <c r="M79" i="29"/>
  <c r="M597" i="29"/>
  <c r="M15" i="29"/>
  <c r="W15" i="29" s="1"/>
  <c r="AA15" i="29" s="1"/>
  <c r="M117" i="29"/>
  <c r="M497" i="29"/>
  <c r="AG497" i="29" s="1"/>
  <c r="AO69" i="29"/>
  <c r="AO38" i="29"/>
  <c r="AO25" i="29"/>
  <c r="AO175" i="29"/>
  <c r="AO99" i="29"/>
  <c r="N279" i="29"/>
  <c r="X279" i="29" s="1"/>
  <c r="Y279" i="29" s="1"/>
  <c r="M320" i="29"/>
  <c r="M286" i="29"/>
  <c r="N134" i="29"/>
  <c r="N326" i="29"/>
  <c r="AH326" i="29" s="1"/>
  <c r="N283" i="29"/>
  <c r="M284" i="29"/>
  <c r="N74" i="29"/>
  <c r="N204" i="29"/>
  <c r="AH204" i="29" s="1"/>
  <c r="N205" i="29"/>
  <c r="M350" i="29"/>
  <c r="N97" i="29"/>
  <c r="X97" i="29" s="1"/>
  <c r="Y97" i="29" s="1"/>
  <c r="M94" i="29"/>
  <c r="N408" i="29"/>
  <c r="AH408" i="29" s="1"/>
  <c r="M594" i="29"/>
  <c r="N277" i="29"/>
  <c r="N302" i="29"/>
  <c r="X302" i="29" s="1"/>
  <c r="Y302" i="29" s="1"/>
  <c r="N215" i="29"/>
  <c r="N47" i="29"/>
  <c r="N104" i="29"/>
  <c r="N287" i="29"/>
  <c r="AH287" i="29" s="1"/>
  <c r="M300" i="29"/>
  <c r="N300" i="29"/>
  <c r="AH300" i="29" s="1"/>
  <c r="N333" i="29"/>
  <c r="X333" i="29" s="1"/>
  <c r="Y333" i="29" s="1"/>
  <c r="M90" i="29"/>
  <c r="N594" i="29"/>
  <c r="M349" i="29"/>
  <c r="N244" i="29"/>
  <c r="M372" i="29"/>
  <c r="W372" i="29" s="1"/>
  <c r="AA372" i="29" s="1"/>
  <c r="N592" i="29"/>
  <c r="M481" i="29"/>
  <c r="M27" i="29"/>
  <c r="N313" i="29"/>
  <c r="M476" i="29"/>
  <c r="N504" i="29"/>
  <c r="N540" i="29"/>
  <c r="AH540" i="29" s="1"/>
  <c r="N522" i="29"/>
  <c r="N157" i="29"/>
  <c r="M169" i="29"/>
  <c r="AG169" i="29" s="1"/>
  <c r="M512" i="29"/>
  <c r="N513" i="29"/>
  <c r="M315" i="29"/>
  <c r="N366" i="29"/>
  <c r="N447" i="29"/>
  <c r="AH447" i="29" s="1"/>
  <c r="M180" i="29"/>
  <c r="M520" i="29"/>
  <c r="N271" i="29"/>
  <c r="N403" i="29"/>
  <c r="AH403" i="29" s="1"/>
  <c r="M28" i="29"/>
  <c r="N294" i="29"/>
  <c r="M95" i="29"/>
  <c r="M69" i="29"/>
  <c r="N603" i="29"/>
  <c r="I477" i="29"/>
  <c r="J314" i="29"/>
  <c r="I236" i="29"/>
  <c r="I109" i="29"/>
  <c r="J67" i="29"/>
  <c r="I73" i="29"/>
  <c r="J36" i="29"/>
  <c r="J472" i="29"/>
  <c r="J306" i="29"/>
  <c r="I220" i="29"/>
  <c r="I105" i="29"/>
  <c r="I434" i="29"/>
  <c r="I326" i="29"/>
  <c r="J191" i="29"/>
  <c r="J88" i="29"/>
  <c r="I67" i="29"/>
  <c r="I406" i="29"/>
  <c r="J250" i="29"/>
  <c r="I171" i="29"/>
  <c r="J76" i="29"/>
  <c r="I404" i="29"/>
  <c r="J257" i="29"/>
  <c r="J179" i="29"/>
  <c r="I607" i="29"/>
  <c r="J369" i="29"/>
  <c r="J259" i="29"/>
  <c r="J135" i="29"/>
  <c r="I536" i="29"/>
  <c r="J279" i="29"/>
  <c r="I129" i="29"/>
  <c r="J20" i="29"/>
  <c r="J541" i="29"/>
  <c r="I215" i="29"/>
  <c r="I502" i="29"/>
  <c r="I199" i="29"/>
  <c r="I29" i="29"/>
  <c r="I455" i="29"/>
  <c r="I206" i="29"/>
  <c r="I18" i="29"/>
  <c r="I320" i="29"/>
  <c r="I164" i="29"/>
  <c r="I42" i="29"/>
  <c r="J318" i="29"/>
  <c r="I152" i="29"/>
  <c r="I417" i="29"/>
  <c r="J74" i="29"/>
  <c r="J382" i="29"/>
  <c r="J62" i="29"/>
  <c r="I328" i="29"/>
  <c r="J130" i="29"/>
  <c r="J309" i="29"/>
  <c r="J236" i="29"/>
  <c r="I209" i="29"/>
  <c r="I198" i="29"/>
  <c r="I91" i="29"/>
  <c r="J68" i="29"/>
  <c r="J312" i="29"/>
  <c r="I17" i="29"/>
  <c r="I555" i="29"/>
  <c r="I592" i="29"/>
  <c r="J597" i="29"/>
  <c r="J515" i="29"/>
  <c r="I454" i="29"/>
  <c r="I427" i="29"/>
  <c r="J326" i="29"/>
  <c r="J573" i="29"/>
  <c r="J505" i="29"/>
  <c r="I441" i="29"/>
  <c r="I411" i="29"/>
  <c r="I601" i="29"/>
  <c r="I510" i="29"/>
  <c r="J445" i="29"/>
  <c r="J391" i="29"/>
  <c r="I579" i="29"/>
  <c r="J496" i="29"/>
  <c r="J444" i="29"/>
  <c r="J430" i="29"/>
  <c r="I342" i="29"/>
  <c r="I294" i="29"/>
  <c r="I228" i="29"/>
  <c r="J70" i="29"/>
  <c r="AH70" i="29" s="1"/>
  <c r="I90" i="29"/>
  <c r="I544" i="29"/>
  <c r="J524" i="29"/>
  <c r="J381" i="29"/>
  <c r="I340" i="29"/>
  <c r="I239" i="29"/>
  <c r="J226" i="29"/>
  <c r="J132" i="29"/>
  <c r="J112" i="29"/>
  <c r="I497" i="29"/>
  <c r="J322" i="29"/>
  <c r="J288" i="29"/>
  <c r="J124" i="29"/>
  <c r="I45" i="29"/>
  <c r="J452" i="29"/>
  <c r="J299" i="29"/>
  <c r="J210" i="29"/>
  <c r="J99" i="29"/>
  <c r="J574" i="29"/>
  <c r="J399" i="29"/>
  <c r="I266" i="29"/>
  <c r="J212" i="29"/>
  <c r="J97" i="29"/>
  <c r="I537" i="29"/>
  <c r="J419" i="29"/>
  <c r="J276" i="29"/>
  <c r="I597" i="29"/>
  <c r="J405" i="29"/>
  <c r="I366" i="29"/>
  <c r="J225" i="29"/>
  <c r="J58" i="29"/>
  <c r="I145" i="29"/>
  <c r="J304" i="29"/>
  <c r="J111" i="29"/>
  <c r="I364" i="29"/>
  <c r="J177" i="29"/>
  <c r="I399" i="29"/>
  <c r="I184" i="29"/>
  <c r="J486" i="29"/>
  <c r="I185" i="29"/>
  <c r="J30" i="29"/>
  <c r="J46" i="29"/>
  <c r="I64" i="29"/>
  <c r="I97" i="29"/>
  <c r="J298" i="29"/>
  <c r="I25" i="29"/>
  <c r="I554" i="29"/>
  <c r="I587" i="29"/>
  <c r="J581" i="29"/>
  <c r="I511" i="29"/>
  <c r="I422" i="29"/>
  <c r="I380" i="29"/>
  <c r="I319" i="29"/>
  <c r="I560" i="29"/>
  <c r="J481" i="29"/>
  <c r="J460" i="29"/>
  <c r="I375" i="29"/>
  <c r="J569" i="29"/>
  <c r="I521" i="29"/>
  <c r="I437" i="29"/>
  <c r="I403" i="29"/>
  <c r="I577" i="29"/>
  <c r="I484" i="29"/>
  <c r="J412" i="29"/>
  <c r="J394" i="29"/>
  <c r="J324" i="29"/>
  <c r="I252" i="29"/>
  <c r="I196" i="29"/>
  <c r="J145" i="29"/>
  <c r="I37" i="29"/>
  <c r="J547" i="29"/>
  <c r="I475" i="29"/>
  <c r="I397" i="29"/>
  <c r="J367" i="29"/>
  <c r="J254" i="29"/>
  <c r="J194" i="29"/>
  <c r="I156" i="29"/>
  <c r="J80" i="29"/>
  <c r="I464" i="29"/>
  <c r="J297" i="29"/>
  <c r="J239" i="29"/>
  <c r="I140" i="29"/>
  <c r="I94" i="29"/>
  <c r="I436" i="29"/>
  <c r="I291" i="29"/>
  <c r="I226" i="29"/>
  <c r="I115" i="29"/>
  <c r="I534" i="29"/>
  <c r="J431" i="29"/>
  <c r="J283" i="29"/>
  <c r="J242" i="29"/>
  <c r="I113" i="29"/>
  <c r="I545" i="29"/>
  <c r="I371" i="29"/>
  <c r="J237" i="29"/>
  <c r="I582" i="29"/>
  <c r="J471" i="29"/>
  <c r="AH471" i="29" s="1"/>
  <c r="I247" i="29"/>
  <c r="I221" i="29"/>
  <c r="I114" i="29"/>
  <c r="J86" i="29"/>
  <c r="J338" i="29"/>
  <c r="J167" i="29"/>
  <c r="I379" i="29"/>
  <c r="J144" i="29"/>
  <c r="I443" i="29"/>
  <c r="J208" i="29"/>
  <c r="J504" i="29"/>
  <c r="J175" i="29"/>
  <c r="J113" i="29"/>
  <c r="I331" i="29"/>
  <c r="I33" i="29"/>
  <c r="J549" i="29"/>
  <c r="J561" i="29"/>
  <c r="I588" i="29"/>
  <c r="I522" i="29"/>
  <c r="J457" i="29"/>
  <c r="J403" i="29"/>
  <c r="J281" i="29"/>
  <c r="I575" i="29"/>
  <c r="I500" i="29"/>
  <c r="J428" i="29"/>
  <c r="I415" i="29"/>
  <c r="J612" i="29"/>
  <c r="I509" i="29"/>
  <c r="AG509" i="29" s="1"/>
  <c r="J456" i="29"/>
  <c r="J439" i="29"/>
  <c r="J582" i="29"/>
  <c r="J483" i="29"/>
  <c r="I448" i="29"/>
  <c r="J365" i="29"/>
  <c r="I367" i="29"/>
  <c r="J287" i="29"/>
  <c r="I167" i="29"/>
  <c r="I153" i="29"/>
  <c r="J627" i="29"/>
  <c r="AH627" i="29" s="1"/>
  <c r="J551" i="29"/>
  <c r="J470" i="29"/>
  <c r="J447" i="29"/>
  <c r="J335" i="29"/>
  <c r="I270" i="29"/>
  <c r="I218" i="29"/>
  <c r="I124" i="29"/>
  <c r="J48" i="29"/>
  <c r="J478" i="29"/>
  <c r="I301" i="29"/>
  <c r="J207" i="29"/>
  <c r="J163" i="29"/>
  <c r="I610" i="29"/>
  <c r="I394" i="29"/>
  <c r="J294" i="29"/>
  <c r="I178" i="29"/>
  <c r="J82" i="29"/>
  <c r="J570" i="29"/>
  <c r="J341" i="29"/>
  <c r="J241" i="29"/>
  <c r="I188" i="29"/>
  <c r="J174" i="29"/>
  <c r="J533" i="29"/>
  <c r="J344" i="29"/>
  <c r="I249" i="29"/>
  <c r="I563" i="29"/>
  <c r="I396" i="29"/>
  <c r="J246" i="29"/>
  <c r="AH246" i="29" s="1"/>
  <c r="I181" i="29"/>
  <c r="J122" i="29"/>
  <c r="J103" i="29"/>
  <c r="I356" i="29"/>
  <c r="J128" i="29"/>
  <c r="I377" i="29"/>
  <c r="I126" i="29"/>
  <c r="J420" i="29"/>
  <c r="J213" i="29"/>
  <c r="X213" i="29" s="1"/>
  <c r="Y213" i="29" s="1"/>
  <c r="J539" i="29"/>
  <c r="J139" i="29"/>
  <c r="J54" i="29"/>
  <c r="J301" i="29"/>
  <c r="I41" i="29"/>
  <c r="J576" i="29"/>
  <c r="I564" i="29"/>
  <c r="J603" i="29"/>
  <c r="J513" i="29"/>
  <c r="I449" i="29"/>
  <c r="J371" i="29"/>
  <c r="I309" i="29"/>
  <c r="I561" i="29"/>
  <c r="J499" i="29"/>
  <c r="J463" i="29"/>
  <c r="J378" i="29"/>
  <c r="I571" i="29"/>
  <c r="I496" i="29"/>
  <c r="J424" i="29"/>
  <c r="J406" i="29"/>
  <c r="J560" i="29"/>
  <c r="I487" i="29"/>
  <c r="I416" i="29"/>
  <c r="I369" i="29"/>
  <c r="I311" i="29"/>
  <c r="J251" i="29"/>
  <c r="I166" i="29"/>
  <c r="I121" i="29"/>
  <c r="J602" i="29"/>
  <c r="I516" i="29"/>
  <c r="I466" i="29"/>
  <c r="J396" i="29"/>
  <c r="J362" i="29"/>
  <c r="J292" i="29"/>
  <c r="I186" i="29"/>
  <c r="J155" i="29"/>
  <c r="J51" i="29"/>
  <c r="I418" i="29"/>
  <c r="I347" i="29"/>
  <c r="AG347" i="29" s="1"/>
  <c r="I211" i="29"/>
  <c r="J150" i="29"/>
  <c r="J592" i="29"/>
  <c r="I409" i="29"/>
  <c r="I263" i="29"/>
  <c r="J201" i="29"/>
  <c r="J153" i="29"/>
  <c r="J545" i="29"/>
  <c r="J352" i="29"/>
  <c r="I253" i="29"/>
  <c r="J181" i="29"/>
  <c r="J92" i="29"/>
  <c r="J555" i="29"/>
  <c r="I332" i="29"/>
  <c r="J256" i="29"/>
  <c r="I553" i="29"/>
  <c r="J415" i="29"/>
  <c r="I254" i="29"/>
  <c r="J200" i="29"/>
  <c r="J166" i="29"/>
  <c r="J151" i="29"/>
  <c r="J402" i="29"/>
  <c r="I118" i="29"/>
  <c r="J494" i="29"/>
  <c r="I180" i="29"/>
  <c r="J462" i="29"/>
  <c r="J214" i="29"/>
  <c r="I574" i="29"/>
  <c r="I572" i="29"/>
  <c r="J53" i="29"/>
  <c r="I158" i="29"/>
  <c r="I461" i="29"/>
  <c r="I605" i="29"/>
  <c r="J32" i="29"/>
  <c r="J604" i="29"/>
  <c r="I593" i="29"/>
  <c r="J503" i="29"/>
  <c r="I408" i="29"/>
  <c r="I361" i="29"/>
  <c r="I303" i="29"/>
  <c r="J544" i="29"/>
  <c r="I476" i="29"/>
  <c r="J401" i="29"/>
  <c r="AH401" i="29" s="1"/>
  <c r="I15" i="29"/>
  <c r="I541" i="29"/>
  <c r="I481" i="29"/>
  <c r="I370" i="29"/>
  <c r="I52" i="29"/>
  <c r="I569" i="29"/>
  <c r="J482" i="29"/>
  <c r="I401" i="29"/>
  <c r="I312" i="29"/>
  <c r="J258" i="29"/>
  <c r="J198" i="29"/>
  <c r="I160" i="29"/>
  <c r="J84" i="29"/>
  <c r="J579" i="29"/>
  <c r="J493" i="29"/>
  <c r="I421" i="29"/>
  <c r="I387" i="29"/>
  <c r="I281" i="29"/>
  <c r="J240" i="29"/>
  <c r="J192" i="29"/>
  <c r="J98" i="29"/>
  <c r="J595" i="29"/>
  <c r="J417" i="29"/>
  <c r="I231" i="29"/>
  <c r="I213" i="29"/>
  <c r="J154" i="29"/>
  <c r="I508" i="29"/>
  <c r="J368" i="29"/>
  <c r="I265" i="29"/>
  <c r="J197" i="29"/>
  <c r="J96" i="29"/>
  <c r="J490" i="29"/>
  <c r="I359" i="29"/>
  <c r="J238" i="29"/>
  <c r="I120" i="29"/>
  <c r="I53" i="29"/>
  <c r="J446" i="29"/>
  <c r="J308" i="29"/>
  <c r="I227" i="29"/>
  <c r="I488" i="29"/>
  <c r="J327" i="29"/>
  <c r="I272" i="29"/>
  <c r="J189" i="29"/>
  <c r="J29" i="29"/>
  <c r="I217" i="29"/>
  <c r="J518" i="29"/>
  <c r="I38" i="29"/>
  <c r="J203" i="29"/>
  <c r="J591" i="29"/>
  <c r="I260" i="29"/>
  <c r="AG260" i="29" s="1"/>
  <c r="J171" i="29"/>
  <c r="I296" i="29"/>
  <c r="J313" i="29"/>
  <c r="I183" i="29"/>
  <c r="I591" i="29"/>
  <c r="J590" i="29"/>
  <c r="I538" i="29"/>
  <c r="I462" i="29"/>
  <c r="I329" i="29"/>
  <c r="I581" i="29"/>
  <c r="I493" i="29"/>
  <c r="J407" i="29"/>
  <c r="AH407" i="29" s="1"/>
  <c r="J562" i="29"/>
  <c r="J484" i="29"/>
  <c r="J345" i="29"/>
  <c r="J525" i="29"/>
  <c r="I439" i="29"/>
  <c r="J366" i="29"/>
  <c r="J244" i="29"/>
  <c r="I128" i="29"/>
  <c r="I69" i="29"/>
  <c r="J517" i="29"/>
  <c r="I431" i="29"/>
  <c r="J285" i="29"/>
  <c r="J247" i="29"/>
  <c r="J126" i="29"/>
  <c r="J532" i="29"/>
  <c r="J307" i="29"/>
  <c r="J184" i="29"/>
  <c r="J141" i="29"/>
  <c r="I352" i="29"/>
  <c r="J199" i="29"/>
  <c r="I77" i="29"/>
  <c r="I378" i="29"/>
  <c r="I244" i="29"/>
  <c r="I169" i="29"/>
  <c r="I491" i="29"/>
  <c r="I283" i="29"/>
  <c r="J554" i="29"/>
  <c r="J305" i="29"/>
  <c r="I202" i="29"/>
  <c r="I30" i="29"/>
  <c r="I235" i="29"/>
  <c r="J317" i="29"/>
  <c r="I62" i="29"/>
  <c r="J333" i="29"/>
  <c r="J323" i="29"/>
  <c r="J249" i="29"/>
  <c r="I55" i="29"/>
  <c r="J243" i="29"/>
  <c r="J565" i="29"/>
  <c r="I580" i="29"/>
  <c r="I590" i="29"/>
  <c r="J502" i="29"/>
  <c r="J356" i="29"/>
  <c r="I608" i="29"/>
  <c r="I517" i="29"/>
  <c r="I459" i="29"/>
  <c r="J583" i="29"/>
  <c r="J454" i="29"/>
  <c r="I349" i="29"/>
  <c r="I519" i="29"/>
  <c r="I390" i="29"/>
  <c r="J334" i="29"/>
  <c r="J227" i="29"/>
  <c r="J159" i="29"/>
  <c r="J44" i="29"/>
  <c r="J492" i="29"/>
  <c r="I386" i="29"/>
  <c r="J321" i="29"/>
  <c r="J223" i="29"/>
  <c r="J91" i="29"/>
  <c r="J526" i="29"/>
  <c r="I299" i="29"/>
  <c r="I208" i="29"/>
  <c r="J596" i="29"/>
  <c r="J355" i="29"/>
  <c r="I195" i="29"/>
  <c r="W195" i="29" s="1"/>
  <c r="J56" i="29"/>
  <c r="I405" i="29"/>
  <c r="AG405" i="29" s="1"/>
  <c r="J267" i="29"/>
  <c r="J78" i="29"/>
  <c r="J476" i="29"/>
  <c r="J278" i="29"/>
  <c r="I531" i="29"/>
  <c r="I335" i="29"/>
  <c r="I216" i="29"/>
  <c r="I87" i="29"/>
  <c r="I295" i="29"/>
  <c r="I297" i="29"/>
  <c r="I46" i="29"/>
  <c r="I305" i="29"/>
  <c r="AG305" i="29" s="1"/>
  <c r="J373" i="29"/>
  <c r="J252" i="29"/>
  <c r="J34" i="29"/>
  <c r="I318" i="29"/>
  <c r="I568" i="29"/>
  <c r="I551" i="29"/>
  <c r="I540" i="29"/>
  <c r="J436" i="29"/>
  <c r="I368" i="29"/>
  <c r="I546" i="29"/>
  <c r="I463" i="29"/>
  <c r="J395" i="29"/>
  <c r="J540" i="29"/>
  <c r="I442" i="29"/>
  <c r="I317" i="29"/>
  <c r="J510" i="29"/>
  <c r="J425" i="29"/>
  <c r="I327" i="29"/>
  <c r="I238" i="29"/>
  <c r="J127" i="29"/>
  <c r="J601" i="29"/>
  <c r="I513" i="29"/>
  <c r="J414" i="29"/>
  <c r="I330" i="29"/>
  <c r="I237" i="29"/>
  <c r="I135" i="29"/>
  <c r="J537" i="29"/>
  <c r="J302" i="29"/>
  <c r="J187" i="29"/>
  <c r="I557" i="29"/>
  <c r="J311" i="29"/>
  <c r="I205" i="29"/>
  <c r="I98" i="29"/>
  <c r="J376" i="29"/>
  <c r="I230" i="29"/>
  <c r="J129" i="29"/>
  <c r="I467" i="29"/>
  <c r="I255" i="29"/>
  <c r="AG255" i="29" s="1"/>
  <c r="J527" i="29"/>
  <c r="I363" i="29"/>
  <c r="I176" i="29"/>
  <c r="J125" i="29"/>
  <c r="J434" i="29"/>
  <c r="I83" i="29"/>
  <c r="J346" i="29"/>
  <c r="J315" i="29"/>
  <c r="I22" i="29"/>
  <c r="J383" i="29"/>
  <c r="J83" i="29"/>
  <c r="I104" i="29"/>
  <c r="I292" i="29"/>
  <c r="J571" i="29"/>
  <c r="I550" i="29"/>
  <c r="J546" i="29"/>
  <c r="J404" i="29"/>
  <c r="I336" i="29"/>
  <c r="I573" i="29"/>
  <c r="I486" i="29"/>
  <c r="J349" i="29"/>
  <c r="I528" i="29"/>
  <c r="I410" i="29"/>
  <c r="J170" i="29"/>
  <c r="J521" i="29"/>
  <c r="J385" i="29"/>
  <c r="J289" i="29"/>
  <c r="I207" i="29"/>
  <c r="I133" i="29"/>
  <c r="J585" i="29"/>
  <c r="I559" i="29"/>
  <c r="I435" i="29"/>
  <c r="I323" i="29"/>
  <c r="I203" i="29"/>
  <c r="J66" i="29"/>
  <c r="J501" i="29"/>
  <c r="I288" i="29"/>
  <c r="I154" i="29"/>
  <c r="I552" i="29"/>
  <c r="I339" i="29"/>
  <c r="J216" i="29"/>
  <c r="I34" i="29"/>
  <c r="I348" i="29"/>
  <c r="I191" i="29"/>
  <c r="I137" i="29"/>
  <c r="J441" i="29"/>
  <c r="J262" i="29"/>
  <c r="J509" i="29"/>
  <c r="I315" i="29"/>
  <c r="I170" i="29"/>
  <c r="J41" i="29"/>
  <c r="I452" i="29"/>
  <c r="J49" i="29"/>
  <c r="I474" i="29"/>
  <c r="J340" i="29"/>
  <c r="J93" i="29"/>
  <c r="J393" i="29"/>
  <c r="J42" i="29"/>
  <c r="J158" i="29"/>
  <c r="J485" i="29"/>
  <c r="I72" i="29"/>
  <c r="J40" i="29"/>
  <c r="I611" i="29"/>
  <c r="J512" i="29"/>
  <c r="I393" i="29"/>
  <c r="J316" i="29"/>
  <c r="I504" i="29"/>
  <c r="J459" i="29"/>
  <c r="I21" i="29"/>
  <c r="J495" i="29"/>
  <c r="J413" i="29"/>
  <c r="J584" i="29"/>
  <c r="J474" i="29"/>
  <c r="J379" i="29"/>
  <c r="I243" i="29"/>
  <c r="I201" i="29"/>
  <c r="I89" i="29"/>
  <c r="J553" i="29"/>
  <c r="I426" i="29"/>
  <c r="J361" i="29"/>
  <c r="J261" i="29"/>
  <c r="I192" i="29"/>
  <c r="I85" i="29"/>
  <c r="I376" i="29"/>
  <c r="J232" i="29"/>
  <c r="J50" i="29"/>
  <c r="I494" i="29"/>
  <c r="J284" i="29"/>
  <c r="J183" i="29"/>
  <c r="J500" i="29"/>
  <c r="I346" i="29"/>
  <c r="I142" i="29"/>
  <c r="I100" i="29"/>
  <c r="J387" i="29"/>
  <c r="I187" i="29"/>
  <c r="J416" i="29"/>
  <c r="J248" i="29"/>
  <c r="J115" i="29"/>
  <c r="I159" i="29"/>
  <c r="J188" i="29"/>
  <c r="J204" i="29"/>
  <c r="I138" i="29"/>
  <c r="I468" i="29"/>
  <c r="I589" i="29"/>
  <c r="J63" i="29"/>
  <c r="J516" i="29"/>
  <c r="J358" i="29"/>
  <c r="I514" i="29"/>
  <c r="I321" i="29"/>
  <c r="J479" i="29"/>
  <c r="J606" i="29"/>
  <c r="I470" i="29"/>
  <c r="W470" i="29" s="1"/>
  <c r="J339" i="29"/>
  <c r="I233" i="29"/>
  <c r="J17" i="29"/>
  <c r="J464" i="29"/>
  <c r="I372" i="29"/>
  <c r="I197" i="29"/>
  <c r="I627" i="29"/>
  <c r="AG627" i="29" s="1"/>
  <c r="I246" i="29"/>
  <c r="I147" i="29"/>
  <c r="J277" i="29"/>
  <c r="I132" i="29"/>
  <c r="I424" i="29"/>
  <c r="I193" i="29"/>
  <c r="AG193" i="29" s="1"/>
  <c r="J567" i="29"/>
  <c r="J263" i="29"/>
  <c r="J336" i="29"/>
  <c r="I148" i="29"/>
  <c r="I223" i="29"/>
  <c r="I155" i="29"/>
  <c r="J487" i="29"/>
  <c r="J219" i="29"/>
  <c r="I204" i="29"/>
  <c r="J529" i="29"/>
  <c r="I110" i="29"/>
  <c r="I40" i="29"/>
  <c r="I50" i="29"/>
  <c r="I31" i="29"/>
  <c r="I382" i="29"/>
  <c r="AG382" i="29" s="1"/>
  <c r="I446" i="29"/>
  <c r="I425" i="29"/>
  <c r="J168" i="29"/>
  <c r="J408" i="29"/>
  <c r="J218" i="29"/>
  <c r="I131" i="29"/>
  <c r="I141" i="29"/>
  <c r="J269" i="29"/>
  <c r="J182" i="29"/>
  <c r="I278" i="29"/>
  <c r="I13" i="29"/>
  <c r="I165" i="29"/>
  <c r="J409" i="29"/>
  <c r="I612" i="29"/>
  <c r="I451" i="29"/>
  <c r="J578" i="29"/>
  <c r="J286" i="29"/>
  <c r="J178" i="29"/>
  <c r="I76" i="29"/>
  <c r="J372" i="29"/>
  <c r="I533" i="29"/>
  <c r="AG533" i="29" s="1"/>
  <c r="I276" i="29"/>
  <c r="I86" i="29"/>
  <c r="J57" i="29"/>
  <c r="J133" i="29"/>
  <c r="J377" i="29"/>
  <c r="J607" i="29"/>
  <c r="J400" i="29"/>
  <c r="J558" i="29"/>
  <c r="J164" i="29"/>
  <c r="I194" i="29"/>
  <c r="I598" i="29"/>
  <c r="J13" i="29"/>
  <c r="AH13" i="29" s="1"/>
  <c r="I119" i="29"/>
  <c r="J557" i="29"/>
  <c r="J118" i="29"/>
  <c r="I596" i="29"/>
  <c r="J542" i="29"/>
  <c r="I48" i="29"/>
  <c r="I106" i="29"/>
  <c r="I535" i="29"/>
  <c r="J600" i="29"/>
  <c r="I74" i="29"/>
  <c r="I471" i="29"/>
  <c r="AG471" i="29" s="1"/>
  <c r="I277" i="29"/>
  <c r="I506" i="29"/>
  <c r="J348" i="29"/>
  <c r="I479" i="29"/>
  <c r="J605" i="29"/>
  <c r="J442" i="29"/>
  <c r="J329" i="29"/>
  <c r="J228" i="29"/>
  <c r="J33" i="29"/>
  <c r="I458" i="29"/>
  <c r="J330" i="29"/>
  <c r="J224" i="29"/>
  <c r="J577" i="29"/>
  <c r="J253" i="29"/>
  <c r="I93" i="29"/>
  <c r="I293" i="29"/>
  <c r="J147" i="29"/>
  <c r="J351" i="29"/>
  <c r="J195" i="29"/>
  <c r="J508" i="29"/>
  <c r="J230" i="29"/>
  <c r="I324" i="29"/>
  <c r="J172" i="29"/>
  <c r="J295" i="29"/>
  <c r="I157" i="29"/>
  <c r="J511" i="29"/>
  <c r="I268" i="29"/>
  <c r="J220" i="29"/>
  <c r="I492" i="29"/>
  <c r="I32" i="29"/>
  <c r="J39" i="29"/>
  <c r="I35" i="29"/>
  <c r="J586" i="29"/>
  <c r="I65" i="29"/>
  <c r="I632" i="29"/>
  <c r="I490" i="29"/>
  <c r="I457" i="29"/>
  <c r="J161" i="29"/>
  <c r="J440" i="29"/>
  <c r="I162" i="29"/>
  <c r="I264" i="29"/>
  <c r="I282" i="29"/>
  <c r="I289" i="29"/>
  <c r="J443" i="29"/>
  <c r="J310" i="29"/>
  <c r="I450" i="29"/>
  <c r="J303" i="29"/>
  <c r="J593" i="29"/>
  <c r="J45" i="29"/>
  <c r="I565" i="29"/>
  <c r="I92" i="29"/>
  <c r="I562" i="29"/>
  <c r="I570" i="29"/>
  <c r="I429" i="29"/>
  <c r="W429" i="29" s="1"/>
  <c r="AA429" i="29" s="1"/>
  <c r="J245" i="29"/>
  <c r="I389" i="29"/>
  <c r="W389" i="29" s="1"/>
  <c r="AA389" i="29" s="1"/>
  <c r="J477" i="29"/>
  <c r="I343" i="29"/>
  <c r="J563" i="29"/>
  <c r="I414" i="29"/>
  <c r="I428" i="29"/>
  <c r="I274" i="29"/>
  <c r="I444" i="29"/>
  <c r="I456" i="29"/>
  <c r="J264" i="29"/>
  <c r="J87" i="29"/>
  <c r="I284" i="29"/>
  <c r="I310" i="29"/>
  <c r="J475" i="29"/>
  <c r="J31" i="29"/>
  <c r="I242" i="29"/>
  <c r="J60" i="29"/>
  <c r="I175" i="29"/>
  <c r="I599" i="29"/>
  <c r="I432" i="29"/>
  <c r="I402" i="29"/>
  <c r="J265" i="29"/>
  <c r="I384" i="29"/>
  <c r="I116" i="29"/>
  <c r="J564" i="29"/>
  <c r="J587" i="29"/>
  <c r="G622" i="29"/>
  <c r="J466" i="29"/>
  <c r="I322" i="29"/>
  <c r="J480" i="29"/>
  <c r="J28" i="29"/>
  <c r="I472" i="29"/>
  <c r="J589" i="29"/>
  <c r="I430" i="29"/>
  <c r="I285" i="29"/>
  <c r="J196" i="29"/>
  <c r="J608" i="29"/>
  <c r="J461" i="29"/>
  <c r="J320" i="29"/>
  <c r="I224" i="29"/>
  <c r="I547" i="29"/>
  <c r="J273" i="29"/>
  <c r="J104" i="29"/>
  <c r="I308" i="29"/>
  <c r="J142" i="29"/>
  <c r="J354" i="29"/>
  <c r="J152" i="29"/>
  <c r="J432" i="29"/>
  <c r="J202" i="29"/>
  <c r="J342" i="29"/>
  <c r="AH342" i="29" s="1"/>
  <c r="J131" i="29"/>
  <c r="J268" i="29"/>
  <c r="J94" i="29"/>
  <c r="I549" i="29"/>
  <c r="I269" i="29"/>
  <c r="J229" i="29"/>
  <c r="J538" i="29"/>
  <c r="I70" i="29"/>
  <c r="I24" i="29"/>
  <c r="I66" i="29"/>
  <c r="I23" i="29"/>
  <c r="W23" i="29" s="1"/>
  <c r="AA23" i="29" s="1"/>
  <c r="J626" i="29"/>
  <c r="AH626" i="29" s="1"/>
  <c r="I460" i="29"/>
  <c r="I275" i="29"/>
  <c r="I524" i="29"/>
  <c r="I234" i="29"/>
  <c r="I161" i="29"/>
  <c r="I626" i="29"/>
  <c r="AG626" i="29" s="1"/>
  <c r="K636" i="29" s="1"/>
  <c r="I56" i="29"/>
  <c r="J24" i="29"/>
  <c r="I595" i="29"/>
  <c r="I548" i="29"/>
  <c r="J136" i="29"/>
  <c r="J157" i="29"/>
  <c r="J514" i="29"/>
  <c r="I287" i="29"/>
  <c r="J119" i="29"/>
  <c r="J81" i="29"/>
  <c r="I60" i="29"/>
  <c r="I84" i="29"/>
  <c r="I107" i="29"/>
  <c r="I606" i="29"/>
  <c r="J455" i="29"/>
  <c r="J95" i="29"/>
  <c r="I271" i="29"/>
  <c r="I503" i="29"/>
  <c r="J282" i="29"/>
  <c r="I350" i="29"/>
  <c r="I302" i="29"/>
  <c r="I290" i="29"/>
  <c r="J26" i="29"/>
  <c r="I613" i="29"/>
  <c r="J528" i="29"/>
  <c r="I143" i="29"/>
  <c r="J21" i="29"/>
  <c r="J610" i="29"/>
  <c r="I566" i="29"/>
  <c r="I576" i="29"/>
  <c r="I440" i="29"/>
  <c r="I351" i="29"/>
  <c r="I480" i="29"/>
  <c r="I79" i="29"/>
  <c r="I505" i="29"/>
  <c r="J588" i="29"/>
  <c r="J467" i="29"/>
  <c r="I279" i="29"/>
  <c r="I134" i="29"/>
  <c r="J611" i="29"/>
  <c r="I453" i="29"/>
  <c r="I362" i="29"/>
  <c r="AG362" i="29" s="1"/>
  <c r="I163" i="29"/>
  <c r="J552" i="29"/>
  <c r="J300" i="29"/>
  <c r="J64" i="29"/>
  <c r="J270" i="29"/>
  <c r="J138" i="29"/>
  <c r="J337" i="29"/>
  <c r="I168" i="29"/>
  <c r="I420" i="29"/>
  <c r="I210" i="29"/>
  <c r="J325" i="29"/>
  <c r="J75" i="29"/>
  <c r="J275" i="29"/>
  <c r="I172" i="29"/>
  <c r="J599" i="29"/>
  <c r="I258" i="29"/>
  <c r="J222" i="29"/>
  <c r="I586" i="29"/>
  <c r="I16" i="29"/>
  <c r="I68" i="29"/>
  <c r="I27" i="29"/>
  <c r="J22" i="29"/>
  <c r="I530" i="29"/>
  <c r="I423" i="29"/>
  <c r="J458" i="29"/>
  <c r="I583" i="29"/>
  <c r="J290" i="29"/>
  <c r="J575" i="29"/>
  <c r="I307" i="29"/>
  <c r="J491" i="29"/>
  <c r="I14" i="29"/>
  <c r="J101" i="29"/>
  <c r="J143" i="29"/>
  <c r="J234" i="29"/>
  <c r="AH234" i="29" s="1"/>
  <c r="J106" i="29"/>
  <c r="I225" i="29"/>
  <c r="I63" i="29"/>
  <c r="J235" i="29"/>
  <c r="I19" i="29"/>
  <c r="I112" i="29"/>
  <c r="I57" i="29"/>
  <c r="J16" i="29"/>
  <c r="I602" i="29"/>
  <c r="I280" i="29"/>
  <c r="I130" i="29"/>
  <c r="I304" i="29"/>
  <c r="I101" i="29"/>
  <c r="I54" i="29"/>
  <c r="I189" i="29"/>
  <c r="I144" i="29"/>
  <c r="J556" i="29"/>
  <c r="J449" i="29"/>
  <c r="I529" i="29"/>
  <c r="I412" i="29"/>
  <c r="I419" i="29"/>
  <c r="I314" i="29"/>
  <c r="J347" i="29"/>
  <c r="J72" i="29"/>
  <c r="J43" i="29"/>
  <c r="I111" i="29"/>
  <c r="J435" i="29"/>
  <c r="J559" i="29"/>
  <c r="I447" i="29"/>
  <c r="AG447" i="29" s="1"/>
  <c r="I182" i="29"/>
  <c r="J566" i="29"/>
  <c r="J331" i="29"/>
  <c r="I539" i="29"/>
  <c r="J473" i="29"/>
  <c r="I190" i="29"/>
  <c r="I465" i="29"/>
  <c r="J123" i="29"/>
  <c r="J209" i="29"/>
  <c r="I256" i="29"/>
  <c r="I259" i="29"/>
  <c r="J350" i="29"/>
  <c r="J296" i="29"/>
  <c r="J110" i="29"/>
  <c r="I88" i="29"/>
  <c r="J274" i="29"/>
  <c r="J15" i="29"/>
  <c r="J23" i="29"/>
  <c r="I43" i="29"/>
  <c r="I398" i="29"/>
  <c r="I543" i="29"/>
  <c r="J522" i="29"/>
  <c r="I123" i="29"/>
  <c r="J85" i="29"/>
  <c r="I200" i="29"/>
  <c r="I338" i="29"/>
  <c r="I341" i="29"/>
  <c r="I99" i="29"/>
  <c r="J488" i="29"/>
  <c r="J411" i="29"/>
  <c r="I117" i="29"/>
  <c r="I214" i="29"/>
  <c r="J429" i="29"/>
  <c r="J61" i="29"/>
  <c r="J465" i="29"/>
  <c r="I523" i="29"/>
  <c r="I381" i="29"/>
  <c r="J65" i="29"/>
  <c r="J360" i="29"/>
  <c r="J109" i="29"/>
  <c r="J156" i="29"/>
  <c r="I240" i="29"/>
  <c r="J140" i="29"/>
  <c r="I267" i="29"/>
  <c r="I433" i="29"/>
  <c r="J73" i="29"/>
  <c r="J35" i="29"/>
  <c r="I609" i="29"/>
  <c r="I44" i="29"/>
  <c r="J380" i="29"/>
  <c r="J598" i="29"/>
  <c r="I400" i="29"/>
  <c r="I525" i="29"/>
  <c r="J370" i="29"/>
  <c r="I518" i="29"/>
  <c r="J100" i="29"/>
  <c r="I59" i="29"/>
  <c r="I567" i="29"/>
  <c r="J359" i="29"/>
  <c r="I558" i="29"/>
  <c r="J548" i="29"/>
  <c r="J530" i="29"/>
  <c r="I469" i="29"/>
  <c r="J221" i="29"/>
  <c r="I407" i="29"/>
  <c r="AG407" i="29" s="1"/>
  <c r="J137" i="29"/>
  <c r="I173" i="29"/>
  <c r="J271" i="29"/>
  <c r="J266" i="29"/>
  <c r="J328" i="29"/>
  <c r="J255" i="29"/>
  <c r="I125" i="29"/>
  <c r="I313" i="29"/>
  <c r="J55" i="29"/>
  <c r="I95" i="29"/>
  <c r="J211" i="29"/>
  <c r="I499" i="29"/>
  <c r="I365" i="29"/>
  <c r="I262" i="29"/>
  <c r="I355" i="29"/>
  <c r="J19" i="29"/>
  <c r="J507" i="29"/>
  <c r="J397" i="29"/>
  <c r="J52" i="29"/>
  <c r="I102" i="29"/>
  <c r="J90" i="29"/>
  <c r="I298" i="29"/>
  <c r="I122" i="29"/>
  <c r="J433" i="29"/>
  <c r="J364" i="29"/>
  <c r="J389" i="29"/>
  <c r="I51" i="29"/>
  <c r="J291" i="29"/>
  <c r="I71" i="29"/>
  <c r="I26" i="29"/>
  <c r="J14" i="29"/>
  <c r="I383" i="29"/>
  <c r="J437" i="29"/>
  <c r="J519" i="29"/>
  <c r="I325" i="29"/>
  <c r="J77" i="29"/>
  <c r="X77" i="29" s="1"/>
  <c r="Y77" i="29" s="1"/>
  <c r="I139" i="29"/>
  <c r="J121" i="29"/>
  <c r="I127" i="29"/>
  <c r="I261" i="29"/>
  <c r="J388" i="29"/>
  <c r="I445" i="29"/>
  <c r="J114" i="29"/>
  <c r="J609" i="29"/>
  <c r="J384" i="29"/>
  <c r="I527" i="29"/>
  <c r="I273" i="29"/>
  <c r="J531" i="29"/>
  <c r="J280" i="29"/>
  <c r="J421" i="29"/>
  <c r="J450" i="29"/>
  <c r="I594" i="29"/>
  <c r="J169" i="29"/>
  <c r="J134" i="29"/>
  <c r="I136" i="29"/>
  <c r="I212" i="29"/>
  <c r="I604" i="29"/>
  <c r="I353" i="29"/>
  <c r="I520" i="29"/>
  <c r="I483" i="29"/>
  <c r="J217" i="29"/>
  <c r="J438" i="29"/>
  <c r="J453" i="29"/>
  <c r="J398" i="29"/>
  <c r="J193" i="29"/>
  <c r="J160" i="29"/>
  <c r="J27" i="29"/>
  <c r="I177" i="29"/>
  <c r="I585" i="29"/>
  <c r="J363" i="29"/>
  <c r="I222" i="29"/>
  <c r="J469" i="29"/>
  <c r="I229" i="29"/>
  <c r="I306" i="29"/>
  <c r="J448" i="29"/>
  <c r="J580" i="29"/>
  <c r="I345" i="29"/>
  <c r="J148" i="29"/>
  <c r="I150" i="29"/>
  <c r="I39" i="29"/>
  <c r="J536" i="29"/>
  <c r="I357" i="29"/>
  <c r="I526" i="29"/>
  <c r="J572" i="29"/>
  <c r="J550" i="29"/>
  <c r="J468" i="29"/>
  <c r="J102" i="29"/>
  <c r="J375" i="29"/>
  <c r="J146" i="29"/>
  <c r="J185" i="29"/>
  <c r="J231" i="29"/>
  <c r="J260" i="29"/>
  <c r="I354" i="29"/>
  <c r="J215" i="29"/>
  <c r="J205" i="29"/>
  <c r="J293" i="29"/>
  <c r="I358" i="29"/>
  <c r="J107" i="29"/>
  <c r="I146" i="29"/>
  <c r="I103" i="29"/>
  <c r="J506" i="29"/>
  <c r="I333" i="29"/>
  <c r="I174" i="29"/>
  <c r="I108" i="29"/>
  <c r="J535" i="29"/>
  <c r="I542" i="29"/>
  <c r="J25" i="29"/>
  <c r="J105" i="29"/>
  <c r="I36" i="29"/>
  <c r="J418" i="29"/>
  <c r="J613" i="29"/>
  <c r="I385" i="29"/>
  <c r="J233" i="29"/>
  <c r="I286" i="29"/>
  <c r="I495" i="29"/>
  <c r="I438" i="29"/>
  <c r="J523" i="29"/>
  <c r="I20" i="29"/>
  <c r="J357" i="29"/>
  <c r="I241" i="29"/>
  <c r="J319" i="29"/>
  <c r="I600" i="29"/>
  <c r="J180" i="29"/>
  <c r="I578" i="29"/>
  <c r="I413" i="29"/>
  <c r="J38" i="29"/>
  <c r="I392" i="29"/>
  <c r="I512" i="29"/>
  <c r="I532" i="29"/>
  <c r="J543" i="29"/>
  <c r="J568" i="29"/>
  <c r="J89" i="29"/>
  <c r="J423" i="29"/>
  <c r="J117" i="29"/>
  <c r="J173" i="29"/>
  <c r="J176" i="29"/>
  <c r="I300" i="29"/>
  <c r="J332" i="29"/>
  <c r="I219" i="29"/>
  <c r="J190" i="29"/>
  <c r="J343" i="29"/>
  <c r="J149" i="29"/>
  <c r="J489" i="29"/>
  <c r="I388" i="29"/>
  <c r="J390" i="29"/>
  <c r="J206" i="29"/>
  <c r="I179" i="29"/>
  <c r="J18" i="29"/>
  <c r="J79" i="29"/>
  <c r="I61" i="29"/>
  <c r="J534" i="29"/>
  <c r="J116" i="29"/>
  <c r="I151" i="29"/>
  <c r="J186" i="29"/>
  <c r="J59" i="29"/>
  <c r="I391" i="29"/>
  <c r="J165" i="29"/>
  <c r="I250" i="29"/>
  <c r="J71" i="29"/>
  <c r="I337" i="29"/>
  <c r="I58" i="29"/>
  <c r="I245" i="29"/>
  <c r="J108" i="29"/>
  <c r="I49" i="29"/>
  <c r="J410" i="29"/>
  <c r="J426" i="29"/>
  <c r="I96" i="29"/>
  <c r="I334" i="29"/>
  <c r="I507" i="29"/>
  <c r="I478" i="29"/>
  <c r="J37" i="29"/>
  <c r="I81" i="29"/>
  <c r="J47" i="29"/>
  <c r="J69" i="29"/>
  <c r="I603" i="29"/>
  <c r="J498" i="29"/>
  <c r="AH498" i="29" s="1"/>
  <c r="I374" i="29"/>
  <c r="I373" i="29"/>
  <c r="I257" i="29"/>
  <c r="I395" i="29"/>
  <c r="AG395" i="29" s="1"/>
  <c r="I473" i="29"/>
  <c r="I584" i="29"/>
  <c r="I489" i="29"/>
  <c r="I251" i="29"/>
  <c r="I82" i="29"/>
  <c r="J392" i="29"/>
  <c r="I344" i="29"/>
  <c r="J272" i="29"/>
  <c r="I498" i="29"/>
  <c r="I482" i="29"/>
  <c r="I501" i="29"/>
  <c r="J162" i="29"/>
  <c r="I28" i="29"/>
  <c r="I485" i="29"/>
  <c r="I75" i="29"/>
  <c r="J594" i="29"/>
  <c r="J422" i="29"/>
  <c r="J427" i="29"/>
  <c r="J374" i="29"/>
  <c r="I515" i="29"/>
  <c r="I248" i="29"/>
  <c r="I360" i="29"/>
  <c r="J520" i="29"/>
  <c r="I78" i="29"/>
  <c r="J120" i="29"/>
  <c r="I556" i="29"/>
  <c r="I149" i="29"/>
  <c r="J386" i="29"/>
  <c r="I316" i="29"/>
  <c r="J451" i="29"/>
  <c r="I47" i="29"/>
  <c r="J497" i="29"/>
  <c r="AH497" i="29" s="1"/>
  <c r="J353" i="29"/>
  <c r="I232" i="29"/>
  <c r="I80" i="29"/>
  <c r="V232" i="29"/>
  <c r="V381" i="29"/>
  <c r="V15" i="29"/>
  <c r="AO314" i="29"/>
  <c r="AO134" i="29"/>
  <c r="M107" i="29"/>
  <c r="M64" i="29"/>
  <c r="M30" i="29"/>
  <c r="M210" i="29"/>
  <c r="N153" i="29"/>
  <c r="AH153" i="29" s="1"/>
  <c r="M335" i="29"/>
  <c r="N331" i="29"/>
  <c r="M118" i="29"/>
  <c r="M252" i="29"/>
  <c r="W252" i="29" s="1"/>
  <c r="N42" i="29"/>
  <c r="N398" i="29"/>
  <c r="N80" i="29"/>
  <c r="N145" i="29"/>
  <c r="N256" i="29"/>
  <c r="N348" i="29"/>
  <c r="M33" i="29"/>
  <c r="N14" i="29"/>
  <c r="N318" i="29"/>
  <c r="M99" i="29"/>
  <c r="M152" i="29"/>
  <c r="M115" i="29"/>
  <c r="N347" i="29"/>
  <c r="X347" i="29" s="1"/>
  <c r="Y347" i="29" s="1"/>
  <c r="M348" i="29"/>
  <c r="AG348" i="29" s="1"/>
  <c r="N45" i="29"/>
  <c r="N73" i="29"/>
  <c r="V273" i="29"/>
  <c r="M547" i="29"/>
  <c r="AG547" i="29" s="1"/>
  <c r="N606" i="29"/>
  <c r="M391" i="29"/>
  <c r="M409" i="29"/>
  <c r="W409" i="29" s="1"/>
  <c r="M145" i="29"/>
  <c r="N437" i="29"/>
  <c r="M190" i="29"/>
  <c r="M135" i="29"/>
  <c r="M397" i="29"/>
  <c r="N260" i="29"/>
  <c r="AH260" i="29" s="1"/>
  <c r="M534" i="29"/>
  <c r="N499" i="29"/>
  <c r="N38" i="29"/>
  <c r="M119" i="29"/>
  <c r="N583" i="29"/>
  <c r="M57" i="29"/>
  <c r="N568" i="29"/>
  <c r="N138" i="29"/>
  <c r="M171" i="29"/>
  <c r="M584" i="29"/>
  <c r="M502" i="29"/>
  <c r="N604" i="29"/>
  <c r="AH604" i="29" s="1"/>
  <c r="N255" i="29"/>
  <c r="M150" i="29"/>
  <c r="N63" i="29"/>
  <c r="N201" i="29"/>
  <c r="AH201" i="29" s="1"/>
  <c r="M13" i="29"/>
  <c r="M468" i="29"/>
  <c r="AG468" i="29" s="1"/>
  <c r="U183" i="29"/>
  <c r="AO177" i="29"/>
  <c r="AO216" i="29"/>
  <c r="AO185" i="29"/>
  <c r="M42" i="29"/>
  <c r="N143" i="29"/>
  <c r="N113" i="29"/>
  <c r="N293" i="29"/>
  <c r="AH293" i="29" s="1"/>
  <c r="M85" i="29"/>
  <c r="M47" i="29"/>
  <c r="M351" i="29"/>
  <c r="N169" i="29"/>
  <c r="X169" i="29" s="1"/>
  <c r="Y169" i="29" s="1"/>
  <c r="N267" i="29"/>
  <c r="AH267" i="29" s="1"/>
  <c r="M86" i="29"/>
  <c r="M61" i="29"/>
  <c r="M128" i="29"/>
  <c r="M446" i="29"/>
  <c r="AG446" i="29" s="1"/>
  <c r="M80" i="29"/>
  <c r="N60" i="29"/>
  <c r="M125" i="29"/>
  <c r="M58" i="29"/>
  <c r="N19" i="29"/>
  <c r="N150" i="29"/>
  <c r="AH150" i="29" s="1"/>
  <c r="N199" i="29"/>
  <c r="M70" i="29"/>
  <c r="N59" i="29"/>
  <c r="M60" i="29"/>
  <c r="M214" i="29"/>
  <c r="N507" i="29"/>
  <c r="M527" i="29"/>
  <c r="N468" i="29"/>
  <c r="X468" i="29" s="1"/>
  <c r="Y468" i="29" s="1"/>
  <c r="N385" i="29"/>
  <c r="M433" i="29"/>
  <c r="N488" i="29"/>
  <c r="M514" i="29"/>
  <c r="M36" i="29"/>
  <c r="M266" i="29"/>
  <c r="M403" i="29"/>
  <c r="W403" i="29" s="1"/>
  <c r="AA403" i="29" s="1"/>
  <c r="M595" i="29"/>
  <c r="M592" i="29"/>
  <c r="M155" i="29"/>
  <c r="AG155" i="29" s="1"/>
  <c r="M102" i="29"/>
  <c r="M508" i="29"/>
  <c r="N383" i="29"/>
  <c r="N217" i="29"/>
  <c r="N261" i="29"/>
  <c r="N388" i="29"/>
  <c r="T624" i="29"/>
  <c r="N354" i="29"/>
  <c r="AH354" i="29" s="1"/>
  <c r="M485" i="29"/>
  <c r="N377" i="29"/>
  <c r="AH377" i="29" s="1"/>
  <c r="N472" i="29"/>
  <c r="M608" i="29"/>
  <c r="N588" i="29"/>
  <c r="M408" i="29"/>
  <c r="AG408" i="29" s="1"/>
  <c r="N601" i="29"/>
  <c r="M598" i="29"/>
  <c r="W598" i="29" s="1"/>
  <c r="AA598" i="29" s="1"/>
  <c r="N67" i="29"/>
  <c r="AO231" i="29"/>
  <c r="AO383" i="29"/>
  <c r="AO588" i="29"/>
  <c r="AO96" i="29"/>
  <c r="AO318" i="29"/>
  <c r="V348" i="29"/>
  <c r="AO338" i="29"/>
  <c r="AO427" i="29"/>
  <c r="AO610" i="29"/>
  <c r="AO145" i="29"/>
  <c r="AO309" i="29"/>
  <c r="AO323" i="29"/>
  <c r="U268" i="29"/>
  <c r="AO203" i="29"/>
  <c r="AO182" i="29"/>
  <c r="V119" i="29"/>
  <c r="U119" i="29"/>
  <c r="AO227" i="29"/>
  <c r="AO174" i="29"/>
  <c r="AO140" i="29"/>
  <c r="AO321" i="29"/>
  <c r="AO112" i="29"/>
  <c r="AO109" i="29"/>
  <c r="U436" i="29"/>
  <c r="AO525" i="29"/>
  <c r="U39" i="29"/>
  <c r="V39" i="29"/>
  <c r="AO66" i="29"/>
  <c r="AO198" i="29"/>
  <c r="AH5" i="25"/>
  <c r="N483" i="29"/>
  <c r="N587" i="29"/>
  <c r="AH587" i="29" s="1"/>
  <c r="N243" i="29"/>
  <c r="M281" i="29"/>
  <c r="N553" i="29"/>
  <c r="M89" i="29"/>
  <c r="M414" i="29"/>
  <c r="N100" i="29"/>
  <c r="N516" i="29"/>
  <c r="AH516" i="29" s="1"/>
  <c r="N344" i="29"/>
  <c r="M579" i="29"/>
  <c r="M551" i="29"/>
  <c r="M384" i="29"/>
  <c r="M357" i="29"/>
  <c r="N557" i="29"/>
  <c r="N466" i="29"/>
  <c r="N457" i="29"/>
  <c r="H329" i="25"/>
  <c r="I24" i="8" s="1"/>
  <c r="J24" i="8" s="1"/>
  <c r="I28" i="8"/>
  <c r="L52" i="1"/>
  <c r="L54" i="1" s="1"/>
  <c r="H31" i="8"/>
  <c r="H329" i="24"/>
  <c r="I23" i="8" s="1"/>
  <c r="J23" i="8" s="1"/>
  <c r="U21" i="29"/>
  <c r="AG21" i="29" s="1"/>
  <c r="V21" i="29"/>
  <c r="U232" i="29"/>
  <c r="U130" i="29"/>
  <c r="V501" i="29"/>
  <c r="U41" i="29"/>
  <c r="V41" i="29"/>
  <c r="U279" i="29"/>
  <c r="V598" i="29"/>
  <c r="V322" i="29"/>
  <c r="V258" i="29"/>
  <c r="U447" i="29"/>
  <c r="V442" i="29"/>
  <c r="U442" i="29"/>
  <c r="AG442" i="29" s="1"/>
  <c r="V401" i="29"/>
  <c r="X401" i="29" s="1"/>
  <c r="Y401" i="29" s="1"/>
  <c r="V468" i="29"/>
  <c r="V88" i="29"/>
  <c r="V311" i="29"/>
  <c r="U542" i="29"/>
  <c r="V495" i="29"/>
  <c r="V452" i="29"/>
  <c r="U510" i="29"/>
  <c r="W510" i="29" s="1"/>
  <c r="V280" i="29"/>
  <c r="V609" i="29"/>
  <c r="U604" i="29"/>
  <c r="V253" i="29"/>
  <c r="V334" i="29"/>
  <c r="U299" i="29"/>
  <c r="V466" i="29"/>
  <c r="U371" i="29"/>
  <c r="V435" i="29"/>
  <c r="V451" i="29"/>
  <c r="V576" i="29"/>
  <c r="AG394" i="29"/>
  <c r="V362" i="29"/>
  <c r="V226" i="29"/>
  <c r="AH226" i="29" s="1"/>
  <c r="U44" i="29"/>
  <c r="V497" i="29"/>
  <c r="V144" i="29"/>
  <c r="U568" i="29"/>
  <c r="U348" i="29"/>
  <c r="U402" i="29"/>
  <c r="U346" i="29"/>
  <c r="U429" i="29"/>
  <c r="V436" i="29"/>
  <c r="V504" i="29"/>
  <c r="V364" i="29"/>
  <c r="U446" i="29"/>
  <c r="M612" i="29"/>
  <c r="N492" i="29"/>
  <c r="M165" i="29"/>
  <c r="N463" i="29"/>
  <c r="N61" i="29"/>
  <c r="N193" i="29"/>
  <c r="M613" i="29"/>
  <c r="M29" i="29"/>
  <c r="M19" i="29"/>
  <c r="N230" i="29"/>
  <c r="N216" i="29"/>
  <c r="N251" i="29"/>
  <c r="N163" i="29"/>
  <c r="M473" i="29"/>
  <c r="M559" i="29"/>
  <c r="N40" i="29"/>
  <c r="N223" i="29"/>
  <c r="M449" i="29"/>
  <c r="N480" i="29"/>
  <c r="N511" i="29"/>
  <c r="N534" i="29"/>
  <c r="M556" i="29"/>
  <c r="AG556" i="29" s="1"/>
  <c r="M240" i="29"/>
  <c r="N506" i="29"/>
  <c r="N409" i="29"/>
  <c r="AH409" i="29" s="1"/>
  <c r="M465" i="29"/>
  <c r="W465" i="29" s="1"/>
  <c r="AA465" i="29" s="1"/>
  <c r="N394" i="29"/>
  <c r="AH394" i="29" s="1"/>
  <c r="M587" i="29"/>
  <c r="AG587" i="29" s="1"/>
  <c r="M431" i="29"/>
  <c r="M302" i="29"/>
  <c r="AG302" i="29" s="1"/>
  <c r="M353" i="29"/>
  <c r="AG353" i="29" s="1"/>
  <c r="M535" i="29"/>
  <c r="N212" i="29"/>
  <c r="M504" i="29"/>
  <c r="AG504" i="29" s="1"/>
  <c r="M83" i="29"/>
  <c r="M475" i="29"/>
  <c r="M71" i="29"/>
  <c r="M203" i="29"/>
  <c r="M392" i="29"/>
  <c r="N598" i="29"/>
  <c r="N465" i="29"/>
  <c r="AH465" i="29" s="1"/>
  <c r="N164" i="29"/>
  <c r="M247" i="29"/>
  <c r="M467" i="29"/>
  <c r="AG467" i="29" s="1"/>
  <c r="M569" i="29"/>
  <c r="M68" i="29"/>
  <c r="M183" i="29"/>
  <c r="N355" i="29"/>
  <c r="M358" i="29"/>
  <c r="M479" i="29"/>
  <c r="N26" i="29"/>
  <c r="N544" i="29"/>
  <c r="M498" i="29"/>
  <c r="M213" i="29"/>
  <c r="M317" i="29"/>
  <c r="M96" i="29"/>
  <c r="N315" i="29"/>
  <c r="AH315" i="29" s="1"/>
  <c r="N512" i="29"/>
  <c r="M149" i="29"/>
  <c r="N68" i="29"/>
  <c r="N311" i="29"/>
  <c r="N121" i="29"/>
  <c r="N224" i="29"/>
  <c r="M309" i="29"/>
  <c r="N586" i="29"/>
  <c r="N566" i="29"/>
  <c r="M591" i="29"/>
  <c r="N190" i="29"/>
  <c r="N610" i="29"/>
  <c r="N288" i="29"/>
  <c r="M333" i="29"/>
  <c r="M258" i="29"/>
  <c r="N530" i="29"/>
  <c r="M589" i="29"/>
  <c r="M558" i="29"/>
  <c r="N578" i="29"/>
  <c r="N493" i="29"/>
  <c r="M599" i="29"/>
  <c r="AG599" i="29" s="1"/>
  <c r="M441" i="29"/>
  <c r="BA53" i="24"/>
  <c r="N548" i="29"/>
  <c r="AH548" i="29" s="1"/>
  <c r="M590" i="29"/>
  <c r="N286" i="29"/>
  <c r="M410" i="29"/>
  <c r="N119" i="29"/>
  <c r="N547" i="29"/>
  <c r="N396" i="29"/>
  <c r="N58" i="29"/>
  <c r="M56" i="29"/>
  <c r="N363" i="29"/>
  <c r="N517" i="29"/>
  <c r="N529" i="29"/>
  <c r="X529" i="29" s="1"/>
  <c r="Y529" i="29" s="1"/>
  <c r="M376" i="29"/>
  <c r="N496" i="29"/>
  <c r="N591" i="29"/>
  <c r="N510" i="29"/>
  <c r="N475" i="29"/>
  <c r="N133" i="29"/>
  <c r="M196" i="29"/>
  <c r="N521" i="29"/>
  <c r="N600" i="29"/>
  <c r="M416" i="29"/>
  <c r="N390" i="29"/>
  <c r="M139" i="29"/>
  <c r="M51" i="29"/>
  <c r="N487" i="29"/>
  <c r="N307" i="29"/>
  <c r="M402" i="29"/>
  <c r="AG402" i="29" s="1"/>
  <c r="N391" i="29"/>
  <c r="N425" i="29"/>
  <c r="AH425" i="29" s="1"/>
  <c r="M540" i="29"/>
  <c r="M435" i="29"/>
  <c r="M250" i="29"/>
  <c r="N445" i="29"/>
  <c r="M437" i="29"/>
  <c r="M74" i="29"/>
  <c r="N438" i="29"/>
  <c r="N291" i="29"/>
  <c r="M544" i="29"/>
  <c r="N422" i="29"/>
  <c r="M267" i="29"/>
  <c r="M307" i="29"/>
  <c r="N372" i="29"/>
  <c r="M513" i="29"/>
  <c r="M237" i="29"/>
  <c r="M453" i="29"/>
  <c r="AG453" i="29" s="1"/>
  <c r="N520" i="29"/>
  <c r="M343" i="29"/>
  <c r="N442" i="29"/>
  <c r="M231" i="29"/>
  <c r="M65" i="29"/>
  <c r="N202" i="29"/>
  <c r="N268" i="29"/>
  <c r="M420" i="29"/>
  <c r="M277" i="29"/>
  <c r="M452" i="29"/>
  <c r="AG452" i="29" s="1"/>
  <c r="M134" i="29"/>
  <c r="M611" i="29"/>
  <c r="M580" i="29"/>
  <c r="M48" i="29"/>
  <c r="N349" i="29"/>
  <c r="N373" i="29"/>
  <c r="N122" i="29"/>
  <c r="N435" i="29"/>
  <c r="N222" i="29"/>
  <c r="N596" i="29"/>
  <c r="M25" i="29"/>
  <c r="M269" i="29"/>
  <c r="N514" i="29"/>
  <c r="N543" i="29"/>
  <c r="M53" i="29"/>
  <c r="M493" i="29"/>
  <c r="N148" i="29"/>
  <c r="N27" i="29"/>
  <c r="M296" i="29"/>
  <c r="AG296" i="29" s="1"/>
  <c r="N379" i="29"/>
  <c r="AH379" i="29" s="1"/>
  <c r="M216" i="29"/>
  <c r="M525" i="29"/>
  <c r="M404" i="29"/>
  <c r="M310" i="29"/>
  <c r="N441" i="29"/>
  <c r="M425" i="29"/>
  <c r="M40" i="29"/>
  <c r="M519" i="29"/>
  <c r="N518" i="29"/>
  <c r="AH518" i="29" s="1"/>
  <c r="M555" i="29"/>
  <c r="W555" i="29" s="1"/>
  <c r="AA555" i="29" s="1"/>
  <c r="M262" i="29"/>
  <c r="N495" i="29"/>
  <c r="M474" i="29"/>
  <c r="AG474" i="29" s="1"/>
  <c r="N417" i="29"/>
  <c r="M515" i="29"/>
  <c r="N116" i="29"/>
  <c r="N608" i="29"/>
  <c r="N358" i="29"/>
  <c r="N180" i="29"/>
  <c r="X180" i="29" s="1"/>
  <c r="Y180" i="29" s="1"/>
  <c r="N96" i="29"/>
  <c r="N523" i="29"/>
  <c r="AH523" i="29" s="1"/>
  <c r="N595" i="29"/>
  <c r="M531" i="29"/>
  <c r="N170" i="29"/>
  <c r="M496" i="29"/>
  <c r="M518" i="29"/>
  <c r="AG518" i="29" s="1"/>
  <c r="M563" i="29"/>
  <c r="M412" i="29"/>
  <c r="AG412" i="29" s="1"/>
  <c r="M263" i="29"/>
  <c r="W263" i="29" s="1"/>
  <c r="AA263" i="29" s="1"/>
  <c r="M35" i="29"/>
  <c r="N52" i="29"/>
  <c r="M552" i="29"/>
  <c r="M173" i="29"/>
  <c r="N552" i="29"/>
  <c r="X552" i="29" s="1"/>
  <c r="Y552" i="29" s="1"/>
  <c r="N527" i="29"/>
  <c r="N414" i="29"/>
  <c r="N443" i="29"/>
  <c r="M138" i="29"/>
  <c r="N400" i="29"/>
  <c r="M396" i="29"/>
  <c r="M164" i="29"/>
  <c r="AG164" i="29" s="1"/>
  <c r="N419" i="29"/>
  <c r="M221" i="29"/>
  <c r="N545" i="29"/>
  <c r="M548" i="29"/>
  <c r="AG548" i="29" s="1"/>
  <c r="N397" i="29"/>
  <c r="M411" i="29"/>
  <c r="AG411" i="29" s="1"/>
  <c r="M571" i="29"/>
  <c r="M507" i="29"/>
  <c r="N484" i="29"/>
  <c r="X484" i="29" s="1"/>
  <c r="Y484" i="29" s="1"/>
  <c r="R52" i="2"/>
  <c r="L13" i="1"/>
  <c r="K14" i="1" s="1"/>
  <c r="M202" i="29"/>
  <c r="N306" i="29"/>
  <c r="N456" i="29"/>
  <c r="AH456" i="29" s="1"/>
  <c r="N531" i="29"/>
  <c r="J106" i="23"/>
  <c r="K106" i="23" s="1"/>
  <c r="N597" i="29"/>
  <c r="N453" i="29"/>
  <c r="N428" i="29"/>
  <c r="N421" i="29"/>
  <c r="M495" i="29"/>
  <c r="M324" i="29"/>
  <c r="M301" i="29"/>
  <c r="G628" i="29"/>
  <c r="O628" i="29" s="1"/>
  <c r="N382" i="29"/>
  <c r="M550" i="29"/>
  <c r="M273" i="29"/>
  <c r="N298" i="29"/>
  <c r="N364" i="29"/>
  <c r="M308" i="29"/>
  <c r="M605" i="29"/>
  <c r="M151" i="29"/>
  <c r="N450" i="29"/>
  <c r="N405" i="29"/>
  <c r="M106" i="29"/>
  <c r="AG106" i="29" s="1"/>
  <c r="N458" i="29"/>
  <c r="N64" i="29"/>
  <c r="M596" i="29"/>
  <c r="AG596" i="29" s="1"/>
  <c r="N451" i="29"/>
  <c r="AH451" i="29" s="1"/>
  <c r="N555" i="29"/>
  <c r="M379" i="29"/>
  <c r="AG379" i="29" s="1"/>
  <c r="M229" i="29"/>
  <c r="M421" i="29"/>
  <c r="N356" i="29"/>
  <c r="M390" i="29"/>
  <c r="N584" i="29"/>
  <c r="N561" i="29"/>
  <c r="M101" i="29"/>
  <c r="N541" i="29"/>
  <c r="N266" i="29"/>
  <c r="M424" i="29"/>
  <c r="N501" i="29"/>
  <c r="AH501" i="29" s="1"/>
  <c r="N51" i="29"/>
  <c r="M369" i="29"/>
  <c r="M564" i="29"/>
  <c r="N374" i="29"/>
  <c r="M457" i="29"/>
  <c r="M448" i="29"/>
  <c r="N367" i="29"/>
  <c r="M109" i="29"/>
  <c r="N345" i="29"/>
  <c r="N436" i="29"/>
  <c r="X436" i="29" s="1"/>
  <c r="Y436" i="29" s="1"/>
  <c r="N410" i="29"/>
  <c r="N262" i="29"/>
  <c r="N304" i="29"/>
  <c r="N191" i="29"/>
  <c r="N99" i="29"/>
  <c r="N448" i="29"/>
  <c r="M360" i="29"/>
  <c r="M174" i="29"/>
  <c r="M37" i="29"/>
  <c r="BQ216" i="24"/>
  <c r="J83" i="23"/>
  <c r="L83" i="23" s="1"/>
  <c r="G329" i="24"/>
  <c r="N329" i="25"/>
  <c r="L59" i="1" s="1"/>
  <c r="L61" i="1" s="1"/>
  <c r="G329" i="25"/>
  <c r="I25" i="8"/>
  <c r="J25" i="8" s="1"/>
  <c r="CB110" i="24"/>
  <c r="J63" i="23"/>
  <c r="L63" i="23" s="1"/>
  <c r="BA5" i="24"/>
  <c r="B101" i="2"/>
  <c r="AW93" i="25" s="1"/>
  <c r="BA30" i="24"/>
  <c r="BA315" i="24"/>
  <c r="BA160" i="24"/>
  <c r="D33" i="16"/>
  <c r="R27" i="23"/>
  <c r="D32" i="16"/>
  <c r="N82" i="23"/>
  <c r="O82" i="23" s="1"/>
  <c r="P82" i="23" s="1"/>
  <c r="Q82" i="23" s="1"/>
  <c r="U40" i="29"/>
  <c r="N105" i="23"/>
  <c r="O105" i="23" s="1"/>
  <c r="P105" i="23" s="1"/>
  <c r="Q105" i="23" s="1"/>
  <c r="BA150" i="24"/>
  <c r="BA155" i="24"/>
  <c r="N5" i="24"/>
  <c r="N30" i="24"/>
  <c r="P30" i="24" s="1"/>
  <c r="U5" i="24"/>
  <c r="N53" i="24"/>
  <c r="P53" i="24" s="1"/>
  <c r="BA148" i="24"/>
  <c r="BA111" i="24"/>
  <c r="D50" i="2"/>
  <c r="U110" i="24"/>
  <c r="V110" i="24" s="1"/>
  <c r="BA209" i="24"/>
  <c r="BA146" i="24"/>
  <c r="J27" i="23"/>
  <c r="K27" i="23" s="1"/>
  <c r="BA144" i="24"/>
  <c r="BA128" i="24"/>
  <c r="J6" i="23"/>
  <c r="L6" i="23" s="1"/>
  <c r="AG451" i="29"/>
  <c r="AG486" i="29"/>
  <c r="A241" i="2"/>
  <c r="B241" i="2"/>
  <c r="D44" i="16" s="1"/>
  <c r="C44" i="16"/>
  <c r="J15" i="23"/>
  <c r="K15" i="23" s="1"/>
  <c r="V518" i="29"/>
  <c r="V254" i="29"/>
  <c r="U391" i="29"/>
  <c r="U333" i="29"/>
  <c r="V513" i="29"/>
  <c r="U57" i="29"/>
  <c r="V106" i="29"/>
  <c r="AD624" i="29"/>
  <c r="V551" i="29"/>
  <c r="V77" i="29"/>
  <c r="U516" i="29"/>
  <c r="V13" i="29"/>
  <c r="V164" i="29"/>
  <c r="V278" i="29"/>
  <c r="V193" i="29"/>
  <c r="V547" i="29"/>
  <c r="U267" i="29"/>
  <c r="U540" i="29"/>
  <c r="V540" i="29"/>
  <c r="V245" i="29"/>
  <c r="X88" i="29"/>
  <c r="Y88" i="29" s="1"/>
  <c r="U305" i="29"/>
  <c r="V295" i="29"/>
  <c r="V368" i="29"/>
  <c r="U479" i="29"/>
  <c r="V593" i="29"/>
  <c r="U261" i="29"/>
  <c r="AG261" i="29" s="1"/>
  <c r="V313" i="29"/>
  <c r="U132" i="29"/>
  <c r="W132" i="29" s="1"/>
  <c r="AA132" i="29" s="1"/>
  <c r="AG602" i="29"/>
  <c r="V485" i="29"/>
  <c r="V326" i="29"/>
  <c r="V67" i="29"/>
  <c r="V599" i="29"/>
  <c r="AH599" i="29" s="1"/>
  <c r="U613" i="29"/>
  <c r="V613" i="29"/>
  <c r="W451" i="29"/>
  <c r="AA451" i="29" s="1"/>
  <c r="W624" i="29"/>
  <c r="J634" i="29" s="1"/>
  <c r="U456" i="29"/>
  <c r="U124" i="29"/>
  <c r="V506" i="29"/>
  <c r="U506" i="29"/>
  <c r="AH562" i="29"/>
  <c r="U433" i="29"/>
  <c r="V433" i="29"/>
  <c r="AX6" i="25"/>
  <c r="U500" i="29"/>
  <c r="V500" i="29"/>
  <c r="V503" i="29"/>
  <c r="U503" i="29"/>
  <c r="U472" i="29"/>
  <c r="V472" i="29"/>
  <c r="AX5" i="25"/>
  <c r="BA177" i="24"/>
  <c r="BA145" i="24"/>
  <c r="BA202" i="24"/>
  <c r="BA138" i="24"/>
  <c r="BA200" i="24"/>
  <c r="BA136" i="24"/>
  <c r="BA312" i="24"/>
  <c r="BA181" i="24"/>
  <c r="BA117" i="24"/>
  <c r="BA159" i="24"/>
  <c r="BA180" i="24"/>
  <c r="BA116" i="24"/>
  <c r="BA261" i="24"/>
  <c r="BA135" i="24"/>
  <c r="BA142" i="24"/>
  <c r="BA163" i="24"/>
  <c r="BB110" i="24"/>
  <c r="U233" i="29"/>
  <c r="V233" i="29"/>
  <c r="U414" i="29"/>
  <c r="V414" i="29"/>
  <c r="U325" i="29"/>
  <c r="V325" i="29"/>
  <c r="BA201" i="24"/>
  <c r="BA113" i="24"/>
  <c r="BA194" i="24"/>
  <c r="BA130" i="24"/>
  <c r="BA192" i="24"/>
  <c r="BA273" i="24"/>
  <c r="BA173" i="24"/>
  <c r="BA119" i="24"/>
  <c r="BA172" i="24"/>
  <c r="BA118" i="24"/>
  <c r="U275" i="29"/>
  <c r="V275" i="29"/>
  <c r="BA129" i="24"/>
  <c r="BA169" i="24"/>
  <c r="BA186" i="24"/>
  <c r="BA122" i="24"/>
  <c r="BA267" i="24"/>
  <c r="BA184" i="24"/>
  <c r="BA120" i="24"/>
  <c r="BA175" i="24"/>
  <c r="BA165" i="24"/>
  <c r="BA288" i="24"/>
  <c r="BA164" i="24"/>
  <c r="BA309" i="24"/>
  <c r="BA245" i="24"/>
  <c r="BA147" i="24"/>
  <c r="AG377" i="29"/>
  <c r="U251" i="29"/>
  <c r="AG251" i="29" s="1"/>
  <c r="V251" i="29"/>
  <c r="U572" i="29"/>
  <c r="V572" i="29"/>
  <c r="BA137" i="24"/>
  <c r="BA183" i="24"/>
  <c r="BA178" i="24"/>
  <c r="BA114" i="24"/>
  <c r="BA259" i="24"/>
  <c r="BA176" i="24"/>
  <c r="BA112" i="24"/>
  <c r="BA127" i="24"/>
  <c r="BA190" i="24"/>
  <c r="BA239" i="24"/>
  <c r="BA157" i="24"/>
  <c r="BA302" i="24"/>
  <c r="BA238" i="24"/>
  <c r="BA156" i="24"/>
  <c r="BA264" i="24"/>
  <c r="BA203" i="24"/>
  <c r="BA139" i="24"/>
  <c r="AG429" i="29"/>
  <c r="V327" i="29"/>
  <c r="U327" i="29"/>
  <c r="BA153" i="24"/>
  <c r="BA161" i="24"/>
  <c r="BA143" i="24"/>
  <c r="BA170" i="24"/>
  <c r="BA234" i="24"/>
  <c r="BA168" i="24"/>
  <c r="BA158" i="24"/>
  <c r="BA223" i="24"/>
  <c r="BA149" i="24"/>
  <c r="BA206" i="24"/>
  <c r="BA229" i="24"/>
  <c r="BA195" i="24"/>
  <c r="BA131" i="24"/>
  <c r="BA276" i="24"/>
  <c r="U206" i="29"/>
  <c r="AG206" i="29" s="1"/>
  <c r="V206" i="29"/>
  <c r="BA193" i="24"/>
  <c r="BA162" i="24"/>
  <c r="BA307" i="24"/>
  <c r="BA241" i="24"/>
  <c r="BA134" i="24"/>
  <c r="BA205" i="24"/>
  <c r="BA141" i="24"/>
  <c r="BA286" i="24"/>
  <c r="BA222" i="24"/>
  <c r="BA174" i="24"/>
  <c r="BA204" i="24"/>
  <c r="BA140" i="24"/>
  <c r="BA198" i="24"/>
  <c r="BA187" i="24"/>
  <c r="BA123" i="24"/>
  <c r="BA268" i="24"/>
  <c r="BA185" i="24"/>
  <c r="BA154" i="24"/>
  <c r="BA299" i="24"/>
  <c r="BA152" i="24"/>
  <c r="BA207" i="24"/>
  <c r="BA110" i="24"/>
  <c r="BA197" i="24"/>
  <c r="BA133" i="24"/>
  <c r="BA266" i="24"/>
  <c r="BA196" i="24"/>
  <c r="BA132" i="24"/>
  <c r="BA199" i="24"/>
  <c r="BA182" i="24"/>
  <c r="BA179" i="24"/>
  <c r="BA115" i="24"/>
  <c r="U47" i="29"/>
  <c r="V47" i="29"/>
  <c r="U445" i="29"/>
  <c r="V445" i="29"/>
  <c r="BA121" i="24"/>
  <c r="BA210" i="24"/>
  <c r="BA208" i="24"/>
  <c r="BA151" i="24"/>
  <c r="BA189" i="24"/>
  <c r="BA125" i="24"/>
  <c r="BA191" i="24"/>
  <c r="BA126" i="24"/>
  <c r="BA188" i="24"/>
  <c r="BA124" i="24"/>
  <c r="BA167" i="24"/>
  <c r="BA166" i="24"/>
  <c r="BA171" i="24"/>
  <c r="I92" i="25"/>
  <c r="I101" i="25"/>
  <c r="I31" i="25"/>
  <c r="I42" i="25"/>
  <c r="I91" i="25"/>
  <c r="I74" i="25"/>
  <c r="I41" i="25"/>
  <c r="I35" i="25"/>
  <c r="I39" i="25"/>
  <c r="I62" i="25"/>
  <c r="I99" i="25"/>
  <c r="I50" i="25"/>
  <c r="I68" i="25"/>
  <c r="I94" i="25"/>
  <c r="I93" i="25"/>
  <c r="I53" i="25"/>
  <c r="I13" i="25"/>
  <c r="I83" i="25"/>
  <c r="I21" i="25"/>
  <c r="I64" i="25"/>
  <c r="I48" i="25"/>
  <c r="I76" i="25"/>
  <c r="I102" i="25"/>
  <c r="I47" i="25"/>
  <c r="I25" i="25"/>
  <c r="I103" i="25"/>
  <c r="I11" i="25"/>
  <c r="I61" i="25"/>
  <c r="I8" i="25"/>
  <c r="I63" i="25"/>
  <c r="I33" i="25"/>
  <c r="I54" i="25"/>
  <c r="I29" i="25"/>
  <c r="I43" i="25"/>
  <c r="I60" i="25"/>
  <c r="I24" i="25"/>
  <c r="CG7" i="25"/>
  <c r="AX7" i="25"/>
  <c r="I65" i="25"/>
  <c r="I80" i="25"/>
  <c r="I55" i="25"/>
  <c r="I14" i="25"/>
  <c r="I28" i="25"/>
  <c r="I79" i="25"/>
  <c r="I90" i="25"/>
  <c r="P75" i="24"/>
  <c r="BA75" i="24"/>
  <c r="P13" i="24"/>
  <c r="BA13" i="24"/>
  <c r="P35" i="24"/>
  <c r="BA35" i="24"/>
  <c r="P21" i="24"/>
  <c r="BA21" i="24"/>
  <c r="P104" i="24"/>
  <c r="BA104" i="24"/>
  <c r="P98" i="24"/>
  <c r="BA98" i="24"/>
  <c r="P52" i="24"/>
  <c r="BA52" i="24"/>
  <c r="P90" i="24"/>
  <c r="BA90" i="24"/>
  <c r="P68" i="24"/>
  <c r="BA68" i="24"/>
  <c r="P44" i="24"/>
  <c r="BA44" i="24"/>
  <c r="P26" i="24"/>
  <c r="BA26" i="24"/>
  <c r="P50" i="24"/>
  <c r="BA50" i="24"/>
  <c r="P49" i="24"/>
  <c r="BA49" i="24"/>
  <c r="P23" i="24"/>
  <c r="BA23" i="24"/>
  <c r="P80" i="24"/>
  <c r="BA80" i="24"/>
  <c r="P16" i="24"/>
  <c r="BA16" i="24"/>
  <c r="P70" i="24"/>
  <c r="BA70" i="24"/>
  <c r="P45" i="24"/>
  <c r="BA45" i="24"/>
  <c r="P95" i="24"/>
  <c r="BA95" i="24"/>
  <c r="P97" i="24"/>
  <c r="BA97" i="24"/>
  <c r="P28" i="24"/>
  <c r="BA28" i="24"/>
  <c r="P19" i="24"/>
  <c r="BA19" i="24"/>
  <c r="P38" i="24"/>
  <c r="BA38" i="24"/>
  <c r="P99" i="24"/>
  <c r="BA99" i="24"/>
  <c r="P83" i="24"/>
  <c r="BA83" i="24"/>
  <c r="P54" i="24"/>
  <c r="BA54" i="24"/>
  <c r="P100" i="24"/>
  <c r="BA100" i="24"/>
  <c r="P69" i="24"/>
  <c r="BA69" i="24"/>
  <c r="P51" i="24"/>
  <c r="BA51" i="24"/>
  <c r="P20" i="24"/>
  <c r="BA20" i="24"/>
  <c r="P63" i="24"/>
  <c r="BA63" i="24"/>
  <c r="P58" i="24"/>
  <c r="BA58" i="24"/>
  <c r="P25" i="24"/>
  <c r="BA25" i="24"/>
  <c r="P29" i="24"/>
  <c r="BA29" i="24"/>
  <c r="P14" i="24"/>
  <c r="BA14" i="24"/>
  <c r="P81" i="24"/>
  <c r="BA81" i="24"/>
  <c r="P91" i="24"/>
  <c r="BA91" i="24"/>
  <c r="P27" i="24"/>
  <c r="BA27" i="24"/>
  <c r="P84" i="24"/>
  <c r="BA84" i="24"/>
  <c r="P56" i="24"/>
  <c r="BA56" i="24"/>
  <c r="P102" i="24"/>
  <c r="BA102" i="24"/>
  <c r="P94" i="24"/>
  <c r="BA94" i="24"/>
  <c r="P64" i="24"/>
  <c r="BA64" i="24"/>
  <c r="P82" i="24"/>
  <c r="BA82" i="24"/>
  <c r="P8" i="24"/>
  <c r="BA8" i="24"/>
  <c r="P47" i="24"/>
  <c r="BA47" i="24"/>
  <c r="P76" i="24"/>
  <c r="BA76" i="24"/>
  <c r="P66" i="24"/>
  <c r="BA66" i="24"/>
  <c r="P96" i="24"/>
  <c r="BA96" i="24"/>
  <c r="P6" i="24"/>
  <c r="BA6" i="24"/>
  <c r="P103" i="24"/>
  <c r="BA103" i="24"/>
  <c r="P67" i="24"/>
  <c r="BA67" i="24"/>
  <c r="P36" i="24"/>
  <c r="BA36" i="24"/>
  <c r="P39" i="24"/>
  <c r="BA39" i="24"/>
  <c r="P18" i="24"/>
  <c r="BA18" i="24"/>
  <c r="P87" i="24"/>
  <c r="BA87" i="24"/>
  <c r="P22" i="24"/>
  <c r="BA22" i="24"/>
  <c r="P61" i="24"/>
  <c r="BA61" i="24"/>
  <c r="P86" i="24"/>
  <c r="BA86" i="24"/>
  <c r="P88" i="24"/>
  <c r="BA88" i="24"/>
  <c r="P42" i="24"/>
  <c r="BA42" i="24"/>
  <c r="P33" i="24"/>
  <c r="BA33" i="24"/>
  <c r="P77" i="24"/>
  <c r="BA77" i="24"/>
  <c r="P89" i="24"/>
  <c r="BA89" i="24"/>
  <c r="P15" i="24"/>
  <c r="BA15" i="24"/>
  <c r="P17" i="24"/>
  <c r="BA17" i="24"/>
  <c r="P78" i="24"/>
  <c r="BA78" i="24"/>
  <c r="P60" i="24"/>
  <c r="BA60" i="24"/>
  <c r="P101" i="24"/>
  <c r="BA101" i="24"/>
  <c r="P37" i="24"/>
  <c r="BA37" i="24"/>
  <c r="P71" i="24"/>
  <c r="BA71" i="24"/>
  <c r="P11" i="24"/>
  <c r="BA11" i="24"/>
  <c r="P40" i="24"/>
  <c r="BA40" i="24"/>
  <c r="P24" i="24"/>
  <c r="BA24" i="24"/>
  <c r="P59" i="24"/>
  <c r="BA59" i="24"/>
  <c r="P12" i="24"/>
  <c r="BA12" i="24"/>
  <c r="P74" i="24"/>
  <c r="BA74" i="24"/>
  <c r="P85" i="24"/>
  <c r="BA85" i="24"/>
  <c r="P79" i="24"/>
  <c r="BA79" i="24"/>
  <c r="P92" i="24"/>
  <c r="BA92" i="24"/>
  <c r="P48" i="24"/>
  <c r="BA48" i="24"/>
  <c r="BB5" i="24"/>
  <c r="P65" i="24"/>
  <c r="BA65" i="24"/>
  <c r="P9" i="24"/>
  <c r="BA9" i="24"/>
  <c r="P105" i="24"/>
  <c r="BA105" i="24"/>
  <c r="P32" i="24"/>
  <c r="BA32" i="24"/>
  <c r="P46" i="24"/>
  <c r="BA46" i="24"/>
  <c r="P10" i="24"/>
  <c r="BA10" i="24"/>
  <c r="P62" i="24"/>
  <c r="BA62" i="24"/>
  <c r="P7" i="24"/>
  <c r="BA7" i="24"/>
  <c r="P93" i="24"/>
  <c r="BA93" i="24"/>
  <c r="P34" i="24"/>
  <c r="BA34" i="24"/>
  <c r="P72" i="24"/>
  <c r="BA72" i="24"/>
  <c r="P41" i="24"/>
  <c r="BA41" i="24"/>
  <c r="P55" i="24"/>
  <c r="BA55" i="24"/>
  <c r="P73" i="24"/>
  <c r="BA73" i="24"/>
  <c r="P57" i="24"/>
  <c r="BA57" i="24"/>
  <c r="P43" i="24"/>
  <c r="BA43" i="24"/>
  <c r="P31" i="24"/>
  <c r="BA31" i="24"/>
  <c r="N43" i="23"/>
  <c r="O43" i="23" s="1"/>
  <c r="P43" i="23" s="1"/>
  <c r="Q43" i="23" s="1"/>
  <c r="W50" i="2"/>
  <c r="W51" i="2" s="1"/>
  <c r="W52" i="2" s="1"/>
  <c r="D45" i="16" s="1"/>
  <c r="N18" i="23"/>
  <c r="O18" i="23" s="1"/>
  <c r="P18" i="23" s="1"/>
  <c r="Q18" i="23" s="1"/>
  <c r="B26" i="2"/>
  <c r="W377" i="29"/>
  <c r="AA377" i="29" s="1"/>
  <c r="W362" i="29"/>
  <c r="AG470" i="29"/>
  <c r="AH93" i="29"/>
  <c r="W193" i="29"/>
  <c r="AA193" i="29" s="1"/>
  <c r="W627" i="29"/>
  <c r="W260" i="29"/>
  <c r="AA260" i="29" s="1"/>
  <c r="AG469" i="29"/>
  <c r="W21" i="29"/>
  <c r="AA21" i="29" s="1"/>
  <c r="N25" i="23"/>
  <c r="O25" i="23" s="1"/>
  <c r="P25" i="23" s="1"/>
  <c r="Q25" i="23" s="1"/>
  <c r="N101" i="23"/>
  <c r="O101" i="23" s="1"/>
  <c r="P101" i="23" s="1"/>
  <c r="Q101" i="23" s="1"/>
  <c r="N104" i="23"/>
  <c r="O104" i="23" s="1"/>
  <c r="P104" i="23" s="1"/>
  <c r="Q104" i="23" s="1"/>
  <c r="N77" i="23"/>
  <c r="O77" i="23" s="1"/>
  <c r="P77" i="23" s="1"/>
  <c r="Q77" i="23" s="1"/>
  <c r="I19" i="25"/>
  <c r="J96" i="23"/>
  <c r="L96" i="23" s="1"/>
  <c r="K264" i="24"/>
  <c r="M305" i="24"/>
  <c r="L227" i="25"/>
  <c r="J97" i="23"/>
  <c r="K97" i="23" s="1"/>
  <c r="F16" i="23"/>
  <c r="G16" i="23" s="1"/>
  <c r="H16" i="23" s="1"/>
  <c r="I69" i="23"/>
  <c r="J40" i="23"/>
  <c r="K40" i="23" s="1"/>
  <c r="M235" i="24"/>
  <c r="F23" i="23"/>
  <c r="G23" i="23" s="1"/>
  <c r="H23" i="23" s="1"/>
  <c r="J17" i="23"/>
  <c r="K17" i="23" s="1"/>
  <c r="G42" i="23"/>
  <c r="H42" i="23" s="1"/>
  <c r="J110" i="24"/>
  <c r="AE110" i="24" s="1"/>
  <c r="AF110" i="24" s="1"/>
  <c r="I8" i="23"/>
  <c r="K42" i="23"/>
  <c r="M42" i="23" s="1"/>
  <c r="F91" i="23"/>
  <c r="G91" i="23" s="1"/>
  <c r="H91" i="23" s="1"/>
  <c r="BQ159" i="25"/>
  <c r="J85" i="23"/>
  <c r="L85" i="23" s="1"/>
  <c r="J101" i="23"/>
  <c r="L101" i="23" s="1"/>
  <c r="BQ117" i="25"/>
  <c r="J46" i="23"/>
  <c r="L46" i="23" s="1"/>
  <c r="I124" i="25"/>
  <c r="I11" i="23"/>
  <c r="J70" i="23"/>
  <c r="K70" i="23" s="1"/>
  <c r="N81" i="23"/>
  <c r="O81" i="23" s="1"/>
  <c r="P81" i="23" s="1"/>
  <c r="Q81" i="23" s="1"/>
  <c r="I61" i="23"/>
  <c r="J75" i="23"/>
  <c r="K75" i="23" s="1"/>
  <c r="J93" i="23"/>
  <c r="L93" i="23" s="1"/>
  <c r="F81" i="23"/>
  <c r="G81" i="23" s="1"/>
  <c r="H81" i="23" s="1"/>
  <c r="I119" i="25"/>
  <c r="J43" i="23"/>
  <c r="L43" i="23" s="1"/>
  <c r="I75" i="25"/>
  <c r="C234" i="2"/>
  <c r="J10" i="23"/>
  <c r="K10" i="23" s="1"/>
  <c r="N49" i="23"/>
  <c r="O49" i="23" s="1"/>
  <c r="P49" i="23" s="1"/>
  <c r="Q49" i="23" s="1"/>
  <c r="B234" i="2"/>
  <c r="J53" i="23"/>
  <c r="K53" i="23" s="1"/>
  <c r="J71" i="23"/>
  <c r="K71" i="23" s="1"/>
  <c r="J51" i="23"/>
  <c r="L51" i="23" s="1"/>
  <c r="J80" i="23"/>
  <c r="K80" i="23" s="1"/>
  <c r="J61" i="23"/>
  <c r="K61" i="23" s="1"/>
  <c r="N95" i="23"/>
  <c r="O95" i="23" s="1"/>
  <c r="P95" i="23" s="1"/>
  <c r="Q95" i="23" s="1"/>
  <c r="J45" i="23"/>
  <c r="L45" i="23" s="1"/>
  <c r="N91" i="23"/>
  <c r="O91" i="23" s="1"/>
  <c r="P91" i="23" s="1"/>
  <c r="Q91" i="23" s="1"/>
  <c r="J11" i="23"/>
  <c r="K11" i="23" s="1"/>
  <c r="F41" i="23"/>
  <c r="G41" i="23" s="1"/>
  <c r="H41" i="23" s="1"/>
  <c r="N220" i="25"/>
  <c r="O220" i="25" s="1"/>
  <c r="R220" i="25" s="1"/>
  <c r="F36" i="23"/>
  <c r="G36" i="23" s="1"/>
  <c r="H36" i="23" s="1"/>
  <c r="I49" i="23"/>
  <c r="F59" i="23"/>
  <c r="G59" i="23" s="1"/>
  <c r="H59" i="23" s="1"/>
  <c r="J56" i="23"/>
  <c r="L56" i="23" s="1"/>
  <c r="J25" i="23"/>
  <c r="L25" i="23" s="1"/>
  <c r="F62" i="23"/>
  <c r="G62" i="23" s="1"/>
  <c r="H62" i="23" s="1"/>
  <c r="I65" i="23"/>
  <c r="N239" i="25"/>
  <c r="O239" i="25" s="1"/>
  <c r="Q239" i="25" s="1"/>
  <c r="N310" i="25"/>
  <c r="O310" i="25" s="1"/>
  <c r="R310" i="25" s="1"/>
  <c r="L270" i="25"/>
  <c r="J90" i="23"/>
  <c r="L90" i="23" s="1"/>
  <c r="N291" i="25"/>
  <c r="O291" i="25" s="1"/>
  <c r="J100" i="23"/>
  <c r="K100" i="23" s="1"/>
  <c r="L284" i="25"/>
  <c r="J28" i="23"/>
  <c r="L28" i="23" s="1"/>
  <c r="N261" i="25"/>
  <c r="O261" i="25" s="1"/>
  <c r="Q261" i="25" s="1"/>
  <c r="J104" i="23"/>
  <c r="K104" i="23" s="1"/>
  <c r="J67" i="23"/>
  <c r="L67" i="23" s="1"/>
  <c r="I66" i="23"/>
  <c r="J8" i="23"/>
  <c r="K8" i="23" s="1"/>
  <c r="I13" i="23"/>
  <c r="J13" i="23"/>
  <c r="L13" i="23" s="1"/>
  <c r="I73" i="23"/>
  <c r="I102" i="23"/>
  <c r="L281" i="25"/>
  <c r="N66" i="23"/>
  <c r="O66" i="23" s="1"/>
  <c r="P66" i="23" s="1"/>
  <c r="Q66" i="23" s="1"/>
  <c r="F103" i="23"/>
  <c r="G103" i="23" s="1"/>
  <c r="H103" i="23" s="1"/>
  <c r="J102" i="23"/>
  <c r="L102" i="23" s="1"/>
  <c r="F94" i="23"/>
  <c r="G94" i="23" s="1"/>
  <c r="H94" i="23" s="1"/>
  <c r="J73" i="23"/>
  <c r="L73" i="23" s="1"/>
  <c r="K241" i="24"/>
  <c r="J57" i="23"/>
  <c r="K57" i="23" s="1"/>
  <c r="N88" i="23"/>
  <c r="O88" i="23" s="1"/>
  <c r="P88" i="23" s="1"/>
  <c r="Q88" i="23" s="1"/>
  <c r="U477" i="29"/>
  <c r="N50" i="23"/>
  <c r="O50" i="23" s="1"/>
  <c r="P50" i="23" s="1"/>
  <c r="Q50" i="23" s="1"/>
  <c r="V556" i="29"/>
  <c r="L300" i="25"/>
  <c r="U369" i="29"/>
  <c r="V65" i="29"/>
  <c r="U65" i="29"/>
  <c r="U488" i="29"/>
  <c r="V488" i="29"/>
  <c r="U100" i="29"/>
  <c r="V100" i="29"/>
  <c r="V283" i="29"/>
  <c r="U283" i="29"/>
  <c r="BQ187" i="25"/>
  <c r="BQ137" i="25"/>
  <c r="AD97" i="29"/>
  <c r="L278" i="25"/>
  <c r="M293" i="24"/>
  <c r="M296" i="24"/>
  <c r="V301" i="29"/>
  <c r="U301" i="29"/>
  <c r="R93" i="23"/>
  <c r="N93" i="23"/>
  <c r="O93" i="23" s="1"/>
  <c r="P93" i="23" s="1"/>
  <c r="Q93" i="23" s="1"/>
  <c r="U475" i="29"/>
  <c r="V475" i="29"/>
  <c r="V372" i="29"/>
  <c r="U153" i="29"/>
  <c r="V153" i="29"/>
  <c r="V592" i="29"/>
  <c r="U592" i="29"/>
  <c r="V71" i="29"/>
  <c r="U71" i="29"/>
  <c r="V577" i="29"/>
  <c r="U577" i="29"/>
  <c r="AG577" i="29" s="1"/>
  <c r="U517" i="29"/>
  <c r="V517" i="29"/>
  <c r="V82" i="29"/>
  <c r="AH82" i="29" s="1"/>
  <c r="U82" i="29"/>
  <c r="AG82" i="29" s="1"/>
  <c r="U520" i="29"/>
  <c r="V520" i="29"/>
  <c r="V491" i="29"/>
  <c r="AE389" i="29"/>
  <c r="AH24" i="29"/>
  <c r="AH470" i="29"/>
  <c r="U207" i="29"/>
  <c r="V207" i="29"/>
  <c r="V56" i="29"/>
  <c r="U56" i="29"/>
  <c r="V137" i="29"/>
  <c r="U137" i="29"/>
  <c r="U478" i="29"/>
  <c r="V478" i="29"/>
  <c r="U400" i="29"/>
  <c r="V400" i="29"/>
  <c r="N92" i="23"/>
  <c r="O92" i="23" s="1"/>
  <c r="P92" i="23" s="1"/>
  <c r="Q92" i="23" s="1"/>
  <c r="F38" i="23"/>
  <c r="G38" i="23" s="1"/>
  <c r="H38" i="23" s="1"/>
  <c r="R71" i="23"/>
  <c r="V458" i="29"/>
  <c r="F95" i="23"/>
  <c r="J95" i="23" s="1"/>
  <c r="L95" i="23" s="1"/>
  <c r="U463" i="29"/>
  <c r="V463" i="29"/>
  <c r="U20" i="29"/>
  <c r="V20" i="29"/>
  <c r="AH20" i="29" s="1"/>
  <c r="U476" i="29"/>
  <c r="V476" i="29"/>
  <c r="AH476" i="29" s="1"/>
  <c r="U490" i="29"/>
  <c r="V490" i="29"/>
  <c r="V473" i="29"/>
  <c r="AH473" i="29" s="1"/>
  <c r="U473" i="29"/>
  <c r="U612" i="29"/>
  <c r="V612" i="29"/>
  <c r="AH88" i="29"/>
  <c r="U351" i="29"/>
  <c r="U374" i="29"/>
  <c r="V374" i="29"/>
  <c r="U536" i="29"/>
  <c r="V536" i="29"/>
  <c r="V541" i="29"/>
  <c r="U541" i="29"/>
  <c r="N28" i="23"/>
  <c r="O28" i="23" s="1"/>
  <c r="P28" i="23" s="1"/>
  <c r="Q28" i="23" s="1"/>
  <c r="J105" i="23"/>
  <c r="K105" i="23" s="1"/>
  <c r="V287" i="29"/>
  <c r="V127" i="29"/>
  <c r="U127" i="29"/>
  <c r="U108" i="29"/>
  <c r="V108" i="29"/>
  <c r="V560" i="29"/>
  <c r="U560" i="29"/>
  <c r="W560" i="29" s="1"/>
  <c r="AA560" i="29" s="1"/>
  <c r="V583" i="29"/>
  <c r="M298" i="24"/>
  <c r="I35" i="23"/>
  <c r="L255" i="25"/>
  <c r="N255" i="25"/>
  <c r="O255" i="25" s="1"/>
  <c r="F58" i="23"/>
  <c r="G58" i="23" s="1"/>
  <c r="H58" i="23" s="1"/>
  <c r="I58" i="23"/>
  <c r="L224" i="25"/>
  <c r="N224" i="25"/>
  <c r="O224" i="25" s="1"/>
  <c r="R224" i="25" s="1"/>
  <c r="I26" i="23"/>
  <c r="F26" i="23"/>
  <c r="N67" i="23"/>
  <c r="O67" i="23" s="1"/>
  <c r="P67" i="23" s="1"/>
  <c r="Q67" i="23" s="1"/>
  <c r="J37" i="23"/>
  <c r="L37" i="23" s="1"/>
  <c r="F33" i="23"/>
  <c r="G33" i="23" s="1"/>
  <c r="H33" i="23" s="1"/>
  <c r="F35" i="23"/>
  <c r="G35" i="23" s="1"/>
  <c r="H35" i="23" s="1"/>
  <c r="N218" i="25"/>
  <c r="O218" i="25" s="1"/>
  <c r="Q218" i="25" s="1"/>
  <c r="L218" i="25"/>
  <c r="I67" i="23"/>
  <c r="N64" i="23"/>
  <c r="O64" i="23" s="1"/>
  <c r="P64" i="23" s="1"/>
  <c r="Q64" i="23" s="1"/>
  <c r="M244" i="24"/>
  <c r="L236" i="25"/>
  <c r="N236" i="25"/>
  <c r="O236" i="25" s="1"/>
  <c r="I22" i="23"/>
  <c r="F22" i="23"/>
  <c r="G22" i="23" s="1"/>
  <c r="H22" i="23" s="1"/>
  <c r="N22" i="23"/>
  <c r="O22" i="23" s="1"/>
  <c r="P22" i="23" s="1"/>
  <c r="Q22" i="23" s="1"/>
  <c r="I47" i="23"/>
  <c r="F47" i="23"/>
  <c r="G47" i="23" s="1"/>
  <c r="H47" i="23" s="1"/>
  <c r="N316" i="25"/>
  <c r="O316" i="25" s="1"/>
  <c r="Q316" i="25" s="1"/>
  <c r="L316" i="25"/>
  <c r="F88" i="23"/>
  <c r="G88" i="23" s="1"/>
  <c r="H88" i="23" s="1"/>
  <c r="K277" i="24"/>
  <c r="M277" i="24"/>
  <c r="F55" i="23"/>
  <c r="I55" i="23"/>
  <c r="I77" i="23"/>
  <c r="F77" i="23"/>
  <c r="I98" i="23"/>
  <c r="N98" i="23"/>
  <c r="O98" i="23" s="1"/>
  <c r="P98" i="23" s="1"/>
  <c r="Q98" i="23" s="1"/>
  <c r="I19" i="23"/>
  <c r="F19" i="23"/>
  <c r="N217" i="25"/>
  <c r="O217" i="25" s="1"/>
  <c r="L217" i="25"/>
  <c r="F68" i="23"/>
  <c r="I68" i="23"/>
  <c r="K279" i="24"/>
  <c r="M279" i="24"/>
  <c r="J30" i="23"/>
  <c r="L30" i="23" s="1"/>
  <c r="K307" i="24"/>
  <c r="K224" i="24"/>
  <c r="M224" i="24"/>
  <c r="F79" i="23"/>
  <c r="I79" i="23"/>
  <c r="I60" i="23"/>
  <c r="F60" i="23"/>
  <c r="I20" i="23"/>
  <c r="N20" i="23"/>
  <c r="O20" i="23" s="1"/>
  <c r="P20" i="23" s="1"/>
  <c r="Q20" i="23" s="1"/>
  <c r="F20" i="23"/>
  <c r="I74" i="23"/>
  <c r="F74" i="23"/>
  <c r="I29" i="23"/>
  <c r="F29" i="23"/>
  <c r="G29" i="23" s="1"/>
  <c r="H29" i="23" s="1"/>
  <c r="K270" i="24"/>
  <c r="M270" i="24"/>
  <c r="I30" i="23"/>
  <c r="I37" i="23"/>
  <c r="F12" i="23"/>
  <c r="G12" i="23" s="1"/>
  <c r="H12" i="23" s="1"/>
  <c r="I39" i="23"/>
  <c r="L293" i="25"/>
  <c r="F49" i="23"/>
  <c r="G49" i="23" s="1"/>
  <c r="H49" i="23" s="1"/>
  <c r="M254" i="24"/>
  <c r="K254" i="24"/>
  <c r="L274" i="25"/>
  <c r="N274" i="25"/>
  <c r="O274" i="25" s="1"/>
  <c r="Q274" i="25" s="1"/>
  <c r="M232" i="24"/>
  <c r="K232" i="24"/>
  <c r="F64" i="23"/>
  <c r="G64" i="23" s="1"/>
  <c r="H64" i="23" s="1"/>
  <c r="M247" i="24"/>
  <c r="K247" i="24"/>
  <c r="J82" i="23"/>
  <c r="L82" i="23" s="1"/>
  <c r="J18" i="23"/>
  <c r="L18" i="23" s="1"/>
  <c r="J69" i="23"/>
  <c r="L69" i="23" s="1"/>
  <c r="J39" i="23"/>
  <c r="L39" i="23" s="1"/>
  <c r="J92" i="23"/>
  <c r="L92" i="23" s="1"/>
  <c r="N41" i="23"/>
  <c r="O41" i="23" s="1"/>
  <c r="P41" i="23" s="1"/>
  <c r="Q41" i="23" s="1"/>
  <c r="J87" i="23"/>
  <c r="K87" i="23" s="1"/>
  <c r="F7" i="23"/>
  <c r="G7" i="23" s="1"/>
  <c r="H7" i="23" s="1"/>
  <c r="J50" i="23"/>
  <c r="K50" i="23" s="1"/>
  <c r="J32" i="23"/>
  <c r="L32" i="23" s="1"/>
  <c r="E34" i="1"/>
  <c r="V413" i="29"/>
  <c r="U413" i="29"/>
  <c r="U335" i="29"/>
  <c r="V335" i="29"/>
  <c r="U363" i="29"/>
  <c r="V363" i="29"/>
  <c r="U384" i="29"/>
  <c r="V384" i="29"/>
  <c r="J34" i="23"/>
  <c r="K34" i="23" s="1"/>
  <c r="U266" i="29"/>
  <c r="V266" i="29"/>
  <c r="U608" i="29"/>
  <c r="V608" i="29"/>
  <c r="U294" i="29"/>
  <c r="V294" i="29"/>
  <c r="U360" i="29"/>
  <c r="V360" i="29"/>
  <c r="V340" i="29"/>
  <c r="U340" i="29"/>
  <c r="AE369" i="29"/>
  <c r="AD324" i="29"/>
  <c r="AD513" i="29"/>
  <c r="U492" i="29"/>
  <c r="V492" i="29"/>
  <c r="V483" i="29"/>
  <c r="U483" i="29"/>
  <c r="V527" i="29"/>
  <c r="U527" i="29"/>
  <c r="U544" i="29"/>
  <c r="V544" i="29"/>
  <c r="U441" i="29"/>
  <c r="V441" i="29"/>
  <c r="U509" i="29"/>
  <c r="V509" i="29"/>
  <c r="V438" i="29"/>
  <c r="U438" i="29"/>
  <c r="U534" i="29"/>
  <c r="V534" i="29"/>
  <c r="U428" i="29"/>
  <c r="AG428" i="29" s="1"/>
  <c r="V428" i="29"/>
  <c r="W469" i="29"/>
  <c r="AA469" i="29" s="1"/>
  <c r="V91" i="29"/>
  <c r="U91" i="29"/>
  <c r="U36" i="29"/>
  <c r="V36" i="29"/>
  <c r="V330" i="29"/>
  <c r="U330" i="29"/>
  <c r="AG330" i="29" s="1"/>
  <c r="V324" i="29"/>
  <c r="U324" i="29"/>
  <c r="U86" i="29"/>
  <c r="V86" i="29"/>
  <c r="X86" i="29" s="1"/>
  <c r="Y86" i="29" s="1"/>
  <c r="U53" i="29"/>
  <c r="V53" i="29"/>
  <c r="U454" i="29"/>
  <c r="W454" i="29" s="1"/>
  <c r="AA454" i="29" s="1"/>
  <c r="V454" i="29"/>
  <c r="U493" i="29"/>
  <c r="V493" i="29"/>
  <c r="N42" i="23"/>
  <c r="O42" i="23" s="1"/>
  <c r="P42" i="23" s="1"/>
  <c r="Q42" i="23" s="1"/>
  <c r="W486" i="29"/>
  <c r="AA486" i="29" s="1"/>
  <c r="U367" i="29"/>
  <c r="V367" i="29"/>
  <c r="V270" i="29"/>
  <c r="U270" i="29"/>
  <c r="U117" i="29"/>
  <c r="V117" i="29"/>
  <c r="U373" i="29"/>
  <c r="V373" i="29"/>
  <c r="U601" i="29"/>
  <c r="V601" i="29"/>
  <c r="V600" i="29"/>
  <c r="U600" i="29"/>
  <c r="U589" i="29"/>
  <c r="V589" i="29"/>
  <c r="U262" i="29"/>
  <c r="V262" i="29"/>
  <c r="AE419" i="29"/>
  <c r="I128" i="25"/>
  <c r="AE357" i="29"/>
  <c r="U448" i="29"/>
  <c r="V448" i="29"/>
  <c r="U241" i="29"/>
  <c r="AG241" i="29" s="1"/>
  <c r="V241" i="29"/>
  <c r="U397" i="29"/>
  <c r="V397" i="29"/>
  <c r="AE379" i="29"/>
  <c r="F76" i="23"/>
  <c r="G76" i="23" s="1"/>
  <c r="H76" i="23" s="1"/>
  <c r="U529" i="29"/>
  <c r="X470" i="29"/>
  <c r="Y470" i="29" s="1"/>
  <c r="U297" i="29"/>
  <c r="V297" i="29"/>
  <c r="U543" i="29"/>
  <c r="V543" i="29"/>
  <c r="AH195" i="29"/>
  <c r="X195" i="29"/>
  <c r="Y195" i="29" s="1"/>
  <c r="AE364" i="29"/>
  <c r="U450" i="29"/>
  <c r="V450" i="29"/>
  <c r="U524" i="29"/>
  <c r="V524" i="29"/>
  <c r="U355" i="29"/>
  <c r="V355" i="29"/>
  <c r="U607" i="29"/>
  <c r="V607" i="29"/>
  <c r="AH474" i="29"/>
  <c r="X36" i="29"/>
  <c r="Y36" i="29" s="1"/>
  <c r="AH36" i="29"/>
  <c r="I129" i="25"/>
  <c r="AO229" i="29"/>
  <c r="V229" i="29" s="1"/>
  <c r="AD567" i="29"/>
  <c r="V307" i="29"/>
  <c r="U307" i="29"/>
  <c r="U591" i="29"/>
  <c r="V591" i="29"/>
  <c r="U514" i="29"/>
  <c r="V514" i="29"/>
  <c r="AE472" i="29"/>
  <c r="AH602" i="29"/>
  <c r="AD56" i="29"/>
  <c r="U416" i="29"/>
  <c r="V416" i="29"/>
  <c r="U356" i="29"/>
  <c r="AG356" i="29" s="1"/>
  <c r="V356" i="29"/>
  <c r="U566" i="29"/>
  <c r="V566" i="29"/>
  <c r="J89" i="23"/>
  <c r="K89" i="23" s="1"/>
  <c r="V319" i="29"/>
  <c r="U319" i="29"/>
  <c r="U289" i="29"/>
  <c r="V289" i="29"/>
  <c r="U480" i="29"/>
  <c r="V480" i="29"/>
  <c r="U538" i="29"/>
  <c r="V538" i="29"/>
  <c r="X328" i="29"/>
  <c r="Y328" i="29" s="1"/>
  <c r="AH328" i="29"/>
  <c r="AH415" i="29"/>
  <c r="X415" i="29"/>
  <c r="Y415" i="29" s="1"/>
  <c r="J98" i="23"/>
  <c r="K98" i="23" s="1"/>
  <c r="U489" i="29"/>
  <c r="N21" i="23"/>
  <c r="O21" i="23" s="1"/>
  <c r="P21" i="23" s="1"/>
  <c r="Q21" i="23" s="1"/>
  <c r="U455" i="29"/>
  <c r="V455" i="29"/>
  <c r="U337" i="29"/>
  <c r="V337" i="29"/>
  <c r="U68" i="29"/>
  <c r="V68" i="29"/>
  <c r="V422" i="29"/>
  <c r="U422" i="29"/>
  <c r="U457" i="29"/>
  <c r="V457" i="29"/>
  <c r="U461" i="29"/>
  <c r="V461" i="29"/>
  <c r="AE306" i="29"/>
  <c r="AE476" i="29"/>
  <c r="N12" i="23"/>
  <c r="O12" i="23" s="1"/>
  <c r="P12" i="23" s="1"/>
  <c r="Q12" i="23" s="1"/>
  <c r="I37" i="25"/>
  <c r="M212" i="24"/>
  <c r="I59" i="25"/>
  <c r="J21" i="23"/>
  <c r="K21" i="23" s="1"/>
  <c r="X497" i="29"/>
  <c r="Y497" i="29" s="1"/>
  <c r="V259" i="29"/>
  <c r="U259" i="29"/>
  <c r="V107" i="29"/>
  <c r="U107" i="29"/>
  <c r="U460" i="29"/>
  <c r="V460" i="29"/>
  <c r="V546" i="29"/>
  <c r="U546" i="29"/>
  <c r="AE543" i="29"/>
  <c r="AE536" i="29"/>
  <c r="U358" i="29"/>
  <c r="V358" i="29"/>
  <c r="W602" i="29"/>
  <c r="AA602" i="29" s="1"/>
  <c r="AE525" i="29"/>
  <c r="V352" i="29"/>
  <c r="U352" i="29"/>
  <c r="V247" i="29"/>
  <c r="U247" i="29"/>
  <c r="AO113" i="29"/>
  <c r="U264" i="29"/>
  <c r="V264" i="29"/>
  <c r="V444" i="29"/>
  <c r="U444" i="29"/>
  <c r="V341" i="29"/>
  <c r="X341" i="29" s="1"/>
  <c r="Y341" i="29" s="1"/>
  <c r="U341" i="29"/>
  <c r="AD119" i="29"/>
  <c r="J99" i="23"/>
  <c r="L99" i="23" s="1"/>
  <c r="AD577" i="29"/>
  <c r="J14" i="23"/>
  <c r="L14" i="23" s="1"/>
  <c r="AO90" i="29"/>
  <c r="V469" i="29"/>
  <c r="U249" i="29"/>
  <c r="V249" i="29"/>
  <c r="AH249" i="29" s="1"/>
  <c r="U332" i="29"/>
  <c r="AG332" i="29" s="1"/>
  <c r="V332" i="29"/>
  <c r="AH332" i="29" s="1"/>
  <c r="V532" i="29"/>
  <c r="U532" i="29"/>
  <c r="U350" i="29"/>
  <c r="V350" i="29"/>
  <c r="U558" i="29"/>
  <c r="V558" i="29"/>
  <c r="AE356" i="29"/>
  <c r="U420" i="29"/>
  <c r="V420" i="29"/>
  <c r="R33" i="23"/>
  <c r="N33" i="23"/>
  <c r="O33" i="23" s="1"/>
  <c r="P33" i="23" s="1"/>
  <c r="Q33" i="23" s="1"/>
  <c r="AE506" i="29"/>
  <c r="J66" i="23"/>
  <c r="I44" i="25"/>
  <c r="J44" i="23"/>
  <c r="K44" i="23" s="1"/>
  <c r="U320" i="29"/>
  <c r="V320" i="29"/>
  <c r="AD516" i="29"/>
  <c r="U375" i="29"/>
  <c r="V375" i="29"/>
  <c r="AE509" i="29"/>
  <c r="J65" i="23"/>
  <c r="U317" i="29"/>
  <c r="V317" i="29"/>
  <c r="V285" i="29"/>
  <c r="U285" i="29"/>
  <c r="V539" i="29"/>
  <c r="U539" i="29"/>
  <c r="U580" i="29"/>
  <c r="V580" i="29"/>
  <c r="V462" i="29"/>
  <c r="U462" i="29"/>
  <c r="AD369" i="29"/>
  <c r="AE514" i="29"/>
  <c r="AE362" i="29"/>
  <c r="AE485" i="29"/>
  <c r="U449" i="29"/>
  <c r="V449" i="29"/>
  <c r="AE442" i="29"/>
  <c r="AE467" i="29"/>
  <c r="AD13" i="29"/>
  <c r="U432" i="29"/>
  <c r="V432" i="29"/>
  <c r="V380" i="29"/>
  <c r="U380" i="29"/>
  <c r="U571" i="29"/>
  <c r="V571" i="29"/>
  <c r="U437" i="29"/>
  <c r="V437" i="29"/>
  <c r="U382" i="29"/>
  <c r="V382" i="29"/>
  <c r="AD569" i="29"/>
  <c r="AE409" i="29"/>
  <c r="W395" i="29"/>
  <c r="U421" i="29"/>
  <c r="V421" i="29"/>
  <c r="U578" i="29"/>
  <c r="V578" i="29"/>
  <c r="AE493" i="29"/>
  <c r="V550" i="29"/>
  <c r="U550" i="29"/>
  <c r="R38" i="23"/>
  <c r="N38" i="23"/>
  <c r="O38" i="23" s="1"/>
  <c r="P38" i="23" s="1"/>
  <c r="Q38" i="23" s="1"/>
  <c r="R29" i="23"/>
  <c r="N29" i="23"/>
  <c r="O29" i="23" s="1"/>
  <c r="P29" i="23" s="1"/>
  <c r="Q29" i="23" s="1"/>
  <c r="I27" i="25"/>
  <c r="O143" i="25"/>
  <c r="R143" i="25" s="1"/>
  <c r="I161" i="25"/>
  <c r="I56" i="25"/>
  <c r="O136" i="25"/>
  <c r="R136" i="25" s="1"/>
  <c r="I112" i="25"/>
  <c r="J54" i="23"/>
  <c r="K54" i="23" s="1"/>
  <c r="U565" i="29"/>
  <c r="V565" i="29"/>
  <c r="AG132" i="29"/>
  <c r="V431" i="29"/>
  <c r="U431" i="29"/>
  <c r="V564" i="29"/>
  <c r="U564" i="29"/>
  <c r="U594" i="29"/>
  <c r="V594" i="29"/>
  <c r="AD36" i="29"/>
  <c r="R58" i="23"/>
  <c r="N58" i="23"/>
  <c r="O58" i="23" s="1"/>
  <c r="P58" i="23" s="1"/>
  <c r="Q58" i="23" s="1"/>
  <c r="R53" i="23"/>
  <c r="N53" i="23"/>
  <c r="O53" i="23" s="1"/>
  <c r="P53" i="23" s="1"/>
  <c r="Q53" i="23" s="1"/>
  <c r="R40" i="23"/>
  <c r="N40" i="23"/>
  <c r="O40" i="23" s="1"/>
  <c r="P40" i="23" s="1"/>
  <c r="Q40" i="23" s="1"/>
  <c r="U122" i="29"/>
  <c r="V122" i="29"/>
  <c r="U392" i="29"/>
  <c r="V392" i="29"/>
  <c r="U131" i="29"/>
  <c r="V131" i="29"/>
  <c r="U344" i="29"/>
  <c r="V344" i="29"/>
  <c r="V579" i="29"/>
  <c r="U579" i="29"/>
  <c r="AE569" i="29"/>
  <c r="R13" i="23"/>
  <c r="N13" i="23"/>
  <c r="O13" i="23" s="1"/>
  <c r="P13" i="23" s="1"/>
  <c r="Q13" i="23" s="1"/>
  <c r="R47" i="23"/>
  <c r="N47" i="23"/>
  <c r="O47" i="23" s="1"/>
  <c r="P47" i="23" s="1"/>
  <c r="Q47" i="23" s="1"/>
  <c r="V300" i="29"/>
  <c r="U300" i="29"/>
  <c r="U237" i="29"/>
  <c r="V237" i="29"/>
  <c r="AH237" i="29" s="1"/>
  <c r="V194" i="29"/>
  <c r="U194" i="29"/>
  <c r="AG194" i="29" s="1"/>
  <c r="U406" i="29"/>
  <c r="V406" i="29"/>
  <c r="V584" i="29"/>
  <c r="U584" i="29"/>
  <c r="U274" i="29"/>
  <c r="V274" i="29"/>
  <c r="AE568" i="29"/>
  <c r="R44" i="23"/>
  <c r="N44" i="23"/>
  <c r="O44" i="23" s="1"/>
  <c r="P44" i="23" s="1"/>
  <c r="Q44" i="23" s="1"/>
  <c r="AE480" i="29"/>
  <c r="I182" i="25"/>
  <c r="K8" i="2"/>
  <c r="A28" i="16" s="1"/>
  <c r="AO42" i="29"/>
  <c r="AO46" i="29"/>
  <c r="U46" i="29" s="1"/>
  <c r="V220" i="29"/>
  <c r="U220" i="29"/>
  <c r="AG220" i="29" s="1"/>
  <c r="U590" i="29"/>
  <c r="V590" i="29"/>
  <c r="U256" i="29"/>
  <c r="W256" i="29" s="1"/>
  <c r="V256" i="29"/>
  <c r="U236" i="29"/>
  <c r="V236" i="29"/>
  <c r="U161" i="29"/>
  <c r="V161" i="29"/>
  <c r="U464" i="29"/>
  <c r="V464" i="29"/>
  <c r="U531" i="29"/>
  <c r="V531" i="29"/>
  <c r="AE20" i="29"/>
  <c r="X20" i="29"/>
  <c r="Y20" i="29" s="1"/>
  <c r="R106" i="23"/>
  <c r="N106" i="23"/>
  <c r="O106" i="23" s="1"/>
  <c r="P106" i="23" s="1"/>
  <c r="Q106" i="23" s="1"/>
  <c r="R51" i="23"/>
  <c r="N51" i="23"/>
  <c r="O51" i="23" s="1"/>
  <c r="P51" i="23" s="1"/>
  <c r="Q51" i="23" s="1"/>
  <c r="I54" i="23"/>
  <c r="R95" i="23"/>
  <c r="U26" i="29"/>
  <c r="V26" i="29"/>
  <c r="V605" i="29"/>
  <c r="U605" i="29"/>
  <c r="V404" i="29"/>
  <c r="U404" i="29"/>
  <c r="V339" i="29"/>
  <c r="U339" i="29"/>
  <c r="V101" i="29"/>
  <c r="U101" i="29"/>
  <c r="AD548" i="29"/>
  <c r="AD168" i="29"/>
  <c r="R94" i="23"/>
  <c r="N94" i="23"/>
  <c r="O94" i="23" s="1"/>
  <c r="P94" i="23" s="1"/>
  <c r="Q94" i="23" s="1"/>
  <c r="R89" i="23"/>
  <c r="N89" i="23"/>
  <c r="O89" i="23" s="1"/>
  <c r="P89" i="23" s="1"/>
  <c r="Q89" i="23" s="1"/>
  <c r="R48" i="23"/>
  <c r="N48" i="23"/>
  <c r="O48" i="23" s="1"/>
  <c r="P48" i="23" s="1"/>
  <c r="Q48" i="23" s="1"/>
  <c r="U581" i="29"/>
  <c r="V581" i="29"/>
  <c r="U595" i="29"/>
  <c r="V595" i="29"/>
  <c r="V269" i="29"/>
  <c r="U269" i="29"/>
  <c r="AD601" i="29"/>
  <c r="O270" i="25"/>
  <c r="R270" i="25" s="1"/>
  <c r="J9" i="23"/>
  <c r="K9" i="23" s="1"/>
  <c r="U359" i="29"/>
  <c r="U125" i="29"/>
  <c r="V125" i="29"/>
  <c r="V507" i="29"/>
  <c r="U507" i="29"/>
  <c r="U284" i="29"/>
  <c r="V284" i="29"/>
  <c r="U345" i="29"/>
  <c r="V345" i="29"/>
  <c r="AD109" i="29"/>
  <c r="X276" i="29"/>
  <c r="Y276" i="29" s="1"/>
  <c r="AH276" i="29"/>
  <c r="AD514" i="29"/>
  <c r="AE548" i="29"/>
  <c r="AE68" i="29"/>
  <c r="AD20" i="29"/>
  <c r="R90" i="23"/>
  <c r="N90" i="23"/>
  <c r="O90" i="23" s="1"/>
  <c r="P90" i="23" s="1"/>
  <c r="Q90" i="23" s="1"/>
  <c r="R6" i="23"/>
  <c r="N6" i="23"/>
  <c r="O6" i="23" s="1"/>
  <c r="P6" i="23" s="1"/>
  <c r="Q6" i="23" s="1"/>
  <c r="R55" i="23"/>
  <c r="N55" i="23"/>
  <c r="O55" i="23" s="1"/>
  <c r="P55" i="23" s="1"/>
  <c r="Q55" i="23" s="1"/>
  <c r="P110" i="24"/>
  <c r="Q110" i="24"/>
  <c r="AP110" i="24"/>
  <c r="J78" i="23"/>
  <c r="K78" i="23" s="1"/>
  <c r="I15" i="25"/>
  <c r="U393" i="29"/>
  <c r="V393" i="29"/>
  <c r="U521" i="29"/>
  <c r="V521" i="29"/>
  <c r="U430" i="29"/>
  <c r="V430" i="29"/>
  <c r="U365" i="29"/>
  <c r="V365" i="29"/>
  <c r="U586" i="29"/>
  <c r="V586" i="29"/>
  <c r="AD544" i="29"/>
  <c r="AE613" i="29"/>
  <c r="AD596" i="29"/>
  <c r="R30" i="23"/>
  <c r="N30" i="23"/>
  <c r="O30" i="23" s="1"/>
  <c r="P30" i="23" s="1"/>
  <c r="Q30" i="23" s="1"/>
  <c r="R70" i="23"/>
  <c r="N70" i="23"/>
  <c r="O70" i="23" s="1"/>
  <c r="P70" i="23" s="1"/>
  <c r="Q70" i="23" s="1"/>
  <c r="U553" i="29"/>
  <c r="V553" i="29"/>
  <c r="U286" i="29"/>
  <c r="V286" i="29"/>
  <c r="U443" i="29"/>
  <c r="V443" i="29"/>
  <c r="V398" i="29"/>
  <c r="U398" i="29"/>
  <c r="U240" i="29"/>
  <c r="V240" i="29"/>
  <c r="U343" i="29"/>
  <c r="V343" i="29"/>
  <c r="X144" i="29"/>
  <c r="Y144" i="29" s="1"/>
  <c r="AH144" i="29"/>
  <c r="W290" i="29"/>
  <c r="AG290" i="29"/>
  <c r="U573" i="29"/>
  <c r="V573" i="29"/>
  <c r="U376" i="29"/>
  <c r="V376" i="29"/>
  <c r="U606" i="29"/>
  <c r="V606" i="29"/>
  <c r="U440" i="29"/>
  <c r="V440" i="29"/>
  <c r="W192" i="29"/>
  <c r="AG192" i="29"/>
  <c r="W542" i="29"/>
  <c r="AG542" i="29"/>
  <c r="W270" i="29"/>
  <c r="AG270" i="29"/>
  <c r="X273" i="29"/>
  <c r="Y273" i="29" s="1"/>
  <c r="AH273" i="29"/>
  <c r="AO147" i="29"/>
  <c r="V147" i="29" s="1"/>
  <c r="U537" i="29"/>
  <c r="V537" i="29"/>
  <c r="V508" i="29"/>
  <c r="U508" i="29"/>
  <c r="V496" i="29"/>
  <c r="U496" i="29"/>
  <c r="U603" i="29"/>
  <c r="V603" i="29"/>
  <c r="AE623" i="29"/>
  <c r="X239" i="29"/>
  <c r="Y239" i="29" s="1"/>
  <c r="AH239" i="29"/>
  <c r="AH296" i="29"/>
  <c r="X296" i="29"/>
  <c r="Y296" i="29" s="1"/>
  <c r="AG246" i="29"/>
  <c r="U563" i="29"/>
  <c r="V563" i="29"/>
  <c r="X232" i="29"/>
  <c r="Y232" i="29" s="1"/>
  <c r="AH232" i="29"/>
  <c r="U303" i="29"/>
  <c r="V303" i="29"/>
  <c r="AH303" i="29" s="1"/>
  <c r="U522" i="29"/>
  <c r="V522" i="29"/>
  <c r="U78" i="29"/>
  <c r="V78" i="29"/>
  <c r="U378" i="29"/>
  <c r="V378" i="29"/>
  <c r="AH278" i="29"/>
  <c r="AH242" i="29"/>
  <c r="X233" i="29"/>
  <c r="Y233" i="29" s="1"/>
  <c r="AH233" i="29"/>
  <c r="V250" i="29"/>
  <c r="U250" i="29"/>
  <c r="U83" i="29"/>
  <c r="V83" i="29"/>
  <c r="V179" i="29"/>
  <c r="U179" i="29"/>
  <c r="W562" i="29"/>
  <c r="AG562" i="29"/>
  <c r="W295" i="29"/>
  <c r="AG295" i="29"/>
  <c r="V505" i="29"/>
  <c r="U505" i="29"/>
  <c r="V557" i="29"/>
  <c r="V228" i="29"/>
  <c r="U228" i="29"/>
  <c r="U202" i="29"/>
  <c r="V202" i="29"/>
  <c r="U312" i="29"/>
  <c r="V312" i="29"/>
  <c r="AG434" i="29"/>
  <c r="W18" i="29"/>
  <c r="AA18" i="29" s="1"/>
  <c r="AG18" i="29"/>
  <c r="U48" i="29"/>
  <c r="V48" i="29"/>
  <c r="U27" i="29"/>
  <c r="V27" i="29"/>
  <c r="U146" i="29"/>
  <c r="V146" i="29"/>
  <c r="U221" i="29"/>
  <c r="V221" i="29"/>
  <c r="U84" i="29"/>
  <c r="V84" i="29"/>
  <c r="U115" i="29"/>
  <c r="V115" i="29"/>
  <c r="U170" i="29"/>
  <c r="V170" i="29"/>
  <c r="U89" i="29"/>
  <c r="V89" i="29"/>
  <c r="V159" i="29"/>
  <c r="U159" i="29"/>
  <c r="U32" i="29"/>
  <c r="V32" i="29"/>
  <c r="O147" i="25"/>
  <c r="R147" i="25" s="1"/>
  <c r="T7" i="25"/>
  <c r="U7" i="25" s="1"/>
  <c r="O166" i="25"/>
  <c r="R166" i="25" s="1"/>
  <c r="O138" i="25"/>
  <c r="Q138" i="25" s="1"/>
  <c r="I164" i="25"/>
  <c r="U103" i="29"/>
  <c r="V103" i="29"/>
  <c r="AO186" i="29"/>
  <c r="U120" i="29"/>
  <c r="V120" i="29"/>
  <c r="V167" i="29"/>
  <c r="U167" i="29"/>
  <c r="V75" i="29"/>
  <c r="U75" i="29"/>
  <c r="U142" i="29"/>
  <c r="V142" i="29"/>
  <c r="V152" i="29"/>
  <c r="U152" i="29"/>
  <c r="V165" i="29"/>
  <c r="U165" i="29"/>
  <c r="AO162" i="29"/>
  <c r="V22" i="29"/>
  <c r="U22" i="29"/>
  <c r="U188" i="29"/>
  <c r="V188" i="29"/>
  <c r="U102" i="29"/>
  <c r="V102" i="29"/>
  <c r="U208" i="29"/>
  <c r="V208" i="29"/>
  <c r="U585" i="29"/>
  <c r="V585" i="29"/>
  <c r="U423" i="29"/>
  <c r="V423" i="29"/>
  <c r="N272" i="25"/>
  <c r="O272" i="25" s="1"/>
  <c r="L272" i="25"/>
  <c r="M218" i="24"/>
  <c r="K218" i="24"/>
  <c r="F86" i="23"/>
  <c r="I86" i="23"/>
  <c r="N86" i="23"/>
  <c r="O86" i="23" s="1"/>
  <c r="P86" i="23" s="1"/>
  <c r="Q86" i="23" s="1"/>
  <c r="M280" i="24"/>
  <c r="K280" i="24"/>
  <c r="N286" i="25"/>
  <c r="O286" i="25" s="1"/>
  <c r="Q286" i="25" s="1"/>
  <c r="L286" i="25"/>
  <c r="L237" i="25"/>
  <c r="N237" i="25"/>
  <c r="O237" i="25" s="1"/>
  <c r="Q237" i="25" s="1"/>
  <c r="M258" i="24"/>
  <c r="K258" i="24"/>
  <c r="N254" i="25"/>
  <c r="O254" i="25" s="1"/>
  <c r="R254" i="25" s="1"/>
  <c r="L254" i="25"/>
  <c r="L280" i="25"/>
  <c r="N280" i="25"/>
  <c r="O280" i="25" s="1"/>
  <c r="M310" i="24"/>
  <c r="K310" i="24"/>
  <c r="M253" i="24"/>
  <c r="K253" i="24"/>
  <c r="L228" i="25"/>
  <c r="N228" i="25"/>
  <c r="O228" i="25" s="1"/>
  <c r="Q228" i="25" s="1"/>
  <c r="K255" i="24"/>
  <c r="M255" i="24"/>
  <c r="M281" i="24"/>
  <c r="K281" i="24"/>
  <c r="N299" i="25"/>
  <c r="O299" i="25" s="1"/>
  <c r="L299" i="25"/>
  <c r="L230" i="25"/>
  <c r="N230" i="25"/>
  <c r="O230" i="25" s="1"/>
  <c r="Q230" i="25" s="1"/>
  <c r="U30" i="29"/>
  <c r="V30" i="29"/>
  <c r="J5" i="24"/>
  <c r="O5" i="24"/>
  <c r="CB5" i="24" s="1"/>
  <c r="N216" i="25"/>
  <c r="T216" i="25" s="1"/>
  <c r="U216" i="25" s="1"/>
  <c r="L216" i="25"/>
  <c r="M226" i="24"/>
  <c r="K226" i="24"/>
  <c r="N312" i="25"/>
  <c r="O312" i="25" s="1"/>
  <c r="R312" i="25" s="1"/>
  <c r="L312" i="25"/>
  <c r="K221" i="24"/>
  <c r="M221" i="24"/>
  <c r="K306" i="24"/>
  <c r="M306" i="24"/>
  <c r="N232" i="25"/>
  <c r="O232" i="25" s="1"/>
  <c r="R232" i="25" s="1"/>
  <c r="L232" i="25"/>
  <c r="M257" i="24"/>
  <c r="K257" i="24"/>
  <c r="AH334" i="29"/>
  <c r="X334" i="29"/>
  <c r="Y334" i="29" s="1"/>
  <c r="A120" i="8"/>
  <c r="BQ181" i="25"/>
  <c r="O119" i="25"/>
  <c r="R119" i="25" s="1"/>
  <c r="O132" i="25"/>
  <c r="Q132" i="25" s="1"/>
  <c r="O203" i="25"/>
  <c r="R203" i="25" s="1"/>
  <c r="I46" i="25"/>
  <c r="U212" i="29"/>
  <c r="V212" i="29"/>
  <c r="U214" i="29"/>
  <c r="V214" i="29"/>
  <c r="U141" i="29"/>
  <c r="V141" i="29"/>
  <c r="U199" i="29"/>
  <c r="V199" i="29"/>
  <c r="V105" i="29"/>
  <c r="U105" i="29"/>
  <c r="U118" i="29"/>
  <c r="V118" i="29"/>
  <c r="U135" i="29"/>
  <c r="V135" i="29"/>
  <c r="AO116" i="29"/>
  <c r="V151" i="29"/>
  <c r="U151" i="29"/>
  <c r="U92" i="29"/>
  <c r="V92" i="29"/>
  <c r="V138" i="29"/>
  <c r="U138" i="29"/>
  <c r="V187" i="29"/>
  <c r="U187" i="29"/>
  <c r="U272" i="29"/>
  <c r="V272" i="29"/>
  <c r="U549" i="29"/>
  <c r="V549" i="29"/>
  <c r="L243" i="25"/>
  <c r="N243" i="25"/>
  <c r="O243" i="25" s="1"/>
  <c r="Q243" i="25" s="1"/>
  <c r="K271" i="24"/>
  <c r="M271" i="24"/>
  <c r="M260" i="24"/>
  <c r="K260" i="24"/>
  <c r="K251" i="24"/>
  <c r="M251" i="24"/>
  <c r="L247" i="25"/>
  <c r="N247" i="25"/>
  <c r="O247" i="25" s="1"/>
  <c r="L301" i="25"/>
  <c r="N301" i="25"/>
  <c r="O301" i="25" s="1"/>
  <c r="Q301" i="25" s="1"/>
  <c r="M272" i="24"/>
  <c r="K272" i="24"/>
  <c r="N290" i="25"/>
  <c r="O290" i="25" s="1"/>
  <c r="L290" i="25"/>
  <c r="N241" i="25"/>
  <c r="O241" i="25" s="1"/>
  <c r="L241" i="25"/>
  <c r="K246" i="24"/>
  <c r="M246" i="24"/>
  <c r="N242" i="25"/>
  <c r="O242" i="25" s="1"/>
  <c r="Q242" i="25" s="1"/>
  <c r="L242" i="25"/>
  <c r="L292" i="25"/>
  <c r="N292" i="25"/>
  <c r="O292" i="25" s="1"/>
  <c r="K274" i="24"/>
  <c r="M274" i="24"/>
  <c r="K217" i="24"/>
  <c r="M217" i="24"/>
  <c r="N264" i="25"/>
  <c r="O264" i="25" s="1"/>
  <c r="L264" i="25"/>
  <c r="K219" i="24"/>
  <c r="M219" i="24"/>
  <c r="U95" i="29"/>
  <c r="V95" i="29"/>
  <c r="U126" i="29"/>
  <c r="V126" i="29"/>
  <c r="U149" i="29"/>
  <c r="V149" i="29"/>
  <c r="N307" i="25"/>
  <c r="O307" i="25" s="1"/>
  <c r="R307" i="25" s="1"/>
  <c r="L307" i="25"/>
  <c r="K282" i="24"/>
  <c r="M282" i="24"/>
  <c r="F24" i="23"/>
  <c r="G24" i="23" s="1"/>
  <c r="H24" i="23" s="1"/>
  <c r="I24" i="23"/>
  <c r="K311" i="24"/>
  <c r="M311" i="24"/>
  <c r="L269" i="25"/>
  <c r="N269" i="25"/>
  <c r="O269" i="25" s="1"/>
  <c r="N262" i="25"/>
  <c r="O262" i="25" s="1"/>
  <c r="L262" i="25"/>
  <c r="M278" i="24"/>
  <c r="K278" i="24"/>
  <c r="L260" i="25"/>
  <c r="N260" i="25"/>
  <c r="O260" i="25" s="1"/>
  <c r="K249" i="24"/>
  <c r="M249" i="24"/>
  <c r="I145" i="25"/>
  <c r="O115" i="25"/>
  <c r="R115" i="25" s="1"/>
  <c r="BQ170" i="25"/>
  <c r="I96" i="25"/>
  <c r="I88" i="25"/>
  <c r="I69" i="25"/>
  <c r="U59" i="29"/>
  <c r="V59" i="29"/>
  <c r="V157" i="29"/>
  <c r="U157" i="29"/>
  <c r="U213" i="29"/>
  <c r="V213" i="29"/>
  <c r="U110" i="29"/>
  <c r="V110" i="29"/>
  <c r="U181" i="29"/>
  <c r="V181" i="29"/>
  <c r="V43" i="29"/>
  <c r="U43" i="29"/>
  <c r="V54" i="29"/>
  <c r="U54" i="29"/>
  <c r="V69" i="29"/>
  <c r="U69" i="29"/>
  <c r="U123" i="29"/>
  <c r="V123" i="29"/>
  <c r="V34" i="29"/>
  <c r="U34" i="29"/>
  <c r="V172" i="29"/>
  <c r="U172" i="29"/>
  <c r="V559" i="29"/>
  <c r="U559" i="29"/>
  <c r="X623" i="29"/>
  <c r="Y623" i="29" s="1"/>
  <c r="AH623" i="29"/>
  <c r="BL189" i="25"/>
  <c r="L189" i="25"/>
  <c r="N189" i="25"/>
  <c r="O189" i="25" s="1"/>
  <c r="N282" i="25"/>
  <c r="O282" i="25" s="1"/>
  <c r="L282" i="25"/>
  <c r="M304" i="24"/>
  <c r="K304" i="24"/>
  <c r="M295" i="24"/>
  <c r="K295" i="24"/>
  <c r="K301" i="24"/>
  <c r="M301" i="24"/>
  <c r="L279" i="25"/>
  <c r="N279" i="25"/>
  <c r="O279" i="25" s="1"/>
  <c r="K316" i="24"/>
  <c r="M316" i="24"/>
  <c r="K303" i="24"/>
  <c r="M303" i="24"/>
  <c r="L219" i="25"/>
  <c r="N219" i="25"/>
  <c r="O219" i="25" s="1"/>
  <c r="Q219" i="25" s="1"/>
  <c r="N273" i="25"/>
  <c r="O273" i="25" s="1"/>
  <c r="Q273" i="25" s="1"/>
  <c r="L273" i="25"/>
  <c r="M308" i="24"/>
  <c r="K308" i="24"/>
  <c r="N234" i="25"/>
  <c r="O234" i="25" s="1"/>
  <c r="Q234" i="25" s="1"/>
  <c r="L234" i="25"/>
  <c r="N221" i="25"/>
  <c r="O221" i="25" s="1"/>
  <c r="L221" i="25"/>
  <c r="M242" i="24"/>
  <c r="K242" i="24"/>
  <c r="L258" i="25"/>
  <c r="N258" i="25"/>
  <c r="O258" i="25" s="1"/>
  <c r="Q258" i="25" s="1"/>
  <c r="L296" i="25"/>
  <c r="N296" i="25"/>
  <c r="O296" i="25" s="1"/>
  <c r="Q296" i="25" s="1"/>
  <c r="N265" i="25"/>
  <c r="O265" i="25" s="1"/>
  <c r="Q265" i="25" s="1"/>
  <c r="L265" i="25"/>
  <c r="K256" i="24"/>
  <c r="M256" i="24"/>
  <c r="W39" i="29"/>
  <c r="AG39" i="29"/>
  <c r="W220" i="29"/>
  <c r="A138" i="8"/>
  <c r="U277" i="29"/>
  <c r="V277" i="29"/>
  <c r="I98" i="25"/>
  <c r="O196" i="25"/>
  <c r="Q196" i="25" s="1"/>
  <c r="N24" i="23"/>
  <c r="O24" i="23" s="1"/>
  <c r="P24" i="23" s="1"/>
  <c r="Q24" i="23" s="1"/>
  <c r="V121" i="29"/>
  <c r="U121" i="29"/>
  <c r="V200" i="29"/>
  <c r="U200" i="29"/>
  <c r="U171" i="29"/>
  <c r="V171" i="29"/>
  <c r="U33" i="29"/>
  <c r="V33" i="29"/>
  <c r="AO80" i="29"/>
  <c r="U64" i="29"/>
  <c r="V64" i="29"/>
  <c r="V104" i="29"/>
  <c r="U104" i="29"/>
  <c r="AO35" i="29"/>
  <c r="U113" i="29"/>
  <c r="V113" i="29"/>
  <c r="U210" i="29"/>
  <c r="V210" i="29"/>
  <c r="V19" i="29"/>
  <c r="U19" i="29"/>
  <c r="V128" i="29"/>
  <c r="U128" i="29"/>
  <c r="V459" i="29"/>
  <c r="U459" i="29"/>
  <c r="AG623" i="29"/>
  <c r="K633" i="29" s="1"/>
  <c r="W623" i="29"/>
  <c r="J633" i="29" s="1"/>
  <c r="L135" i="25"/>
  <c r="BL135" i="25"/>
  <c r="N135" i="25"/>
  <c r="O135" i="25" s="1"/>
  <c r="Q135" i="25" s="1"/>
  <c r="L222" i="25"/>
  <c r="N222" i="25"/>
  <c r="O222" i="25" s="1"/>
  <c r="I72" i="23"/>
  <c r="F72" i="23"/>
  <c r="G72" i="23" s="1"/>
  <c r="H72" i="23" s="1"/>
  <c r="K231" i="24"/>
  <c r="M231" i="24"/>
  <c r="K269" i="24"/>
  <c r="M269" i="24"/>
  <c r="N311" i="25"/>
  <c r="O311" i="25" s="1"/>
  <c r="L311" i="25"/>
  <c r="M252" i="24"/>
  <c r="K252" i="24"/>
  <c r="M243" i="24"/>
  <c r="K243" i="24"/>
  <c r="N251" i="25"/>
  <c r="O251" i="25" s="1"/>
  <c r="Q251" i="25" s="1"/>
  <c r="L251" i="25"/>
  <c r="L305" i="25"/>
  <c r="N305" i="25"/>
  <c r="O305" i="25" s="1"/>
  <c r="Q305" i="25" s="1"/>
  <c r="K248" i="24"/>
  <c r="M248" i="24"/>
  <c r="N302" i="25"/>
  <c r="O302" i="25" s="1"/>
  <c r="L302" i="25"/>
  <c r="L253" i="25"/>
  <c r="N253" i="25"/>
  <c r="O253" i="25" s="1"/>
  <c r="R253" i="25" s="1"/>
  <c r="K300" i="24"/>
  <c r="M300" i="24"/>
  <c r="N250" i="25"/>
  <c r="O250" i="25" s="1"/>
  <c r="L250" i="25"/>
  <c r="N225" i="25"/>
  <c r="O225" i="25" s="1"/>
  <c r="L225" i="25"/>
  <c r="N304" i="25"/>
  <c r="O304" i="25" s="1"/>
  <c r="Q304" i="25" s="1"/>
  <c r="L304" i="25"/>
  <c r="K250" i="24"/>
  <c r="M250" i="24"/>
  <c r="AH310" i="29"/>
  <c r="A92" i="8"/>
  <c r="U16" i="29"/>
  <c r="V16" i="29"/>
  <c r="U197" i="29"/>
  <c r="V197" i="29"/>
  <c r="O298" i="25"/>
  <c r="Q298" i="25" s="1"/>
  <c r="U176" i="29"/>
  <c r="V176" i="29"/>
  <c r="V38" i="29"/>
  <c r="U38" i="29"/>
  <c r="V111" i="29"/>
  <c r="U111" i="29"/>
  <c r="V90" i="29"/>
  <c r="U90" i="29"/>
  <c r="U73" i="29"/>
  <c r="V73" i="29"/>
  <c r="U160" i="29"/>
  <c r="V160" i="29"/>
  <c r="V52" i="29"/>
  <c r="U52" i="29"/>
  <c r="U28" i="29"/>
  <c r="U37" i="29"/>
  <c r="V37" i="29"/>
  <c r="V25" i="29"/>
  <c r="U25" i="29"/>
  <c r="V87" i="29"/>
  <c r="V175" i="29"/>
  <c r="U175" i="29"/>
  <c r="AO74" i="29"/>
  <c r="U99" i="29"/>
  <c r="V99" i="29"/>
  <c r="U235" i="29"/>
  <c r="V235" i="29"/>
  <c r="U511" i="29"/>
  <c r="V511" i="29"/>
  <c r="L122" i="25"/>
  <c r="BL122" i="25"/>
  <c r="N122" i="25"/>
  <c r="O122" i="25" s="1"/>
  <c r="Q122" i="25" s="1"/>
  <c r="I16" i="8"/>
  <c r="J16" i="8" s="1"/>
  <c r="D157" i="2" s="1"/>
  <c r="G157" i="2" s="1"/>
  <c r="M225" i="24"/>
  <c r="K225" i="24"/>
  <c r="I9" i="23"/>
  <c r="N9" i="23"/>
  <c r="O9" i="23" s="1"/>
  <c r="P9" i="23" s="1"/>
  <c r="Q9" i="23" s="1"/>
  <c r="I52" i="23"/>
  <c r="N52" i="23"/>
  <c r="O52" i="23" s="1"/>
  <c r="P52" i="23" s="1"/>
  <c r="Q52" i="23" s="1"/>
  <c r="F52" i="23"/>
  <c r="M294" i="24"/>
  <c r="K294" i="24"/>
  <c r="K237" i="24"/>
  <c r="M237" i="24"/>
  <c r="L244" i="25"/>
  <c r="N244" i="25"/>
  <c r="O244" i="25" s="1"/>
  <c r="M287" i="24"/>
  <c r="K287" i="24"/>
  <c r="M297" i="24"/>
  <c r="K297" i="24"/>
  <c r="N283" i="25"/>
  <c r="O283" i="25" s="1"/>
  <c r="L283" i="25"/>
  <c r="K292" i="24"/>
  <c r="M292" i="24"/>
  <c r="M283" i="24"/>
  <c r="K283" i="24"/>
  <c r="N231" i="25"/>
  <c r="O231" i="25" s="1"/>
  <c r="R231" i="25" s="1"/>
  <c r="L231" i="25"/>
  <c r="N285" i="25"/>
  <c r="O285" i="25" s="1"/>
  <c r="L285" i="25"/>
  <c r="K240" i="24"/>
  <c r="M240" i="24"/>
  <c r="N306" i="25"/>
  <c r="O306" i="25" s="1"/>
  <c r="L306" i="25"/>
  <c r="N257" i="25"/>
  <c r="O257" i="25" s="1"/>
  <c r="L257" i="25"/>
  <c r="N240" i="25"/>
  <c r="O240" i="25" s="1"/>
  <c r="L240" i="25"/>
  <c r="K314" i="24"/>
  <c r="M314" i="24"/>
  <c r="AG466" i="29"/>
  <c r="W466" i="29"/>
  <c r="AH106" i="29"/>
  <c r="X106" i="29"/>
  <c r="Y106" i="29" s="1"/>
  <c r="U217" i="29"/>
  <c r="V217" i="29"/>
  <c r="U156" i="29"/>
  <c r="V156" i="29"/>
  <c r="V139" i="29"/>
  <c r="U139" i="29"/>
  <c r="U76" i="29"/>
  <c r="V76" i="29"/>
  <c r="U410" i="29"/>
  <c r="V410" i="29"/>
  <c r="O294" i="25"/>
  <c r="Q294" i="25" s="1"/>
  <c r="O146" i="25"/>
  <c r="R146" i="25" s="1"/>
  <c r="O180" i="25"/>
  <c r="R180" i="25" s="1"/>
  <c r="O170" i="25"/>
  <c r="R170" i="25" s="1"/>
  <c r="O124" i="25"/>
  <c r="Q124" i="25" s="1"/>
  <c r="O278" i="25"/>
  <c r="R278" i="25" s="1"/>
  <c r="O169" i="25"/>
  <c r="R169" i="25" s="1"/>
  <c r="I120" i="25"/>
  <c r="U166" i="29"/>
  <c r="U85" i="29"/>
  <c r="V85" i="29"/>
  <c r="U58" i="29"/>
  <c r="V58" i="29"/>
  <c r="U134" i="29"/>
  <c r="V134" i="29"/>
  <c r="V191" i="29"/>
  <c r="U191" i="29"/>
  <c r="AO219" i="29"/>
  <c r="AO224" i="29"/>
  <c r="V79" i="29"/>
  <c r="U79" i="29"/>
  <c r="V14" i="29"/>
  <c r="U14" i="29"/>
  <c r="V136" i="29"/>
  <c r="U136" i="29"/>
  <c r="V205" i="29"/>
  <c r="U205" i="29"/>
  <c r="V63" i="29"/>
  <c r="U63" i="29"/>
  <c r="V481" i="29"/>
  <c r="U481" i="29"/>
  <c r="AD623" i="29"/>
  <c r="BL154" i="25"/>
  <c r="L154" i="25"/>
  <c r="N154" i="25"/>
  <c r="O154" i="25" s="1"/>
  <c r="N297" i="25"/>
  <c r="O297" i="25" s="1"/>
  <c r="R297" i="25" s="1"/>
  <c r="L297" i="25"/>
  <c r="M289" i="24"/>
  <c r="K289" i="24"/>
  <c r="N84" i="23"/>
  <c r="O84" i="23" s="1"/>
  <c r="P84" i="23" s="1"/>
  <c r="Q84" i="23" s="1"/>
  <c r="I84" i="23"/>
  <c r="F84" i="23"/>
  <c r="G84" i="23" s="1"/>
  <c r="H84" i="23" s="1"/>
  <c r="K262" i="24"/>
  <c r="M262" i="24"/>
  <c r="N238" i="25"/>
  <c r="O238" i="25" s="1"/>
  <c r="L238" i="25"/>
  <c r="N276" i="25"/>
  <c r="O276" i="25" s="1"/>
  <c r="L276" i="25"/>
  <c r="K227" i="24"/>
  <c r="M227" i="24"/>
  <c r="K265" i="24"/>
  <c r="M265" i="24"/>
  <c r="N315" i="25"/>
  <c r="O315" i="25" s="1"/>
  <c r="L315" i="25"/>
  <c r="K228" i="24"/>
  <c r="M228" i="24"/>
  <c r="K216" i="24"/>
  <c r="M216" i="24"/>
  <c r="U216" i="24" s="1"/>
  <c r="S216" i="24"/>
  <c r="T216" i="24" s="1"/>
  <c r="L263" i="25"/>
  <c r="N263" i="25"/>
  <c r="O263" i="25" s="1"/>
  <c r="K284" i="24"/>
  <c r="M284" i="24"/>
  <c r="K275" i="24"/>
  <c r="M275" i="24"/>
  <c r="L235" i="25"/>
  <c r="N235" i="25"/>
  <c r="O235" i="25" s="1"/>
  <c r="N289" i="25"/>
  <c r="O289" i="25" s="1"/>
  <c r="L289" i="25"/>
  <c r="N275" i="25"/>
  <c r="O275" i="25" s="1"/>
  <c r="L275" i="25"/>
  <c r="K236" i="24"/>
  <c r="M236" i="24"/>
  <c r="A115" i="8"/>
  <c r="O129" i="25"/>
  <c r="Q129" i="25" s="1"/>
  <c r="V129" i="29"/>
  <c r="U129" i="29"/>
  <c r="U196" i="29"/>
  <c r="V196" i="29"/>
  <c r="U49" i="29"/>
  <c r="V49" i="29"/>
  <c r="U218" i="29"/>
  <c r="V218" i="29"/>
  <c r="V98" i="29"/>
  <c r="U98" i="29"/>
  <c r="V173" i="29"/>
  <c r="U173" i="29"/>
  <c r="U190" i="29"/>
  <c r="V190" i="29"/>
  <c r="U51" i="29"/>
  <c r="V51" i="29"/>
  <c r="U216" i="29"/>
  <c r="V216" i="29"/>
  <c r="U61" i="29"/>
  <c r="V61" i="29"/>
  <c r="AO133" i="29"/>
  <c r="V185" i="29"/>
  <c r="U185" i="29"/>
  <c r="V17" i="29"/>
  <c r="U17" i="29"/>
  <c r="U526" i="29"/>
  <c r="V526" i="29"/>
  <c r="L186" i="25"/>
  <c r="BL186" i="25"/>
  <c r="N186" i="25"/>
  <c r="O186" i="25" s="1"/>
  <c r="N233" i="25"/>
  <c r="O233" i="25" s="1"/>
  <c r="Q233" i="25" s="1"/>
  <c r="L233" i="25"/>
  <c r="K291" i="24"/>
  <c r="M291" i="24"/>
  <c r="I31" i="23"/>
  <c r="N31" i="23"/>
  <c r="O31" i="23" s="1"/>
  <c r="P31" i="23" s="1"/>
  <c r="Q31" i="23" s="1"/>
  <c r="K230" i="24"/>
  <c r="M230" i="24"/>
  <c r="N246" i="25"/>
  <c r="O246" i="25" s="1"/>
  <c r="L246" i="25"/>
  <c r="N308" i="25"/>
  <c r="O308" i="25" s="1"/>
  <c r="L308" i="25"/>
  <c r="M290" i="24"/>
  <c r="K290" i="24"/>
  <c r="K233" i="24"/>
  <c r="M233" i="24"/>
  <c r="N248" i="25"/>
  <c r="O248" i="25" s="1"/>
  <c r="Q248" i="25" s="1"/>
  <c r="L248" i="25"/>
  <c r="M263" i="24"/>
  <c r="K263" i="24"/>
  <c r="K285" i="24"/>
  <c r="M285" i="24"/>
  <c r="L295" i="25"/>
  <c r="N295" i="25"/>
  <c r="O295" i="25" s="1"/>
  <c r="R295" i="25" s="1"/>
  <c r="M220" i="24"/>
  <c r="K220" i="24"/>
  <c r="K313" i="24"/>
  <c r="M313" i="24"/>
  <c r="N267" i="25"/>
  <c r="O267" i="25" s="1"/>
  <c r="L267" i="25"/>
  <c r="N314" i="25"/>
  <c r="O314" i="25" s="1"/>
  <c r="L314" i="25"/>
  <c r="R11" i="23"/>
  <c r="N11" i="23"/>
  <c r="O11" i="23" s="1"/>
  <c r="P11" i="23" s="1"/>
  <c r="Q11" i="23" s="1"/>
  <c r="I177" i="25"/>
  <c r="I9" i="25"/>
  <c r="I52" i="25"/>
  <c r="I40" i="25"/>
  <c r="N45" i="23"/>
  <c r="O45" i="23" s="1"/>
  <c r="P45" i="23" s="1"/>
  <c r="Q45" i="23" s="1"/>
  <c r="R85" i="23"/>
  <c r="R78" i="23"/>
  <c r="N78" i="23"/>
  <c r="O78" i="23" s="1"/>
  <c r="P78" i="23" s="1"/>
  <c r="Q78" i="23" s="1"/>
  <c r="R63" i="23"/>
  <c r="N63" i="23"/>
  <c r="O63" i="23" s="1"/>
  <c r="P63" i="23" s="1"/>
  <c r="Q63" i="23" s="1"/>
  <c r="R65" i="23"/>
  <c r="N65" i="23"/>
  <c r="O65" i="23" s="1"/>
  <c r="P65" i="23" s="1"/>
  <c r="Q65" i="23" s="1"/>
  <c r="D69" i="2"/>
  <c r="R26" i="23"/>
  <c r="N26" i="23"/>
  <c r="O26" i="23" s="1"/>
  <c r="P26" i="23" s="1"/>
  <c r="Q26" i="23" s="1"/>
  <c r="R83" i="23"/>
  <c r="N83" i="23"/>
  <c r="O83" i="23" s="1"/>
  <c r="P83" i="23" s="1"/>
  <c r="Q83" i="23" s="1"/>
  <c r="R10" i="23"/>
  <c r="N10" i="23"/>
  <c r="O10" i="23" s="1"/>
  <c r="P10" i="23" s="1"/>
  <c r="Q10" i="23" s="1"/>
  <c r="R72" i="23"/>
  <c r="N72" i="23"/>
  <c r="O72" i="23" s="1"/>
  <c r="P72" i="23" s="1"/>
  <c r="Q72" i="23" s="1"/>
  <c r="I82" i="25"/>
  <c r="I153" i="25"/>
  <c r="I22" i="25"/>
  <c r="R34" i="23"/>
  <c r="R99" i="23"/>
  <c r="N99" i="23"/>
  <c r="O99" i="23" s="1"/>
  <c r="P99" i="23" s="1"/>
  <c r="Q99" i="23" s="1"/>
  <c r="R69" i="23"/>
  <c r="N69" i="23"/>
  <c r="O69" i="23" s="1"/>
  <c r="P69" i="23" s="1"/>
  <c r="Q69" i="23" s="1"/>
  <c r="R19" i="23"/>
  <c r="N19" i="23"/>
  <c r="O19" i="23" s="1"/>
  <c r="P19" i="23" s="1"/>
  <c r="Q19" i="23" s="1"/>
  <c r="R7" i="23"/>
  <c r="N7" i="23"/>
  <c r="O7" i="23" s="1"/>
  <c r="P7" i="23" s="1"/>
  <c r="Q7" i="23" s="1"/>
  <c r="R100" i="23"/>
  <c r="N100" i="23"/>
  <c r="O100" i="23" s="1"/>
  <c r="P100" i="23" s="1"/>
  <c r="Q100" i="23" s="1"/>
  <c r="I86" i="25"/>
  <c r="N17" i="23"/>
  <c r="O17" i="23" s="1"/>
  <c r="P17" i="23" s="1"/>
  <c r="Q17" i="23" s="1"/>
  <c r="R17" i="23"/>
  <c r="R35" i="23"/>
  <c r="N35" i="23"/>
  <c r="O35" i="23" s="1"/>
  <c r="P35" i="23" s="1"/>
  <c r="Q35" i="23" s="1"/>
  <c r="R61" i="23"/>
  <c r="N61" i="23"/>
  <c r="O61" i="23" s="1"/>
  <c r="P61" i="23" s="1"/>
  <c r="Q61" i="23" s="1"/>
  <c r="R80" i="23"/>
  <c r="N80" i="23"/>
  <c r="O80" i="23" s="1"/>
  <c r="P80" i="23" s="1"/>
  <c r="Q80" i="23" s="1"/>
  <c r="R62" i="23"/>
  <c r="N62" i="23"/>
  <c r="O62" i="23" s="1"/>
  <c r="P62" i="23" s="1"/>
  <c r="Q62" i="23" s="1"/>
  <c r="R79" i="23"/>
  <c r="N79" i="23"/>
  <c r="O79" i="23" s="1"/>
  <c r="P79" i="23" s="1"/>
  <c r="Q79" i="23" s="1"/>
  <c r="I203" i="25"/>
  <c r="R36" i="23"/>
  <c r="N36" i="23"/>
  <c r="O36" i="23" s="1"/>
  <c r="P36" i="23" s="1"/>
  <c r="Q36" i="23" s="1"/>
  <c r="R37" i="23"/>
  <c r="N37" i="23"/>
  <c r="O37" i="23" s="1"/>
  <c r="P37" i="23" s="1"/>
  <c r="Q37" i="23" s="1"/>
  <c r="R96" i="23"/>
  <c r="N96" i="23"/>
  <c r="O96" i="23" s="1"/>
  <c r="P96" i="23" s="1"/>
  <c r="Q96" i="23" s="1"/>
  <c r="R16" i="23"/>
  <c r="N16" i="23"/>
  <c r="O16" i="23" s="1"/>
  <c r="P16" i="23" s="1"/>
  <c r="Q16" i="23" s="1"/>
  <c r="R15" i="23"/>
  <c r="N15" i="23"/>
  <c r="O15" i="23" s="1"/>
  <c r="P15" i="23" s="1"/>
  <c r="Q15" i="23" s="1"/>
  <c r="R102" i="23"/>
  <c r="N102" i="23"/>
  <c r="O102" i="23" s="1"/>
  <c r="P102" i="23" s="1"/>
  <c r="Q102" i="23" s="1"/>
  <c r="J31" i="23"/>
  <c r="K31" i="23" s="1"/>
  <c r="R74" i="23"/>
  <c r="N74" i="23"/>
  <c r="O74" i="23" s="1"/>
  <c r="P74" i="23" s="1"/>
  <c r="Q74" i="23" s="1"/>
  <c r="R59" i="23"/>
  <c r="N59" i="23"/>
  <c r="O59" i="23" s="1"/>
  <c r="P59" i="23" s="1"/>
  <c r="Q59" i="23" s="1"/>
  <c r="R32" i="23"/>
  <c r="N32" i="23"/>
  <c r="O32" i="23" s="1"/>
  <c r="P32" i="23" s="1"/>
  <c r="Q32" i="23" s="1"/>
  <c r="R46" i="23"/>
  <c r="N46" i="23"/>
  <c r="O46" i="23" s="1"/>
  <c r="P46" i="23" s="1"/>
  <c r="Q46" i="23" s="1"/>
  <c r="R87" i="23"/>
  <c r="N87" i="23"/>
  <c r="O87" i="23" s="1"/>
  <c r="P87" i="23" s="1"/>
  <c r="Q87" i="23" s="1"/>
  <c r="R68" i="23"/>
  <c r="N68" i="23"/>
  <c r="O68" i="23" s="1"/>
  <c r="P68" i="23" s="1"/>
  <c r="Q68" i="23" s="1"/>
  <c r="I180" i="25"/>
  <c r="I49" i="25"/>
  <c r="I57" i="25"/>
  <c r="R73" i="23"/>
  <c r="N73" i="23"/>
  <c r="O73" i="23" s="1"/>
  <c r="P73" i="23" s="1"/>
  <c r="Q73" i="23" s="1"/>
  <c r="R60" i="23"/>
  <c r="N60" i="23"/>
  <c r="O60" i="23" s="1"/>
  <c r="P60" i="23" s="1"/>
  <c r="Q60" i="23" s="1"/>
  <c r="R57" i="23"/>
  <c r="N57" i="23"/>
  <c r="O57" i="23" s="1"/>
  <c r="P57" i="23" s="1"/>
  <c r="Q57" i="23" s="1"/>
  <c r="R14" i="23"/>
  <c r="N14" i="23"/>
  <c r="O14" i="23" s="1"/>
  <c r="P14" i="23" s="1"/>
  <c r="Q14" i="23" s="1"/>
  <c r="R103" i="23"/>
  <c r="N103" i="23"/>
  <c r="O103" i="23" s="1"/>
  <c r="P103" i="23" s="1"/>
  <c r="Q103" i="23" s="1"/>
  <c r="R23" i="23"/>
  <c r="N23" i="23"/>
  <c r="O23" i="23" s="1"/>
  <c r="P23" i="23" s="1"/>
  <c r="Q23" i="23" s="1"/>
  <c r="R8" i="23"/>
  <c r="N8" i="23"/>
  <c r="O8" i="23" s="1"/>
  <c r="P8" i="23" s="1"/>
  <c r="Q8" i="23" s="1"/>
  <c r="R76" i="23"/>
  <c r="N76" i="23"/>
  <c r="O76" i="23" s="1"/>
  <c r="P76" i="23" s="1"/>
  <c r="Q76" i="23" s="1"/>
  <c r="I32" i="25"/>
  <c r="J48" i="23"/>
  <c r="K48" i="23" s="1"/>
  <c r="R56" i="23"/>
  <c r="N56" i="23"/>
  <c r="O56" i="23" s="1"/>
  <c r="P56" i="23" s="1"/>
  <c r="Q56" i="23" s="1"/>
  <c r="R54" i="23"/>
  <c r="N54" i="23"/>
  <c r="O54" i="23" s="1"/>
  <c r="P54" i="23" s="1"/>
  <c r="Q54" i="23" s="1"/>
  <c r="R39" i="23"/>
  <c r="N39" i="23"/>
  <c r="O39" i="23" s="1"/>
  <c r="P39" i="23" s="1"/>
  <c r="Q39" i="23" s="1"/>
  <c r="R97" i="23"/>
  <c r="N97" i="23"/>
  <c r="O97" i="23" s="1"/>
  <c r="P97" i="23" s="1"/>
  <c r="Q97" i="23" s="1"/>
  <c r="R75" i="23"/>
  <c r="N75" i="23"/>
  <c r="O75" i="23" s="1"/>
  <c r="P75" i="23" s="1"/>
  <c r="Q75" i="23" s="1"/>
  <c r="O185" i="25"/>
  <c r="R185" i="25" s="1"/>
  <c r="O288" i="25"/>
  <c r="Q288" i="25" s="1"/>
  <c r="O188" i="25"/>
  <c r="Q188" i="25" s="1"/>
  <c r="O227" i="25"/>
  <c r="Q227" i="25" s="1"/>
  <c r="O145" i="25"/>
  <c r="R145" i="25" s="1"/>
  <c r="O111" i="25"/>
  <c r="R111" i="25" s="1"/>
  <c r="O125" i="25"/>
  <c r="O195" i="25"/>
  <c r="Q195" i="25" s="1"/>
  <c r="I67" i="25"/>
  <c r="I157" i="25"/>
  <c r="O142" i="25"/>
  <c r="Q142" i="25" s="1"/>
  <c r="O160" i="25"/>
  <c r="R160" i="25" s="1"/>
  <c r="O249" i="25"/>
  <c r="R249" i="25" s="1"/>
  <c r="O117" i="25"/>
  <c r="Q117" i="25" s="1"/>
  <c r="O158" i="25"/>
  <c r="R158" i="25" s="1"/>
  <c r="O252" i="25"/>
  <c r="Q252" i="25" s="1"/>
  <c r="O178" i="25"/>
  <c r="Q178" i="25" s="1"/>
  <c r="O205" i="25"/>
  <c r="O112" i="25"/>
  <c r="R112" i="25" s="1"/>
  <c r="I18" i="25"/>
  <c r="O187" i="25"/>
  <c r="Q187" i="25" s="1"/>
  <c r="O181" i="25"/>
  <c r="R181" i="25" s="1"/>
  <c r="O300" i="25"/>
  <c r="R300" i="25" s="1"/>
  <c r="O174" i="25"/>
  <c r="Q174" i="25" s="1"/>
  <c r="O128" i="25"/>
  <c r="Q128" i="25" s="1"/>
  <c r="O206" i="25"/>
  <c r="Q206" i="25" s="1"/>
  <c r="O202" i="25"/>
  <c r="R202" i="25" s="1"/>
  <c r="I95" i="25"/>
  <c r="I192" i="25"/>
  <c r="O165" i="25"/>
  <c r="Q165" i="25" s="1"/>
  <c r="O155" i="25"/>
  <c r="Q155" i="25" s="1"/>
  <c r="O156" i="25"/>
  <c r="R156" i="25" s="1"/>
  <c r="O127" i="25"/>
  <c r="Q127" i="25" s="1"/>
  <c r="O204" i="25"/>
  <c r="Q204" i="25" s="1"/>
  <c r="O209" i="25"/>
  <c r="Q209" i="25" s="1"/>
  <c r="O210" i="25"/>
  <c r="R210" i="25" s="1"/>
  <c r="O284" i="25"/>
  <c r="R284" i="25" s="1"/>
  <c r="O256" i="25"/>
  <c r="Q256" i="25" s="1"/>
  <c r="O164" i="25"/>
  <c r="Q164" i="25" s="1"/>
  <c r="O199" i="25"/>
  <c r="R199" i="25" s="1"/>
  <c r="O161" i="25"/>
  <c r="Q161" i="25" s="1"/>
  <c r="O150" i="25"/>
  <c r="Q150" i="25" s="1"/>
  <c r="O157" i="25"/>
  <c r="Q157" i="25" s="1"/>
  <c r="O191" i="25"/>
  <c r="Q191" i="25" s="1"/>
  <c r="O259" i="25"/>
  <c r="R259" i="25" s="1"/>
  <c r="O245" i="25"/>
  <c r="R245" i="25" s="1"/>
  <c r="O281" i="25"/>
  <c r="Q281" i="25" s="1"/>
  <c r="O168" i="25"/>
  <c r="Q168" i="25" s="1"/>
  <c r="O177" i="25"/>
  <c r="Q177" i="25" s="1"/>
  <c r="I71" i="25"/>
  <c r="T6" i="25"/>
  <c r="U6" i="25" s="1"/>
  <c r="O162" i="25"/>
  <c r="Q162" i="25" s="1"/>
  <c r="O163" i="25"/>
  <c r="R163" i="25" s="1"/>
  <c r="O198" i="25"/>
  <c r="Q198" i="25" s="1"/>
  <c r="O171" i="25"/>
  <c r="Q171" i="25" s="1"/>
  <c r="O175" i="25"/>
  <c r="Q175" i="25" s="1"/>
  <c r="O114" i="25"/>
  <c r="Q114" i="25" s="1"/>
  <c r="O167" i="25"/>
  <c r="O151" i="25"/>
  <c r="Q151" i="25" s="1"/>
  <c r="O137" i="25"/>
  <c r="R137" i="25" s="1"/>
  <c r="O126" i="25"/>
  <c r="Q126" i="25" s="1"/>
  <c r="O201" i="25"/>
  <c r="R201" i="25" s="1"/>
  <c r="O271" i="25"/>
  <c r="Q271" i="25" s="1"/>
  <c r="O144" i="25"/>
  <c r="Q144" i="25" s="1"/>
  <c r="O207" i="25"/>
  <c r="R207" i="25" s="1"/>
  <c r="I142" i="25"/>
  <c r="I135" i="25"/>
  <c r="I6" i="25"/>
  <c r="I77" i="25"/>
  <c r="I167" i="25"/>
  <c r="I81" i="25"/>
  <c r="I23" i="25"/>
  <c r="BQ141" i="25"/>
  <c r="I154" i="25"/>
  <c r="I196" i="25"/>
  <c r="I73" i="25"/>
  <c r="I38" i="25"/>
  <c r="I105" i="25"/>
  <c r="I34" i="25"/>
  <c r="I87" i="25"/>
  <c r="I72" i="25"/>
  <c r="I16" i="25"/>
  <c r="I126" i="25"/>
  <c r="I84" i="25"/>
  <c r="I17" i="25"/>
  <c r="I89" i="25"/>
  <c r="I116" i="25"/>
  <c r="I78" i="25"/>
  <c r="I155" i="25"/>
  <c r="I193" i="25"/>
  <c r="I186" i="25"/>
  <c r="I148" i="25"/>
  <c r="I150" i="25"/>
  <c r="I216" i="25"/>
  <c r="AH216" i="25" s="1"/>
  <c r="BQ198" i="25"/>
  <c r="CG6" i="25"/>
  <c r="AL6" i="25"/>
  <c r="H6" i="25"/>
  <c r="I266" i="25"/>
  <c r="B42" i="2"/>
  <c r="B40" i="2"/>
  <c r="B43" i="2"/>
  <c r="H7" i="25"/>
  <c r="AL7" i="25"/>
  <c r="I36" i="25"/>
  <c r="I97" i="25"/>
  <c r="I199" i="25"/>
  <c r="I228" i="25"/>
  <c r="I308" i="25"/>
  <c r="I209" i="25"/>
  <c r="I173" i="25"/>
  <c r="I70" i="25"/>
  <c r="F314" i="25"/>
  <c r="F311" i="25"/>
  <c r="F313" i="25"/>
  <c r="T313" i="25" s="1"/>
  <c r="U313" i="25" s="1"/>
  <c r="F275" i="25"/>
  <c r="F286" i="25"/>
  <c r="F237" i="25"/>
  <c r="F266" i="25"/>
  <c r="F234" i="25"/>
  <c r="F220" i="25"/>
  <c r="F195" i="25"/>
  <c r="T195" i="25" s="1"/>
  <c r="U195" i="25" s="1"/>
  <c r="F163" i="25"/>
  <c r="T163" i="25" s="1"/>
  <c r="U163" i="25" s="1"/>
  <c r="F131" i="25"/>
  <c r="T131" i="25" s="1"/>
  <c r="U131" i="25" s="1"/>
  <c r="F263" i="25"/>
  <c r="F247" i="25"/>
  <c r="F229" i="25"/>
  <c r="F182" i="25"/>
  <c r="F150" i="25"/>
  <c r="F193" i="25"/>
  <c r="F177" i="25"/>
  <c r="F161" i="25"/>
  <c r="F145" i="25"/>
  <c r="F129" i="25"/>
  <c r="F104" i="25"/>
  <c r="F96" i="25"/>
  <c r="AX96" i="25" s="1"/>
  <c r="F273" i="25"/>
  <c r="F219" i="25"/>
  <c r="F83" i="25"/>
  <c r="F55" i="25"/>
  <c r="F23" i="25"/>
  <c r="AX23" i="25" s="1"/>
  <c r="F73" i="25"/>
  <c r="AX73" i="25" s="1"/>
  <c r="F17" i="25"/>
  <c r="AX17" i="25" s="1"/>
  <c r="F116" i="25"/>
  <c r="F66" i="25"/>
  <c r="AX66" i="25" s="1"/>
  <c r="F68" i="25"/>
  <c r="F32" i="25"/>
  <c r="AX32" i="25" s="1"/>
  <c r="F81" i="25"/>
  <c r="AX81" i="25" s="1"/>
  <c r="F58" i="25"/>
  <c r="F35" i="25"/>
  <c r="F227" i="24"/>
  <c r="F259" i="24"/>
  <c r="BQ259" i="24" s="1"/>
  <c r="F291" i="24"/>
  <c r="BQ291" i="24" s="1"/>
  <c r="F136" i="24"/>
  <c r="F168" i="24"/>
  <c r="F200" i="24"/>
  <c r="F157" i="24"/>
  <c r="F205" i="24"/>
  <c r="F124" i="24"/>
  <c r="F286" i="24"/>
  <c r="BQ286" i="24" s="1"/>
  <c r="F159" i="24"/>
  <c r="F240" i="24"/>
  <c r="F272" i="24"/>
  <c r="F304" i="24"/>
  <c r="F149" i="24"/>
  <c r="F190" i="24"/>
  <c r="F290" i="24"/>
  <c r="BQ290" i="24" s="1"/>
  <c r="F229" i="24"/>
  <c r="BQ229" i="24" s="1"/>
  <c r="F261" i="24"/>
  <c r="BQ261" i="24" s="1"/>
  <c r="F293" i="24"/>
  <c r="BQ293" i="24" s="1"/>
  <c r="F138" i="24"/>
  <c r="F170" i="24"/>
  <c r="F226" i="24"/>
  <c r="F147" i="24"/>
  <c r="F195" i="24"/>
  <c r="H109" i="19"/>
  <c r="H110" i="19" s="1"/>
  <c r="F30" i="24"/>
  <c r="F62" i="24"/>
  <c r="F94" i="24"/>
  <c r="F7" i="24"/>
  <c r="F39" i="24"/>
  <c r="F71" i="24"/>
  <c r="F103" i="24"/>
  <c r="F16" i="24"/>
  <c r="F48" i="24"/>
  <c r="F80" i="24"/>
  <c r="F13" i="24"/>
  <c r="F57" i="24"/>
  <c r="F310" i="25"/>
  <c r="F307" i="25"/>
  <c r="F312" i="25"/>
  <c r="F271" i="25"/>
  <c r="F265" i="25"/>
  <c r="F233" i="25"/>
  <c r="F262" i="25"/>
  <c r="F207" i="25"/>
  <c r="T207" i="25" s="1"/>
  <c r="U207" i="25" s="1"/>
  <c r="F210" i="25"/>
  <c r="T210" i="25" s="1"/>
  <c r="U210" i="25" s="1"/>
  <c r="F191" i="25"/>
  <c r="T191" i="25" s="1"/>
  <c r="U191" i="25" s="1"/>
  <c r="F159" i="25"/>
  <c r="F287" i="25"/>
  <c r="F260" i="25"/>
  <c r="F244" i="25"/>
  <c r="F225" i="25"/>
  <c r="F178" i="25"/>
  <c r="T178" i="25" s="1"/>
  <c r="U178" i="25" s="1"/>
  <c r="F146" i="25"/>
  <c r="F192" i="25"/>
  <c r="F176" i="25"/>
  <c r="F160" i="25"/>
  <c r="F144" i="25"/>
  <c r="T144" i="25" s="1"/>
  <c r="U144" i="25" s="1"/>
  <c r="F128" i="25"/>
  <c r="F103" i="25"/>
  <c r="AX103" i="25" s="1"/>
  <c r="F95" i="25"/>
  <c r="F269" i="25"/>
  <c r="F218" i="25"/>
  <c r="F79" i="25"/>
  <c r="AX79" i="25" s="1"/>
  <c r="F19" i="25"/>
  <c r="AX19" i="25" s="1"/>
  <c r="F65" i="25"/>
  <c r="AX65" i="25" s="1"/>
  <c r="F13" i="25"/>
  <c r="F112" i="25"/>
  <c r="F62" i="25"/>
  <c r="F64" i="25"/>
  <c r="F28" i="25"/>
  <c r="F69" i="25"/>
  <c r="AX69" i="25" s="1"/>
  <c r="F50" i="25"/>
  <c r="AX50" i="25" s="1"/>
  <c r="F34" i="25"/>
  <c r="AX34" i="25" s="1"/>
  <c r="F231" i="24"/>
  <c r="F263" i="24"/>
  <c r="BQ263" i="24" s="1"/>
  <c r="F295" i="24"/>
  <c r="F140" i="24"/>
  <c r="F172" i="24"/>
  <c r="F204" i="24"/>
  <c r="F161" i="24"/>
  <c r="F115" i="24"/>
  <c r="F128" i="24"/>
  <c r="F298" i="24"/>
  <c r="BQ298" i="24" s="1"/>
  <c r="F171" i="24"/>
  <c r="F244" i="24"/>
  <c r="BQ244" i="24" s="1"/>
  <c r="F276" i="24"/>
  <c r="BQ276" i="24" s="1"/>
  <c r="F308" i="24"/>
  <c r="F153" i="24"/>
  <c r="F198" i="24"/>
  <c r="F306" i="24"/>
  <c r="BQ306" i="24" s="1"/>
  <c r="F233" i="24"/>
  <c r="BQ233" i="24" s="1"/>
  <c r="F265" i="24"/>
  <c r="F297" i="24"/>
  <c r="BQ297" i="24" s="1"/>
  <c r="F142" i="24"/>
  <c r="F174" i="24"/>
  <c r="F242" i="24"/>
  <c r="BQ242" i="24" s="1"/>
  <c r="F163" i="24"/>
  <c r="F113" i="24"/>
  <c r="F34" i="24"/>
  <c r="F66" i="24"/>
  <c r="F98" i="24"/>
  <c r="F11" i="24"/>
  <c r="F43" i="24"/>
  <c r="F75" i="24"/>
  <c r="F37" i="24"/>
  <c r="F20" i="24"/>
  <c r="F52" i="24"/>
  <c r="F84" i="24"/>
  <c r="F17" i="24"/>
  <c r="F65" i="24"/>
  <c r="I9" i="19"/>
  <c r="F306" i="25"/>
  <c r="F305" i="25"/>
  <c r="F297" i="25"/>
  <c r="F316" i="25"/>
  <c r="F261" i="25"/>
  <c r="F208" i="25"/>
  <c r="T208" i="25" s="1"/>
  <c r="U208" i="25" s="1"/>
  <c r="F258" i="25"/>
  <c r="F203" i="25"/>
  <c r="F209" i="25"/>
  <c r="F187" i="25"/>
  <c r="F155" i="25"/>
  <c r="F278" i="25"/>
  <c r="T278" i="25" s="1"/>
  <c r="U278" i="25" s="1"/>
  <c r="F259" i="25"/>
  <c r="F243" i="25"/>
  <c r="F221" i="25"/>
  <c r="F174" i="25"/>
  <c r="T174" i="25" s="1"/>
  <c r="U174" i="25" s="1"/>
  <c r="F142" i="25"/>
  <c r="F189" i="25"/>
  <c r="F173" i="25"/>
  <c r="T173" i="25" s="1"/>
  <c r="U173" i="25" s="1"/>
  <c r="F157" i="25"/>
  <c r="F141" i="25"/>
  <c r="F127" i="25"/>
  <c r="T127" i="25" s="1"/>
  <c r="U127" i="25" s="1"/>
  <c r="F102" i="25"/>
  <c r="F94" i="25"/>
  <c r="F231" i="25"/>
  <c r="F126" i="25"/>
  <c r="F75" i="25"/>
  <c r="AX75" i="25" s="1"/>
  <c r="F51" i="25"/>
  <c r="F15" i="25"/>
  <c r="F61" i="25"/>
  <c r="F11" i="25"/>
  <c r="AX11" i="25" s="1"/>
  <c r="F90" i="25"/>
  <c r="AX90" i="25" s="1"/>
  <c r="F54" i="25"/>
  <c r="F60" i="25"/>
  <c r="F24" i="25"/>
  <c r="F53" i="25"/>
  <c r="F46" i="25"/>
  <c r="AX46" i="25" s="1"/>
  <c r="F30" i="25"/>
  <c r="F235" i="24"/>
  <c r="BQ235" i="24" s="1"/>
  <c r="F267" i="24"/>
  <c r="BQ267" i="24" s="1"/>
  <c r="F299" i="24"/>
  <c r="BQ299" i="24" s="1"/>
  <c r="F144" i="24"/>
  <c r="F176" i="24"/>
  <c r="F208" i="24"/>
  <c r="F169" i="24"/>
  <c r="F119" i="24"/>
  <c r="F222" i="24"/>
  <c r="BQ222" i="24" s="1"/>
  <c r="F302" i="24"/>
  <c r="BQ302" i="24" s="1"/>
  <c r="F175" i="24"/>
  <c r="F248" i="24"/>
  <c r="BQ248" i="24" s="1"/>
  <c r="F280" i="24"/>
  <c r="F312" i="24"/>
  <c r="BQ312" i="24" s="1"/>
  <c r="F165" i="24"/>
  <c r="F116" i="24"/>
  <c r="F139" i="24"/>
  <c r="F237" i="24"/>
  <c r="F269" i="24"/>
  <c r="F301" i="24"/>
  <c r="F146" i="24"/>
  <c r="F178" i="24"/>
  <c r="F250" i="24"/>
  <c r="F179" i="24"/>
  <c r="F203" i="24"/>
  <c r="F6" i="24"/>
  <c r="F38" i="24"/>
  <c r="F70" i="24"/>
  <c r="F102" i="24"/>
  <c r="F15" i="24"/>
  <c r="F47" i="24"/>
  <c r="F79" i="24"/>
  <c r="F61" i="24"/>
  <c r="F24" i="24"/>
  <c r="F56" i="24"/>
  <c r="F88" i="24"/>
  <c r="F21" i="24"/>
  <c r="F77" i="24"/>
  <c r="I8" i="19"/>
  <c r="F304" i="25"/>
  <c r="F300" i="25"/>
  <c r="T300" i="25" s="1"/>
  <c r="U300" i="25" s="1"/>
  <c r="F293" i="25"/>
  <c r="F309" i="25"/>
  <c r="F257" i="25"/>
  <c r="F204" i="25"/>
  <c r="T204" i="25" s="1"/>
  <c r="U204" i="25" s="1"/>
  <c r="F254" i="25"/>
  <c r="F308" i="25"/>
  <c r="F206" i="25"/>
  <c r="T206" i="25" s="1"/>
  <c r="U206" i="25" s="1"/>
  <c r="F183" i="25"/>
  <c r="T183" i="25" s="1"/>
  <c r="U183" i="25" s="1"/>
  <c r="F151" i="25"/>
  <c r="F274" i="25"/>
  <c r="F256" i="25"/>
  <c r="T256" i="25" s="1"/>
  <c r="U256" i="25" s="1"/>
  <c r="F240" i="25"/>
  <c r="F217" i="25"/>
  <c r="F170" i="25"/>
  <c r="T170" i="25" s="1"/>
  <c r="U170" i="25" s="1"/>
  <c r="F138" i="25"/>
  <c r="T138" i="25" s="1"/>
  <c r="U138" i="25" s="1"/>
  <c r="F188" i="25"/>
  <c r="T188" i="25" s="1"/>
  <c r="U188" i="25" s="1"/>
  <c r="F172" i="25"/>
  <c r="F156" i="25"/>
  <c r="F140" i="25"/>
  <c r="T140" i="25" s="1"/>
  <c r="U140" i="25" s="1"/>
  <c r="F123" i="25"/>
  <c r="T123" i="25" s="1"/>
  <c r="U123" i="25" s="1"/>
  <c r="F101" i="25"/>
  <c r="F93" i="25"/>
  <c r="F230" i="25"/>
  <c r="F122" i="25"/>
  <c r="F71" i="25"/>
  <c r="AX71" i="25" s="1"/>
  <c r="F47" i="25"/>
  <c r="AX47" i="25" s="1"/>
  <c r="F125" i="25"/>
  <c r="T125" i="25" s="1"/>
  <c r="U125" i="25" s="1"/>
  <c r="F57" i="25"/>
  <c r="AX57" i="25" s="1"/>
  <c r="F10" i="25"/>
  <c r="AX10" i="25" s="1"/>
  <c r="F86" i="25"/>
  <c r="AX86" i="25" s="1"/>
  <c r="F88" i="25"/>
  <c r="AX88" i="25" s="1"/>
  <c r="F56" i="25"/>
  <c r="AX56" i="25" s="1"/>
  <c r="F20" i="25"/>
  <c r="AX20" i="25" s="1"/>
  <c r="F45" i="25"/>
  <c r="AX45" i="25" s="1"/>
  <c r="F42" i="25"/>
  <c r="F26" i="25"/>
  <c r="F239" i="24"/>
  <c r="BQ239" i="24" s="1"/>
  <c r="F271" i="24"/>
  <c r="BQ271" i="24" s="1"/>
  <c r="F303" i="24"/>
  <c r="F148" i="24"/>
  <c r="F180" i="24"/>
  <c r="F114" i="24"/>
  <c r="F177" i="24"/>
  <c r="F127" i="24"/>
  <c r="F234" i="24"/>
  <c r="BQ234" i="24" s="1"/>
  <c r="F314" i="24"/>
  <c r="F220" i="24"/>
  <c r="BQ220" i="24" s="1"/>
  <c r="F252" i="24"/>
  <c r="F284" i="24"/>
  <c r="F316" i="24"/>
  <c r="BQ316" i="24" s="1"/>
  <c r="F173" i="24"/>
  <c r="F230" i="24"/>
  <c r="BQ230" i="24" s="1"/>
  <c r="F155" i="24"/>
  <c r="F241" i="24"/>
  <c r="BQ241" i="24" s="1"/>
  <c r="F273" i="24"/>
  <c r="BQ273" i="24" s="1"/>
  <c r="F305" i="24"/>
  <c r="BQ305" i="24" s="1"/>
  <c r="F150" i="24"/>
  <c r="F182" i="24"/>
  <c r="F262" i="24"/>
  <c r="F191" i="24"/>
  <c r="F199" i="24"/>
  <c r="F10" i="24"/>
  <c r="F42" i="24"/>
  <c r="F74" i="24"/>
  <c r="F41" i="24"/>
  <c r="F19" i="24"/>
  <c r="F51" i="24"/>
  <c r="F83" i="24"/>
  <c r="F73" i="24"/>
  <c r="F28" i="24"/>
  <c r="F60" i="24"/>
  <c r="F92" i="24"/>
  <c r="F25" i="24"/>
  <c r="F85" i="24"/>
  <c r="I6" i="19"/>
  <c r="F302" i="25"/>
  <c r="F292" i="25"/>
  <c r="F285" i="25"/>
  <c r="F276" i="25"/>
  <c r="F249" i="25"/>
  <c r="F299" i="25"/>
  <c r="F246" i="25"/>
  <c r="F282" i="25"/>
  <c r="F202" i="25"/>
  <c r="T202" i="25" s="1"/>
  <c r="U202" i="25" s="1"/>
  <c r="F175" i="25"/>
  <c r="T175" i="25" s="1"/>
  <c r="U175" i="25" s="1"/>
  <c r="F143" i="25"/>
  <c r="F268" i="25"/>
  <c r="T268" i="25" s="1"/>
  <c r="U268" i="25" s="1"/>
  <c r="F252" i="25"/>
  <c r="F236" i="25"/>
  <c r="F194" i="25"/>
  <c r="F162" i="25"/>
  <c r="T162" i="25" s="1"/>
  <c r="U162" i="25" s="1"/>
  <c r="F130" i="25"/>
  <c r="T130" i="25" s="1"/>
  <c r="U130" i="25" s="1"/>
  <c r="F184" i="25"/>
  <c r="T184" i="25" s="1"/>
  <c r="U184" i="25" s="1"/>
  <c r="F168" i="25"/>
  <c r="T168" i="25" s="1"/>
  <c r="U168" i="25" s="1"/>
  <c r="F152" i="25"/>
  <c r="T152" i="25" s="1"/>
  <c r="U152" i="25" s="1"/>
  <c r="F136" i="25"/>
  <c r="T136" i="25" s="1"/>
  <c r="U136" i="25" s="1"/>
  <c r="F115" i="25"/>
  <c r="F99" i="25"/>
  <c r="AX99" i="25" s="1"/>
  <c r="F91" i="25"/>
  <c r="AX91" i="25" s="1"/>
  <c r="F226" i="25"/>
  <c r="T226" i="25" s="1"/>
  <c r="U226" i="25" s="1"/>
  <c r="F114" i="25"/>
  <c r="T114" i="25" s="1"/>
  <c r="U114" i="25" s="1"/>
  <c r="F67" i="25"/>
  <c r="AX67" i="25" s="1"/>
  <c r="F39" i="25"/>
  <c r="F113" i="25"/>
  <c r="T113" i="25" s="1"/>
  <c r="U113" i="25" s="1"/>
  <c r="F33" i="25"/>
  <c r="F8" i="25"/>
  <c r="AX8" i="25" s="1"/>
  <c r="F78" i="25"/>
  <c r="AX78" i="25" s="1"/>
  <c r="F80" i="25"/>
  <c r="F48" i="25"/>
  <c r="F12" i="25"/>
  <c r="F41" i="25"/>
  <c r="F38" i="25"/>
  <c r="AX38" i="25" s="1"/>
  <c r="F18" i="25"/>
  <c r="AX18" i="25" s="1"/>
  <c r="F247" i="24"/>
  <c r="F279" i="24"/>
  <c r="BQ279" i="24" s="1"/>
  <c r="F311" i="24"/>
  <c r="BQ311" i="24" s="1"/>
  <c r="F156" i="24"/>
  <c r="F188" i="24"/>
  <c r="F122" i="24"/>
  <c r="F189" i="24"/>
  <c r="F194" i="24"/>
  <c r="F258" i="24"/>
  <c r="BQ258" i="24" s="1"/>
  <c r="F135" i="24"/>
  <c r="F228" i="24"/>
  <c r="BQ228" i="24" s="1"/>
  <c r="F260" i="24"/>
  <c r="F292" i="24"/>
  <c r="F137" i="24"/>
  <c r="F197" i="24"/>
  <c r="F254" i="24"/>
  <c r="BQ254" i="24" s="1"/>
  <c r="F183" i="24"/>
  <c r="F249" i="24"/>
  <c r="F281" i="24"/>
  <c r="BQ281" i="24" s="1"/>
  <c r="F313" i="24"/>
  <c r="BQ313" i="24" s="1"/>
  <c r="F158" i="24"/>
  <c r="F202" i="24"/>
  <c r="F294" i="24"/>
  <c r="BQ294" i="24" s="1"/>
  <c r="F125" i="24"/>
  <c r="F187" i="24"/>
  <c r="F18" i="24"/>
  <c r="F50" i="24"/>
  <c r="F82" i="24"/>
  <c r="F69" i="24"/>
  <c r="F27" i="24"/>
  <c r="F59" i="24"/>
  <c r="F91" i="24"/>
  <c r="F101" i="24"/>
  <c r="F36" i="24"/>
  <c r="F68" i="24"/>
  <c r="F100" i="24"/>
  <c r="F33" i="24"/>
  <c r="F105" i="24"/>
  <c r="F296" i="25"/>
  <c r="F294" i="25"/>
  <c r="F242" i="25"/>
  <c r="F179" i="25"/>
  <c r="T179" i="25" s="1"/>
  <c r="U179" i="25" s="1"/>
  <c r="F264" i="25"/>
  <c r="F190" i="25"/>
  <c r="T190" i="25" s="1"/>
  <c r="U190" i="25" s="1"/>
  <c r="F185" i="25"/>
  <c r="T185" i="25" s="1"/>
  <c r="U185" i="25" s="1"/>
  <c r="F148" i="25"/>
  <c r="F98" i="25"/>
  <c r="AX98" i="25" s="1"/>
  <c r="F118" i="25"/>
  <c r="F27" i="25"/>
  <c r="F124" i="25"/>
  <c r="F52" i="25"/>
  <c r="AX52" i="25" s="1"/>
  <c r="F287" i="24"/>
  <c r="F192" i="24"/>
  <c r="F112" i="24"/>
  <c r="F151" i="24"/>
  <c r="F296" i="24"/>
  <c r="BQ296" i="24" s="1"/>
  <c r="F238" i="24"/>
  <c r="BQ238" i="24" s="1"/>
  <c r="F257" i="24"/>
  <c r="F162" i="24"/>
  <c r="F207" i="24"/>
  <c r="F26" i="24"/>
  <c r="F81" i="24"/>
  <c r="F87" i="24"/>
  <c r="F44" i="24"/>
  <c r="F45" i="24"/>
  <c r="I27" i="19"/>
  <c r="I59" i="19"/>
  <c r="I91" i="19"/>
  <c r="I29" i="19"/>
  <c r="I61" i="19"/>
  <c r="I93" i="19"/>
  <c r="I42" i="19"/>
  <c r="I106" i="19"/>
  <c r="BN106" i="19" s="1"/>
  <c r="I70" i="19"/>
  <c r="I68" i="19"/>
  <c r="I104" i="19"/>
  <c r="I32" i="19"/>
  <c r="F288" i="25"/>
  <c r="F253" i="25"/>
  <c r="F238" i="25"/>
  <c r="F171" i="25"/>
  <c r="F255" i="25"/>
  <c r="F186" i="25"/>
  <c r="F181" i="25"/>
  <c r="T181" i="25" s="1"/>
  <c r="U181" i="25" s="1"/>
  <c r="F137" i="25"/>
  <c r="F97" i="25"/>
  <c r="AX97" i="25" s="1"/>
  <c r="F295" i="25"/>
  <c r="F117" i="25"/>
  <c r="F120" i="25"/>
  <c r="T120" i="25" s="1"/>
  <c r="U120" i="25" s="1"/>
  <c r="F44" i="25"/>
  <c r="AX44" i="25" s="1"/>
  <c r="F219" i="24"/>
  <c r="BQ219" i="24" s="1"/>
  <c r="F307" i="24"/>
  <c r="BQ307" i="24" s="1"/>
  <c r="F196" i="24"/>
  <c r="F206" i="24"/>
  <c r="F224" i="24"/>
  <c r="BQ224" i="24" s="1"/>
  <c r="F300" i="24"/>
  <c r="BQ300" i="24" s="1"/>
  <c r="F266" i="24"/>
  <c r="BQ266" i="24" s="1"/>
  <c r="F277" i="24"/>
  <c r="BQ277" i="24" s="1"/>
  <c r="F166" i="24"/>
  <c r="F129" i="24"/>
  <c r="F46" i="24"/>
  <c r="F93" i="24"/>
  <c r="F95" i="24"/>
  <c r="F64" i="24"/>
  <c r="F49" i="24"/>
  <c r="I31" i="19"/>
  <c r="I63" i="19"/>
  <c r="I95" i="19"/>
  <c r="I33" i="19"/>
  <c r="I65" i="19"/>
  <c r="I97" i="19"/>
  <c r="I50" i="19"/>
  <c r="I14" i="19"/>
  <c r="I78" i="19"/>
  <c r="I84" i="19"/>
  <c r="I12" i="19"/>
  <c r="I48" i="19"/>
  <c r="I7" i="19"/>
  <c r="F284" i="25"/>
  <c r="F245" i="25"/>
  <c r="F298" i="25"/>
  <c r="F167" i="25"/>
  <c r="F251" i="25"/>
  <c r="F166" i="25"/>
  <c r="F180" i="25"/>
  <c r="F133" i="25"/>
  <c r="T133" i="25" s="1"/>
  <c r="U133" i="25" s="1"/>
  <c r="F92" i="25"/>
  <c r="F87" i="25"/>
  <c r="AX87" i="25" s="1"/>
  <c r="F85" i="25"/>
  <c r="AX85" i="25" s="1"/>
  <c r="F82" i="25"/>
  <c r="F40" i="25"/>
  <c r="F37" i="25"/>
  <c r="AX37" i="25" s="1"/>
  <c r="F223" i="24"/>
  <c r="BQ223" i="24" s="1"/>
  <c r="F315" i="24"/>
  <c r="BQ315" i="24" s="1"/>
  <c r="F118" i="24"/>
  <c r="F210" i="24"/>
  <c r="F232" i="24"/>
  <c r="BQ232" i="24" s="1"/>
  <c r="F133" i="24"/>
  <c r="F278" i="24"/>
  <c r="F285" i="24"/>
  <c r="BQ285" i="24" s="1"/>
  <c r="F186" i="24"/>
  <c r="F121" i="24"/>
  <c r="F54" i="24"/>
  <c r="F23" i="24"/>
  <c r="F99" i="24"/>
  <c r="F72" i="24"/>
  <c r="F97" i="24"/>
  <c r="I35" i="19"/>
  <c r="I67" i="19"/>
  <c r="I99" i="19"/>
  <c r="I37" i="19"/>
  <c r="I69" i="19"/>
  <c r="I101" i="19"/>
  <c r="I58" i="19"/>
  <c r="I22" i="19"/>
  <c r="I86" i="19"/>
  <c r="I100" i="19"/>
  <c r="I28" i="19"/>
  <c r="I64" i="19"/>
  <c r="F289" i="25"/>
  <c r="F241" i="25"/>
  <c r="F228" i="25"/>
  <c r="F147" i="25"/>
  <c r="T147" i="25" s="1"/>
  <c r="U147" i="25" s="1"/>
  <c r="F248" i="25"/>
  <c r="F158" i="25"/>
  <c r="F169" i="25"/>
  <c r="T169" i="25" s="1"/>
  <c r="U169" i="25" s="1"/>
  <c r="F132" i="25"/>
  <c r="F290" i="25"/>
  <c r="F77" i="25"/>
  <c r="AX77" i="25" s="1"/>
  <c r="F74" i="25"/>
  <c r="AX74" i="25" s="1"/>
  <c r="F16" i="25"/>
  <c r="AX16" i="25" s="1"/>
  <c r="F36" i="25"/>
  <c r="F243" i="24"/>
  <c r="BQ243" i="24" s="1"/>
  <c r="F132" i="24"/>
  <c r="F126" i="24"/>
  <c r="F246" i="24"/>
  <c r="F236" i="24"/>
  <c r="BQ236" i="24" s="1"/>
  <c r="F141" i="24"/>
  <c r="F167" i="24"/>
  <c r="F289" i="24"/>
  <c r="BQ289" i="24" s="1"/>
  <c r="F120" i="24"/>
  <c r="F117" i="24"/>
  <c r="F58" i="24"/>
  <c r="F31" i="24"/>
  <c r="F89" i="24"/>
  <c r="F76" i="24"/>
  <c r="I39" i="19"/>
  <c r="I71" i="19"/>
  <c r="I103" i="19"/>
  <c r="I41" i="19"/>
  <c r="I73" i="19"/>
  <c r="I105" i="19"/>
  <c r="I66" i="19"/>
  <c r="I30" i="19"/>
  <c r="I94" i="19"/>
  <c r="I24" i="19"/>
  <c r="I44" i="19"/>
  <c r="I80" i="19"/>
  <c r="F281" i="25"/>
  <c r="F200" i="25"/>
  <c r="T200" i="25" s="1"/>
  <c r="U200" i="25" s="1"/>
  <c r="F224" i="25"/>
  <c r="F139" i="25"/>
  <c r="F239" i="25"/>
  <c r="F154" i="25"/>
  <c r="F165" i="25"/>
  <c r="T165" i="25" s="1"/>
  <c r="U165" i="25" s="1"/>
  <c r="F119" i="25"/>
  <c r="F277" i="25"/>
  <c r="T277" i="25" s="1"/>
  <c r="U277" i="25" s="1"/>
  <c r="F63" i="25"/>
  <c r="F49" i="25"/>
  <c r="AX49" i="25" s="1"/>
  <c r="F70" i="25"/>
  <c r="AX70" i="25" s="1"/>
  <c r="F121" i="25"/>
  <c r="T121" i="25" s="1"/>
  <c r="U121" i="25" s="1"/>
  <c r="F22" i="25"/>
  <c r="AX22" i="25" s="1"/>
  <c r="F251" i="24"/>
  <c r="F152" i="24"/>
  <c r="F130" i="24"/>
  <c r="F270" i="24"/>
  <c r="F256" i="24"/>
  <c r="BQ256" i="24" s="1"/>
  <c r="F145" i="24"/>
  <c r="F221" i="24"/>
  <c r="BQ221" i="24" s="1"/>
  <c r="F309" i="24"/>
  <c r="BQ309" i="24" s="1"/>
  <c r="F111" i="24"/>
  <c r="F78" i="24"/>
  <c r="F35" i="24"/>
  <c r="F8" i="24"/>
  <c r="F96" i="24"/>
  <c r="I11" i="19"/>
  <c r="I43" i="19"/>
  <c r="I75" i="19"/>
  <c r="I13" i="19"/>
  <c r="I45" i="19"/>
  <c r="I77" i="19"/>
  <c r="I10" i="19"/>
  <c r="I74" i="19"/>
  <c r="I38" i="19"/>
  <c r="I102" i="19"/>
  <c r="I40" i="19"/>
  <c r="I60" i="19"/>
  <c r="I96" i="19"/>
  <c r="F303" i="25"/>
  <c r="T303" i="25" s="1"/>
  <c r="U303" i="25" s="1"/>
  <c r="F279" i="25"/>
  <c r="F291" i="25"/>
  <c r="F205" i="25"/>
  <c r="T205" i="25" s="1"/>
  <c r="U205" i="25" s="1"/>
  <c r="F135" i="25"/>
  <c r="F235" i="25"/>
  <c r="F134" i="25"/>
  <c r="T134" i="25" s="1"/>
  <c r="U134" i="25" s="1"/>
  <c r="F164" i="25"/>
  <c r="F111" i="25"/>
  <c r="T111" i="25" s="1"/>
  <c r="U111" i="25" s="1"/>
  <c r="F227" i="25"/>
  <c r="F59" i="25"/>
  <c r="AX59" i="25" s="1"/>
  <c r="F29" i="25"/>
  <c r="F84" i="25"/>
  <c r="AX84" i="25" s="1"/>
  <c r="F89" i="25"/>
  <c r="F14" i="25"/>
  <c r="AX14" i="25" s="1"/>
  <c r="F255" i="24"/>
  <c r="BQ255" i="24" s="1"/>
  <c r="F160" i="24"/>
  <c r="F181" i="24"/>
  <c r="F274" i="24"/>
  <c r="BQ274" i="24" s="1"/>
  <c r="F264" i="24"/>
  <c r="BQ264" i="24" s="1"/>
  <c r="F185" i="24"/>
  <c r="F225" i="24"/>
  <c r="BQ225" i="24" s="1"/>
  <c r="F218" i="24"/>
  <c r="F282" i="24"/>
  <c r="F86" i="24"/>
  <c r="F55" i="24"/>
  <c r="F12" i="24"/>
  <c r="F104" i="24"/>
  <c r="I15" i="19"/>
  <c r="I47" i="19"/>
  <c r="I79" i="19"/>
  <c r="I17" i="19"/>
  <c r="I49" i="19"/>
  <c r="I81" i="19"/>
  <c r="I18" i="19"/>
  <c r="I82" i="19"/>
  <c r="I46" i="19"/>
  <c r="I20" i="19"/>
  <c r="I56" i="19"/>
  <c r="I76" i="19"/>
  <c r="F199" i="25"/>
  <c r="F149" i="25"/>
  <c r="F9" i="25"/>
  <c r="AX9" i="25" s="1"/>
  <c r="F164" i="24"/>
  <c r="F209" i="24"/>
  <c r="F32" i="24"/>
  <c r="I19" i="19"/>
  <c r="I53" i="19"/>
  <c r="I54" i="19"/>
  <c r="F301" i="25"/>
  <c r="F270" i="25"/>
  <c r="F105" i="25"/>
  <c r="AX105" i="25" s="1"/>
  <c r="F76" i="25"/>
  <c r="AX76" i="25" s="1"/>
  <c r="F184" i="24"/>
  <c r="F123" i="24"/>
  <c r="F40" i="24"/>
  <c r="I23" i="19"/>
  <c r="I57" i="19"/>
  <c r="I62" i="19"/>
  <c r="F315" i="25"/>
  <c r="F267" i="25"/>
  <c r="F100" i="25"/>
  <c r="F72" i="25"/>
  <c r="F193" i="24"/>
  <c r="F245" i="24"/>
  <c r="BQ245" i="24" s="1"/>
  <c r="F14" i="24"/>
  <c r="F9" i="24"/>
  <c r="I51" i="19"/>
  <c r="I85" i="19"/>
  <c r="I36" i="19"/>
  <c r="F280" i="25"/>
  <c r="F232" i="25"/>
  <c r="F223" i="25"/>
  <c r="T223" i="25" s="1"/>
  <c r="U223" i="25" s="1"/>
  <c r="F201" i="24"/>
  <c r="F253" i="24"/>
  <c r="BQ253" i="24" s="1"/>
  <c r="F22" i="24"/>
  <c r="F29" i="24"/>
  <c r="I55" i="19"/>
  <c r="I89" i="19"/>
  <c r="I52" i="19"/>
  <c r="F272" i="25"/>
  <c r="F198" i="25"/>
  <c r="F222" i="25"/>
  <c r="F21" i="25"/>
  <c r="AX21" i="25" s="1"/>
  <c r="F217" i="24"/>
  <c r="F134" i="24"/>
  <c r="F90" i="24"/>
  <c r="I83" i="19"/>
  <c r="I26" i="19"/>
  <c r="I72" i="19"/>
  <c r="F283" i="25"/>
  <c r="F197" i="25"/>
  <c r="T197" i="25" s="1"/>
  <c r="U197" i="25" s="1"/>
  <c r="F43" i="25"/>
  <c r="AX43" i="25" s="1"/>
  <c r="F143" i="24"/>
  <c r="F154" i="24"/>
  <c r="F53" i="24"/>
  <c r="I87" i="19"/>
  <c r="I34" i="19"/>
  <c r="I88" i="19"/>
  <c r="F201" i="25"/>
  <c r="F153" i="25"/>
  <c r="F25" i="25"/>
  <c r="F283" i="24"/>
  <c r="F288" i="24"/>
  <c r="BQ288" i="24" s="1"/>
  <c r="F131" i="24"/>
  <c r="F67" i="24"/>
  <c r="I25" i="19"/>
  <c r="I98" i="19"/>
  <c r="I16" i="19"/>
  <c r="F250" i="25"/>
  <c r="I21" i="19"/>
  <c r="F196" i="25"/>
  <c r="F63" i="24"/>
  <c r="I90" i="19"/>
  <c r="F31" i="25"/>
  <c r="AX31" i="25" s="1"/>
  <c r="I92" i="19"/>
  <c r="F275" i="24"/>
  <c r="BQ275" i="24" s="1"/>
  <c r="F310" i="24"/>
  <c r="BQ310" i="24" s="1"/>
  <c r="F268" i="24"/>
  <c r="BQ268" i="24" s="1"/>
  <c r="I235" i="25"/>
  <c r="I146" i="25"/>
  <c r="BQ188" i="25"/>
  <c r="BQ139" i="25"/>
  <c r="BQ202" i="25"/>
  <c r="BQ189" i="25"/>
  <c r="BQ210" i="25"/>
  <c r="BQ207" i="25"/>
  <c r="I279" i="25"/>
  <c r="I296" i="25"/>
  <c r="O172" i="25"/>
  <c r="O149" i="25"/>
  <c r="R149" i="25" s="1"/>
  <c r="I302" i="25"/>
  <c r="O192" i="25"/>
  <c r="O176" i="25"/>
  <c r="Q176" i="25" s="1"/>
  <c r="O277" i="25"/>
  <c r="R277" i="25" s="1"/>
  <c r="I30" i="25"/>
  <c r="BQ174" i="25"/>
  <c r="BQ171" i="25"/>
  <c r="BQ149" i="25"/>
  <c r="BQ136" i="25"/>
  <c r="BQ175" i="25"/>
  <c r="BQ125" i="25"/>
  <c r="BQ156" i="25"/>
  <c r="I66" i="25"/>
  <c r="I251" i="25"/>
  <c r="I125" i="25"/>
  <c r="I210" i="25"/>
  <c r="BQ184" i="25"/>
  <c r="BQ131" i="25"/>
  <c r="I45" i="25"/>
  <c r="BQ158" i="25"/>
  <c r="I158" i="25"/>
  <c r="BQ122" i="25"/>
  <c r="BQ162" i="25"/>
  <c r="BQ179" i="25"/>
  <c r="BQ143" i="25"/>
  <c r="I195" i="25"/>
  <c r="BQ195" i="25"/>
  <c r="I277" i="25"/>
  <c r="I12" i="25"/>
  <c r="BQ169" i="25"/>
  <c r="BQ144" i="25"/>
  <c r="BQ201" i="25"/>
  <c r="BQ176" i="25"/>
  <c r="BQ163" i="25"/>
  <c r="BQ147" i="25"/>
  <c r="BQ111" i="25"/>
  <c r="I111" i="25"/>
  <c r="BQ168" i="25"/>
  <c r="I132" i="25"/>
  <c r="I202" i="25"/>
  <c r="I51" i="25"/>
  <c r="BQ183" i="25"/>
  <c r="BQ152" i="25"/>
  <c r="I118" i="25"/>
  <c r="BQ118" i="25"/>
  <c r="BQ123" i="25"/>
  <c r="BQ115" i="25"/>
  <c r="BQ205" i="25"/>
  <c r="BQ172" i="25"/>
  <c r="BQ208" i="25"/>
  <c r="BQ110" i="25"/>
  <c r="BT110" i="25" s="1"/>
  <c r="T110" i="25"/>
  <c r="U110" i="25" s="1"/>
  <c r="BQ185" i="25"/>
  <c r="BQ113" i="25"/>
  <c r="I104" i="25"/>
  <c r="I307" i="25"/>
  <c r="I207" i="25"/>
  <c r="I188" i="25"/>
  <c r="BQ133" i="25"/>
  <c r="BQ178" i="25"/>
  <c r="BQ130" i="25"/>
  <c r="BQ121" i="25"/>
  <c r="I100" i="25"/>
  <c r="BQ191" i="25"/>
  <c r="BQ134" i="25"/>
  <c r="I85" i="25"/>
  <c r="I309" i="25"/>
  <c r="I206" i="25"/>
  <c r="O197" i="25"/>
  <c r="Q197" i="25" s="1"/>
  <c r="I139" i="25"/>
  <c r="I26" i="25"/>
  <c r="O193" i="25"/>
  <c r="Q193" i="25" s="1"/>
  <c r="BQ190" i="25"/>
  <c r="BQ160" i="25"/>
  <c r="BQ114" i="25"/>
  <c r="BQ151" i="25"/>
  <c r="BQ138" i="25"/>
  <c r="BQ197" i="25"/>
  <c r="BQ206" i="25"/>
  <c r="I113" i="25"/>
  <c r="I293" i="25"/>
  <c r="O148" i="25"/>
  <c r="Q148" i="25" s="1"/>
  <c r="I58" i="25"/>
  <c r="BQ166" i="25"/>
  <c r="BQ165" i="25"/>
  <c r="BQ140" i="25"/>
  <c r="BQ127" i="25"/>
  <c r="I20" i="25"/>
  <c r="I204" i="25"/>
  <c r="BQ204" i="25"/>
  <c r="BQ200" i="25"/>
  <c r="BQ194" i="25"/>
  <c r="I7" i="25"/>
  <c r="O134" i="25"/>
  <c r="U5" i="25"/>
  <c r="O229" i="25"/>
  <c r="AH110" i="25"/>
  <c r="O131" i="25"/>
  <c r="O182" i="25"/>
  <c r="O293" i="25"/>
  <c r="B66" i="2"/>
  <c r="C66" i="2"/>
  <c r="O121" i="25"/>
  <c r="O94" i="25"/>
  <c r="O52" i="25"/>
  <c r="O35" i="25"/>
  <c r="O63" i="25"/>
  <c r="O90" i="25"/>
  <c r="O88" i="25"/>
  <c r="O40" i="25"/>
  <c r="O99" i="25"/>
  <c r="O70" i="25"/>
  <c r="O46" i="25"/>
  <c r="O68" i="25"/>
  <c r="O17" i="25"/>
  <c r="O34" i="25"/>
  <c r="O266" i="25"/>
  <c r="O223" i="25"/>
  <c r="O139" i="25"/>
  <c r="O141" i="25"/>
  <c r="O208" i="25"/>
  <c r="O55" i="25"/>
  <c r="O18" i="25"/>
  <c r="O41" i="25"/>
  <c r="O58" i="25"/>
  <c r="O47" i="25"/>
  <c r="O76" i="25"/>
  <c r="O23" i="25"/>
  <c r="O39" i="25"/>
  <c r="O48" i="25"/>
  <c r="O42" i="25"/>
  <c r="O77" i="25"/>
  <c r="O78" i="25"/>
  <c r="O309" i="25"/>
  <c r="O65" i="25"/>
  <c r="O31" i="25"/>
  <c r="O153" i="25"/>
  <c r="O123" i="25"/>
  <c r="O62" i="25"/>
  <c r="O67" i="25"/>
  <c r="O30" i="25"/>
  <c r="O16" i="25"/>
  <c r="O26" i="25"/>
  <c r="O51" i="25"/>
  <c r="O37" i="25"/>
  <c r="O105" i="25"/>
  <c r="O92" i="25"/>
  <c r="O20" i="25"/>
  <c r="O179" i="25"/>
  <c r="O287" i="25"/>
  <c r="O313" i="25"/>
  <c r="O184" i="25"/>
  <c r="O59" i="25"/>
  <c r="O81" i="25"/>
  <c r="O73" i="25"/>
  <c r="O85" i="25"/>
  <c r="O71" i="25"/>
  <c r="O83" i="25"/>
  <c r="O36" i="25"/>
  <c r="O45" i="25"/>
  <c r="O103" i="25"/>
  <c r="O56" i="25"/>
  <c r="O10" i="25"/>
  <c r="O104" i="25"/>
  <c r="O93" i="25"/>
  <c r="O87" i="25"/>
  <c r="O22" i="25"/>
  <c r="O44" i="25"/>
  <c r="O25" i="25"/>
  <c r="O61" i="25"/>
  <c r="O101" i="25"/>
  <c r="O91" i="25"/>
  <c r="O75" i="25"/>
  <c r="O33" i="25"/>
  <c r="O27" i="25"/>
  <c r="O98" i="25"/>
  <c r="O268" i="25"/>
  <c r="O152" i="25"/>
  <c r="O200" i="25"/>
  <c r="O113" i="25"/>
  <c r="O80" i="25"/>
  <c r="O57" i="25"/>
  <c r="O13" i="25"/>
  <c r="O29" i="25"/>
  <c r="O79" i="25"/>
  <c r="O24" i="25"/>
  <c r="O49" i="25"/>
  <c r="O21" i="25"/>
  <c r="O43" i="25"/>
  <c r="O19" i="25"/>
  <c r="O28" i="25"/>
  <c r="O66" i="25"/>
  <c r="O102" i="25"/>
  <c r="O226" i="25"/>
  <c r="O190" i="25"/>
  <c r="O159" i="25"/>
  <c r="O32" i="25"/>
  <c r="O86" i="25"/>
  <c r="O96" i="25"/>
  <c r="O97" i="25"/>
  <c r="O110" i="25"/>
  <c r="O130" i="25"/>
  <c r="O9" i="25"/>
  <c r="O100" i="25"/>
  <c r="O38" i="25"/>
  <c r="O95" i="25"/>
  <c r="O53" i="25"/>
  <c r="O120" i="25"/>
  <c r="O15" i="25"/>
  <c r="O84" i="25"/>
  <c r="O6" i="25"/>
  <c r="O74" i="25"/>
  <c r="O173" i="25"/>
  <c r="O194" i="25"/>
  <c r="O140" i="25"/>
  <c r="O116" i="25"/>
  <c r="O60" i="25"/>
  <c r="O7" i="25"/>
  <c r="B22" i="2"/>
  <c r="O183" i="25"/>
  <c r="O133" i="25"/>
  <c r="O64" i="25"/>
  <c r="O8" i="25"/>
  <c r="O54" i="25"/>
  <c r="O50" i="25"/>
  <c r="O11" i="25"/>
  <c r="O89" i="25"/>
  <c r="O12" i="25"/>
  <c r="O72" i="25"/>
  <c r="O69" i="25"/>
  <c r="O82" i="25"/>
  <c r="O14" i="25"/>
  <c r="O118" i="25"/>
  <c r="O303" i="25"/>
  <c r="X607" i="29" l="1"/>
  <c r="Y607" i="29" s="1"/>
  <c r="AG313" i="29"/>
  <c r="AG253" i="29"/>
  <c r="AG44" i="29"/>
  <c r="W401" i="29"/>
  <c r="X253" i="29"/>
  <c r="Y253" i="29" s="1"/>
  <c r="W490" i="29"/>
  <c r="AA490" i="29" s="1"/>
  <c r="AH257" i="29"/>
  <c r="AG189" i="29"/>
  <c r="AH369" i="29"/>
  <c r="AH62" i="29"/>
  <c r="W298" i="29"/>
  <c r="AA298" i="29" s="1"/>
  <c r="X71" i="29"/>
  <c r="Y71" i="29" s="1"/>
  <c r="X37" i="29"/>
  <c r="Y37" i="29" s="1"/>
  <c r="W460" i="29"/>
  <c r="AA460" i="29" s="1"/>
  <c r="AG342" i="29"/>
  <c r="X447" i="29"/>
  <c r="Y447" i="29" s="1"/>
  <c r="AG276" i="29"/>
  <c r="X282" i="29"/>
  <c r="Y282" i="29" s="1"/>
  <c r="W122" i="29"/>
  <c r="AA122" i="29" s="1"/>
  <c r="AH446" i="29"/>
  <c r="AH399" i="29"/>
  <c r="X337" i="29"/>
  <c r="Y337" i="29" s="1"/>
  <c r="W373" i="29"/>
  <c r="AA373" i="29" s="1"/>
  <c r="AH192" i="29"/>
  <c r="AG543" i="29"/>
  <c r="X399" i="29"/>
  <c r="Y399" i="29" s="1"/>
  <c r="W24" i="29"/>
  <c r="AA24" i="29" s="1"/>
  <c r="AG297" i="29"/>
  <c r="AH322" i="29"/>
  <c r="X389" i="29"/>
  <c r="Y389" i="29" s="1"/>
  <c r="AH570" i="29"/>
  <c r="X411" i="29"/>
  <c r="Y411" i="29" s="1"/>
  <c r="AH333" i="29"/>
  <c r="AH368" i="29"/>
  <c r="X381" i="29"/>
  <c r="Y381" i="29" s="1"/>
  <c r="AG168" i="29"/>
  <c r="AH567" i="29"/>
  <c r="AH590" i="29"/>
  <c r="AH381" i="29"/>
  <c r="W446" i="29"/>
  <c r="AA446" i="29" s="1"/>
  <c r="W354" i="29"/>
  <c r="AA354" i="29" s="1"/>
  <c r="AG371" i="29"/>
  <c r="AG478" i="29"/>
  <c r="AH613" i="29"/>
  <c r="X297" i="29"/>
  <c r="Y297" i="29" s="1"/>
  <c r="X353" i="29"/>
  <c r="Y353" i="29" s="1"/>
  <c r="X258" i="29"/>
  <c r="Y258" i="29" s="1"/>
  <c r="W322" i="29"/>
  <c r="AA322" i="29" s="1"/>
  <c r="X132" i="29"/>
  <c r="Y132" i="29" s="1"/>
  <c r="W417" i="29"/>
  <c r="AA417" i="29" s="1"/>
  <c r="X194" i="29"/>
  <c r="Y194" i="29" s="1"/>
  <c r="AG62" i="29"/>
  <c r="W279" i="29"/>
  <c r="AA279" i="29" s="1"/>
  <c r="W436" i="29"/>
  <c r="AA436" i="29" s="1"/>
  <c r="X18" i="29"/>
  <c r="Y18" i="29" s="1"/>
  <c r="AG142" i="29"/>
  <c r="AH503" i="29"/>
  <c r="AG257" i="29"/>
  <c r="AH552" i="29"/>
  <c r="X491" i="29"/>
  <c r="Y491" i="29" s="1"/>
  <c r="X137" i="29"/>
  <c r="Y137" i="29" s="1"/>
  <c r="AH155" i="29"/>
  <c r="AH130" i="29"/>
  <c r="AH329" i="29"/>
  <c r="AH347" i="29"/>
  <c r="X343" i="29"/>
  <c r="Y343" i="29" s="1"/>
  <c r="AH15" i="29"/>
  <c r="AG15" i="29"/>
  <c r="AH412" i="29"/>
  <c r="W278" i="29"/>
  <c r="AA278" i="29" s="1"/>
  <c r="X371" i="29"/>
  <c r="Y371" i="29" s="1"/>
  <c r="AH411" i="29"/>
  <c r="AG545" i="29"/>
  <c r="W143" i="29"/>
  <c r="AA143" i="29" s="1"/>
  <c r="AH53" i="29"/>
  <c r="AG598" i="29"/>
  <c r="X252" i="29"/>
  <c r="Y252" i="29" s="1"/>
  <c r="AH292" i="29"/>
  <c r="AH469" i="29"/>
  <c r="AH107" i="29"/>
  <c r="AH280" i="29"/>
  <c r="W230" i="29"/>
  <c r="AA230" i="29" s="1"/>
  <c r="AG266" i="29"/>
  <c r="AG259" i="29"/>
  <c r="W57" i="29"/>
  <c r="AA57" i="29" s="1"/>
  <c r="X293" i="29"/>
  <c r="Y293" i="29" s="1"/>
  <c r="AG570" i="29"/>
  <c r="AG72" i="29"/>
  <c r="AG292" i="29"/>
  <c r="AG477" i="29"/>
  <c r="W419" i="29"/>
  <c r="AA419" i="29" s="1"/>
  <c r="AG609" i="29"/>
  <c r="W453" i="29"/>
  <c r="AA453" i="29" s="1"/>
  <c r="AG201" i="29"/>
  <c r="W547" i="29"/>
  <c r="AA547" i="29" s="1"/>
  <c r="X467" i="29"/>
  <c r="Y467" i="29" s="1"/>
  <c r="AG88" i="29"/>
  <c r="W144" i="29"/>
  <c r="AA144" i="29" s="1"/>
  <c r="AG501" i="29"/>
  <c r="W302" i="29"/>
  <c r="AA302" i="29" s="1"/>
  <c r="AH167" i="29"/>
  <c r="AG541" i="29"/>
  <c r="W180" i="29"/>
  <c r="AA180" i="29" s="1"/>
  <c r="W293" i="29"/>
  <c r="AA293" i="29" s="1"/>
  <c r="AG516" i="29"/>
  <c r="AH536" i="29"/>
  <c r="X395" i="29"/>
  <c r="Y395" i="29" s="1"/>
  <c r="AH97" i="29"/>
  <c r="W282" i="29"/>
  <c r="AA282" i="29" s="1"/>
  <c r="AG125" i="29"/>
  <c r="AH169" i="29"/>
  <c r="AH302" i="29"/>
  <c r="X408" i="29"/>
  <c r="Y408" i="29" s="1"/>
  <c r="W326" i="29"/>
  <c r="AA326" i="29" s="1"/>
  <c r="W334" i="29"/>
  <c r="AA334" i="29" s="1"/>
  <c r="AG488" i="29"/>
  <c r="AH244" i="29"/>
  <c r="AH402" i="29"/>
  <c r="AG566" i="29"/>
  <c r="W491" i="29"/>
  <c r="AA491" i="29" s="1"/>
  <c r="X327" i="29"/>
  <c r="Y327" i="29" s="1"/>
  <c r="AG77" i="29"/>
  <c r="W312" i="29"/>
  <c r="AA312" i="29" s="1"/>
  <c r="AH39" i="29"/>
  <c r="AH206" i="29"/>
  <c r="AG327" i="29"/>
  <c r="AG500" i="29"/>
  <c r="X357" i="29"/>
  <c r="Y357" i="29" s="1"/>
  <c r="X263" i="29"/>
  <c r="Y263" i="29" s="1"/>
  <c r="AG567" i="29"/>
  <c r="AG161" i="29"/>
  <c r="AG288" i="29"/>
  <c r="AG372" i="29"/>
  <c r="AG575" i="29"/>
  <c r="AH533" i="29"/>
  <c r="W536" i="29"/>
  <c r="AA536" i="29" s="1"/>
  <c r="X604" i="29"/>
  <c r="Y604" i="29" s="1"/>
  <c r="X305" i="29"/>
  <c r="Y305" i="29" s="1"/>
  <c r="W548" i="29"/>
  <c r="AA548" i="29" s="1"/>
  <c r="W518" i="29"/>
  <c r="AA518" i="29" s="1"/>
  <c r="X587" i="29"/>
  <c r="Y587" i="29" s="1"/>
  <c r="W287" i="29"/>
  <c r="AA287" i="29" s="1"/>
  <c r="AG131" i="29"/>
  <c r="W350" i="29"/>
  <c r="AH270" i="29"/>
  <c r="AH484" i="29"/>
  <c r="AH612" i="29"/>
  <c r="W474" i="29"/>
  <c r="AA474" i="29" s="1"/>
  <c r="W599" i="29"/>
  <c r="AA599" i="29" s="1"/>
  <c r="AG456" i="29"/>
  <c r="AH117" i="29"/>
  <c r="AH43" i="29"/>
  <c r="AH184" i="29"/>
  <c r="AH462" i="29"/>
  <c r="W178" i="29"/>
  <c r="AA178" i="29" s="1"/>
  <c r="AH313" i="29"/>
  <c r="AH279" i="29"/>
  <c r="X254" i="29"/>
  <c r="Y254" i="29" s="1"/>
  <c r="AG280" i="29"/>
  <c r="W226" i="29"/>
  <c r="AA226" i="29" s="1"/>
  <c r="AH542" i="29"/>
  <c r="W450" i="29"/>
  <c r="AA450" i="29" s="1"/>
  <c r="X346" i="29"/>
  <c r="Y346" i="29" s="1"/>
  <c r="X315" i="29"/>
  <c r="Y315" i="29" s="1"/>
  <c r="AH556" i="29"/>
  <c r="AH576" i="29"/>
  <c r="AG530" i="29"/>
  <c r="W274" i="29"/>
  <c r="AA274" i="29" s="1"/>
  <c r="AH189" i="29"/>
  <c r="AG538" i="29"/>
  <c r="AH264" i="29"/>
  <c r="W473" i="29"/>
  <c r="AA473" i="29" s="1"/>
  <c r="AG522" i="29"/>
  <c r="AG578" i="29"/>
  <c r="X572" i="29"/>
  <c r="Y572" i="29" s="1"/>
  <c r="AG593" i="29"/>
  <c r="AH351" i="29"/>
  <c r="AH124" i="29"/>
  <c r="X351" i="29"/>
  <c r="Y351" i="29" s="1"/>
  <c r="X223" i="29"/>
  <c r="Y223" i="29" s="1"/>
  <c r="AG238" i="29"/>
  <c r="AH582" i="29"/>
  <c r="W604" i="29"/>
  <c r="AA604" i="29" s="1"/>
  <c r="AG67" i="29"/>
  <c r="W106" i="29"/>
  <c r="AA106" i="29" s="1"/>
  <c r="AH325" i="29"/>
  <c r="AH29" i="29"/>
  <c r="X94" i="29"/>
  <c r="Y94" i="29" s="1"/>
  <c r="AG600" i="29"/>
  <c r="AG572" i="29"/>
  <c r="X609" i="29"/>
  <c r="Y609" i="29" s="1"/>
  <c r="AG81" i="29"/>
  <c r="AG97" i="29"/>
  <c r="AG184" i="29"/>
  <c r="X125" i="29"/>
  <c r="Y125" i="29" s="1"/>
  <c r="AG293" i="29"/>
  <c r="W41" i="29"/>
  <c r="AA41" i="29" s="1"/>
  <c r="AH183" i="29"/>
  <c r="W169" i="29"/>
  <c r="AA169" i="29" s="1"/>
  <c r="X326" i="29"/>
  <c r="Y326" i="29" s="1"/>
  <c r="X210" i="29"/>
  <c r="Y210" i="29" s="1"/>
  <c r="AG415" i="29"/>
  <c r="AH113" i="29"/>
  <c r="X482" i="29"/>
  <c r="Y482" i="29" s="1"/>
  <c r="X289" i="29"/>
  <c r="Y289" i="29" s="1"/>
  <c r="AG86" i="29"/>
  <c r="AG492" i="29"/>
  <c r="W70" i="29"/>
  <c r="AA70" i="29" s="1"/>
  <c r="AG26" i="29"/>
  <c r="X528" i="29"/>
  <c r="Y528" i="29" s="1"/>
  <c r="W210" i="29"/>
  <c r="AA210" i="29" s="1"/>
  <c r="X548" i="29"/>
  <c r="Y548" i="29" s="1"/>
  <c r="AH468" i="29"/>
  <c r="AH543" i="29"/>
  <c r="AG336" i="29"/>
  <c r="X489" i="29"/>
  <c r="Y489" i="29" s="1"/>
  <c r="X201" i="29"/>
  <c r="Y201" i="29" s="1"/>
  <c r="AG601" i="29"/>
  <c r="AH134" i="29"/>
  <c r="AG319" i="29"/>
  <c r="W592" i="29"/>
  <c r="AA592" i="29" s="1"/>
  <c r="W264" i="29"/>
  <c r="AJ263" i="29" s="1"/>
  <c r="AK263" i="29" s="1"/>
  <c r="X67" i="29"/>
  <c r="Y67" i="29" s="1"/>
  <c r="AH288" i="29"/>
  <c r="AG483" i="29"/>
  <c r="AH592" i="29"/>
  <c r="AH551" i="29"/>
  <c r="W325" i="29"/>
  <c r="AA325" i="29" s="1"/>
  <c r="AH271" i="29"/>
  <c r="AH336" i="29"/>
  <c r="AG370" i="29"/>
  <c r="AG158" i="29"/>
  <c r="AG94" i="29"/>
  <c r="AG252" i="29"/>
  <c r="W204" i="29"/>
  <c r="AA204" i="29" s="1"/>
  <c r="W311" i="29"/>
  <c r="AA311" i="29" s="1"/>
  <c r="X558" i="29"/>
  <c r="Y558" i="29" s="1"/>
  <c r="AH367" i="29"/>
  <c r="AH500" i="29"/>
  <c r="AG357" i="29"/>
  <c r="AG242" i="29"/>
  <c r="W568" i="29"/>
  <c r="AA568" i="29" s="1"/>
  <c r="AG41" i="29"/>
  <c r="AE377" i="29"/>
  <c r="X377" i="29"/>
  <c r="Y377" i="29" s="1"/>
  <c r="AG552" i="29"/>
  <c r="W552" i="29"/>
  <c r="AA552" i="29" s="1"/>
  <c r="W513" i="29"/>
  <c r="AA513" i="29" s="1"/>
  <c r="AG513" i="29"/>
  <c r="W485" i="29"/>
  <c r="AJ485" i="29" s="1"/>
  <c r="AK485" i="29" s="1"/>
  <c r="AG485" i="29"/>
  <c r="AG119" i="29"/>
  <c r="W119" i="29"/>
  <c r="AA119" i="29" s="1"/>
  <c r="W234" i="29"/>
  <c r="AG234" i="29"/>
  <c r="AG209" i="29"/>
  <c r="U243" i="29"/>
  <c r="AG243" i="29" s="1"/>
  <c r="V243" i="29"/>
  <c r="AH243" i="29" s="1"/>
  <c r="AH486" i="29"/>
  <c r="X486" i="29"/>
  <c r="Y486" i="29" s="1"/>
  <c r="V109" i="29"/>
  <c r="AH109" i="29" s="1"/>
  <c r="U109" i="29"/>
  <c r="U338" i="29"/>
  <c r="V338" i="29"/>
  <c r="W433" i="29"/>
  <c r="AA433" i="29" s="1"/>
  <c r="X331" i="29"/>
  <c r="Y331" i="29" s="1"/>
  <c r="AH568" i="29"/>
  <c r="X568" i="29"/>
  <c r="Y568" i="29" s="1"/>
  <c r="AG523" i="29"/>
  <c r="W523" i="29"/>
  <c r="AA523" i="29" s="1"/>
  <c r="AH361" i="29"/>
  <c r="W551" i="29"/>
  <c r="AA551" i="29" s="1"/>
  <c r="AG551" i="29"/>
  <c r="AG418" i="29"/>
  <c r="AG364" i="29"/>
  <c r="W364" i="29"/>
  <c r="AA364" i="29" s="1"/>
  <c r="AG329" i="29"/>
  <c r="W329" i="29"/>
  <c r="AA329" i="29" s="1"/>
  <c r="U574" i="29"/>
  <c r="W574" i="29" s="1"/>
  <c r="AA574" i="29" s="1"/>
  <c r="V574" i="29"/>
  <c r="AH574" i="29" s="1"/>
  <c r="AG576" i="29"/>
  <c r="X81" i="29"/>
  <c r="Y81" i="29" s="1"/>
  <c r="AH81" i="29"/>
  <c r="AH359" i="29"/>
  <c r="X359" i="29"/>
  <c r="Y359" i="29" s="1"/>
  <c r="U494" i="29"/>
  <c r="V494" i="29"/>
  <c r="AH494" i="29" s="1"/>
  <c r="W383" i="29"/>
  <c r="AA383" i="29" s="1"/>
  <c r="X288" i="29"/>
  <c r="Y288" i="29" s="1"/>
  <c r="V177" i="29"/>
  <c r="U177" i="29"/>
  <c r="X44" i="29"/>
  <c r="Y44" i="29" s="1"/>
  <c r="AH44" i="29"/>
  <c r="W244" i="29"/>
  <c r="AA244" i="29" s="1"/>
  <c r="AG244" i="29"/>
  <c r="AG436" i="29"/>
  <c r="W315" i="29"/>
  <c r="AA315" i="29" s="1"/>
  <c r="AG315" i="29"/>
  <c r="AG399" i="29"/>
  <c r="W399" i="29"/>
  <c r="AA399" i="29" s="1"/>
  <c r="AH57" i="29"/>
  <c r="U112" i="29"/>
  <c r="V112" i="29"/>
  <c r="AH112" i="29" s="1"/>
  <c r="AH348" i="29"/>
  <c r="X348" i="29"/>
  <c r="Y348" i="29" s="1"/>
  <c r="AE624" i="29"/>
  <c r="X385" i="29"/>
  <c r="Y385" i="29" s="1"/>
  <c r="AH385" i="29"/>
  <c r="AH499" i="29"/>
  <c r="AG245" i="29"/>
  <c r="W245" i="29"/>
  <c r="AA245" i="29" s="1"/>
  <c r="AH168" i="29"/>
  <c r="X168" i="29"/>
  <c r="Y168" i="29" s="1"/>
  <c r="AG426" i="29"/>
  <c r="AH227" i="29"/>
  <c r="AH309" i="29"/>
  <c r="AG512" i="29"/>
  <c r="AH238" i="29"/>
  <c r="AG482" i="29"/>
  <c r="W482" i="29"/>
  <c r="AA482" i="29" s="1"/>
  <c r="U349" i="29"/>
  <c r="AG349" i="29" s="1"/>
  <c r="V349" i="29"/>
  <c r="X349" i="29" s="1"/>
  <c r="Y349" i="29" s="1"/>
  <c r="AG232" i="29"/>
  <c r="W232" i="29"/>
  <c r="AA232" i="29" s="1"/>
  <c r="V554" i="29"/>
  <c r="X554" i="29" s="1"/>
  <c r="Y554" i="29" s="1"/>
  <c r="U554" i="29"/>
  <c r="W554" i="29" s="1"/>
  <c r="AA554" i="29" s="1"/>
  <c r="V487" i="29"/>
  <c r="AH487" i="29" s="1"/>
  <c r="U487" i="29"/>
  <c r="W487" i="29" s="1"/>
  <c r="AJ486" i="29" s="1"/>
  <c r="AK486" i="29" s="1"/>
  <c r="AG528" i="29"/>
  <c r="W528" i="29"/>
  <c r="AA528" i="29" s="1"/>
  <c r="W297" i="29"/>
  <c r="AA297" i="29" s="1"/>
  <c r="AH77" i="29"/>
  <c r="AH263" i="29"/>
  <c r="X476" i="29"/>
  <c r="Y476" i="29" s="1"/>
  <c r="AG489" i="29"/>
  <c r="AH18" i="29"/>
  <c r="U321" i="29"/>
  <c r="W321" i="29" s="1"/>
  <c r="AA321" i="29" s="1"/>
  <c r="V321" i="29"/>
  <c r="V318" i="29"/>
  <c r="U318" i="29"/>
  <c r="AH388" i="29"/>
  <c r="X388" i="29"/>
  <c r="Y388" i="29" s="1"/>
  <c r="AG13" i="29"/>
  <c r="W13" i="29"/>
  <c r="AA13" i="29" s="1"/>
  <c r="AG316" i="29"/>
  <c r="X23" i="29"/>
  <c r="Y23" i="29" s="1"/>
  <c r="AH23" i="29"/>
  <c r="X143" i="29"/>
  <c r="Y143" i="29" s="1"/>
  <c r="AH143" i="29"/>
  <c r="AH21" i="29"/>
  <c r="AH178" i="29"/>
  <c r="X178" i="29"/>
  <c r="Y178" i="29" s="1"/>
  <c r="AH479" i="29"/>
  <c r="X479" i="29"/>
  <c r="Y479" i="29" s="1"/>
  <c r="AG318" i="29"/>
  <c r="AH525" i="29"/>
  <c r="X555" i="29"/>
  <c r="Y555" i="29" s="1"/>
  <c r="AG502" i="29"/>
  <c r="W502" i="29"/>
  <c r="AA502" i="29" s="1"/>
  <c r="AH314" i="29"/>
  <c r="W597" i="29"/>
  <c r="AA597" i="29" s="1"/>
  <c r="AG597" i="29"/>
  <c r="W370" i="29"/>
  <c r="AJ370" i="29" s="1"/>
  <c r="AK370" i="29" s="1"/>
  <c r="U331" i="29"/>
  <c r="W331" i="29" s="1"/>
  <c r="AA331" i="29" s="1"/>
  <c r="V331" i="29"/>
  <c r="AH331" i="29" s="1"/>
  <c r="X535" i="29"/>
  <c r="Y535" i="29" s="1"/>
  <c r="AH535" i="29"/>
  <c r="W158" i="29"/>
  <c r="AA158" i="29" s="1"/>
  <c r="W405" i="29"/>
  <c r="AA405" i="29" s="1"/>
  <c r="X226" i="29"/>
  <c r="Y226" i="29" s="1"/>
  <c r="W347" i="29"/>
  <c r="AA347" i="29" s="1"/>
  <c r="U42" i="29"/>
  <c r="AG42" i="29" s="1"/>
  <c r="V42" i="29"/>
  <c r="X42" i="29" s="1"/>
  <c r="Y42" i="29" s="1"/>
  <c r="X540" i="29"/>
  <c r="Y540" i="29" s="1"/>
  <c r="U140" i="29"/>
  <c r="W140" i="29" s="1"/>
  <c r="AA140" i="29" s="1"/>
  <c r="V140" i="29"/>
  <c r="AH140" i="29" s="1"/>
  <c r="V96" i="29"/>
  <c r="U96" i="29"/>
  <c r="AH261" i="29"/>
  <c r="X261" i="29"/>
  <c r="Y261" i="29" s="1"/>
  <c r="AG383" i="29"/>
  <c r="AH429" i="29"/>
  <c r="X429" i="29"/>
  <c r="Y429" i="29" s="1"/>
  <c r="AH323" i="29"/>
  <c r="AH424" i="29"/>
  <c r="X424" i="29"/>
  <c r="Y424" i="29" s="1"/>
  <c r="W582" i="29"/>
  <c r="AA582" i="29" s="1"/>
  <c r="AG582" i="29"/>
  <c r="AH299" i="29"/>
  <c r="X299" i="29"/>
  <c r="Y299" i="29" s="1"/>
  <c r="W328" i="29"/>
  <c r="AA328" i="29" s="1"/>
  <c r="AG328" i="29"/>
  <c r="AH528" i="29"/>
  <c r="AH265" i="29"/>
  <c r="X265" i="29"/>
  <c r="Y265" i="29" s="1"/>
  <c r="W254" i="29"/>
  <c r="AJ253" i="29" s="1"/>
  <c r="AK253" i="29" s="1"/>
  <c r="AG254" i="29"/>
  <c r="AG387" i="29"/>
  <c r="V418" i="29"/>
  <c r="U418" i="29"/>
  <c r="W418" i="29" s="1"/>
  <c r="AG385" i="29"/>
  <c r="AE21" i="29"/>
  <c r="X21" i="29"/>
  <c r="Y21" i="29" s="1"/>
  <c r="AD512" i="29"/>
  <c r="W512" i="29"/>
  <c r="AA512" i="29" s="1"/>
  <c r="X267" i="29"/>
  <c r="Y267" i="29" s="1"/>
  <c r="AD484" i="29"/>
  <c r="W484" i="29"/>
  <c r="AA484" i="29" s="1"/>
  <c r="AE520" i="29"/>
  <c r="AE383" i="29"/>
  <c r="X383" i="29"/>
  <c r="Y383" i="29" s="1"/>
  <c r="AE62" i="29"/>
  <c r="X62" i="29"/>
  <c r="Y62" i="29" s="1"/>
  <c r="AE209" i="29"/>
  <c r="X209" i="29"/>
  <c r="Y209" i="29" s="1"/>
  <c r="AE234" i="29"/>
  <c r="X234" i="29"/>
  <c r="Y234" i="29" s="1"/>
  <c r="X427" i="29"/>
  <c r="Y427" i="29" s="1"/>
  <c r="AD55" i="29"/>
  <c r="W55" i="29"/>
  <c r="AA55" i="29" s="1"/>
  <c r="AD281" i="29"/>
  <c r="AD189" i="29"/>
  <c r="W189" i="29"/>
  <c r="AA189" i="29" s="1"/>
  <c r="AE244" i="29"/>
  <c r="X244" i="29"/>
  <c r="Y244" i="29" s="1"/>
  <c r="AD248" i="29"/>
  <c r="W248" i="29"/>
  <c r="AA248" i="29" s="1"/>
  <c r="V222" i="29"/>
  <c r="AH222" i="29" s="1"/>
  <c r="U222" i="29"/>
  <c r="X155" i="29"/>
  <c r="Y155" i="29" s="1"/>
  <c r="X611" i="29"/>
  <c r="Y611" i="29" s="1"/>
  <c r="V114" i="29"/>
  <c r="U114" i="29"/>
  <c r="AG114" i="29" s="1"/>
  <c r="AG263" i="29"/>
  <c r="AH148" i="29"/>
  <c r="X530" i="29"/>
  <c r="Y530" i="29" s="1"/>
  <c r="AH530" i="29"/>
  <c r="X45" i="29"/>
  <c r="Y45" i="29" s="1"/>
  <c r="AH45" i="29"/>
  <c r="X313" i="29"/>
  <c r="Y313" i="29" s="1"/>
  <c r="X451" i="29"/>
  <c r="Y451" i="29" s="1"/>
  <c r="X368" i="29"/>
  <c r="Y368" i="29" s="1"/>
  <c r="AH71" i="29"/>
  <c r="AH203" i="29"/>
  <c r="AG331" i="29"/>
  <c r="U50" i="29"/>
  <c r="W50" i="29" s="1"/>
  <c r="AA50" i="29" s="1"/>
  <c r="V50" i="29"/>
  <c r="AH50" i="29" s="1"/>
  <c r="AE290" i="29"/>
  <c r="X290" i="29"/>
  <c r="Y290" i="29" s="1"/>
  <c r="AE516" i="29"/>
  <c r="X516" i="29"/>
  <c r="Y516" i="29" s="1"/>
  <c r="X502" i="29"/>
  <c r="Y502" i="29" s="1"/>
  <c r="AE502" i="29"/>
  <c r="AD357" i="29"/>
  <c r="W357" i="29"/>
  <c r="AA357" i="29" s="1"/>
  <c r="W497" i="29"/>
  <c r="AA497" i="29" s="1"/>
  <c r="AD408" i="29"/>
  <c r="W408" i="29"/>
  <c r="AD209" i="29"/>
  <c r="W209" i="29"/>
  <c r="AA209" i="29" s="1"/>
  <c r="W442" i="29"/>
  <c r="AA442" i="29" s="1"/>
  <c r="W468" i="29"/>
  <c r="AD81" i="29"/>
  <c r="W81" i="29"/>
  <c r="AA81" i="29" s="1"/>
  <c r="AD318" i="29"/>
  <c r="W318" i="29"/>
  <c r="AA318" i="29" s="1"/>
  <c r="AE602" i="29"/>
  <c r="X602" i="29"/>
  <c r="Y602" i="29" s="1"/>
  <c r="AE474" i="29"/>
  <c r="AD66" i="29"/>
  <c r="AG389" i="29"/>
  <c r="W381" i="29"/>
  <c r="AA381" i="29" s="1"/>
  <c r="AG381" i="29"/>
  <c r="W332" i="29"/>
  <c r="X249" i="29"/>
  <c r="Y249" i="29" s="1"/>
  <c r="U147" i="29"/>
  <c r="X78" i="29"/>
  <c r="Y78" i="29" s="1"/>
  <c r="X336" i="29"/>
  <c r="Y336" i="29" s="1"/>
  <c r="AE242" i="29"/>
  <c r="X242" i="29"/>
  <c r="Y242" i="29" s="1"/>
  <c r="AD238" i="29"/>
  <c r="W238" i="29"/>
  <c r="AA238" i="29" s="1"/>
  <c r="AE148" i="29"/>
  <c r="AE192" i="29"/>
  <c r="X192" i="29"/>
  <c r="Y192" i="29" s="1"/>
  <c r="AE471" i="29"/>
  <c r="X471" i="29"/>
  <c r="Y471" i="29" s="1"/>
  <c r="W445" i="29"/>
  <c r="AA445" i="29" s="1"/>
  <c r="AE231" i="29"/>
  <c r="AE452" i="29"/>
  <c r="X452" i="29"/>
  <c r="Y452" i="29" s="1"/>
  <c r="AE55" i="29"/>
  <c r="X55" i="29"/>
  <c r="Y55" i="29" s="1"/>
  <c r="AE311" i="29"/>
  <c r="X311" i="29"/>
  <c r="Y311" i="29" s="1"/>
  <c r="AD391" i="29"/>
  <c r="W391" i="29"/>
  <c r="AA391" i="29" s="1"/>
  <c r="AE140" i="29"/>
  <c r="X140" i="29"/>
  <c r="Y140" i="29" s="1"/>
  <c r="AE278" i="29"/>
  <c r="X278" i="29"/>
  <c r="Y278" i="29" s="1"/>
  <c r="AE203" i="29"/>
  <c r="X203" i="29"/>
  <c r="Y203" i="29" s="1"/>
  <c r="AE109" i="29"/>
  <c r="X109" i="29"/>
  <c r="Y109" i="29" s="1"/>
  <c r="AD246" i="29"/>
  <c r="W246" i="29"/>
  <c r="AA246" i="29" s="1"/>
  <c r="AG174" i="29"/>
  <c r="V225" i="29"/>
  <c r="X225" i="29" s="1"/>
  <c r="Y225" i="29" s="1"/>
  <c r="U225" i="29"/>
  <c r="W225" i="29" s="1"/>
  <c r="AA225" i="29" s="1"/>
  <c r="X342" i="29"/>
  <c r="Y342" i="29" s="1"/>
  <c r="W107" i="29"/>
  <c r="AA107" i="29" s="1"/>
  <c r="X260" i="29"/>
  <c r="Y260" i="29" s="1"/>
  <c r="AG24" i="29"/>
  <c r="AH477" i="29"/>
  <c r="AD501" i="29"/>
  <c r="W501" i="29"/>
  <c r="AA501" i="29" s="1"/>
  <c r="AE50" i="29"/>
  <c r="AE366" i="29"/>
  <c r="X366" i="29"/>
  <c r="Y366" i="29" s="1"/>
  <c r="W369" i="29"/>
  <c r="AA369" i="29" s="1"/>
  <c r="AE91" i="29"/>
  <c r="X91" i="29"/>
  <c r="Y91" i="29" s="1"/>
  <c r="AE330" i="29"/>
  <c r="AE15" i="29"/>
  <c r="X15" i="29"/>
  <c r="Y15" i="29" s="1"/>
  <c r="AE434" i="29"/>
  <c r="X434" i="29"/>
  <c r="Y434" i="29" s="1"/>
  <c r="AE246" i="29"/>
  <c r="X246" i="29"/>
  <c r="Y246" i="29" s="1"/>
  <c r="AD458" i="29"/>
  <c r="W458" i="29"/>
  <c r="AA458" i="29" s="1"/>
  <c r="AE227" i="29"/>
  <c r="X227" i="29"/>
  <c r="Y227" i="29" s="1"/>
  <c r="AD476" i="29"/>
  <c r="AD276" i="29"/>
  <c r="W276" i="29"/>
  <c r="AA276" i="29" s="1"/>
  <c r="AE204" i="29"/>
  <c r="X204" i="29"/>
  <c r="Y204" i="29" s="1"/>
  <c r="AE24" i="29"/>
  <c r="X24" i="29"/>
  <c r="Y24" i="29" s="1"/>
  <c r="AD333" i="29"/>
  <c r="U427" i="29"/>
  <c r="W427" i="29" s="1"/>
  <c r="AA427" i="29" s="1"/>
  <c r="V427" i="29"/>
  <c r="AH427" i="29" s="1"/>
  <c r="X13" i="29"/>
  <c r="Y13" i="29" s="1"/>
  <c r="X593" i="29"/>
  <c r="Y593" i="29" s="1"/>
  <c r="AH593" i="29"/>
  <c r="W447" i="29"/>
  <c r="AA447" i="29" s="1"/>
  <c r="AH609" i="29"/>
  <c r="AE403" i="29"/>
  <c r="X403" i="29"/>
  <c r="Y403" i="29" s="1"/>
  <c r="AD239" i="29"/>
  <c r="W239" i="29"/>
  <c r="AE150" i="29"/>
  <c r="X150" i="29"/>
  <c r="Y150" i="29" s="1"/>
  <c r="AE335" i="29"/>
  <c r="X335" i="29"/>
  <c r="Y335" i="29" s="1"/>
  <c r="AE145" i="29"/>
  <c r="AE411" i="29"/>
  <c r="AD155" i="29"/>
  <c r="W155" i="29"/>
  <c r="AA155" i="29" s="1"/>
  <c r="AD286" i="29"/>
  <c r="W286" i="29"/>
  <c r="AD426" i="29"/>
  <c r="W426" i="29"/>
  <c r="AA426" i="29" s="1"/>
  <c r="AE576" i="29"/>
  <c r="X576" i="29"/>
  <c r="Y576" i="29" s="1"/>
  <c r="AE130" i="29"/>
  <c r="X130" i="29"/>
  <c r="Y130" i="29" s="1"/>
  <c r="AD140" i="29"/>
  <c r="AE271" i="29"/>
  <c r="X271" i="29"/>
  <c r="Y271" i="29" s="1"/>
  <c r="AD566" i="29"/>
  <c r="X269" i="29"/>
  <c r="Y269" i="29" s="1"/>
  <c r="W367" i="29"/>
  <c r="X361" i="29"/>
  <c r="Y361" i="29" s="1"/>
  <c r="AH120" i="29"/>
  <c r="X41" i="29"/>
  <c r="Y41" i="29" s="1"/>
  <c r="X236" i="29"/>
  <c r="Y236" i="29" s="1"/>
  <c r="U439" i="29"/>
  <c r="W439" i="29" s="1"/>
  <c r="X319" i="29"/>
  <c r="Y319" i="29" s="1"/>
  <c r="X416" i="29"/>
  <c r="Y416" i="29" s="1"/>
  <c r="AG514" i="29"/>
  <c r="W355" i="29"/>
  <c r="AA355" i="29" s="1"/>
  <c r="W534" i="29"/>
  <c r="AA534" i="29" s="1"/>
  <c r="AG527" i="29"/>
  <c r="W294" i="29"/>
  <c r="AG413" i="29"/>
  <c r="W108" i="29"/>
  <c r="AA108" i="29" s="1"/>
  <c r="W351" i="29"/>
  <c r="AA351" i="29" s="1"/>
  <c r="AG137" i="29"/>
  <c r="AH275" i="29"/>
  <c r="AG325" i="29"/>
  <c r="AH67" i="29"/>
  <c r="X561" i="29"/>
  <c r="Y561" i="29" s="1"/>
  <c r="AG396" i="29"/>
  <c r="AG519" i="29"/>
  <c r="AG499" i="29"/>
  <c r="AE243" i="29"/>
  <c r="AD214" i="29"/>
  <c r="W268" i="29"/>
  <c r="AA268" i="29" s="1"/>
  <c r="AD304" i="29"/>
  <c r="W304" i="29"/>
  <c r="AA304" i="29" s="1"/>
  <c r="AD556" i="29"/>
  <c r="W556" i="29"/>
  <c r="AA556" i="29" s="1"/>
  <c r="AD175" i="29"/>
  <c r="L625" i="29"/>
  <c r="R625" i="29"/>
  <c r="T625" i="29"/>
  <c r="I625" i="29"/>
  <c r="K625" i="29"/>
  <c r="O625" i="29"/>
  <c r="V625" i="29"/>
  <c r="J625" i="29"/>
  <c r="AH625" i="29" s="1"/>
  <c r="S625" i="29"/>
  <c r="P625" i="29"/>
  <c r="Q625" i="29"/>
  <c r="U625" i="29"/>
  <c r="AE374" i="29"/>
  <c r="AD474" i="29"/>
  <c r="AE556" i="29"/>
  <c r="AE578" i="29"/>
  <c r="AE446" i="29"/>
  <c r="X446" i="29"/>
  <c r="Y446" i="29" s="1"/>
  <c r="U306" i="29"/>
  <c r="V306" i="29"/>
  <c r="U291" i="29"/>
  <c r="V291" i="29"/>
  <c r="X291" i="29" s="1"/>
  <c r="Y291" i="29" s="1"/>
  <c r="AD471" i="29"/>
  <c r="W471" i="29"/>
  <c r="AA471" i="29" s="1"/>
  <c r="AE309" i="29"/>
  <c r="AD255" i="29"/>
  <c r="W255" i="29"/>
  <c r="AA255" i="29" s="1"/>
  <c r="AH54" i="29"/>
  <c r="X72" i="29"/>
  <c r="Y72" i="29" s="1"/>
  <c r="AG594" i="29"/>
  <c r="W30" i="29"/>
  <c r="AA30" i="29" s="1"/>
  <c r="X70" i="29"/>
  <c r="Y70" i="29" s="1"/>
  <c r="AG195" i="29"/>
  <c r="W305" i="29"/>
  <c r="AA305" i="29" s="1"/>
  <c r="X398" i="29"/>
  <c r="Y398" i="29" s="1"/>
  <c r="X284" i="29"/>
  <c r="Y284" i="29" s="1"/>
  <c r="AG236" i="29"/>
  <c r="W382" i="29"/>
  <c r="AA382" i="29" s="1"/>
  <c r="X241" i="29"/>
  <c r="Y241" i="29" s="1"/>
  <c r="AG438" i="29"/>
  <c r="W127" i="29"/>
  <c r="AA127" i="29" s="1"/>
  <c r="AH137" i="29"/>
  <c r="W100" i="29"/>
  <c r="AA100" i="29" s="1"/>
  <c r="X562" i="29"/>
  <c r="Y562" i="29" s="1"/>
  <c r="AD480" i="29"/>
  <c r="W407" i="29"/>
  <c r="AA407" i="29" s="1"/>
  <c r="AD134" i="29"/>
  <c r="W583" i="29"/>
  <c r="AA583" i="29" s="1"/>
  <c r="AE89" i="29"/>
  <c r="AD563" i="29"/>
  <c r="W499" i="29"/>
  <c r="AD349" i="29"/>
  <c r="W349" i="29"/>
  <c r="AA349" i="29" s="1"/>
  <c r="AD257" i="29"/>
  <c r="W257" i="29"/>
  <c r="AA257" i="29" s="1"/>
  <c r="AD533" i="29"/>
  <c r="W533" i="29"/>
  <c r="AA533" i="29" s="1"/>
  <c r="AD228" i="29"/>
  <c r="AE571" i="29"/>
  <c r="V499" i="29"/>
  <c r="X499" i="29" s="1"/>
  <c r="Y499" i="29" s="1"/>
  <c r="U499" i="29"/>
  <c r="AD403" i="29"/>
  <c r="AE370" i="29"/>
  <c r="AE391" i="29"/>
  <c r="AE361" i="29"/>
  <c r="AD53" i="29"/>
  <c r="X161" i="29"/>
  <c r="Y161" i="29" s="1"/>
  <c r="AH554" i="29"/>
  <c r="AD91" i="29"/>
  <c r="X300" i="29"/>
  <c r="Y300" i="29" s="1"/>
  <c r="AD502" i="29"/>
  <c r="X627" i="29"/>
  <c r="Y627" i="29" s="1"/>
  <c r="AD483" i="29"/>
  <c r="AH252" i="29"/>
  <c r="W284" i="29"/>
  <c r="AA284" i="29" s="1"/>
  <c r="X256" i="29"/>
  <c r="Y256" i="29" s="1"/>
  <c r="W524" i="29"/>
  <c r="AA524" i="29" s="1"/>
  <c r="AH330" i="29"/>
  <c r="X127" i="29"/>
  <c r="Y127" i="29" s="1"/>
  <c r="X488" i="29"/>
  <c r="Y488" i="29" s="1"/>
  <c r="W500" i="29"/>
  <c r="AA500" i="29" s="1"/>
  <c r="AG414" i="29"/>
  <c r="AH485" i="29"/>
  <c r="AG390" i="29"/>
  <c r="X306" i="29"/>
  <c r="Y306" i="29" s="1"/>
  <c r="AG425" i="29"/>
  <c r="AH596" i="29"/>
  <c r="AG568" i="29"/>
  <c r="W150" i="29"/>
  <c r="AA150" i="29" s="1"/>
  <c r="AE382" i="29"/>
  <c r="AE524" i="29"/>
  <c r="V248" i="29"/>
  <c r="U248" i="29"/>
  <c r="AG248" i="29" s="1"/>
  <c r="AD492" i="29"/>
  <c r="AE384" i="29"/>
  <c r="AD571" i="29"/>
  <c r="AD430" i="29"/>
  <c r="AE497" i="29"/>
  <c r="V588" i="29"/>
  <c r="AH588" i="29" s="1"/>
  <c r="U588" i="29"/>
  <c r="AE189" i="29"/>
  <c r="X189" i="29"/>
  <c r="Y189" i="29" s="1"/>
  <c r="AE386" i="29"/>
  <c r="X560" i="29"/>
  <c r="Y560" i="29" s="1"/>
  <c r="W346" i="29"/>
  <c r="AA346" i="29" s="1"/>
  <c r="AG264" i="29"/>
  <c r="AG335" i="29"/>
  <c r="X108" i="29"/>
  <c r="Y108" i="29" s="1"/>
  <c r="U231" i="29"/>
  <c r="AG231" i="29" s="1"/>
  <c r="V231" i="29"/>
  <c r="AH231" i="29" s="1"/>
  <c r="W299" i="29"/>
  <c r="AA299" i="29" s="1"/>
  <c r="AG299" i="29"/>
  <c r="AD580" i="29"/>
  <c r="W64" i="29"/>
  <c r="AA64" i="29" s="1"/>
  <c r="W223" i="29"/>
  <c r="AA223" i="29" s="1"/>
  <c r="AH101" i="29"/>
  <c r="W545" i="29"/>
  <c r="AA545" i="29" s="1"/>
  <c r="W320" i="29"/>
  <c r="AA320" i="29" s="1"/>
  <c r="X287" i="29"/>
  <c r="Y287" i="29" s="1"/>
  <c r="AH56" i="29"/>
  <c r="W45" i="29"/>
  <c r="AA45" i="29" s="1"/>
  <c r="AG109" i="29"/>
  <c r="X298" i="29"/>
  <c r="Y298" i="29" s="1"/>
  <c r="AH223" i="29"/>
  <c r="AG23" i="29"/>
  <c r="AE585" i="29"/>
  <c r="W368" i="29"/>
  <c r="AA368" i="29" s="1"/>
  <c r="AG368" i="29"/>
  <c r="U148" i="29"/>
  <c r="W148" i="29" s="1"/>
  <c r="AA148" i="29" s="1"/>
  <c r="V148" i="29"/>
  <c r="X148" i="29" s="1"/>
  <c r="Y148" i="29" s="1"/>
  <c r="AD407" i="29"/>
  <c r="U387" i="29"/>
  <c r="W387" i="29" s="1"/>
  <c r="AA387" i="29" s="1"/>
  <c r="V387" i="29"/>
  <c r="AE494" i="29"/>
  <c r="AE181" i="29"/>
  <c r="AE351" i="29"/>
  <c r="AD486" i="29"/>
  <c r="V174" i="29"/>
  <c r="U174" i="29"/>
  <c r="AE292" i="29"/>
  <c r="X292" i="29"/>
  <c r="Y292" i="29" s="1"/>
  <c r="AG374" i="29"/>
  <c r="AH245" i="29"/>
  <c r="X255" i="29"/>
  <c r="Y255" i="29" s="1"/>
  <c r="AH255" i="29"/>
  <c r="O622" i="29"/>
  <c r="I622" i="29"/>
  <c r="J622" i="29"/>
  <c r="L622" i="29"/>
  <c r="T622" i="29"/>
  <c r="K622" i="29"/>
  <c r="R622" i="29"/>
  <c r="V622" i="29"/>
  <c r="S622" i="29"/>
  <c r="Q622" i="29"/>
  <c r="P622" i="29"/>
  <c r="U622" i="29"/>
  <c r="AD442" i="29"/>
  <c r="W76" i="29"/>
  <c r="AA76" i="29" s="1"/>
  <c r="W271" i="29"/>
  <c r="AJ270" i="29" s="1"/>
  <c r="AK270" i="29" s="1"/>
  <c r="X503" i="29"/>
  <c r="Y503" i="29" s="1"/>
  <c r="W93" i="29"/>
  <c r="AA93" i="29" s="1"/>
  <c r="AG510" i="29"/>
  <c r="AH274" i="29"/>
  <c r="X352" i="29"/>
  <c r="Y352" i="29" s="1"/>
  <c r="AG36" i="29"/>
  <c r="X207" i="29"/>
  <c r="Y207" i="29" s="1"/>
  <c r="X47" i="29"/>
  <c r="Y47" i="29" s="1"/>
  <c r="W163" i="29"/>
  <c r="AA163" i="29" s="1"/>
  <c r="W233" i="29"/>
  <c r="AA233" i="29" s="1"/>
  <c r="AH433" i="29"/>
  <c r="AG265" i="29"/>
  <c r="AG273" i="29"/>
  <c r="X96" i="29"/>
  <c r="Y96" i="29" s="1"/>
  <c r="W310" i="29"/>
  <c r="AA310" i="29" s="1"/>
  <c r="AG435" i="29"/>
  <c r="AH510" i="29"/>
  <c r="W535" i="29"/>
  <c r="AA535" i="29" s="1"/>
  <c r="X40" i="29"/>
  <c r="Y40" i="29" s="1"/>
  <c r="AE427" i="29"/>
  <c r="AE327" i="29"/>
  <c r="AD479" i="29"/>
  <c r="AD397" i="29"/>
  <c r="AD454" i="29"/>
  <c r="AD434" i="29"/>
  <c r="AD201" i="29"/>
  <c r="W201" i="29"/>
  <c r="AA201" i="29" s="1"/>
  <c r="W522" i="29"/>
  <c r="AA522" i="29" s="1"/>
  <c r="X575" i="29"/>
  <c r="Y575" i="29" s="1"/>
  <c r="W114" i="29"/>
  <c r="AA114" i="29" s="1"/>
  <c r="X153" i="29"/>
  <c r="Y153" i="29" s="1"/>
  <c r="X477" i="29"/>
  <c r="Y477" i="29" s="1"/>
  <c r="AG70" i="29"/>
  <c r="W348" i="29"/>
  <c r="AG286" i="29"/>
  <c r="W137" i="29"/>
  <c r="AA137" i="29" s="1"/>
  <c r="W626" i="29"/>
  <c r="J636" i="29" s="1"/>
  <c r="W546" i="29"/>
  <c r="W91" i="29"/>
  <c r="AA91" i="29" s="1"/>
  <c r="AH509" i="29"/>
  <c r="W207" i="29"/>
  <c r="AA207" i="29" s="1"/>
  <c r="X65" i="29"/>
  <c r="Y65" i="29" s="1"/>
  <c r="W47" i="29"/>
  <c r="AA47" i="29" s="1"/>
  <c r="AG433" i="29"/>
  <c r="AG183" i="29"/>
  <c r="AD106" i="29"/>
  <c r="AD89" i="29"/>
  <c r="V426" i="29"/>
  <c r="X426" i="29" s="1"/>
  <c r="Y426" i="29" s="1"/>
  <c r="U426" i="29"/>
  <c r="AD300" i="29"/>
  <c r="AD32" i="29"/>
  <c r="V388" i="29"/>
  <c r="U388" i="29"/>
  <c r="W388" i="29" s="1"/>
  <c r="AA388" i="29" s="1"/>
  <c r="AH467" i="29"/>
  <c r="AD359" i="29"/>
  <c r="AE436" i="29"/>
  <c r="AD578" i="29"/>
  <c r="W344" i="29"/>
  <c r="AA344" i="29" s="1"/>
  <c r="W428" i="29"/>
  <c r="AA428" i="29" s="1"/>
  <c r="U281" i="29"/>
  <c r="W281" i="29" s="1"/>
  <c r="V281" i="29"/>
  <c r="AE310" i="29"/>
  <c r="W606" i="29"/>
  <c r="AA606" i="29" s="1"/>
  <c r="W422" i="29"/>
  <c r="AA422" i="29" s="1"/>
  <c r="X556" i="29"/>
  <c r="Y556" i="29" s="1"/>
  <c r="AH213" i="29"/>
  <c r="X112" i="29"/>
  <c r="Y112" i="29" s="1"/>
  <c r="X412" i="29"/>
  <c r="Y412" i="29" s="1"/>
  <c r="W509" i="29"/>
  <c r="AJ509" i="29" s="1"/>
  <c r="AK509" i="29" s="1"/>
  <c r="X354" i="29"/>
  <c r="Y354" i="29" s="1"/>
  <c r="AH426" i="29"/>
  <c r="AH452" i="29"/>
  <c r="W292" i="29"/>
  <c r="AA292" i="29" s="1"/>
  <c r="AE74" i="29"/>
  <c r="U569" i="29"/>
  <c r="V569" i="29"/>
  <c r="X569" i="29" s="1"/>
  <c r="Y569" i="29" s="1"/>
  <c r="U60" i="29"/>
  <c r="AG60" i="29" s="1"/>
  <c r="V60" i="29"/>
  <c r="AE557" i="29"/>
  <c r="AE211" i="29"/>
  <c r="AD237" i="29"/>
  <c r="AD576" i="29"/>
  <c r="W576" i="29"/>
  <c r="AA576" i="29" s="1"/>
  <c r="X240" i="29"/>
  <c r="Y240" i="29" s="1"/>
  <c r="W300" i="29"/>
  <c r="AA300" i="29" s="1"/>
  <c r="W94" i="29"/>
  <c r="W397" i="29"/>
  <c r="AA397" i="29" s="1"/>
  <c r="AH283" i="29"/>
  <c r="AG359" i="29"/>
  <c r="W72" i="29"/>
  <c r="AA72" i="29" s="1"/>
  <c r="X158" i="29"/>
  <c r="Y158" i="29" s="1"/>
  <c r="AH454" i="29"/>
  <c r="X570" i="29"/>
  <c r="Y570" i="29" s="1"/>
  <c r="W506" i="29"/>
  <c r="AA506" i="29" s="1"/>
  <c r="X547" i="29"/>
  <c r="Y547" i="29" s="1"/>
  <c r="AG130" i="29"/>
  <c r="V610" i="29"/>
  <c r="AH610" i="29" s="1"/>
  <c r="U610" i="29"/>
  <c r="U316" i="29"/>
  <c r="W316" i="29" s="1"/>
  <c r="AA316" i="29" s="1"/>
  <c r="V316" i="29"/>
  <c r="AD600" i="29"/>
  <c r="AD33" i="29"/>
  <c r="AE499" i="29"/>
  <c r="U215" i="29"/>
  <c r="V215" i="29"/>
  <c r="AD398" i="29"/>
  <c r="AD499" i="29"/>
  <c r="AE267" i="29"/>
  <c r="AD464" i="29"/>
  <c r="AD235" i="29"/>
  <c r="AE528" i="29"/>
  <c r="AE380" i="29"/>
  <c r="AE367" i="29"/>
  <c r="X490" i="29"/>
  <c r="Y490" i="29" s="1"/>
  <c r="W477" i="29"/>
  <c r="AA477" i="29" s="1"/>
  <c r="AH555" i="29"/>
  <c r="AH349" i="29"/>
  <c r="X391" i="29"/>
  <c r="Y391" i="29" s="1"/>
  <c r="AH311" i="29"/>
  <c r="AG569" i="29"/>
  <c r="W44" i="29"/>
  <c r="AA44" i="29" s="1"/>
  <c r="V227" i="29"/>
  <c r="U227" i="29"/>
  <c r="U383" i="29"/>
  <c r="V383" i="29"/>
  <c r="AH383" i="29"/>
  <c r="AG150" i="29"/>
  <c r="U515" i="29"/>
  <c r="AG515" i="29" s="1"/>
  <c r="V515" i="29"/>
  <c r="X515" i="29" s="1"/>
  <c r="Y515" i="29" s="1"/>
  <c r="AE316" i="29"/>
  <c r="AD588" i="29"/>
  <c r="AD581" i="29"/>
  <c r="AD268" i="29"/>
  <c r="AD384" i="29"/>
  <c r="AE559" i="29"/>
  <c r="AD302" i="29"/>
  <c r="AD322" i="29"/>
  <c r="AD84" i="29"/>
  <c r="AD448" i="29"/>
  <c r="AE473" i="29"/>
  <c r="AD292" i="29"/>
  <c r="AE194" i="29"/>
  <c r="AE190" i="29"/>
  <c r="AD148" i="29"/>
  <c r="AE299" i="29"/>
  <c r="AD149" i="29"/>
  <c r="AE319" i="29"/>
  <c r="AE95" i="29"/>
  <c r="AD161" i="29"/>
  <c r="AE97" i="29"/>
  <c r="AD282" i="29"/>
  <c r="AD254" i="29"/>
  <c r="AE222" i="29"/>
  <c r="AE551" i="29"/>
  <c r="AE104" i="29"/>
  <c r="AD436" i="29"/>
  <c r="AE144" i="29"/>
  <c r="AE92" i="29"/>
  <c r="AD419" i="29"/>
  <c r="AE352" i="29"/>
  <c r="AD123" i="29"/>
  <c r="AE397" i="29"/>
  <c r="AD368" i="29"/>
  <c r="AE58" i="29"/>
  <c r="AE418" i="29"/>
  <c r="AE579" i="29"/>
  <c r="AD572" i="29"/>
  <c r="AE314" i="29"/>
  <c r="AD495" i="29"/>
  <c r="AD456" i="29"/>
  <c r="AE289" i="29"/>
  <c r="AD90" i="29"/>
  <c r="AE381" i="29"/>
  <c r="AE492" i="29"/>
  <c r="AD489" i="29"/>
  <c r="AE593" i="29"/>
  <c r="AD427" i="29"/>
  <c r="W476" i="29"/>
  <c r="AA476" i="29" s="1"/>
  <c r="X251" i="29"/>
  <c r="Y251" i="29" s="1"/>
  <c r="X513" i="29"/>
  <c r="Y513" i="29" s="1"/>
  <c r="W495" i="29"/>
  <c r="AA495" i="29" s="1"/>
  <c r="X417" i="29"/>
  <c r="Y417" i="29" s="1"/>
  <c r="AG611" i="29"/>
  <c r="AH512" i="29"/>
  <c r="AH230" i="29"/>
  <c r="AH504" i="29"/>
  <c r="AH362" i="29"/>
  <c r="X466" i="29"/>
  <c r="Y466" i="29" s="1"/>
  <c r="V182" i="29"/>
  <c r="U182" i="29"/>
  <c r="AG145" i="29"/>
  <c r="U314" i="29"/>
  <c r="V314" i="29"/>
  <c r="X314" i="29" s="1"/>
  <c r="Y314" i="29" s="1"/>
  <c r="AD525" i="29"/>
  <c r="AD515" i="29"/>
  <c r="AE376" i="29"/>
  <c r="AD412" i="29"/>
  <c r="AE88" i="29"/>
  <c r="AE64" i="29"/>
  <c r="AE99" i="29"/>
  <c r="AD205" i="29"/>
  <c r="AD25" i="29"/>
  <c r="AD450" i="29"/>
  <c r="AD15" i="29"/>
  <c r="AD547" i="29"/>
  <c r="AE128" i="29"/>
  <c r="AD143" i="29"/>
  <c r="AE298" i="29"/>
  <c r="AD389" i="29"/>
  <c r="AD244" i="29"/>
  <c r="AD293" i="29"/>
  <c r="AE275" i="29"/>
  <c r="AE440" i="29"/>
  <c r="AE174" i="29"/>
  <c r="AD545" i="29"/>
  <c r="AE475" i="29"/>
  <c r="AD453" i="29"/>
  <c r="AE262" i="29"/>
  <c r="AE560" i="29"/>
  <c r="AE257" i="29"/>
  <c r="AD86" i="29"/>
  <c r="AE323" i="29"/>
  <c r="AE353" i="29"/>
  <c r="AE542" i="29"/>
  <c r="AD372" i="29"/>
  <c r="AE78" i="29"/>
  <c r="AE340" i="29"/>
  <c r="AD204" i="29"/>
  <c r="AE399" i="29"/>
  <c r="AD54" i="29"/>
  <c r="AD336" i="29"/>
  <c r="AE186" i="29"/>
  <c r="AE31" i="29"/>
  <c r="AD258" i="29"/>
  <c r="AE545" i="29"/>
  <c r="U163" i="29"/>
  <c r="AG163" i="29" s="1"/>
  <c r="V163" i="29"/>
  <c r="AH163" i="29" s="1"/>
  <c r="AD598" i="29"/>
  <c r="AD274" i="29"/>
  <c r="AD468" i="29"/>
  <c r="AE601" i="29"/>
  <c r="AD381" i="29"/>
  <c r="AD543" i="29"/>
  <c r="AD417" i="29"/>
  <c r="AD270" i="29"/>
  <c r="AD312" i="29"/>
  <c r="AD250" i="29"/>
  <c r="U198" i="29"/>
  <c r="V198" i="29"/>
  <c r="U203" i="29"/>
  <c r="W203" i="29" s="1"/>
  <c r="AA203" i="29" s="1"/>
  <c r="V203" i="29"/>
  <c r="AG409" i="29"/>
  <c r="AE56" i="29"/>
  <c r="AD40" i="29"/>
  <c r="AD87" i="29"/>
  <c r="AE517" i="29"/>
  <c r="AD184" i="29"/>
  <c r="AD520" i="29"/>
  <c r="AD301" i="29"/>
  <c r="AD92" i="29"/>
  <c r="AD341" i="29"/>
  <c r="AD69" i="29"/>
  <c r="AD127" i="29"/>
  <c r="AE81" i="29"/>
  <c r="AD219" i="29"/>
  <c r="AD568" i="29"/>
  <c r="AD70" i="29"/>
  <c r="AD542" i="29"/>
  <c r="AD222" i="29"/>
  <c r="AE268" i="29"/>
  <c r="AD73" i="29"/>
  <c r="AE288" i="29"/>
  <c r="AD526" i="29"/>
  <c r="AE390" i="29"/>
  <c r="AE169" i="29"/>
  <c r="AE479" i="29"/>
  <c r="AE183" i="29"/>
  <c r="AD259" i="29"/>
  <c r="AD210" i="29"/>
  <c r="AD379" i="29"/>
  <c r="AD406" i="29"/>
  <c r="AD487" i="29"/>
  <c r="AE496" i="29"/>
  <c r="AD236" i="29"/>
  <c r="AE217" i="29"/>
  <c r="V361" i="29"/>
  <c r="U361" i="29"/>
  <c r="AD605" i="29"/>
  <c r="AD485" i="29"/>
  <c r="AE341" i="29"/>
  <c r="AE372" i="29"/>
  <c r="AE498" i="29"/>
  <c r="AD584" i="29"/>
  <c r="W20" i="29"/>
  <c r="AA20" i="29" s="1"/>
  <c r="X301" i="29"/>
  <c r="Y301" i="29" s="1"/>
  <c r="AG424" i="29"/>
  <c r="AH545" i="29"/>
  <c r="AG258" i="29"/>
  <c r="AG96" i="29"/>
  <c r="AH598" i="29"/>
  <c r="AG29" i="29"/>
  <c r="U66" i="29"/>
  <c r="AG66" i="29" s="1"/>
  <c r="V66" i="29"/>
  <c r="AH624" i="29"/>
  <c r="U386" i="29"/>
  <c r="V386" i="29"/>
  <c r="AH386" i="29" s="1"/>
  <c r="AE547" i="29"/>
  <c r="AD604" i="29"/>
  <c r="AE35" i="29"/>
  <c r="AD115" i="29"/>
  <c r="AD481" i="29"/>
  <c r="AD383" i="29"/>
  <c r="AE343" i="29"/>
  <c r="AE213" i="29"/>
  <c r="AE269" i="29"/>
  <c r="AE272" i="29"/>
  <c r="AD354" i="29"/>
  <c r="AE207" i="29"/>
  <c r="AD202" i="29"/>
  <c r="AD83" i="29"/>
  <c r="AE143" i="29"/>
  <c r="AE240" i="29"/>
  <c r="AE175" i="29"/>
  <c r="AE435" i="29"/>
  <c r="AD573" i="29"/>
  <c r="AD396" i="29"/>
  <c r="AD540" i="29"/>
  <c r="AD303" i="29"/>
  <c r="AE424" i="29"/>
  <c r="AD511" i="29"/>
  <c r="AD71" i="29"/>
  <c r="AE563" i="29"/>
  <c r="AE276" i="29"/>
  <c r="AE125" i="29"/>
  <c r="AD506" i="29"/>
  <c r="AD171" i="29"/>
  <c r="AE212" i="29"/>
  <c r="AE154" i="29"/>
  <c r="AE461" i="29"/>
  <c r="AD597" i="29"/>
  <c r="AE46" i="29"/>
  <c r="AD299" i="29"/>
  <c r="AE346" i="29"/>
  <c r="AD394" i="29"/>
  <c r="AD344" i="29"/>
  <c r="AE512" i="29"/>
  <c r="AD422" i="29"/>
  <c r="AD538" i="29"/>
  <c r="AE566" i="29"/>
  <c r="AD17" i="29"/>
  <c r="AD218" i="29"/>
  <c r="AE450" i="29"/>
  <c r="AG124" i="29"/>
  <c r="X295" i="29"/>
  <c r="Y295" i="29" s="1"/>
  <c r="AG391" i="29"/>
  <c r="AH405" i="29"/>
  <c r="X453" i="29"/>
  <c r="Y453" i="29" s="1"/>
  <c r="X390" i="29"/>
  <c r="Y390" i="29" s="1"/>
  <c r="AH396" i="29"/>
  <c r="W333" i="29"/>
  <c r="AA333" i="29" s="1"/>
  <c r="U323" i="29"/>
  <c r="W323" i="29" s="1"/>
  <c r="AA323" i="29" s="1"/>
  <c r="V323" i="29"/>
  <c r="X323" i="29" s="1"/>
  <c r="Y323" i="29" s="1"/>
  <c r="AG403" i="29"/>
  <c r="U154" i="29"/>
  <c r="AG154" i="29" s="1"/>
  <c r="V154" i="29"/>
  <c r="V366" i="29"/>
  <c r="AH366" i="29" s="1"/>
  <c r="U366" i="29"/>
  <c r="W366" i="29" s="1"/>
  <c r="AA366" i="29" s="1"/>
  <c r="AD44" i="29"/>
  <c r="AD41" i="29"/>
  <c r="AD102" i="29"/>
  <c r="AD609" i="29"/>
  <c r="AE117" i="29"/>
  <c r="AD100" i="29"/>
  <c r="AE373" i="29"/>
  <c r="AD162" i="29"/>
  <c r="AD138" i="29"/>
  <c r="AD338" i="29"/>
  <c r="AE102" i="29"/>
  <c r="AE255" i="29"/>
  <c r="AD150" i="29"/>
  <c r="AE530" i="29"/>
  <c r="AD311" i="29"/>
  <c r="AE32" i="29"/>
  <c r="AE451" i="29"/>
  <c r="AD206" i="29"/>
  <c r="X626" i="29"/>
  <c r="Y626" i="29" s="1"/>
  <c r="AE626" i="29"/>
  <c r="AD232" i="29"/>
  <c r="AE360" i="29"/>
  <c r="AE162" i="29"/>
  <c r="AD536" i="29"/>
  <c r="AE368" i="29"/>
  <c r="AD227" i="29"/>
  <c r="AD29" i="29"/>
  <c r="AD373" i="29"/>
  <c r="AE37" i="29"/>
  <c r="AE304" i="29"/>
  <c r="AD220" i="29"/>
  <c r="AE75" i="29"/>
  <c r="AE462" i="29"/>
  <c r="AD58" i="29"/>
  <c r="AE19" i="29"/>
  <c r="AE375" i="29"/>
  <c r="AE322" i="29"/>
  <c r="AD457" i="29"/>
  <c r="AD505" i="29"/>
  <c r="AD435" i="29"/>
  <c r="AE274" i="29"/>
  <c r="AG463" i="29"/>
  <c r="X472" i="29"/>
  <c r="Y472" i="29" s="1"/>
  <c r="X304" i="29"/>
  <c r="Y304" i="29" s="1"/>
  <c r="X597" i="29"/>
  <c r="Y597" i="29" s="1"/>
  <c r="AH419" i="29"/>
  <c r="AG555" i="29"/>
  <c r="AG203" i="29"/>
  <c r="U309" i="29"/>
  <c r="W309" i="29" s="1"/>
  <c r="V309" i="29"/>
  <c r="X309" i="29" s="1"/>
  <c r="Y309" i="29" s="1"/>
  <c r="AG180" i="29"/>
  <c r="AG574" i="29"/>
  <c r="V308" i="29"/>
  <c r="X308" i="29" s="1"/>
  <c r="Y308" i="29" s="1"/>
  <c r="U308" i="29"/>
  <c r="AG308" i="29" s="1"/>
  <c r="V561" i="29"/>
  <c r="U561" i="29"/>
  <c r="W561" i="29" s="1"/>
  <c r="AA561" i="29" s="1"/>
  <c r="AE407" i="29"/>
  <c r="AD463" i="29"/>
  <c r="AE448" i="29"/>
  <c r="AD160" i="29"/>
  <c r="AE455" i="29"/>
  <c r="AD245" i="29"/>
  <c r="AE521" i="29"/>
  <c r="AE73" i="29"/>
  <c r="AE155" i="29"/>
  <c r="AD342" i="29"/>
  <c r="AD157" i="29"/>
  <c r="AD198" i="29"/>
  <c r="AD49" i="29"/>
  <c r="AE490" i="29"/>
  <c r="AE33" i="29"/>
  <c r="AD423" i="29"/>
  <c r="AE541" i="29"/>
  <c r="AE261" i="29"/>
  <c r="AD358" i="29"/>
  <c r="AD200" i="29"/>
  <c r="AE584" i="29"/>
  <c r="AE526" i="29"/>
  <c r="AD331" i="29"/>
  <c r="AD265" i="29"/>
  <c r="AD18" i="29"/>
  <c r="AD451" i="29"/>
  <c r="AD48" i="29"/>
  <c r="AD366" i="29"/>
  <c r="AE167" i="29"/>
  <c r="AD560" i="29"/>
  <c r="AE107" i="29"/>
  <c r="AD141" i="29"/>
  <c r="AE607" i="29"/>
  <c r="AD98" i="29"/>
  <c r="AE609" i="29"/>
  <c r="AD416" i="29"/>
  <c r="AD500" i="29"/>
  <c r="AE558" i="29"/>
  <c r="AE60" i="29"/>
  <c r="AD404" i="29"/>
  <c r="AD335" i="29"/>
  <c r="AE606" i="29"/>
  <c r="AD491" i="29"/>
  <c r="AH478" i="29"/>
  <c r="W283" i="29"/>
  <c r="AG472" i="29"/>
  <c r="X518" i="29"/>
  <c r="Y518" i="29" s="1"/>
  <c r="X268" i="29"/>
  <c r="Y268" i="29" s="1"/>
  <c r="X119" i="29"/>
  <c r="Y119" i="29" s="1"/>
  <c r="W498" i="29"/>
  <c r="W71" i="29"/>
  <c r="AA71" i="29" s="1"/>
  <c r="V525" i="29"/>
  <c r="X525" i="29" s="1"/>
  <c r="Y525" i="29" s="1"/>
  <c r="U525" i="29"/>
  <c r="W525" i="29" s="1"/>
  <c r="U145" i="29"/>
  <c r="W145" i="29" s="1"/>
  <c r="AA145" i="29" s="1"/>
  <c r="V145" i="29"/>
  <c r="AH145" i="29" s="1"/>
  <c r="U519" i="29"/>
  <c r="W519" i="29" s="1"/>
  <c r="AA519" i="29" s="1"/>
  <c r="V519" i="29"/>
  <c r="X519" i="29" s="1"/>
  <c r="Y519" i="29" s="1"/>
  <c r="AG427" i="29"/>
  <c r="V31" i="29"/>
  <c r="X31" i="29" s="1"/>
  <c r="Y31" i="29" s="1"/>
  <c r="U31" i="29"/>
  <c r="AD63" i="29"/>
  <c r="AD16" i="29"/>
  <c r="AE581" i="29"/>
  <c r="AE398" i="29"/>
  <c r="AD135" i="29"/>
  <c r="AE177" i="29"/>
  <c r="AD517" i="29"/>
  <c r="AD555" i="29"/>
  <c r="AE29" i="29"/>
  <c r="AE52" i="29"/>
  <c r="AE444" i="29"/>
  <c r="AD388" i="29"/>
  <c r="AD461" i="29"/>
  <c r="AD509" i="29"/>
  <c r="AD107" i="29"/>
  <c r="AD579" i="29"/>
  <c r="AD128" i="29"/>
  <c r="AE163" i="29"/>
  <c r="AD273" i="29"/>
  <c r="AE173" i="29"/>
  <c r="AE549" i="29"/>
  <c r="AD392" i="29"/>
  <c r="AE282" i="29"/>
  <c r="AE564" i="29"/>
  <c r="AD60" i="29"/>
  <c r="AD142" i="29"/>
  <c r="AD38" i="29"/>
  <c r="AD444" i="29"/>
  <c r="AE425" i="29"/>
  <c r="AE232" i="29"/>
  <c r="AD287" i="29"/>
  <c r="AE279" i="29"/>
  <c r="AE401" i="29"/>
  <c r="AD191" i="29"/>
  <c r="AE371" i="29"/>
  <c r="AD503" i="29"/>
  <c r="AE359" i="29"/>
  <c r="AD213" i="29"/>
  <c r="AD460" i="29"/>
  <c r="AD386" i="29"/>
  <c r="V211" i="29"/>
  <c r="AH211" i="29" s="1"/>
  <c r="U211" i="29"/>
  <c r="W211" i="29" s="1"/>
  <c r="AA211" i="29" s="1"/>
  <c r="AE432" i="29"/>
  <c r="AE503" i="29"/>
  <c r="AD522" i="29"/>
  <c r="AD507" i="29"/>
  <c r="AE537" i="29"/>
  <c r="AD465" i="29"/>
  <c r="AE43" i="29"/>
  <c r="AD420" i="29"/>
  <c r="AD356" i="29"/>
  <c r="AD595" i="29"/>
  <c r="AD570" i="29"/>
  <c r="AG71" i="29"/>
  <c r="AH466" i="29"/>
  <c r="AH493" i="29"/>
  <c r="AH268" i="29"/>
  <c r="AH561" i="29"/>
  <c r="AH514" i="29"/>
  <c r="X100" i="29"/>
  <c r="Y100" i="29" s="1"/>
  <c r="W164" i="29"/>
  <c r="AA164" i="29" s="1"/>
  <c r="AG498" i="29"/>
  <c r="W569" i="29"/>
  <c r="AA569" i="29" s="1"/>
  <c r="L106" i="23"/>
  <c r="M106" i="23" s="1"/>
  <c r="M60" i="1"/>
  <c r="E59" i="1"/>
  <c r="W353" i="29"/>
  <c r="AA353" i="29" s="1"/>
  <c r="W183" i="29"/>
  <c r="AA183" i="29" s="1"/>
  <c r="AG333" i="29"/>
  <c r="AG613" i="29"/>
  <c r="L60" i="1"/>
  <c r="AW99" i="25"/>
  <c r="W130" i="29"/>
  <c r="AA130" i="29" s="1"/>
  <c r="AH327" i="29"/>
  <c r="AH547" i="29"/>
  <c r="W124" i="29"/>
  <c r="AA124" i="29" s="1"/>
  <c r="W243" i="29"/>
  <c r="X322" i="29"/>
  <c r="Y322" i="29" s="1"/>
  <c r="W206" i="29"/>
  <c r="AH442" i="29"/>
  <c r="AG108" i="29"/>
  <c r="AW16" i="25"/>
  <c r="W273" i="29"/>
  <c r="AA273" i="29" s="1"/>
  <c r="X280" i="29"/>
  <c r="Y280" i="29" s="1"/>
  <c r="W131" i="29"/>
  <c r="AA131" i="29" s="1"/>
  <c r="AG56" i="29"/>
  <c r="W356" i="29"/>
  <c r="X442" i="29"/>
  <c r="Y442" i="29" s="1"/>
  <c r="W572" i="29"/>
  <c r="AA572" i="29" s="1"/>
  <c r="AH161" i="29"/>
  <c r="AH301" i="29"/>
  <c r="AH475" i="29"/>
  <c r="W424" i="29"/>
  <c r="AA424" i="29" s="1"/>
  <c r="AH436" i="29"/>
  <c r="AH480" i="29"/>
  <c r="W296" i="29"/>
  <c r="AA296" i="29" s="1"/>
  <c r="AG580" i="29"/>
  <c r="X419" i="29"/>
  <c r="Y419" i="29" s="1"/>
  <c r="X465" i="29"/>
  <c r="Y465" i="29" s="1"/>
  <c r="AG267" i="29"/>
  <c r="X409" i="29"/>
  <c r="Y409" i="29" s="1"/>
  <c r="X485" i="29"/>
  <c r="Y485" i="29" s="1"/>
  <c r="AH207" i="29"/>
  <c r="AG283" i="29"/>
  <c r="X504" i="29"/>
  <c r="Y504" i="29" s="1"/>
  <c r="X495" i="29"/>
  <c r="Y495" i="29" s="1"/>
  <c r="X435" i="29"/>
  <c r="Y435" i="29" s="1"/>
  <c r="AG546" i="29"/>
  <c r="X362" i="29"/>
  <c r="Y362" i="29" s="1"/>
  <c r="AG57" i="29"/>
  <c r="AH108" i="29"/>
  <c r="X551" i="29"/>
  <c r="Y551" i="29" s="1"/>
  <c r="W478" i="29"/>
  <c r="W396" i="29"/>
  <c r="AA396" i="29" s="1"/>
  <c r="X364" i="29"/>
  <c r="Y364" i="29" s="1"/>
  <c r="AH572" i="29"/>
  <c r="AH251" i="29"/>
  <c r="AH513" i="29"/>
  <c r="W402" i="29"/>
  <c r="AA402" i="29" s="1"/>
  <c r="AH295" i="29"/>
  <c r="AG606" i="29"/>
  <c r="W467" i="29"/>
  <c r="AA467" i="29" s="1"/>
  <c r="AH68" i="29"/>
  <c r="AG369" i="29"/>
  <c r="W587" i="29"/>
  <c r="AA587" i="29" s="1"/>
  <c r="W472" i="29"/>
  <c r="AA472" i="29" s="1"/>
  <c r="AH529" i="29"/>
  <c r="X325" i="29"/>
  <c r="Y325" i="29" s="1"/>
  <c r="W596" i="29"/>
  <c r="AA596" i="29" s="1"/>
  <c r="X379" i="29"/>
  <c r="Y379" i="29" s="1"/>
  <c r="W174" i="29"/>
  <c r="AA174" i="29" s="1"/>
  <c r="AH372" i="29"/>
  <c r="AG324" i="29"/>
  <c r="W327" i="29"/>
  <c r="AA327" i="29" s="1"/>
  <c r="X445" i="29"/>
  <c r="Y445" i="29" s="1"/>
  <c r="W577" i="29"/>
  <c r="AA577" i="29" s="1"/>
  <c r="X394" i="29"/>
  <c r="Y394" i="29" s="1"/>
  <c r="W390" i="29"/>
  <c r="AA390" i="29" s="1"/>
  <c r="W267" i="29"/>
  <c r="AA267" i="29" s="1"/>
  <c r="W411" i="29"/>
  <c r="AA411" i="29" s="1"/>
  <c r="X372" i="29"/>
  <c r="Y372" i="29" s="1"/>
  <c r="W65" i="29"/>
  <c r="AA65" i="29" s="1"/>
  <c r="W414" i="29"/>
  <c r="AA414" i="29" s="1"/>
  <c r="AG40" i="29"/>
  <c r="W40" i="29"/>
  <c r="AA40" i="29" s="1"/>
  <c r="X520" i="29"/>
  <c r="Y520" i="29" s="1"/>
  <c r="W540" i="29"/>
  <c r="AA540" i="29" s="1"/>
  <c r="W236" i="29"/>
  <c r="AA236" i="29" s="1"/>
  <c r="X456" i="29"/>
  <c r="Y456" i="29" s="1"/>
  <c r="X206" i="29"/>
  <c r="Y206" i="29" s="1"/>
  <c r="W261" i="29"/>
  <c r="AA261" i="29" s="1"/>
  <c r="AG535" i="29"/>
  <c r="X598" i="29"/>
  <c r="Y598" i="29" s="1"/>
  <c r="AH40" i="29"/>
  <c r="W258" i="29"/>
  <c r="AA258" i="29" s="1"/>
  <c r="W96" i="29"/>
  <c r="AA96" i="29" s="1"/>
  <c r="W29" i="29"/>
  <c r="AA29" i="29" s="1"/>
  <c r="AH506" i="29"/>
  <c r="AH180" i="29"/>
  <c r="AW58" i="25"/>
  <c r="AG465" i="29"/>
  <c r="X610" i="29"/>
  <c r="Y610" i="29" s="1"/>
  <c r="W504" i="29"/>
  <c r="AA504" i="29" s="1"/>
  <c r="X512" i="29"/>
  <c r="Y512" i="29" s="1"/>
  <c r="AG589" i="29"/>
  <c r="X230" i="29"/>
  <c r="Y230" i="29" s="1"/>
  <c r="AG479" i="29"/>
  <c r="AH164" i="29"/>
  <c r="X163" i="29"/>
  <c r="Y163" i="29" s="1"/>
  <c r="AG53" i="29"/>
  <c r="W379" i="29"/>
  <c r="AA379" i="29" s="1"/>
  <c r="AH520" i="29"/>
  <c r="AH390" i="29"/>
  <c r="AG544" i="29"/>
  <c r="AG540" i="29"/>
  <c r="AW76" i="25"/>
  <c r="AW63" i="25"/>
  <c r="AW47" i="25"/>
  <c r="AW34" i="25"/>
  <c r="AW37" i="25"/>
  <c r="AW15" i="25"/>
  <c r="AW65" i="25"/>
  <c r="AW96" i="25"/>
  <c r="AW72" i="25"/>
  <c r="AW50" i="25"/>
  <c r="AW61" i="25"/>
  <c r="AW49" i="25"/>
  <c r="AW92" i="25"/>
  <c r="AW20" i="25"/>
  <c r="AW39" i="25"/>
  <c r="AW83" i="25"/>
  <c r="AW26" i="25"/>
  <c r="AW69" i="25"/>
  <c r="AW56" i="25"/>
  <c r="AW40" i="25"/>
  <c r="AW35" i="25"/>
  <c r="AW84" i="25"/>
  <c r="AH435" i="29"/>
  <c r="AG493" i="29"/>
  <c r="AH304" i="29"/>
  <c r="W435" i="29"/>
  <c r="AA435" i="29" s="1"/>
  <c r="X510" i="29"/>
  <c r="Y510" i="29" s="1"/>
  <c r="P628" i="29"/>
  <c r="X545" i="29"/>
  <c r="Y545" i="29" s="1"/>
  <c r="AH495" i="29"/>
  <c r="W452" i="29"/>
  <c r="AA452" i="29" s="1"/>
  <c r="W412" i="29"/>
  <c r="AA412" i="29" s="1"/>
  <c r="X414" i="29"/>
  <c r="Y414" i="29" s="1"/>
  <c r="AH96" i="29"/>
  <c r="AG310" i="29"/>
  <c r="W109" i="29"/>
  <c r="AA109" i="29" s="1"/>
  <c r="AH298" i="29"/>
  <c r="X487" i="29"/>
  <c r="Y487" i="29" s="1"/>
  <c r="X425" i="29"/>
  <c r="Y425" i="29" s="1"/>
  <c r="L628" i="29"/>
  <c r="J628" i="29"/>
  <c r="AH391" i="29"/>
  <c r="AH119" i="29"/>
  <c r="AH453" i="29"/>
  <c r="AH356" i="29"/>
  <c r="X501" i="29"/>
  <c r="Y501" i="29" s="1"/>
  <c r="AG495" i="29"/>
  <c r="AH417" i="29"/>
  <c r="X458" i="29"/>
  <c r="Y458" i="29" s="1"/>
  <c r="X596" i="29"/>
  <c r="Y596" i="29" s="1"/>
  <c r="W611" i="29"/>
  <c r="AA611" i="29" s="1"/>
  <c r="AH306" i="29"/>
  <c r="AH445" i="29"/>
  <c r="W425" i="29"/>
  <c r="K83" i="23"/>
  <c r="M83" i="23" s="1"/>
  <c r="S628" i="29"/>
  <c r="X523" i="29"/>
  <c r="Y523" i="29" s="1"/>
  <c r="T628" i="29"/>
  <c r="K628" i="29"/>
  <c r="AH364" i="29"/>
  <c r="I628" i="29"/>
  <c r="Q628" i="29"/>
  <c r="R628" i="29"/>
  <c r="X396" i="29"/>
  <c r="Y396" i="29" s="1"/>
  <c r="AH597" i="29"/>
  <c r="K60" i="1"/>
  <c r="AZ100" i="25"/>
  <c r="K6" i="23"/>
  <c r="M6" i="23" s="1"/>
  <c r="K63" i="23"/>
  <c r="M63" i="23" s="1"/>
  <c r="X405" i="29"/>
  <c r="Y405" i="29" s="1"/>
  <c r="AW7" i="25"/>
  <c r="AW19" i="25"/>
  <c r="AW5" i="25"/>
  <c r="AW86" i="25"/>
  <c r="AW101" i="25"/>
  <c r="AW98" i="25"/>
  <c r="AW13" i="25"/>
  <c r="AW67" i="25"/>
  <c r="AW68" i="25"/>
  <c r="AW85" i="25"/>
  <c r="AW82" i="25"/>
  <c r="AW55" i="25"/>
  <c r="AW90" i="25"/>
  <c r="AW29" i="25"/>
  <c r="AW59" i="25"/>
  <c r="AW100" i="25"/>
  <c r="AW12" i="25"/>
  <c r="AW77" i="25"/>
  <c r="AW91" i="25"/>
  <c r="AW73" i="25"/>
  <c r="AW64" i="25"/>
  <c r="AW8" i="25"/>
  <c r="AW74" i="25"/>
  <c r="AW57" i="25"/>
  <c r="AW48" i="25"/>
  <c r="AW21" i="25"/>
  <c r="AW28" i="25"/>
  <c r="AW43" i="25"/>
  <c r="AW81" i="25"/>
  <c r="AW66" i="25"/>
  <c r="AW78" i="25"/>
  <c r="AW17" i="25"/>
  <c r="AW27" i="25"/>
  <c r="AW14" i="25"/>
  <c r="AW89" i="25"/>
  <c r="AW95" i="25"/>
  <c r="AW38" i="25"/>
  <c r="AW42" i="25"/>
  <c r="AW52" i="25"/>
  <c r="AW30" i="25"/>
  <c r="AW45" i="25"/>
  <c r="AW22" i="25"/>
  <c r="AW18" i="25"/>
  <c r="AW36" i="25"/>
  <c r="AW10" i="25"/>
  <c r="AW105" i="25"/>
  <c r="AW53" i="25"/>
  <c r="AW32" i="25"/>
  <c r="AW51" i="25"/>
  <c r="AW44" i="25"/>
  <c r="AW79" i="25"/>
  <c r="AW6" i="25"/>
  <c r="AW70" i="25"/>
  <c r="AW41" i="25"/>
  <c r="AW31" i="25"/>
  <c r="AW102" i="25"/>
  <c r="AW46" i="25"/>
  <c r="AW25" i="25"/>
  <c r="AW9" i="25"/>
  <c r="AW33" i="25"/>
  <c r="AW24" i="25"/>
  <c r="AW104" i="25"/>
  <c r="AW94" i="25"/>
  <c r="AW71" i="25"/>
  <c r="AW88" i="25"/>
  <c r="AW80" i="25"/>
  <c r="AW97" i="25"/>
  <c r="AW87" i="25"/>
  <c r="AW60" i="25"/>
  <c r="AW75" i="25"/>
  <c r="AW103" i="25"/>
  <c r="AW11" i="25"/>
  <c r="AW54" i="25"/>
  <c r="AW23" i="25"/>
  <c r="AW62" i="25"/>
  <c r="L27" i="23"/>
  <c r="M27" i="23" s="1"/>
  <c r="U247" i="24"/>
  <c r="BQ247" i="24"/>
  <c r="U269" i="24"/>
  <c r="BQ269" i="24"/>
  <c r="U270" i="24"/>
  <c r="BQ270" i="24"/>
  <c r="U246" i="24"/>
  <c r="BQ246" i="24"/>
  <c r="U284" i="24"/>
  <c r="BQ284" i="24"/>
  <c r="U237" i="24"/>
  <c r="BQ237" i="24"/>
  <c r="U308" i="24"/>
  <c r="BQ308" i="24"/>
  <c r="U227" i="24"/>
  <c r="BQ227" i="24"/>
  <c r="U252" i="24"/>
  <c r="BQ252" i="24"/>
  <c r="U282" i="24"/>
  <c r="BQ282" i="24"/>
  <c r="U303" i="24"/>
  <c r="BQ303" i="24"/>
  <c r="U226" i="24"/>
  <c r="BQ226" i="24"/>
  <c r="U283" i="24"/>
  <c r="BQ283" i="24"/>
  <c r="U218" i="24"/>
  <c r="BQ218" i="24"/>
  <c r="U251" i="24"/>
  <c r="BQ251" i="24"/>
  <c r="U292" i="24"/>
  <c r="BQ292" i="24"/>
  <c r="U314" i="24"/>
  <c r="BQ314" i="24"/>
  <c r="U250" i="24"/>
  <c r="BQ250" i="24"/>
  <c r="U265" i="24"/>
  <c r="BQ265" i="24"/>
  <c r="U295" i="24"/>
  <c r="BQ295" i="24"/>
  <c r="U304" i="24"/>
  <c r="BQ304" i="24"/>
  <c r="W527" i="29"/>
  <c r="U287" i="24"/>
  <c r="BQ287" i="24"/>
  <c r="U260" i="24"/>
  <c r="BQ260" i="24"/>
  <c r="U272" i="24"/>
  <c r="BQ272" i="24"/>
  <c r="AH256" i="29"/>
  <c r="U217" i="24"/>
  <c r="BQ217" i="24"/>
  <c r="U278" i="24"/>
  <c r="BQ278" i="24"/>
  <c r="U280" i="24"/>
  <c r="BQ280" i="24"/>
  <c r="U231" i="24"/>
  <c r="BQ231" i="24"/>
  <c r="U240" i="24"/>
  <c r="BQ240" i="24"/>
  <c r="U257" i="24"/>
  <c r="BQ257" i="24"/>
  <c r="U249" i="24"/>
  <c r="BQ249" i="24"/>
  <c r="U262" i="24"/>
  <c r="BQ262" i="24"/>
  <c r="U301" i="24"/>
  <c r="BQ301" i="24"/>
  <c r="U220" i="24"/>
  <c r="U243" i="24"/>
  <c r="U225" i="24"/>
  <c r="U285" i="24"/>
  <c r="U221" i="24"/>
  <c r="U281" i="24"/>
  <c r="U256" i="24"/>
  <c r="U263" i="24"/>
  <c r="U305" i="24"/>
  <c r="U233" i="24"/>
  <c r="U230" i="24"/>
  <c r="U253" i="24"/>
  <c r="U258" i="24"/>
  <c r="U316" i="24"/>
  <c r="U219" i="24"/>
  <c r="U228" i="24"/>
  <c r="U311" i="24"/>
  <c r="U279" i="24"/>
  <c r="U242" i="24"/>
  <c r="U254" i="24"/>
  <c r="U290" i="24"/>
  <c r="U255" i="24"/>
  <c r="U297" i="24"/>
  <c r="L15" i="23"/>
  <c r="M15" i="23" s="1"/>
  <c r="BB54" i="24"/>
  <c r="U54" i="24"/>
  <c r="BB92" i="24"/>
  <c r="U92" i="24"/>
  <c r="BB61" i="24"/>
  <c r="U61" i="24"/>
  <c r="BB53" i="24"/>
  <c r="U53" i="24"/>
  <c r="BB40" i="24"/>
  <c r="U40" i="24"/>
  <c r="BB78" i="24"/>
  <c r="U78" i="24"/>
  <c r="BB93" i="24"/>
  <c r="U93" i="24"/>
  <c r="V93" i="24" s="1"/>
  <c r="BB81" i="24"/>
  <c r="U81" i="24"/>
  <c r="BB105" i="24"/>
  <c r="B107" i="2" s="1"/>
  <c r="U105" i="24"/>
  <c r="BB27" i="24"/>
  <c r="U27" i="24"/>
  <c r="BB60" i="24"/>
  <c r="U60" i="24"/>
  <c r="BB42" i="24"/>
  <c r="U42" i="24"/>
  <c r="BB79" i="24"/>
  <c r="U79" i="24"/>
  <c r="BB17" i="24"/>
  <c r="U17" i="24"/>
  <c r="BB98" i="24"/>
  <c r="U98" i="24"/>
  <c r="BB39" i="24"/>
  <c r="U39" i="24"/>
  <c r="BB63" i="24"/>
  <c r="U63" i="24"/>
  <c r="BB86" i="24"/>
  <c r="U86" i="24"/>
  <c r="BB35" i="24"/>
  <c r="U35" i="24"/>
  <c r="BB65" i="24"/>
  <c r="U65" i="24"/>
  <c r="BB90" i="24"/>
  <c r="U90" i="24"/>
  <c r="BB46" i="24"/>
  <c r="U46" i="24"/>
  <c r="BB26" i="24"/>
  <c r="U26" i="24"/>
  <c r="V26" i="24" s="1"/>
  <c r="BB33" i="24"/>
  <c r="U33" i="24"/>
  <c r="V33" i="24" s="1"/>
  <c r="BB69" i="24"/>
  <c r="U69" i="24"/>
  <c r="BB28" i="24"/>
  <c r="U28" i="24"/>
  <c r="BB10" i="24"/>
  <c r="U10" i="24"/>
  <c r="BB47" i="24"/>
  <c r="U47" i="24"/>
  <c r="BB84" i="24"/>
  <c r="U84" i="24"/>
  <c r="BB66" i="24"/>
  <c r="U66" i="24"/>
  <c r="BB57" i="24"/>
  <c r="U57" i="24"/>
  <c r="BB7" i="24"/>
  <c r="U7" i="24"/>
  <c r="BB87" i="24"/>
  <c r="U87" i="24"/>
  <c r="BB32" i="24"/>
  <c r="U32" i="24"/>
  <c r="BB100" i="24"/>
  <c r="U100" i="24"/>
  <c r="BB82" i="24"/>
  <c r="U82" i="24"/>
  <c r="BB73" i="24"/>
  <c r="U73" i="24"/>
  <c r="BB77" i="24"/>
  <c r="U77" i="24"/>
  <c r="BB15" i="24"/>
  <c r="U15" i="24"/>
  <c r="BB52" i="24"/>
  <c r="U52" i="24"/>
  <c r="BB34" i="24"/>
  <c r="U34" i="24"/>
  <c r="BB13" i="24"/>
  <c r="U13" i="24"/>
  <c r="BB94" i="24"/>
  <c r="U94" i="24"/>
  <c r="BB59" i="24"/>
  <c r="U59" i="24"/>
  <c r="BB68" i="24"/>
  <c r="U68" i="24"/>
  <c r="BB50" i="24"/>
  <c r="U50" i="24"/>
  <c r="BB83" i="24"/>
  <c r="U83" i="24"/>
  <c r="BB21" i="24"/>
  <c r="U21" i="24"/>
  <c r="BB102" i="24"/>
  <c r="U102" i="24"/>
  <c r="BB20" i="24"/>
  <c r="U20" i="24"/>
  <c r="BB80" i="24"/>
  <c r="U80" i="24"/>
  <c r="BB62" i="24"/>
  <c r="U62" i="24"/>
  <c r="BB58" i="24"/>
  <c r="U58" i="24"/>
  <c r="BB95" i="24"/>
  <c r="U95" i="24"/>
  <c r="BB22" i="24"/>
  <c r="U22" i="24"/>
  <c r="BB104" i="24"/>
  <c r="U104" i="24"/>
  <c r="BB76" i="24"/>
  <c r="U76" i="24"/>
  <c r="BB72" i="24"/>
  <c r="U72" i="24"/>
  <c r="BB36" i="24"/>
  <c r="U36" i="24"/>
  <c r="BB18" i="24"/>
  <c r="U18" i="24"/>
  <c r="BB51" i="24"/>
  <c r="U51" i="24"/>
  <c r="BB88" i="24"/>
  <c r="U88" i="24"/>
  <c r="BB70" i="24"/>
  <c r="U70" i="24"/>
  <c r="BB37" i="24"/>
  <c r="U37" i="24"/>
  <c r="BB48" i="24"/>
  <c r="U48" i="24"/>
  <c r="V48" i="24" s="1"/>
  <c r="BB30" i="24"/>
  <c r="U30" i="24"/>
  <c r="BB74" i="24"/>
  <c r="U74" i="24"/>
  <c r="BB11" i="24"/>
  <c r="U11" i="24"/>
  <c r="BB71" i="24"/>
  <c r="U71" i="24"/>
  <c r="V71" i="24" s="1"/>
  <c r="BB97" i="24"/>
  <c r="U97" i="24"/>
  <c r="BB9" i="24"/>
  <c r="U9" i="24"/>
  <c r="BB12" i="24"/>
  <c r="U12" i="24"/>
  <c r="BB96" i="24"/>
  <c r="U96" i="24"/>
  <c r="V96" i="24" s="1"/>
  <c r="BB89" i="24"/>
  <c r="U89" i="24"/>
  <c r="BB99" i="24"/>
  <c r="U99" i="24"/>
  <c r="BB49" i="24"/>
  <c r="U49" i="24"/>
  <c r="BB45" i="24"/>
  <c r="U45" i="24"/>
  <c r="BB101" i="24"/>
  <c r="U101" i="24"/>
  <c r="BB85" i="24"/>
  <c r="U85" i="24"/>
  <c r="BB19" i="24"/>
  <c r="U19" i="24"/>
  <c r="BB56" i="24"/>
  <c r="U56" i="24"/>
  <c r="BB38" i="24"/>
  <c r="U38" i="24"/>
  <c r="BB75" i="24"/>
  <c r="U75" i="24"/>
  <c r="BB16" i="24"/>
  <c r="U16" i="24"/>
  <c r="V16" i="24" s="1"/>
  <c r="BB29" i="24"/>
  <c r="U29" i="24"/>
  <c r="BB67" i="24"/>
  <c r="U67" i="24"/>
  <c r="BB14" i="24"/>
  <c r="U14" i="24"/>
  <c r="BB55" i="24"/>
  <c r="U55" i="24"/>
  <c r="BB8" i="24"/>
  <c r="U8" i="24"/>
  <c r="BB31" i="24"/>
  <c r="U31" i="24"/>
  <c r="BB23" i="24"/>
  <c r="U23" i="24"/>
  <c r="BB64" i="24"/>
  <c r="U64" i="24"/>
  <c r="BB44" i="24"/>
  <c r="U44" i="24"/>
  <c r="BB91" i="24"/>
  <c r="U91" i="24"/>
  <c r="BB25" i="24"/>
  <c r="U25" i="24"/>
  <c r="BB41" i="24"/>
  <c r="U41" i="24"/>
  <c r="BB24" i="24"/>
  <c r="U24" i="24"/>
  <c r="BB6" i="24"/>
  <c r="U6" i="24"/>
  <c r="BB43" i="24"/>
  <c r="U43" i="24"/>
  <c r="BB103" i="24"/>
  <c r="U103" i="24"/>
  <c r="BB288" i="24"/>
  <c r="U288" i="24"/>
  <c r="BB193" i="24"/>
  <c r="U193" i="24"/>
  <c r="BB152" i="24"/>
  <c r="U152" i="24"/>
  <c r="BB117" i="24"/>
  <c r="U117" i="24"/>
  <c r="BB132" i="24"/>
  <c r="U132" i="24"/>
  <c r="BB121" i="24"/>
  <c r="U121" i="24"/>
  <c r="BB315" i="24"/>
  <c r="U315" i="24"/>
  <c r="BB206" i="24"/>
  <c r="U206" i="24"/>
  <c r="BB112" i="24"/>
  <c r="U112" i="24"/>
  <c r="V112" i="24" s="1"/>
  <c r="BB202" i="24"/>
  <c r="U202" i="24"/>
  <c r="BB137" i="24"/>
  <c r="U137" i="24"/>
  <c r="BB122" i="24"/>
  <c r="U122" i="24"/>
  <c r="BB273" i="24"/>
  <c r="U273" i="24"/>
  <c r="BB179" i="24"/>
  <c r="U179" i="24"/>
  <c r="BB116" i="24"/>
  <c r="U116" i="24"/>
  <c r="BB119" i="24"/>
  <c r="U119" i="24"/>
  <c r="BB244" i="24"/>
  <c r="U244" i="24"/>
  <c r="V244" i="24" s="1"/>
  <c r="BB140" i="24"/>
  <c r="U140" i="24"/>
  <c r="BB149" i="24"/>
  <c r="U149" i="24"/>
  <c r="BB157" i="24"/>
  <c r="U157" i="24"/>
  <c r="BB186" i="24"/>
  <c r="U186" i="24"/>
  <c r="BB223" i="24"/>
  <c r="U223" i="24"/>
  <c r="BB196" i="24"/>
  <c r="U196" i="24"/>
  <c r="BB192" i="24"/>
  <c r="U192" i="24"/>
  <c r="BB158" i="24"/>
  <c r="U158" i="24"/>
  <c r="BB188" i="24"/>
  <c r="U188" i="24"/>
  <c r="BB241" i="24"/>
  <c r="U241" i="24"/>
  <c r="BB271" i="24"/>
  <c r="U271" i="24"/>
  <c r="BB165" i="24"/>
  <c r="U165" i="24"/>
  <c r="BB169" i="24"/>
  <c r="U169" i="24"/>
  <c r="BB171" i="24"/>
  <c r="U171" i="24"/>
  <c r="BB170" i="24"/>
  <c r="U170" i="24"/>
  <c r="BB200" i="24"/>
  <c r="U200" i="24"/>
  <c r="BB245" i="24"/>
  <c r="U245" i="24"/>
  <c r="BB126" i="24"/>
  <c r="U126" i="24"/>
  <c r="BB118" i="24"/>
  <c r="U118" i="24"/>
  <c r="BB224" i="24"/>
  <c r="U224" i="24"/>
  <c r="BB151" i="24"/>
  <c r="U151" i="24"/>
  <c r="BB197" i="24"/>
  <c r="U197" i="24"/>
  <c r="BB139" i="24"/>
  <c r="U139" i="24"/>
  <c r="BB235" i="24"/>
  <c r="U235" i="24"/>
  <c r="BB276" i="24"/>
  <c r="U276" i="24"/>
  <c r="BB147" i="24"/>
  <c r="U147" i="24"/>
  <c r="BB190" i="24"/>
  <c r="U190" i="24"/>
  <c r="BB154" i="24"/>
  <c r="U154" i="24"/>
  <c r="BB111" i="24"/>
  <c r="U111" i="24"/>
  <c r="BB120" i="24"/>
  <c r="U120" i="24"/>
  <c r="BB310" i="24"/>
  <c r="U310" i="24"/>
  <c r="BB143" i="24"/>
  <c r="U143" i="24"/>
  <c r="BB134" i="24"/>
  <c r="U134" i="24"/>
  <c r="BB184" i="24"/>
  <c r="U184" i="24"/>
  <c r="BB309" i="24"/>
  <c r="U309" i="24"/>
  <c r="BB289" i="24"/>
  <c r="U289" i="24"/>
  <c r="V289" i="24" s="1"/>
  <c r="BB129" i="24"/>
  <c r="U129" i="24"/>
  <c r="BB307" i="24"/>
  <c r="U307" i="24"/>
  <c r="BB207" i="24"/>
  <c r="U207" i="24"/>
  <c r="BB313" i="24"/>
  <c r="U313" i="24"/>
  <c r="BB156" i="24"/>
  <c r="U156" i="24"/>
  <c r="BB199" i="24"/>
  <c r="U199" i="24"/>
  <c r="BB155" i="24"/>
  <c r="U155" i="24"/>
  <c r="BB234" i="24"/>
  <c r="U234" i="24"/>
  <c r="BB239" i="24"/>
  <c r="U239" i="24"/>
  <c r="BB178" i="24"/>
  <c r="U178" i="24"/>
  <c r="BB312" i="24"/>
  <c r="U312" i="24"/>
  <c r="V312" i="24" s="1"/>
  <c r="BB208" i="24"/>
  <c r="U208" i="24"/>
  <c r="BB298" i="24"/>
  <c r="U298" i="24"/>
  <c r="BB138" i="24"/>
  <c r="U138" i="24"/>
  <c r="BB168" i="24"/>
  <c r="U168" i="24"/>
  <c r="BB131" i="24"/>
  <c r="U131" i="24"/>
  <c r="BB160" i="24"/>
  <c r="U160" i="24"/>
  <c r="BB130" i="24"/>
  <c r="U130" i="24"/>
  <c r="BB294" i="24"/>
  <c r="U294" i="24"/>
  <c r="BB189" i="24"/>
  <c r="U189" i="24"/>
  <c r="BB148" i="24"/>
  <c r="U148" i="24"/>
  <c r="V148" i="24" s="1"/>
  <c r="BB203" i="24"/>
  <c r="U203" i="24"/>
  <c r="BB142" i="24"/>
  <c r="U142" i="24"/>
  <c r="BB268" i="24"/>
  <c r="U268" i="24"/>
  <c r="BB123" i="24"/>
  <c r="U123" i="24"/>
  <c r="V123" i="24" s="1"/>
  <c r="BB275" i="24"/>
  <c r="U275" i="24"/>
  <c r="BB209" i="24"/>
  <c r="U209" i="24"/>
  <c r="BB185" i="24"/>
  <c r="U185" i="24"/>
  <c r="BB167" i="24"/>
  <c r="U167" i="24"/>
  <c r="BB166" i="24"/>
  <c r="U166" i="24"/>
  <c r="BB162" i="24"/>
  <c r="U162" i="24"/>
  <c r="BB191" i="24"/>
  <c r="U191" i="24"/>
  <c r="BB127" i="24"/>
  <c r="U127" i="24"/>
  <c r="BB146" i="24"/>
  <c r="U146" i="24"/>
  <c r="BB176" i="24"/>
  <c r="U176" i="24"/>
  <c r="BB113" i="24"/>
  <c r="U113" i="24"/>
  <c r="BB306" i="24"/>
  <c r="U306" i="24"/>
  <c r="BB128" i="24"/>
  <c r="U128" i="24"/>
  <c r="BB293" i="24"/>
  <c r="U293" i="24"/>
  <c r="BB136" i="24"/>
  <c r="U136" i="24"/>
  <c r="BB222" i="24"/>
  <c r="U222" i="24"/>
  <c r="BB172" i="24"/>
  <c r="U172" i="24"/>
  <c r="V172" i="24" s="1"/>
  <c r="BB205" i="24"/>
  <c r="U205" i="24"/>
  <c r="BB164" i="24"/>
  <c r="U164" i="24"/>
  <c r="BB264" i="24"/>
  <c r="U264" i="24"/>
  <c r="BB145" i="24"/>
  <c r="U145" i="24"/>
  <c r="BB141" i="24"/>
  <c r="U141" i="24"/>
  <c r="BB133" i="24"/>
  <c r="U133" i="24"/>
  <c r="BB277" i="24"/>
  <c r="U277" i="24"/>
  <c r="BB135" i="24"/>
  <c r="U135" i="24"/>
  <c r="BB173" i="24"/>
  <c r="U173" i="24"/>
  <c r="BB177" i="24"/>
  <c r="U177" i="24"/>
  <c r="BB248" i="24"/>
  <c r="U248" i="24"/>
  <c r="BB144" i="24"/>
  <c r="U144" i="24"/>
  <c r="BB163" i="24"/>
  <c r="U163" i="24"/>
  <c r="BB198" i="24"/>
  <c r="U198" i="24"/>
  <c r="BB115" i="24"/>
  <c r="U115" i="24"/>
  <c r="BB261" i="24"/>
  <c r="U261" i="24"/>
  <c r="BB159" i="24"/>
  <c r="U159" i="24"/>
  <c r="BB291" i="24"/>
  <c r="U291" i="24"/>
  <c r="BB274" i="24"/>
  <c r="U274" i="24"/>
  <c r="BB232" i="24"/>
  <c r="U232" i="24"/>
  <c r="BB187" i="24"/>
  <c r="U187" i="24"/>
  <c r="BB183" i="24"/>
  <c r="U183" i="24"/>
  <c r="BB182" i="24"/>
  <c r="U182" i="24"/>
  <c r="BB175" i="24"/>
  <c r="U175" i="24"/>
  <c r="BB161" i="24"/>
  <c r="U161" i="24"/>
  <c r="BB229" i="24"/>
  <c r="U229" i="24"/>
  <c r="BB259" i="24"/>
  <c r="U259" i="24"/>
  <c r="BB236" i="24"/>
  <c r="U236" i="24"/>
  <c r="BB266" i="24"/>
  <c r="U266" i="24"/>
  <c r="BB238" i="24"/>
  <c r="U238" i="24"/>
  <c r="BB114" i="24"/>
  <c r="U114" i="24"/>
  <c r="BB299" i="24"/>
  <c r="U299" i="24"/>
  <c r="BB153" i="24"/>
  <c r="U153" i="24"/>
  <c r="BB286" i="24"/>
  <c r="U286" i="24"/>
  <c r="BB201" i="24"/>
  <c r="U201" i="24"/>
  <c r="V201" i="24" s="1"/>
  <c r="BB181" i="24"/>
  <c r="U181" i="24"/>
  <c r="BB210" i="24"/>
  <c r="U210" i="24"/>
  <c r="V210" i="24" s="1"/>
  <c r="BB300" i="24"/>
  <c r="U300" i="24"/>
  <c r="BB296" i="24"/>
  <c r="U296" i="24"/>
  <c r="BB125" i="24"/>
  <c r="U125" i="24"/>
  <c r="BB194" i="24"/>
  <c r="U194" i="24"/>
  <c r="BB150" i="24"/>
  <c r="U150" i="24"/>
  <c r="BB180" i="24"/>
  <c r="U180" i="24"/>
  <c r="BB302" i="24"/>
  <c r="U302" i="24"/>
  <c r="BB267" i="24"/>
  <c r="U267" i="24"/>
  <c r="BB174" i="24"/>
  <c r="U174" i="24"/>
  <c r="BB204" i="24"/>
  <c r="U204" i="24"/>
  <c r="BB195" i="24"/>
  <c r="U195" i="24"/>
  <c r="BB124" i="24"/>
  <c r="U124" i="24"/>
  <c r="AA362" i="29"/>
  <c r="BB281" i="24"/>
  <c r="BB231" i="24"/>
  <c r="AG107" i="29"/>
  <c r="W488" i="29"/>
  <c r="AA488" i="29" s="1"/>
  <c r="X500" i="29"/>
  <c r="Y500" i="29" s="1"/>
  <c r="W613" i="29"/>
  <c r="AA613" i="29" s="1"/>
  <c r="BB301" i="24"/>
  <c r="X164" i="29"/>
  <c r="Y164" i="29" s="1"/>
  <c r="AG47" i="29"/>
  <c r="W594" i="29"/>
  <c r="AJ593" i="29" s="1"/>
  <c r="AK593" i="29" s="1"/>
  <c r="BB308" i="24"/>
  <c r="AH343" i="29"/>
  <c r="W489" i="29"/>
  <c r="AA489" i="29" s="1"/>
  <c r="X330" i="29"/>
  <c r="Y330" i="29" s="1"/>
  <c r="W544" i="29"/>
  <c r="AA544" i="29" s="1"/>
  <c r="BB251" i="24"/>
  <c r="BB304" i="24"/>
  <c r="W438" i="29"/>
  <c r="AA438" i="29" s="1"/>
  <c r="AG536" i="29"/>
  <c r="AG351" i="29"/>
  <c r="W578" i="29"/>
  <c r="AA578" i="29" s="1"/>
  <c r="BB256" i="24"/>
  <c r="AJ371" i="29"/>
  <c r="W541" i="29"/>
  <c r="AA541" i="29" s="1"/>
  <c r="W266" i="29"/>
  <c r="AA266" i="29" s="1"/>
  <c r="X599" i="29"/>
  <c r="Y599" i="29" s="1"/>
  <c r="X117" i="29"/>
  <c r="Y117" i="29" s="1"/>
  <c r="X283" i="29"/>
  <c r="Y283" i="29" s="1"/>
  <c r="AG450" i="29"/>
  <c r="W493" i="29"/>
  <c r="AA493" i="29" s="1"/>
  <c r="AH458" i="29"/>
  <c r="X509" i="29"/>
  <c r="Y509" i="29" s="1"/>
  <c r="BB220" i="24"/>
  <c r="X270" i="29"/>
  <c r="Y270" i="29" s="1"/>
  <c r="X193" i="29"/>
  <c r="Y193" i="29" s="1"/>
  <c r="AH193" i="29"/>
  <c r="BB243" i="24"/>
  <c r="BB250" i="24"/>
  <c r="W142" i="29"/>
  <c r="AA142" i="29" s="1"/>
  <c r="AG30" i="29"/>
  <c r="AH47" i="29"/>
  <c r="BB283" i="24"/>
  <c r="BB225" i="24"/>
  <c r="BB287" i="24"/>
  <c r="X53" i="29"/>
  <c r="Y53" i="29" s="1"/>
  <c r="W580" i="29"/>
  <c r="AA580" i="29" s="1"/>
  <c r="AH488" i="29"/>
  <c r="X433" i="29"/>
  <c r="Y433" i="29" s="1"/>
  <c r="X506" i="29"/>
  <c r="Y506" i="29" s="1"/>
  <c r="W479" i="29"/>
  <c r="AA479" i="29" s="1"/>
  <c r="X613" i="29"/>
  <c r="Y613" i="29" s="1"/>
  <c r="BB252" i="24"/>
  <c r="AJ469" i="29"/>
  <c r="AK469" i="29" s="1"/>
  <c r="BB282" i="24"/>
  <c r="BB297" i="24"/>
  <c r="AG294" i="29"/>
  <c r="BB218" i="24"/>
  <c r="BB265" i="24"/>
  <c r="AG344" i="29"/>
  <c r="AG422" i="29"/>
  <c r="BB285" i="24"/>
  <c r="X245" i="29"/>
  <c r="Y245" i="29" s="1"/>
  <c r="AH414" i="29"/>
  <c r="AG524" i="29"/>
  <c r="AG122" i="29"/>
  <c r="BB262" i="24"/>
  <c r="AH491" i="29"/>
  <c r="AH194" i="29"/>
  <c r="S143" i="25"/>
  <c r="K143" i="25" s="1"/>
  <c r="AD143" i="25" s="1"/>
  <c r="AA470" i="29"/>
  <c r="BB295" i="24"/>
  <c r="BB311" i="24"/>
  <c r="BB247" i="24"/>
  <c r="BB290" i="24"/>
  <c r="BB292" i="24"/>
  <c r="BB217" i="24"/>
  <c r="BB228" i="24"/>
  <c r="BB230" i="24"/>
  <c r="BB280" i="24"/>
  <c r="BB314" i="24"/>
  <c r="BB269" i="24"/>
  <c r="BB246" i="24"/>
  <c r="X110" i="24"/>
  <c r="AA110" i="24" s="1"/>
  <c r="AB110" i="24" s="1"/>
  <c r="AC110" i="24" s="1"/>
  <c r="BB257" i="24"/>
  <c r="BB249" i="24"/>
  <c r="BB284" i="24"/>
  <c r="BB237" i="24"/>
  <c r="BB270" i="24"/>
  <c r="AZ55" i="25"/>
  <c r="AZ54" i="25"/>
  <c r="AZ84" i="25"/>
  <c r="AZ39" i="25"/>
  <c r="AY37" i="25"/>
  <c r="AY6" i="25"/>
  <c r="AY75" i="25"/>
  <c r="AH472" i="29"/>
  <c r="AZ6" i="25"/>
  <c r="AZ23" i="25"/>
  <c r="AZ12" i="25"/>
  <c r="AG506" i="29"/>
  <c r="AG476" i="29"/>
  <c r="AZ11" i="25"/>
  <c r="AZ22" i="25"/>
  <c r="AZ101" i="25"/>
  <c r="AZ73" i="25"/>
  <c r="AZ24" i="25"/>
  <c r="AZ70" i="25"/>
  <c r="AZ96" i="25"/>
  <c r="AZ47" i="25"/>
  <c r="AZ104" i="25"/>
  <c r="AY65" i="25"/>
  <c r="AY23" i="25"/>
  <c r="AY19" i="25"/>
  <c r="AY8" i="25"/>
  <c r="AZ65" i="25"/>
  <c r="AZ63" i="25"/>
  <c r="AZ78" i="25"/>
  <c r="AZ91" i="25"/>
  <c r="AY7" i="25"/>
  <c r="AY59" i="25"/>
  <c r="AY28" i="25"/>
  <c r="AY21" i="25"/>
  <c r="AY35" i="25"/>
  <c r="W503" i="29"/>
  <c r="AG503" i="29"/>
  <c r="AG454" i="29"/>
  <c r="AZ32" i="25"/>
  <c r="AZ50" i="25"/>
  <c r="AY24" i="25"/>
  <c r="AY96" i="25"/>
  <c r="AY78" i="25"/>
  <c r="W82" i="29"/>
  <c r="AZ56" i="25"/>
  <c r="AZ87" i="25"/>
  <c r="AY10" i="25"/>
  <c r="AY12" i="25"/>
  <c r="N227" i="24"/>
  <c r="P227" i="24" s="1"/>
  <c r="BA227" i="24"/>
  <c r="N290" i="24"/>
  <c r="P290" i="24" s="1"/>
  <c r="BA290" i="24"/>
  <c r="N240" i="24"/>
  <c r="P240" i="24" s="1"/>
  <c r="BA240" i="24"/>
  <c r="N311" i="24"/>
  <c r="P311" i="24" s="1"/>
  <c r="BA311" i="24"/>
  <c r="BB305" i="24"/>
  <c r="AH240" i="29"/>
  <c r="N313" i="24"/>
  <c r="P313" i="24" s="1"/>
  <c r="BA313" i="24"/>
  <c r="N291" i="24"/>
  <c r="P291" i="24" s="1"/>
  <c r="BA291" i="24"/>
  <c r="N265" i="24"/>
  <c r="P265" i="24" s="1"/>
  <c r="BA265" i="24"/>
  <c r="N262" i="24"/>
  <c r="P262" i="24" s="1"/>
  <c r="BA262" i="24"/>
  <c r="X54" i="29"/>
  <c r="Y54" i="29" s="1"/>
  <c r="N252" i="24"/>
  <c r="P252" i="24" s="1"/>
  <c r="BA252" i="24"/>
  <c r="W359" i="29"/>
  <c r="AA359" i="29" s="1"/>
  <c r="N308" i="24"/>
  <c r="P308" i="24" s="1"/>
  <c r="BA308" i="24"/>
  <c r="N304" i="24"/>
  <c r="P304" i="24" s="1"/>
  <c r="BA304" i="24"/>
  <c r="N274" i="24"/>
  <c r="P274" i="24" s="1"/>
  <c r="BA274" i="24"/>
  <c r="N306" i="24"/>
  <c r="P306" i="24" s="1"/>
  <c r="BA306" i="24"/>
  <c r="W251" i="29"/>
  <c r="AA251" i="29" s="1"/>
  <c r="N280" i="24"/>
  <c r="P280" i="24" s="1"/>
  <c r="BA280" i="24"/>
  <c r="X107" i="29"/>
  <c r="Y107" i="29" s="1"/>
  <c r="AH297" i="29"/>
  <c r="AG350" i="29"/>
  <c r="W161" i="29"/>
  <c r="AA161" i="29" s="1"/>
  <c r="W492" i="29"/>
  <c r="AA492" i="29" s="1"/>
  <c r="X478" i="29"/>
  <c r="Y478" i="29" s="1"/>
  <c r="N277" i="24"/>
  <c r="P277" i="24" s="1"/>
  <c r="BA277" i="24"/>
  <c r="AG100" i="29"/>
  <c r="X612" i="29"/>
  <c r="Y612" i="29" s="1"/>
  <c r="X275" i="29"/>
  <c r="Y275" i="29" s="1"/>
  <c r="AY5" i="25"/>
  <c r="AY82" i="25"/>
  <c r="AZ66" i="25"/>
  <c r="AY40" i="25"/>
  <c r="AY53" i="25"/>
  <c r="AZ7" i="25"/>
  <c r="AY98" i="25"/>
  <c r="AY42" i="25"/>
  <c r="AY89" i="25"/>
  <c r="AY102" i="25"/>
  <c r="AY91" i="25"/>
  <c r="AY105" i="25"/>
  <c r="N216" i="24"/>
  <c r="AP216" i="24" s="1"/>
  <c r="BB216" i="24"/>
  <c r="BA216" i="24"/>
  <c r="N278" i="24"/>
  <c r="P278" i="24" s="1"/>
  <c r="BA278" i="24"/>
  <c r="N219" i="24"/>
  <c r="P219" i="24" s="1"/>
  <c r="BA219" i="24"/>
  <c r="N251" i="24"/>
  <c r="P251" i="24" s="1"/>
  <c r="BA251" i="24"/>
  <c r="N221" i="24"/>
  <c r="P221" i="24" s="1"/>
  <c r="BA221" i="24"/>
  <c r="BB254" i="24"/>
  <c r="N292" i="24"/>
  <c r="P292" i="24" s="1"/>
  <c r="BA292" i="24"/>
  <c r="N316" i="24"/>
  <c r="P316" i="24" s="1"/>
  <c r="BA316" i="24"/>
  <c r="N226" i="24"/>
  <c r="P226" i="24" s="1"/>
  <c r="BA226" i="24"/>
  <c r="BB255" i="24"/>
  <c r="BB303" i="24"/>
  <c r="BB226" i="24"/>
  <c r="N263" i="24"/>
  <c r="P263" i="24" s="1"/>
  <c r="BA263" i="24"/>
  <c r="N237" i="24"/>
  <c r="P237" i="24" s="1"/>
  <c r="BA237" i="24"/>
  <c r="N250" i="24"/>
  <c r="P250" i="24" s="1"/>
  <c r="BA250" i="24"/>
  <c r="N300" i="24"/>
  <c r="P300" i="24" s="1"/>
  <c r="BA300" i="24"/>
  <c r="N256" i="24"/>
  <c r="P256" i="24" s="1"/>
  <c r="BA256" i="24"/>
  <c r="W374" i="29"/>
  <c r="AA374" i="29" s="1"/>
  <c r="X454" i="29"/>
  <c r="Y454" i="29" s="1"/>
  <c r="N270" i="24"/>
  <c r="P270" i="24" s="1"/>
  <c r="BA270" i="24"/>
  <c r="AG473" i="29"/>
  <c r="AZ90" i="25"/>
  <c r="AZ28" i="25"/>
  <c r="AZ97" i="25"/>
  <c r="AZ77" i="25"/>
  <c r="AZ43" i="25"/>
  <c r="AZ46" i="25"/>
  <c r="AZ8" i="25"/>
  <c r="AZ44" i="25"/>
  <c r="AZ88" i="25"/>
  <c r="AZ102" i="25"/>
  <c r="AZ15" i="25"/>
  <c r="AZ86" i="25"/>
  <c r="AZ59" i="25"/>
  <c r="AZ57" i="25"/>
  <c r="AZ95" i="25"/>
  <c r="AZ89" i="25"/>
  <c r="AZ93" i="25"/>
  <c r="AZ37" i="25"/>
  <c r="AZ49" i="25"/>
  <c r="AZ99" i="25"/>
  <c r="AZ62" i="25"/>
  <c r="AZ41" i="25"/>
  <c r="AZ42" i="25"/>
  <c r="AY68" i="25"/>
  <c r="AY51" i="25"/>
  <c r="AZ26" i="25"/>
  <c r="AY104" i="25"/>
  <c r="AY14" i="25"/>
  <c r="AY67" i="25"/>
  <c r="AY11" i="25"/>
  <c r="AG233" i="29"/>
  <c r="AY50" i="25"/>
  <c r="AY47" i="25"/>
  <c r="AY52" i="25"/>
  <c r="AY66" i="25"/>
  <c r="BB260" i="24"/>
  <c r="BB233" i="24"/>
  <c r="BB263" i="24"/>
  <c r="BB272" i="24"/>
  <c r="N220" i="24"/>
  <c r="P220" i="24" s="1"/>
  <c r="BA220" i="24"/>
  <c r="N236" i="24"/>
  <c r="P236" i="24" s="1"/>
  <c r="BA236" i="24"/>
  <c r="N275" i="24"/>
  <c r="P275" i="24" s="1"/>
  <c r="BA275" i="24"/>
  <c r="U229" i="29"/>
  <c r="W229" i="29" s="1"/>
  <c r="N225" i="24"/>
  <c r="P225" i="24" s="1"/>
  <c r="BA225" i="24"/>
  <c r="N269" i="24"/>
  <c r="P269" i="24" s="1"/>
  <c r="BA269" i="24"/>
  <c r="N301" i="24"/>
  <c r="P301" i="24" s="1"/>
  <c r="BA301" i="24"/>
  <c r="N282" i="24"/>
  <c r="P282" i="24" s="1"/>
  <c r="BA282" i="24"/>
  <c r="X82" i="29"/>
  <c r="Y82" i="29" s="1"/>
  <c r="AH284" i="29"/>
  <c r="X332" i="29"/>
  <c r="Y332" i="29" s="1"/>
  <c r="W601" i="29"/>
  <c r="AA601" i="29" s="1"/>
  <c r="X536" i="29"/>
  <c r="Y536" i="29" s="1"/>
  <c r="AH86" i="29"/>
  <c r="N247" i="24"/>
  <c r="P247" i="24" s="1"/>
  <c r="BA247" i="24"/>
  <c r="AG560" i="29"/>
  <c r="AG65" i="29"/>
  <c r="AZ18" i="25"/>
  <c r="AZ14" i="25"/>
  <c r="AZ80" i="25"/>
  <c r="AZ16" i="25"/>
  <c r="AZ29" i="25"/>
  <c r="AZ33" i="25"/>
  <c r="AZ61" i="25"/>
  <c r="AZ52" i="25"/>
  <c r="AZ25" i="25"/>
  <c r="AZ38" i="25"/>
  <c r="AZ48" i="25"/>
  <c r="AZ51" i="25"/>
  <c r="AZ64" i="25"/>
  <c r="AZ83" i="25"/>
  <c r="AZ13" i="25"/>
  <c r="AZ34" i="25"/>
  <c r="AZ105" i="25"/>
  <c r="B117" i="2" s="1"/>
  <c r="AZ94" i="25"/>
  <c r="AZ82" i="25"/>
  <c r="AZ58" i="25"/>
  <c r="AZ98" i="25"/>
  <c r="AZ74" i="25"/>
  <c r="AZ31" i="25"/>
  <c r="AY88" i="25"/>
  <c r="AY101" i="25"/>
  <c r="AY71" i="25"/>
  <c r="AY76" i="25"/>
  <c r="AZ20" i="25"/>
  <c r="AY26" i="25"/>
  <c r="AY87" i="25"/>
  <c r="AY92" i="25"/>
  <c r="AY31" i="25"/>
  <c r="AY36" i="25"/>
  <c r="W275" i="29"/>
  <c r="AG275" i="29"/>
  <c r="AY83" i="25"/>
  <c r="AY72" i="25"/>
  <c r="AY85" i="25"/>
  <c r="AY99" i="25"/>
  <c r="N258" i="24"/>
  <c r="P258" i="24" s="1"/>
  <c r="BA258" i="24"/>
  <c r="N254" i="24"/>
  <c r="P254" i="24" s="1"/>
  <c r="BA254" i="24"/>
  <c r="BB278" i="24"/>
  <c r="BB219" i="24"/>
  <c r="BB240" i="24"/>
  <c r="N233" i="24"/>
  <c r="P233" i="24" s="1"/>
  <c r="BA233" i="24"/>
  <c r="N230" i="24"/>
  <c r="P230" i="24" s="1"/>
  <c r="BA230" i="24"/>
  <c r="N228" i="24"/>
  <c r="P228" i="24" s="1"/>
  <c r="BA228" i="24"/>
  <c r="N297" i="24"/>
  <c r="P297" i="24" s="1"/>
  <c r="BA297" i="24"/>
  <c r="N294" i="24"/>
  <c r="P294" i="24" s="1"/>
  <c r="BA294" i="24"/>
  <c r="N281" i="24"/>
  <c r="P281" i="24" s="1"/>
  <c r="BA281" i="24"/>
  <c r="N310" i="24"/>
  <c r="P310" i="24" s="1"/>
  <c r="BA310" i="24"/>
  <c r="AH558" i="29"/>
  <c r="X462" i="29"/>
  <c r="Y462" i="29" s="1"/>
  <c r="N244" i="24"/>
  <c r="P244" i="24" s="1"/>
  <c r="BA244" i="24"/>
  <c r="N235" i="24"/>
  <c r="P235" i="24" s="1"/>
  <c r="BA235" i="24"/>
  <c r="AY49" i="25"/>
  <c r="AY62" i="25"/>
  <c r="AY32" i="25"/>
  <c r="AY45" i="25"/>
  <c r="AY90" i="25"/>
  <c r="AY48" i="25"/>
  <c r="AY61" i="25"/>
  <c r="AY95" i="25"/>
  <c r="AY100" i="25"/>
  <c r="AY39" i="25"/>
  <c r="AY44" i="25"/>
  <c r="AY33" i="25"/>
  <c r="AY46" i="25"/>
  <c r="AY55" i="25"/>
  <c r="AY60" i="25"/>
  <c r="N279" i="24"/>
  <c r="P279" i="24" s="1"/>
  <c r="BA279" i="24"/>
  <c r="BB279" i="24"/>
  <c r="N231" i="24"/>
  <c r="P231" i="24" s="1"/>
  <c r="BA231" i="24"/>
  <c r="N303" i="24"/>
  <c r="P303" i="24" s="1"/>
  <c r="BA303" i="24"/>
  <c r="N272" i="24"/>
  <c r="P272" i="24" s="1"/>
  <c r="BA272" i="24"/>
  <c r="N257" i="24"/>
  <c r="P257" i="24" s="1"/>
  <c r="BA257" i="24"/>
  <c r="N218" i="24"/>
  <c r="P218" i="24" s="1"/>
  <c r="BA218" i="24"/>
  <c r="X101" i="29"/>
  <c r="Y101" i="29" s="1"/>
  <c r="W319" i="29"/>
  <c r="W413" i="29"/>
  <c r="AA413" i="29" s="1"/>
  <c r="AY9" i="25"/>
  <c r="AY22" i="25"/>
  <c r="AY56" i="25"/>
  <c r="AY69" i="25"/>
  <c r="AY103" i="25"/>
  <c r="AY13" i="25"/>
  <c r="AY97" i="25"/>
  <c r="AY16" i="25"/>
  <c r="AY29" i="25"/>
  <c r="AZ45" i="25"/>
  <c r="N253" i="24"/>
  <c r="P253" i="24" s="1"/>
  <c r="BA253" i="24"/>
  <c r="N305" i="24"/>
  <c r="P305" i="24" s="1"/>
  <c r="BA305" i="24"/>
  <c r="N284" i="24"/>
  <c r="P284" i="24" s="1"/>
  <c r="BA284" i="24"/>
  <c r="X264" i="29"/>
  <c r="Y264" i="29" s="1"/>
  <c r="N249" i="24"/>
  <c r="P249" i="24" s="1"/>
  <c r="BA249" i="24"/>
  <c r="N260" i="24"/>
  <c r="P260" i="24" s="1"/>
  <c r="BA260" i="24"/>
  <c r="N255" i="24"/>
  <c r="P255" i="24" s="1"/>
  <c r="BA255" i="24"/>
  <c r="BB253" i="24"/>
  <c r="BB258" i="24"/>
  <c r="BB316" i="24"/>
  <c r="BB242" i="24"/>
  <c r="N285" i="24"/>
  <c r="P285" i="24" s="1"/>
  <c r="BA285" i="24"/>
  <c r="N289" i="24"/>
  <c r="P289" i="24" s="1"/>
  <c r="BA289" i="24"/>
  <c r="N283" i="24"/>
  <c r="P283" i="24" s="1"/>
  <c r="BA283" i="24"/>
  <c r="N287" i="24"/>
  <c r="P287" i="24" s="1"/>
  <c r="BA287" i="24"/>
  <c r="N243" i="24"/>
  <c r="P243" i="24" s="1"/>
  <c r="BA243" i="24"/>
  <c r="N295" i="24"/>
  <c r="P295" i="24" s="1"/>
  <c r="BA295" i="24"/>
  <c r="N217" i="24"/>
  <c r="P217" i="24" s="1"/>
  <c r="BA217" i="24"/>
  <c r="N246" i="24"/>
  <c r="P246" i="24" s="1"/>
  <c r="BA246" i="24"/>
  <c r="N271" i="24"/>
  <c r="P271" i="24" s="1"/>
  <c r="BA271" i="24"/>
  <c r="N212" i="24"/>
  <c r="P212" i="24" s="1"/>
  <c r="BA212" i="24"/>
  <c r="N232" i="24"/>
  <c r="P232" i="24" s="1"/>
  <c r="BA232" i="24"/>
  <c r="N224" i="24"/>
  <c r="P224" i="24" s="1"/>
  <c r="BA224" i="24"/>
  <c r="N298" i="24"/>
  <c r="P298" i="24" s="1"/>
  <c r="BA298" i="24"/>
  <c r="X592" i="29"/>
  <c r="Y592" i="29" s="1"/>
  <c r="AH560" i="29"/>
  <c r="X473" i="29"/>
  <c r="Y473" i="29" s="1"/>
  <c r="N296" i="24"/>
  <c r="P296" i="24" s="1"/>
  <c r="BA296" i="24"/>
  <c r="AY74" i="25"/>
  <c r="AY57" i="25"/>
  <c r="AY70" i="25"/>
  <c r="AY15" i="25"/>
  <c r="AY20" i="25"/>
  <c r="AY73" i="25"/>
  <c r="AY86" i="25"/>
  <c r="AY17" i="25"/>
  <c r="AY30" i="25"/>
  <c r="AY64" i="25"/>
  <c r="AY77" i="25"/>
  <c r="AY58" i="25"/>
  <c r="AY80" i="25"/>
  <c r="AY93" i="25"/>
  <c r="N242" i="24"/>
  <c r="P242" i="24" s="1"/>
  <c r="BA242" i="24"/>
  <c r="BB221" i="24"/>
  <c r="BB227" i="24"/>
  <c r="N314" i="24"/>
  <c r="P314" i="24" s="1"/>
  <c r="BA314" i="24"/>
  <c r="N248" i="24"/>
  <c r="P248" i="24" s="1"/>
  <c r="BA248" i="24"/>
  <c r="N293" i="24"/>
  <c r="P293" i="24" s="1"/>
  <c r="BA293" i="24"/>
  <c r="B25" i="2"/>
  <c r="AZ10" i="25"/>
  <c r="AZ5" i="25"/>
  <c r="AZ79" i="25"/>
  <c r="AZ36" i="25"/>
  <c r="AZ60" i="25"/>
  <c r="AZ75" i="25"/>
  <c r="AZ81" i="25"/>
  <c r="AZ103" i="25"/>
  <c r="AZ27" i="25"/>
  <c r="AZ69" i="25"/>
  <c r="AZ76" i="25"/>
  <c r="AZ40" i="25"/>
  <c r="AZ30" i="25"/>
  <c r="AZ21" i="25"/>
  <c r="AZ17" i="25"/>
  <c r="AZ53" i="25"/>
  <c r="AZ72" i="25"/>
  <c r="AZ71" i="25"/>
  <c r="AZ68" i="25"/>
  <c r="AZ19" i="25"/>
  <c r="AZ67" i="25"/>
  <c r="AZ35" i="25"/>
  <c r="AZ9" i="25"/>
  <c r="AZ92" i="25"/>
  <c r="AY43" i="25"/>
  <c r="AY18" i="25"/>
  <c r="AZ85" i="25"/>
  <c r="AY79" i="25"/>
  <c r="AY84" i="25"/>
  <c r="AY34" i="25"/>
  <c r="AY81" i="25"/>
  <c r="AY94" i="25"/>
  <c r="AY25" i="25"/>
  <c r="AY38" i="25"/>
  <c r="AY27" i="25"/>
  <c r="AY41" i="25"/>
  <c r="AY54" i="25"/>
  <c r="AY63" i="25"/>
  <c r="P145" i="25"/>
  <c r="B133" i="2"/>
  <c r="T55" i="25"/>
  <c r="U55" i="25" s="1"/>
  <c r="AX55" i="25"/>
  <c r="T53" i="25"/>
  <c r="U53" i="25" s="1"/>
  <c r="AX53" i="25"/>
  <c r="T51" i="25"/>
  <c r="U51" i="25" s="1"/>
  <c r="AX51" i="25"/>
  <c r="T83" i="25"/>
  <c r="U83" i="25" s="1"/>
  <c r="AX83" i="25"/>
  <c r="T12" i="25"/>
  <c r="U12" i="25" s="1"/>
  <c r="AX12" i="25"/>
  <c r="T15" i="25"/>
  <c r="U15" i="25" s="1"/>
  <c r="AX15" i="25"/>
  <c r="T25" i="25"/>
  <c r="U25" i="25" s="1"/>
  <c r="AX25" i="25"/>
  <c r="T40" i="25"/>
  <c r="U40" i="25" s="1"/>
  <c r="AX40" i="25"/>
  <c r="T80" i="25"/>
  <c r="U80" i="25" s="1"/>
  <c r="AX80" i="25"/>
  <c r="T26" i="25"/>
  <c r="U26" i="25" s="1"/>
  <c r="AX26" i="25"/>
  <c r="T24" i="25"/>
  <c r="U24" i="25" s="1"/>
  <c r="AX24" i="25"/>
  <c r="T13" i="25"/>
  <c r="U13" i="25" s="1"/>
  <c r="AX13" i="25"/>
  <c r="T68" i="25"/>
  <c r="U68" i="25" s="1"/>
  <c r="AX68" i="25"/>
  <c r="T104" i="25"/>
  <c r="U104" i="25" s="1"/>
  <c r="AX104" i="25"/>
  <c r="T41" i="25"/>
  <c r="U41" i="25" s="1"/>
  <c r="AX41" i="25"/>
  <c r="T39" i="25"/>
  <c r="U39" i="25" s="1"/>
  <c r="AX39" i="25"/>
  <c r="T64" i="25"/>
  <c r="U64" i="25" s="1"/>
  <c r="AX64" i="25"/>
  <c r="T72" i="25"/>
  <c r="U72" i="25" s="1"/>
  <c r="AX72" i="25"/>
  <c r="T62" i="25"/>
  <c r="U62" i="25" s="1"/>
  <c r="AX62" i="25"/>
  <c r="T100" i="25"/>
  <c r="U100" i="25" s="1"/>
  <c r="AX100" i="25"/>
  <c r="T101" i="25"/>
  <c r="U101" i="25" s="1"/>
  <c r="AX101" i="25"/>
  <c r="T29" i="25"/>
  <c r="U29" i="25" s="1"/>
  <c r="AX29" i="25"/>
  <c r="T82" i="25"/>
  <c r="U82" i="25" s="1"/>
  <c r="AX82" i="25"/>
  <c r="T42" i="25"/>
  <c r="U42" i="25" s="1"/>
  <c r="AX42" i="25"/>
  <c r="T60" i="25"/>
  <c r="U60" i="25" s="1"/>
  <c r="AX60" i="25"/>
  <c r="T63" i="25"/>
  <c r="U63" i="25" s="1"/>
  <c r="AX63" i="25"/>
  <c r="T33" i="25"/>
  <c r="U33" i="25" s="1"/>
  <c r="AX33" i="25"/>
  <c r="T94" i="25"/>
  <c r="U94" i="25" s="1"/>
  <c r="AX94" i="25"/>
  <c r="T30" i="25"/>
  <c r="U30" i="25" s="1"/>
  <c r="AX30" i="25"/>
  <c r="T61" i="25"/>
  <c r="U61" i="25" s="1"/>
  <c r="AX61" i="25"/>
  <c r="T58" i="25"/>
  <c r="U58" i="25" s="1"/>
  <c r="AX58" i="25"/>
  <c r="T93" i="25"/>
  <c r="U93" i="25" s="1"/>
  <c r="AX93" i="25"/>
  <c r="T95" i="25"/>
  <c r="U95" i="25" s="1"/>
  <c r="AX95" i="25"/>
  <c r="T89" i="25"/>
  <c r="U89" i="25" s="1"/>
  <c r="AX89" i="25"/>
  <c r="T36" i="25"/>
  <c r="U36" i="25" s="1"/>
  <c r="AX36" i="25"/>
  <c r="T48" i="25"/>
  <c r="U48" i="25" s="1"/>
  <c r="AX48" i="25"/>
  <c r="T27" i="25"/>
  <c r="U27" i="25" s="1"/>
  <c r="AX27" i="25"/>
  <c r="T54" i="25"/>
  <c r="U54" i="25" s="1"/>
  <c r="AX54" i="25"/>
  <c r="T92" i="25"/>
  <c r="U92" i="25" s="1"/>
  <c r="AX92" i="25"/>
  <c r="T102" i="25"/>
  <c r="U102" i="25" s="1"/>
  <c r="AX102" i="25"/>
  <c r="T28" i="25"/>
  <c r="U28" i="25" s="1"/>
  <c r="AX28" i="25"/>
  <c r="T35" i="25"/>
  <c r="U35" i="25" s="1"/>
  <c r="AX35" i="25"/>
  <c r="B209" i="2"/>
  <c r="R138" i="25"/>
  <c r="R165" i="25"/>
  <c r="AA97" i="29"/>
  <c r="Q185" i="25"/>
  <c r="R129" i="25"/>
  <c r="Q143" i="25"/>
  <c r="K96" i="23"/>
  <c r="M96" i="23" s="1"/>
  <c r="L17" i="23"/>
  <c r="M17" i="23" s="1"/>
  <c r="L80" i="23"/>
  <c r="M80" i="23" s="1"/>
  <c r="L75" i="23"/>
  <c r="M75" i="23" s="1"/>
  <c r="L104" i="23"/>
  <c r="M104" i="23" s="1"/>
  <c r="R191" i="25"/>
  <c r="Q111" i="25"/>
  <c r="Q160" i="25"/>
  <c r="Q163" i="25"/>
  <c r="Q136" i="25"/>
  <c r="AI110" i="24"/>
  <c r="L97" i="23"/>
  <c r="M97" i="23" s="1"/>
  <c r="Q166" i="25"/>
  <c r="S166" i="25"/>
  <c r="K166" i="25" s="1"/>
  <c r="W166" i="25" s="1"/>
  <c r="Z166" i="25" s="1"/>
  <c r="AA166" i="25" s="1"/>
  <c r="AB166" i="25" s="1"/>
  <c r="R124" i="25"/>
  <c r="L10" i="23"/>
  <c r="M10" i="23" s="1"/>
  <c r="R135" i="25"/>
  <c r="Q203" i="25"/>
  <c r="R157" i="25"/>
  <c r="T217" i="25"/>
  <c r="U217" i="25" s="1"/>
  <c r="J16" i="23"/>
  <c r="K16" i="23" s="1"/>
  <c r="L40" i="23"/>
  <c r="M40" i="23" s="1"/>
  <c r="K51" i="23"/>
  <c r="M51" i="23" s="1"/>
  <c r="J23" i="23"/>
  <c r="L23" i="23" s="1"/>
  <c r="K101" i="23"/>
  <c r="M101" i="23" s="1"/>
  <c r="K14" i="23"/>
  <c r="M14" i="23" s="1"/>
  <c r="T220" i="25"/>
  <c r="U220" i="25" s="1"/>
  <c r="L61" i="23"/>
  <c r="M61" i="23" s="1"/>
  <c r="K46" i="23"/>
  <c r="M46" i="23" s="1"/>
  <c r="K93" i="23"/>
  <c r="M93" i="23" s="1"/>
  <c r="L87" i="23"/>
  <c r="M87" i="23" s="1"/>
  <c r="J91" i="23"/>
  <c r="K91" i="23" s="1"/>
  <c r="R126" i="25"/>
  <c r="K43" i="23"/>
  <c r="M43" i="23" s="1"/>
  <c r="R198" i="25"/>
  <c r="K28" i="23"/>
  <c r="M28" i="23" s="1"/>
  <c r="L71" i="23"/>
  <c r="M71" i="23" s="1"/>
  <c r="R196" i="25"/>
  <c r="S132" i="25"/>
  <c r="K132" i="25" s="1"/>
  <c r="W132" i="25" s="1"/>
  <c r="Z132" i="25" s="1"/>
  <c r="AA132" i="25" s="1"/>
  <c r="AB132" i="25" s="1"/>
  <c r="K13" i="23"/>
  <c r="M13" i="23" s="1"/>
  <c r="R132" i="25"/>
  <c r="R174" i="25"/>
  <c r="J41" i="23"/>
  <c r="L41" i="23" s="1"/>
  <c r="K85" i="23"/>
  <c r="M85" i="23" s="1"/>
  <c r="K73" i="23"/>
  <c r="M73" i="23" s="1"/>
  <c r="R178" i="25"/>
  <c r="R171" i="25"/>
  <c r="Q147" i="25"/>
  <c r="L11" i="23"/>
  <c r="M11" i="23" s="1"/>
  <c r="L53" i="23"/>
  <c r="M53" i="23" s="1"/>
  <c r="L70" i="23"/>
  <c r="M70" i="23" s="1"/>
  <c r="W110" i="24"/>
  <c r="Y110" i="24" s="1"/>
  <c r="K56" i="23"/>
  <c r="M56" i="23" s="1"/>
  <c r="R161" i="25"/>
  <c r="K45" i="23"/>
  <c r="M45" i="23" s="1"/>
  <c r="K18" i="23"/>
  <c r="M18" i="23" s="1"/>
  <c r="K67" i="23"/>
  <c r="M67" i="23" s="1"/>
  <c r="L9" i="23"/>
  <c r="M9" i="23" s="1"/>
  <c r="K90" i="23"/>
  <c r="M90" i="23" s="1"/>
  <c r="J59" i="23"/>
  <c r="L59" i="23" s="1"/>
  <c r="J81" i="23"/>
  <c r="L81" i="23" s="1"/>
  <c r="R127" i="25"/>
  <c r="R117" i="25"/>
  <c r="S127" i="25"/>
  <c r="K127" i="25" s="1"/>
  <c r="AD127" i="25" s="1"/>
  <c r="S128" i="25"/>
  <c r="K128" i="25" s="1"/>
  <c r="AD128" i="25" s="1"/>
  <c r="R177" i="25"/>
  <c r="L8" i="23"/>
  <c r="M8" i="23" s="1"/>
  <c r="R150" i="25"/>
  <c r="L100" i="23"/>
  <c r="M100" i="23" s="1"/>
  <c r="R204" i="25"/>
  <c r="K25" i="23"/>
  <c r="M25" i="23" s="1"/>
  <c r="J36" i="23"/>
  <c r="L36" i="23" s="1"/>
  <c r="T310" i="25"/>
  <c r="U310" i="25" s="1"/>
  <c r="L57" i="23"/>
  <c r="M57" i="23" s="1"/>
  <c r="T239" i="25"/>
  <c r="U239" i="25" s="1"/>
  <c r="O216" i="25"/>
  <c r="S216" i="25" s="1"/>
  <c r="K216" i="25" s="1"/>
  <c r="J38" i="23"/>
  <c r="J62" i="23"/>
  <c r="K62" i="23" s="1"/>
  <c r="L44" i="23"/>
  <c r="M44" i="23" s="1"/>
  <c r="J7" i="23"/>
  <c r="L7" i="23" s="1"/>
  <c r="L34" i="23"/>
  <c r="M34" i="23" s="1"/>
  <c r="K92" i="23"/>
  <c r="M92" i="23" s="1"/>
  <c r="T261" i="25"/>
  <c r="U261" i="25" s="1"/>
  <c r="L54" i="23"/>
  <c r="M54" i="23" s="1"/>
  <c r="L78" i="23"/>
  <c r="M78" i="23" s="1"/>
  <c r="R294" i="25"/>
  <c r="G95" i="23"/>
  <c r="H95" i="23" s="1"/>
  <c r="L31" i="23"/>
  <c r="M31" i="23" s="1"/>
  <c r="S288" i="25"/>
  <c r="K288" i="25" s="1"/>
  <c r="AD288" i="25" s="1"/>
  <c r="J33" i="23"/>
  <c r="K33" i="23" s="1"/>
  <c r="K30" i="23"/>
  <c r="M30" i="23" s="1"/>
  <c r="T232" i="25"/>
  <c r="U232" i="25" s="1"/>
  <c r="Q217" i="25"/>
  <c r="R217" i="25"/>
  <c r="K95" i="23"/>
  <c r="M95" i="23" s="1"/>
  <c r="J94" i="23"/>
  <c r="T218" i="25"/>
  <c r="U218" i="25" s="1"/>
  <c r="R252" i="25"/>
  <c r="L105" i="23"/>
  <c r="M105" i="23" s="1"/>
  <c r="K102" i="23"/>
  <c r="M102" i="23" s="1"/>
  <c r="J12" i="23"/>
  <c r="J35" i="23"/>
  <c r="L35" i="23" s="1"/>
  <c r="J103" i="23"/>
  <c r="AG612" i="29"/>
  <c r="W612" i="29"/>
  <c r="X493" i="29"/>
  <c r="Y493" i="29" s="1"/>
  <c r="AG367" i="29"/>
  <c r="X374" i="29"/>
  <c r="Y374" i="29" s="1"/>
  <c r="AH374" i="29"/>
  <c r="AH463" i="29"/>
  <c r="X463" i="29"/>
  <c r="Y463" i="29" s="1"/>
  <c r="AG520" i="29"/>
  <c r="W520" i="29"/>
  <c r="AG397" i="29"/>
  <c r="X367" i="29"/>
  <c r="Y367" i="29" s="1"/>
  <c r="AG592" i="29"/>
  <c r="AH125" i="29"/>
  <c r="X543" i="29"/>
  <c r="Y543" i="29" s="1"/>
  <c r="AH400" i="29"/>
  <c r="X400" i="29"/>
  <c r="Y400" i="29" s="1"/>
  <c r="AH517" i="29"/>
  <c r="X517" i="29"/>
  <c r="Y517" i="29" s="1"/>
  <c r="W56" i="29"/>
  <c r="AG475" i="29"/>
  <c r="W475" i="29"/>
  <c r="AH490" i="29"/>
  <c r="AG256" i="29"/>
  <c r="J88" i="23"/>
  <c r="K88" i="23" s="1"/>
  <c r="J22" i="23"/>
  <c r="W400" i="29"/>
  <c r="AJ400" i="29" s="1"/>
  <c r="AK400" i="29" s="1"/>
  <c r="AG400" i="29"/>
  <c r="AG517" i="29"/>
  <c r="W517" i="29"/>
  <c r="AA517" i="29" s="1"/>
  <c r="AG153" i="29"/>
  <c r="W153" i="29"/>
  <c r="AA153" i="29" s="1"/>
  <c r="AH100" i="29"/>
  <c r="AG207" i="29"/>
  <c r="AG490" i="29"/>
  <c r="W463" i="29"/>
  <c r="AA463" i="29" s="1"/>
  <c r="S136" i="25"/>
  <c r="K136" i="25" s="1"/>
  <c r="AD136" i="25" s="1"/>
  <c r="S167" i="25"/>
  <c r="K167" i="25" s="1"/>
  <c r="W167" i="25" s="1"/>
  <c r="Z167" i="25" s="1"/>
  <c r="AA167" i="25" s="1"/>
  <c r="AB167" i="25" s="1"/>
  <c r="X583" i="29"/>
  <c r="Y583" i="29" s="1"/>
  <c r="AH583" i="29"/>
  <c r="X541" i="29"/>
  <c r="Y541" i="29" s="1"/>
  <c r="AH541" i="29"/>
  <c r="AG20" i="29"/>
  <c r="AH127" i="29"/>
  <c r="AG301" i="29"/>
  <c r="W301" i="29"/>
  <c r="X475" i="29"/>
  <c r="Y475" i="29" s="1"/>
  <c r="AH577" i="29"/>
  <c r="X577" i="29"/>
  <c r="Y577" i="29" s="1"/>
  <c r="G20" i="23"/>
  <c r="H20" i="23" s="1"/>
  <c r="J20" i="23"/>
  <c r="R296" i="25"/>
  <c r="K39" i="23"/>
  <c r="M39" i="23" s="1"/>
  <c r="J49" i="23"/>
  <c r="G55" i="23"/>
  <c r="H55" i="23" s="1"/>
  <c r="J55" i="23"/>
  <c r="G68" i="23"/>
  <c r="H68" i="23" s="1"/>
  <c r="J68" i="23"/>
  <c r="S296" i="25"/>
  <c r="K296" i="25" s="1"/>
  <c r="W296" i="25" s="1"/>
  <c r="Z296" i="25" s="1"/>
  <c r="AA296" i="25" s="1"/>
  <c r="AB296" i="25" s="1"/>
  <c r="G19" i="23"/>
  <c r="H19" i="23" s="1"/>
  <c r="J19" i="23"/>
  <c r="J64" i="23"/>
  <c r="G60" i="23"/>
  <c r="H60" i="23" s="1"/>
  <c r="J60" i="23"/>
  <c r="G26" i="23"/>
  <c r="H26" i="23" s="1"/>
  <c r="J26" i="23"/>
  <c r="Q270" i="25"/>
  <c r="K69" i="23"/>
  <c r="M69" i="23" s="1"/>
  <c r="K32" i="23"/>
  <c r="M32" i="23" s="1"/>
  <c r="K37" i="23"/>
  <c r="M37" i="23" s="1"/>
  <c r="K82" i="23"/>
  <c r="M82" i="23" s="1"/>
  <c r="J58" i="23"/>
  <c r="S270" i="25"/>
  <c r="K270" i="25" s="1"/>
  <c r="AD270" i="25" s="1"/>
  <c r="G74" i="23"/>
  <c r="H74" i="23" s="1"/>
  <c r="J74" i="23"/>
  <c r="G79" i="23"/>
  <c r="H79" i="23" s="1"/>
  <c r="J79" i="23"/>
  <c r="G77" i="23"/>
  <c r="H77" i="23" s="1"/>
  <c r="J77" i="23"/>
  <c r="J47" i="23"/>
  <c r="J29" i="23"/>
  <c r="Q220" i="25"/>
  <c r="R242" i="25"/>
  <c r="R271" i="25"/>
  <c r="L21" i="23"/>
  <c r="M21" i="23" s="1"/>
  <c r="L89" i="23"/>
  <c r="M89" i="23" s="1"/>
  <c r="S310" i="25"/>
  <c r="K310" i="25" s="1"/>
  <c r="W310" i="25" s="1"/>
  <c r="Z310" i="25" s="1"/>
  <c r="AA310" i="25" s="1"/>
  <c r="AB310" i="25" s="1"/>
  <c r="R298" i="25"/>
  <c r="R243" i="25"/>
  <c r="R264" i="25"/>
  <c r="Q264" i="25"/>
  <c r="S220" i="25"/>
  <c r="K220" i="25" s="1"/>
  <c r="W220" i="25" s="1"/>
  <c r="Z220" i="25" s="1"/>
  <c r="AA220" i="25" s="1"/>
  <c r="AB220" i="25" s="1"/>
  <c r="R305" i="25"/>
  <c r="R261" i="25"/>
  <c r="L50" i="23"/>
  <c r="M50" i="23" s="1"/>
  <c r="T251" i="25"/>
  <c r="U251" i="25" s="1"/>
  <c r="S264" i="25"/>
  <c r="K264" i="25" s="1"/>
  <c r="W264" i="25" s="1"/>
  <c r="Z264" i="25" s="1"/>
  <c r="AA264" i="25" s="1"/>
  <c r="AB264" i="25" s="1"/>
  <c r="S242" i="25"/>
  <c r="K242" i="25" s="1"/>
  <c r="W242" i="25" s="1"/>
  <c r="Z242" i="25" s="1"/>
  <c r="AA242" i="25" s="1"/>
  <c r="AB242" i="25" s="1"/>
  <c r="Q260" i="25"/>
  <c r="R260" i="25"/>
  <c r="Q310" i="25"/>
  <c r="T286" i="25"/>
  <c r="U286" i="25" s="1"/>
  <c r="K99" i="23"/>
  <c r="M99" i="23" s="1"/>
  <c r="R288" i="25"/>
  <c r="R282" i="25"/>
  <c r="Q282" i="25"/>
  <c r="W330" i="29"/>
  <c r="X360" i="29"/>
  <c r="Y360" i="29" s="1"/>
  <c r="AH360" i="29"/>
  <c r="AH266" i="29"/>
  <c r="X266" i="29"/>
  <c r="Y266" i="29" s="1"/>
  <c r="AH384" i="29"/>
  <c r="X384" i="29"/>
  <c r="Y384" i="29" s="1"/>
  <c r="R258" i="25"/>
  <c r="T254" i="25"/>
  <c r="U254" i="25" s="1"/>
  <c r="X68" i="29"/>
  <c r="Y68" i="29" s="1"/>
  <c r="X356" i="29"/>
  <c r="Y356" i="29" s="1"/>
  <c r="W514" i="29"/>
  <c r="AA514" i="29" s="1"/>
  <c r="X428" i="29"/>
  <c r="Y428" i="29" s="1"/>
  <c r="AH428" i="29"/>
  <c r="AH483" i="29"/>
  <c r="X483" i="29"/>
  <c r="Y483" i="29" s="1"/>
  <c r="AG360" i="29"/>
  <c r="W360" i="29"/>
  <c r="W384" i="29"/>
  <c r="AG384" i="29"/>
  <c r="R218" i="25"/>
  <c r="AG117" i="29"/>
  <c r="W117" i="29"/>
  <c r="AA117" i="29" s="1"/>
  <c r="X324" i="29"/>
  <c r="Y324" i="29" s="1"/>
  <c r="AH324" i="29"/>
  <c r="X492" i="29"/>
  <c r="Y492" i="29" s="1"/>
  <c r="AH492" i="29"/>
  <c r="X363" i="29"/>
  <c r="Y363" i="29" s="1"/>
  <c r="AH363" i="29"/>
  <c r="X413" i="29"/>
  <c r="Y413" i="29" s="1"/>
  <c r="AH413" i="29"/>
  <c r="T314" i="25"/>
  <c r="U314" i="25" s="1"/>
  <c r="AG320" i="29"/>
  <c r="W335" i="29"/>
  <c r="AJ335" i="29" s="1"/>
  <c r="AK335" i="29" s="1"/>
  <c r="AH534" i="29"/>
  <c r="X534" i="29"/>
  <c r="Y534" i="29" s="1"/>
  <c r="AH441" i="29"/>
  <c r="X441" i="29"/>
  <c r="Y441" i="29" s="1"/>
  <c r="AG363" i="29"/>
  <c r="W363" i="29"/>
  <c r="Q245" i="25"/>
  <c r="AY6" i="19"/>
  <c r="BB6" i="19" s="1"/>
  <c r="BN6" i="19"/>
  <c r="R128" i="25"/>
  <c r="Q167" i="25"/>
  <c r="Q145" i="25"/>
  <c r="Q170" i="25"/>
  <c r="W194" i="29"/>
  <c r="AJ193" i="29" s="1"/>
  <c r="AK193" i="29" s="1"/>
  <c r="W259" i="29"/>
  <c r="AJ259" i="29" s="1"/>
  <c r="AK259" i="29" s="1"/>
  <c r="AH236" i="29"/>
  <c r="AH352" i="29"/>
  <c r="AJ372" i="29"/>
  <c r="AK372" i="29" s="1"/>
  <c r="W441" i="29"/>
  <c r="AG441" i="29"/>
  <c r="X544" i="29"/>
  <c r="Y544" i="29" s="1"/>
  <c r="AH544" i="29"/>
  <c r="W340" i="29"/>
  <c r="AA340" i="29" s="1"/>
  <c r="AG340" i="29"/>
  <c r="X294" i="29"/>
  <c r="Y294" i="29" s="1"/>
  <c r="AH294" i="29"/>
  <c r="W324" i="29"/>
  <c r="Q278" i="25"/>
  <c r="R167" i="25"/>
  <c r="AY9" i="19"/>
  <c r="BE9" i="19" s="1"/>
  <c r="BN9" i="19"/>
  <c r="L98" i="23"/>
  <c r="M98" i="23" s="1"/>
  <c r="W600" i="29"/>
  <c r="W483" i="29"/>
  <c r="AH241" i="29"/>
  <c r="AG534" i="29"/>
  <c r="AH340" i="29"/>
  <c r="X340" i="29"/>
  <c r="Y340" i="29" s="1"/>
  <c r="W53" i="29"/>
  <c r="AA53" i="29" s="1"/>
  <c r="W36" i="29"/>
  <c r="AA36" i="29" s="1"/>
  <c r="Q232" i="25"/>
  <c r="R188" i="25"/>
  <c r="T253" i="25"/>
  <c r="U253" i="25" s="1"/>
  <c r="S129" i="25"/>
  <c r="K129" i="25" s="1"/>
  <c r="W129" i="25" s="1"/>
  <c r="Z129" i="25" s="1"/>
  <c r="AA129" i="25" s="1"/>
  <c r="AB129" i="25" s="1"/>
  <c r="X120" i="29"/>
  <c r="Y120" i="29" s="1"/>
  <c r="W86" i="29"/>
  <c r="AA86" i="29" s="1"/>
  <c r="AH341" i="29"/>
  <c r="W241" i="29"/>
  <c r="AA241" i="29" s="1"/>
  <c r="AH438" i="29"/>
  <c r="X438" i="29"/>
  <c r="Y438" i="29" s="1"/>
  <c r="AG373" i="29"/>
  <c r="X608" i="29"/>
  <c r="Y608" i="29" s="1"/>
  <c r="AH608" i="29"/>
  <c r="AY8" i="19"/>
  <c r="BD8" i="19" s="1"/>
  <c r="BN8" i="19"/>
  <c r="Q284" i="25"/>
  <c r="AY7" i="19"/>
  <c r="BH7" i="19" s="1"/>
  <c r="BN7" i="19"/>
  <c r="X167" i="29"/>
  <c r="Y167" i="29" s="1"/>
  <c r="W26" i="29"/>
  <c r="AA26" i="29" s="1"/>
  <c r="W566" i="29"/>
  <c r="AA566" i="29" s="1"/>
  <c r="W589" i="29"/>
  <c r="AA589" i="29" s="1"/>
  <c r="X373" i="29"/>
  <c r="Y373" i="29" s="1"/>
  <c r="AH373" i="29"/>
  <c r="AH527" i="29"/>
  <c r="X527" i="29"/>
  <c r="Y527" i="29" s="1"/>
  <c r="AG608" i="29"/>
  <c r="W608" i="29"/>
  <c r="R289" i="25"/>
  <c r="Q289" i="25"/>
  <c r="Q257" i="25"/>
  <c r="R257" i="25"/>
  <c r="S111" i="25"/>
  <c r="K111" i="25" s="1"/>
  <c r="AD111" i="25" s="1"/>
  <c r="J76" i="23"/>
  <c r="W543" i="29"/>
  <c r="AA543" i="29" s="1"/>
  <c r="X469" i="29"/>
  <c r="Y469" i="29" s="1"/>
  <c r="AG529" i="29"/>
  <c r="W529" i="29"/>
  <c r="AJ529" i="29" s="1"/>
  <c r="AK529" i="29" s="1"/>
  <c r="X262" i="29"/>
  <c r="Y262" i="29" s="1"/>
  <c r="AH262" i="29"/>
  <c r="R219" i="25"/>
  <c r="Q119" i="25"/>
  <c r="R151" i="25"/>
  <c r="S180" i="25"/>
  <c r="K180" i="25" s="1"/>
  <c r="AD180" i="25" s="1"/>
  <c r="AE180" i="25" s="1"/>
  <c r="S258" i="25"/>
  <c r="K258" i="25" s="1"/>
  <c r="W258" i="25" s="1"/>
  <c r="Z258" i="25" s="1"/>
  <c r="AA258" i="25" s="1"/>
  <c r="AB258" i="25" s="1"/>
  <c r="R256" i="25"/>
  <c r="R187" i="25"/>
  <c r="T250" i="25"/>
  <c r="U250" i="25" s="1"/>
  <c r="T248" i="25"/>
  <c r="U248" i="25" s="1"/>
  <c r="AG607" i="29"/>
  <c r="W607" i="29"/>
  <c r="X480" i="29"/>
  <c r="Y480" i="29" s="1"/>
  <c r="W538" i="29"/>
  <c r="AA538" i="29" s="1"/>
  <c r="W262" i="29"/>
  <c r="AG262" i="29"/>
  <c r="X566" i="29"/>
  <c r="Y566" i="29" s="1"/>
  <c r="AH566" i="29"/>
  <c r="X355" i="29"/>
  <c r="Y355" i="29" s="1"/>
  <c r="AH355" i="29"/>
  <c r="R209" i="25"/>
  <c r="S150" i="25"/>
  <c r="K150" i="25" s="1"/>
  <c r="AD150" i="25" s="1"/>
  <c r="Q180" i="25"/>
  <c r="X397" i="29"/>
  <c r="Y397" i="29" s="1"/>
  <c r="AH397" i="29"/>
  <c r="X448" i="29"/>
  <c r="Y448" i="29" s="1"/>
  <c r="AH448" i="29"/>
  <c r="X589" i="29"/>
  <c r="Y589" i="29" s="1"/>
  <c r="AH589" i="29"/>
  <c r="R248" i="25"/>
  <c r="R230" i="25"/>
  <c r="R286" i="25"/>
  <c r="R273" i="25"/>
  <c r="Q115" i="25"/>
  <c r="P61" i="25"/>
  <c r="V46" i="29"/>
  <c r="X46" i="29" s="1"/>
  <c r="Y46" i="29" s="1"/>
  <c r="X237" i="29"/>
  <c r="Y237" i="29" s="1"/>
  <c r="AG284" i="29"/>
  <c r="X274" i="29"/>
  <c r="Y274" i="29" s="1"/>
  <c r="AH269" i="29"/>
  <c r="AG480" i="29"/>
  <c r="W480" i="29"/>
  <c r="X591" i="29"/>
  <c r="Y591" i="29" s="1"/>
  <c r="AH591" i="29"/>
  <c r="X524" i="29"/>
  <c r="Y524" i="29" s="1"/>
  <c r="AH524" i="29"/>
  <c r="AH416" i="29"/>
  <c r="AG448" i="29"/>
  <c r="W448" i="29"/>
  <c r="AA448" i="29" s="1"/>
  <c r="AG64" i="29"/>
  <c r="AH319" i="29"/>
  <c r="AG591" i="29"/>
  <c r="W591" i="29"/>
  <c r="X600" i="29"/>
  <c r="Y600" i="29" s="1"/>
  <c r="AH600" i="29"/>
  <c r="W125" i="29"/>
  <c r="X514" i="29"/>
  <c r="Y514" i="29" s="1"/>
  <c r="X538" i="29"/>
  <c r="Y538" i="29" s="1"/>
  <c r="AH538" i="29"/>
  <c r="AG289" i="29"/>
  <c r="W289" i="29"/>
  <c r="AA289" i="29" s="1"/>
  <c r="W307" i="29"/>
  <c r="AG307" i="29"/>
  <c r="AH450" i="29"/>
  <c r="X450" i="29"/>
  <c r="Y450" i="29" s="1"/>
  <c r="AH607" i="29"/>
  <c r="AG355" i="29"/>
  <c r="AH601" i="29"/>
  <c r="X601" i="29"/>
  <c r="Y601" i="29" s="1"/>
  <c r="S284" i="25"/>
  <c r="K284" i="25" s="1"/>
  <c r="S119" i="25"/>
  <c r="K119" i="25" s="1"/>
  <c r="W119" i="25" s="1"/>
  <c r="Z119" i="25" s="1"/>
  <c r="AA119" i="25" s="1"/>
  <c r="AB119" i="25" s="1"/>
  <c r="S230" i="25"/>
  <c r="K230" i="25" s="1"/>
  <c r="AD230" i="25" s="1"/>
  <c r="T304" i="25"/>
  <c r="U304" i="25" s="1"/>
  <c r="T243" i="25"/>
  <c r="U243" i="25" s="1"/>
  <c r="W416" i="29"/>
  <c r="AA416" i="29" s="1"/>
  <c r="AG416" i="29"/>
  <c r="AH307" i="29"/>
  <c r="X307" i="29"/>
  <c r="Y307" i="29" s="1"/>
  <c r="Q263" i="25"/>
  <c r="R263" i="25"/>
  <c r="X437" i="29"/>
  <c r="Y437" i="29" s="1"/>
  <c r="AH437" i="29"/>
  <c r="X580" i="29"/>
  <c r="Y580" i="29" s="1"/>
  <c r="AH580" i="29"/>
  <c r="L65" i="23"/>
  <c r="K65" i="23"/>
  <c r="X375" i="29"/>
  <c r="Y375" i="29" s="1"/>
  <c r="AH375" i="29"/>
  <c r="AG439" i="29"/>
  <c r="X457" i="29"/>
  <c r="Y457" i="29" s="1"/>
  <c r="AH457" i="29"/>
  <c r="X455" i="29"/>
  <c r="Y455" i="29" s="1"/>
  <c r="AH455" i="29"/>
  <c r="S171" i="25"/>
  <c r="K171" i="25" s="1"/>
  <c r="AD171" i="25" s="1"/>
  <c r="W437" i="29"/>
  <c r="AG437" i="29"/>
  <c r="W375" i="29"/>
  <c r="AG375" i="29"/>
  <c r="AH439" i="29"/>
  <c r="X439" i="29"/>
  <c r="Y439" i="29" s="1"/>
  <c r="AH358" i="29"/>
  <c r="X358" i="29"/>
  <c r="Y358" i="29" s="1"/>
  <c r="X546" i="29"/>
  <c r="Y546" i="29" s="1"/>
  <c r="AH546" i="29"/>
  <c r="AG457" i="29"/>
  <c r="W457" i="29"/>
  <c r="AA457" i="29" s="1"/>
  <c r="W455" i="29"/>
  <c r="AJ455" i="29" s="1"/>
  <c r="AK455" i="29" s="1"/>
  <c r="AG455" i="29"/>
  <c r="S185" i="25"/>
  <c r="K185" i="25" s="1"/>
  <c r="AD185" i="25" s="1"/>
  <c r="S218" i="25"/>
  <c r="K218" i="25" s="1"/>
  <c r="AD218" i="25" s="1"/>
  <c r="X571" i="29"/>
  <c r="Y571" i="29" s="1"/>
  <c r="AH571" i="29"/>
  <c r="AH449" i="29"/>
  <c r="X449" i="29"/>
  <c r="Y449" i="29" s="1"/>
  <c r="AG539" i="29"/>
  <c r="W539" i="29"/>
  <c r="AA516" i="29"/>
  <c r="X320" i="29"/>
  <c r="Y320" i="29" s="1"/>
  <c r="AH320" i="29"/>
  <c r="L66" i="23"/>
  <c r="K66" i="23"/>
  <c r="X420" i="29"/>
  <c r="Y420" i="29" s="1"/>
  <c r="AH420" i="29"/>
  <c r="AG341" i="29"/>
  <c r="W341" i="29"/>
  <c r="AJ341" i="29" s="1"/>
  <c r="AK341" i="29" s="1"/>
  <c r="AG358" i="29"/>
  <c r="W358" i="29"/>
  <c r="X460" i="29"/>
  <c r="Y460" i="29" s="1"/>
  <c r="AH460" i="29"/>
  <c r="AA395" i="29"/>
  <c r="AJ394" i="29"/>
  <c r="AK394" i="29" s="1"/>
  <c r="AG571" i="29"/>
  <c r="W571" i="29"/>
  <c r="AJ570" i="29" s="1"/>
  <c r="AK570" i="29" s="1"/>
  <c r="AG449" i="29"/>
  <c r="W449" i="29"/>
  <c r="X539" i="29"/>
  <c r="Y539" i="29" s="1"/>
  <c r="AH539" i="29"/>
  <c r="AG420" i="29"/>
  <c r="W420" i="29"/>
  <c r="AG558" i="29"/>
  <c r="W558" i="29"/>
  <c r="AA558" i="29" s="1"/>
  <c r="W249" i="29"/>
  <c r="AA249" i="29" s="1"/>
  <c r="AG249" i="29"/>
  <c r="AG247" i="29"/>
  <c r="W247" i="29"/>
  <c r="AA247" i="29" s="1"/>
  <c r="AA409" i="29"/>
  <c r="X422" i="29"/>
  <c r="Y422" i="29" s="1"/>
  <c r="AH422" i="29"/>
  <c r="W380" i="29"/>
  <c r="AG380" i="29"/>
  <c r="AG285" i="29"/>
  <c r="W285" i="29"/>
  <c r="AA285" i="29" s="1"/>
  <c r="X350" i="29"/>
  <c r="Y350" i="29" s="1"/>
  <c r="AH350" i="29"/>
  <c r="AG444" i="29"/>
  <c r="W444" i="29"/>
  <c r="AA444" i="29" s="1"/>
  <c r="AH247" i="29"/>
  <c r="X247" i="29"/>
  <c r="Y247" i="29" s="1"/>
  <c r="X380" i="29"/>
  <c r="Y380" i="29" s="1"/>
  <c r="AH380" i="29"/>
  <c r="X285" i="29"/>
  <c r="Y285" i="29" s="1"/>
  <c r="AH285" i="29"/>
  <c r="AH444" i="29"/>
  <c r="X444" i="29"/>
  <c r="Y444" i="29" s="1"/>
  <c r="W352" i="29"/>
  <c r="AG352" i="29"/>
  <c r="AG68" i="29"/>
  <c r="W68" i="29"/>
  <c r="AA68" i="29" s="1"/>
  <c r="T132" i="25"/>
  <c r="U132" i="25" s="1"/>
  <c r="S157" i="25"/>
  <c r="K157" i="25" s="1"/>
  <c r="W157" i="25" s="1"/>
  <c r="Z157" i="25" s="1"/>
  <c r="AA157" i="25" s="1"/>
  <c r="AB157" i="25" s="1"/>
  <c r="S177" i="25"/>
  <c r="K177" i="25" s="1"/>
  <c r="AD177" i="25" s="1"/>
  <c r="X382" i="29"/>
  <c r="Y382" i="29" s="1"/>
  <c r="AH382" i="29"/>
  <c r="AH432" i="29"/>
  <c r="X432" i="29"/>
  <c r="Y432" i="29" s="1"/>
  <c r="AG462" i="29"/>
  <c r="W462" i="29"/>
  <c r="X317" i="29"/>
  <c r="Y317" i="29" s="1"/>
  <c r="AH317" i="29"/>
  <c r="W532" i="29"/>
  <c r="AG532" i="29"/>
  <c r="AH461" i="29"/>
  <c r="X461" i="29"/>
  <c r="Y461" i="29" s="1"/>
  <c r="AG432" i="29"/>
  <c r="W432" i="29"/>
  <c r="AG317" i="29"/>
  <c r="W317" i="29"/>
  <c r="AH532" i="29"/>
  <c r="X532" i="29"/>
  <c r="Y532" i="29" s="1"/>
  <c r="AH259" i="29"/>
  <c r="X259" i="29"/>
  <c r="Y259" i="29" s="1"/>
  <c r="W461" i="29"/>
  <c r="AG461" i="29"/>
  <c r="AG337" i="29"/>
  <c r="W337" i="29"/>
  <c r="AA337" i="29" s="1"/>
  <c r="R250" i="25"/>
  <c r="Q250" i="25"/>
  <c r="R306" i="25"/>
  <c r="Q306" i="25"/>
  <c r="Q279" i="25"/>
  <c r="R279" i="25"/>
  <c r="Q299" i="25"/>
  <c r="R299" i="25"/>
  <c r="P55" i="25"/>
  <c r="S261" i="25"/>
  <c r="K261" i="25" s="1"/>
  <c r="S170" i="25"/>
  <c r="K170" i="25" s="1"/>
  <c r="W170" i="25" s="1"/>
  <c r="Z170" i="25" s="1"/>
  <c r="AA170" i="25" s="1"/>
  <c r="AB170" i="25" s="1"/>
  <c r="R148" i="25"/>
  <c r="Q231" i="25"/>
  <c r="S297" i="25"/>
  <c r="K297" i="25" s="1"/>
  <c r="AD297" i="25" s="1"/>
  <c r="R164" i="25"/>
  <c r="Q169" i="25"/>
  <c r="T276" i="25"/>
  <c r="U276" i="25" s="1"/>
  <c r="AH210" i="29"/>
  <c r="X590" i="29"/>
  <c r="Y590" i="29" s="1"/>
  <c r="AG365" i="29"/>
  <c r="W365" i="29"/>
  <c r="W269" i="29"/>
  <c r="AJ269" i="29" s="1"/>
  <c r="AK269" i="29" s="1"/>
  <c r="AG269" i="29"/>
  <c r="W605" i="29"/>
  <c r="AG605" i="29"/>
  <c r="AH78" i="29"/>
  <c r="AH430" i="29"/>
  <c r="X430" i="29"/>
  <c r="Y430" i="29" s="1"/>
  <c r="AH605" i="29"/>
  <c r="X605" i="29"/>
  <c r="Y605" i="29" s="1"/>
  <c r="X531" i="29"/>
  <c r="Y531" i="29" s="1"/>
  <c r="AH531" i="29"/>
  <c r="AH578" i="29"/>
  <c r="X578" i="29"/>
  <c r="Y578" i="29" s="1"/>
  <c r="S112" i="25"/>
  <c r="K112" i="25" s="1"/>
  <c r="W112" i="25" s="1"/>
  <c r="Z112" i="25" s="1"/>
  <c r="AA112" i="25" s="1"/>
  <c r="AB112" i="25" s="1"/>
  <c r="J84" i="23"/>
  <c r="L84" i="23" s="1"/>
  <c r="AG430" i="29"/>
  <c r="W430" i="29"/>
  <c r="W507" i="29"/>
  <c r="AG507" i="29"/>
  <c r="X595" i="29"/>
  <c r="Y595" i="29" s="1"/>
  <c r="AH595" i="29"/>
  <c r="AG101" i="29"/>
  <c r="W101" i="29"/>
  <c r="AH26" i="29"/>
  <c r="X26" i="29"/>
  <c r="Y26" i="29" s="1"/>
  <c r="W531" i="29"/>
  <c r="AJ530" i="29" s="1"/>
  <c r="AK530" i="29" s="1"/>
  <c r="AG531" i="29"/>
  <c r="AG237" i="29"/>
  <c r="W237" i="29"/>
  <c r="AA237" i="29" s="1"/>
  <c r="AG579" i="29"/>
  <c r="W579" i="29"/>
  <c r="AA579" i="29" s="1"/>
  <c r="X392" i="29"/>
  <c r="Y392" i="29" s="1"/>
  <c r="AH392" i="29"/>
  <c r="AH594" i="29"/>
  <c r="X594" i="29"/>
  <c r="Y594" i="29" s="1"/>
  <c r="X565" i="29"/>
  <c r="Y565" i="29" s="1"/>
  <c r="AH565" i="29"/>
  <c r="X521" i="29"/>
  <c r="Y521" i="29" s="1"/>
  <c r="AH521" i="29"/>
  <c r="F212" i="24"/>
  <c r="BQ212" i="24" s="1"/>
  <c r="CH216" i="24"/>
  <c r="CG108" i="24"/>
  <c r="X507" i="29"/>
  <c r="Y507" i="29" s="1"/>
  <c r="AH507" i="29"/>
  <c r="AG595" i="29"/>
  <c r="W595" i="29"/>
  <c r="AA595" i="29" s="1"/>
  <c r="X464" i="29"/>
  <c r="Y464" i="29" s="1"/>
  <c r="AH464" i="29"/>
  <c r="W584" i="29"/>
  <c r="AG584" i="29"/>
  <c r="AH579" i="29"/>
  <c r="X579" i="29"/>
  <c r="Y579" i="29" s="1"/>
  <c r="AG392" i="29"/>
  <c r="W392" i="29"/>
  <c r="AG565" i="29"/>
  <c r="W565" i="29"/>
  <c r="W550" i="29"/>
  <c r="AG550" i="29"/>
  <c r="AH421" i="29"/>
  <c r="X421" i="29"/>
  <c r="Y421" i="29" s="1"/>
  <c r="P217" i="25"/>
  <c r="R304" i="25"/>
  <c r="R228" i="25"/>
  <c r="S281" i="25"/>
  <c r="K281" i="25" s="1"/>
  <c r="W281" i="25" s="1"/>
  <c r="Z281" i="25" s="1"/>
  <c r="AA281" i="25" s="1"/>
  <c r="AB281" i="25" s="1"/>
  <c r="S204" i="25"/>
  <c r="K204" i="25" s="1"/>
  <c r="W204" i="25" s="1"/>
  <c r="Z204" i="25" s="1"/>
  <c r="AA204" i="25" s="1"/>
  <c r="AB204" i="25" s="1"/>
  <c r="Q312" i="25"/>
  <c r="Q297" i="25"/>
  <c r="S228" i="25"/>
  <c r="K228" i="25" s="1"/>
  <c r="W228" i="25" s="1"/>
  <c r="Z228" i="25" s="1"/>
  <c r="AA228" i="25" s="1"/>
  <c r="AB228" i="25" s="1"/>
  <c r="S187" i="25"/>
  <c r="K187" i="25" s="1"/>
  <c r="AD187" i="25" s="1"/>
  <c r="S273" i="25"/>
  <c r="K273" i="25" s="1"/>
  <c r="W273" i="25" s="1"/>
  <c r="Z273" i="25" s="1"/>
  <c r="AA273" i="25" s="1"/>
  <c r="AB273" i="25" s="1"/>
  <c r="AG521" i="29"/>
  <c r="W521" i="29"/>
  <c r="AH581" i="29"/>
  <c r="X581" i="29"/>
  <c r="Y581" i="29" s="1"/>
  <c r="W339" i="29"/>
  <c r="AG339" i="29"/>
  <c r="W464" i="29"/>
  <c r="AG464" i="29"/>
  <c r="W590" i="29"/>
  <c r="AG590" i="29"/>
  <c r="X584" i="29"/>
  <c r="Y584" i="29" s="1"/>
  <c r="AH584" i="29"/>
  <c r="X344" i="29"/>
  <c r="Y344" i="29" s="1"/>
  <c r="AH344" i="29"/>
  <c r="AH122" i="29"/>
  <c r="X122" i="29"/>
  <c r="Y122" i="29" s="1"/>
  <c r="AG564" i="29"/>
  <c r="W564" i="29"/>
  <c r="AA564" i="29" s="1"/>
  <c r="AG300" i="29"/>
  <c r="AH550" i="29"/>
  <c r="X550" i="29"/>
  <c r="Y550" i="29" s="1"/>
  <c r="W421" i="29"/>
  <c r="AG421" i="29"/>
  <c r="AH586" i="29"/>
  <c r="X586" i="29"/>
  <c r="Y586" i="29" s="1"/>
  <c r="AH393" i="29"/>
  <c r="X393" i="29"/>
  <c r="Y393" i="29" s="1"/>
  <c r="W581" i="29"/>
  <c r="AG581" i="29"/>
  <c r="AH339" i="29"/>
  <c r="X339" i="29"/>
  <c r="Y339" i="29" s="1"/>
  <c r="AH406" i="29"/>
  <c r="X406" i="29"/>
  <c r="Y406" i="29" s="1"/>
  <c r="X564" i="29"/>
  <c r="Y564" i="29" s="1"/>
  <c r="AH564" i="29"/>
  <c r="R144" i="25"/>
  <c r="Q156" i="25"/>
  <c r="R168" i="25"/>
  <c r="R142" i="25"/>
  <c r="R281" i="25"/>
  <c r="S165" i="25"/>
  <c r="K165" i="25" s="1"/>
  <c r="V165" i="25" s="1"/>
  <c r="X165" i="25" s="1"/>
  <c r="S234" i="25"/>
  <c r="K234" i="25" s="1"/>
  <c r="AD234" i="25" s="1"/>
  <c r="R234" i="25"/>
  <c r="R155" i="25"/>
  <c r="S233" i="25"/>
  <c r="K233" i="25" s="1"/>
  <c r="W233" i="25" s="1"/>
  <c r="Z233" i="25" s="1"/>
  <c r="AA233" i="25" s="1"/>
  <c r="AB233" i="25" s="1"/>
  <c r="R265" i="25"/>
  <c r="S279" i="25"/>
  <c r="K279" i="25" s="1"/>
  <c r="AD279" i="25" s="1"/>
  <c r="S312" i="25"/>
  <c r="K312" i="25" s="1"/>
  <c r="W312" i="25" s="1"/>
  <c r="Z312" i="25" s="1"/>
  <c r="AA312" i="25" s="1"/>
  <c r="AB312" i="25" s="1"/>
  <c r="AH398" i="29"/>
  <c r="W586" i="29"/>
  <c r="AG586" i="29"/>
  <c r="AG393" i="29"/>
  <c r="W393" i="29"/>
  <c r="AH345" i="29"/>
  <c r="X345" i="29"/>
  <c r="Y345" i="29" s="1"/>
  <c r="AG404" i="29"/>
  <c r="W404" i="29"/>
  <c r="X220" i="29"/>
  <c r="Y220" i="29" s="1"/>
  <c r="AH220" i="29"/>
  <c r="W406" i="29"/>
  <c r="AG406" i="29"/>
  <c r="AH131" i="29"/>
  <c r="X131" i="29"/>
  <c r="Y131" i="29" s="1"/>
  <c r="AG431" i="29"/>
  <c r="W431" i="29"/>
  <c r="R233" i="25"/>
  <c r="S237" i="25"/>
  <c r="K237" i="25" s="1"/>
  <c r="W237" i="25" s="1"/>
  <c r="Z237" i="25" s="1"/>
  <c r="AA237" i="25" s="1"/>
  <c r="AB237" i="25" s="1"/>
  <c r="AH365" i="29"/>
  <c r="X365" i="29"/>
  <c r="Y365" i="29" s="1"/>
  <c r="AG345" i="29"/>
  <c r="W345" i="29"/>
  <c r="AA345" i="29" s="1"/>
  <c r="X404" i="29"/>
  <c r="Y404" i="29" s="1"/>
  <c r="AH404" i="29"/>
  <c r="X431" i="29"/>
  <c r="Y431" i="29" s="1"/>
  <c r="AH431" i="29"/>
  <c r="Q292" i="25"/>
  <c r="R292" i="25"/>
  <c r="Q222" i="25"/>
  <c r="R222" i="25"/>
  <c r="R308" i="25"/>
  <c r="Q308" i="25"/>
  <c r="R240" i="25"/>
  <c r="S240" i="25"/>
  <c r="K240" i="25" s="1"/>
  <c r="AD240" i="25" s="1"/>
  <c r="AG557" i="29"/>
  <c r="W557" i="29"/>
  <c r="AA342" i="29"/>
  <c r="AG563" i="29"/>
  <c r="W563" i="29"/>
  <c r="AH508" i="29"/>
  <c r="X508" i="29"/>
  <c r="Y508" i="29" s="1"/>
  <c r="AH440" i="29"/>
  <c r="X440" i="29"/>
  <c r="Y440" i="29" s="1"/>
  <c r="W398" i="29"/>
  <c r="AG398" i="29"/>
  <c r="R237" i="25"/>
  <c r="S122" i="25"/>
  <c r="K122" i="25" s="1"/>
  <c r="W122" i="25" s="1"/>
  <c r="Z122" i="25" s="1"/>
  <c r="AA122" i="25" s="1"/>
  <c r="AB122" i="25" s="1"/>
  <c r="S188" i="25"/>
  <c r="K188" i="25" s="1"/>
  <c r="AD188" i="25" s="1"/>
  <c r="S217" i="25"/>
  <c r="K217" i="25" s="1"/>
  <c r="AD217" i="25" s="1"/>
  <c r="S282" i="25"/>
  <c r="K282" i="25" s="1"/>
  <c r="AD282" i="25" s="1"/>
  <c r="S257" i="25"/>
  <c r="K257" i="25" s="1"/>
  <c r="W257" i="25" s="1"/>
  <c r="Z257" i="25" s="1"/>
  <c r="AA257" i="25" s="1"/>
  <c r="AB257" i="25" s="1"/>
  <c r="S305" i="25"/>
  <c r="K305" i="25" s="1"/>
  <c r="AD305" i="25" s="1"/>
  <c r="S265" i="25"/>
  <c r="K265" i="25" s="1"/>
  <c r="AD265" i="25" s="1"/>
  <c r="X312" i="29"/>
  <c r="Y312" i="29" s="1"/>
  <c r="AH312" i="29"/>
  <c r="W505" i="29"/>
  <c r="AG505" i="29"/>
  <c r="X378" i="29"/>
  <c r="Y378" i="29" s="1"/>
  <c r="AH378" i="29"/>
  <c r="X522" i="29"/>
  <c r="Y522" i="29" s="1"/>
  <c r="AH522" i="29"/>
  <c r="AG312" i="29"/>
  <c r="AA256" i="29"/>
  <c r="AA270" i="29"/>
  <c r="W440" i="29"/>
  <c r="AG440" i="29"/>
  <c r="AH505" i="29"/>
  <c r="X505" i="29"/>
  <c r="Y505" i="29" s="1"/>
  <c r="W179" i="29"/>
  <c r="AG179" i="29"/>
  <c r="W378" i="29"/>
  <c r="AG378" i="29"/>
  <c r="AA570" i="29"/>
  <c r="AH606" i="29"/>
  <c r="X606" i="29"/>
  <c r="Y606" i="29" s="1"/>
  <c r="AH443" i="29"/>
  <c r="X443" i="29"/>
  <c r="Y443" i="29" s="1"/>
  <c r="Q207" i="25"/>
  <c r="Q146" i="25"/>
  <c r="S138" i="25"/>
  <c r="K138" i="25" s="1"/>
  <c r="AD138" i="25" s="1"/>
  <c r="S289" i="25"/>
  <c r="K289" i="25" s="1"/>
  <c r="AD289" i="25" s="1"/>
  <c r="S245" i="25"/>
  <c r="K245" i="25" s="1"/>
  <c r="W245" i="25" s="1"/>
  <c r="Z245" i="25" s="1"/>
  <c r="AA245" i="25" s="1"/>
  <c r="AB245" i="25" s="1"/>
  <c r="S299" i="25"/>
  <c r="K299" i="25" s="1"/>
  <c r="AD299" i="25" s="1"/>
  <c r="S203" i="25"/>
  <c r="K203" i="25" s="1"/>
  <c r="AD203" i="25" s="1"/>
  <c r="AA434" i="29"/>
  <c r="AH202" i="29"/>
  <c r="X202" i="29"/>
  <c r="Y202" i="29" s="1"/>
  <c r="AA295" i="29"/>
  <c r="AH179" i="29"/>
  <c r="X179" i="29"/>
  <c r="Y179" i="29" s="1"/>
  <c r="AA280" i="29"/>
  <c r="X303" i="29"/>
  <c r="Y303" i="29" s="1"/>
  <c r="AA510" i="29"/>
  <c r="X603" i="29"/>
  <c r="Y603" i="29" s="1"/>
  <c r="AH603" i="29"/>
  <c r="X537" i="29"/>
  <c r="Y537" i="29" s="1"/>
  <c r="AH537" i="29"/>
  <c r="AA192" i="29"/>
  <c r="AJ192" i="29"/>
  <c r="AK192" i="29" s="1"/>
  <c r="AA290" i="29"/>
  <c r="AA336" i="29"/>
  <c r="W443" i="29"/>
  <c r="AG443" i="29"/>
  <c r="R122" i="25"/>
  <c r="S191" i="25"/>
  <c r="K191" i="25" s="1"/>
  <c r="AD191" i="25" s="1"/>
  <c r="P196" i="25"/>
  <c r="Q202" i="25"/>
  <c r="S252" i="25"/>
  <c r="K252" i="25" s="1"/>
  <c r="T122" i="25"/>
  <c r="U122" i="25" s="1"/>
  <c r="AA184" i="29"/>
  <c r="W202" i="29"/>
  <c r="AG202" i="29"/>
  <c r="X83" i="29"/>
  <c r="Y83" i="29" s="1"/>
  <c r="AH83" i="29"/>
  <c r="AG603" i="29"/>
  <c r="W603" i="29"/>
  <c r="AG537" i="29"/>
  <c r="W537" i="29"/>
  <c r="AH376" i="29"/>
  <c r="X376" i="29"/>
  <c r="Y376" i="29" s="1"/>
  <c r="X286" i="29"/>
  <c r="Y286" i="29" s="1"/>
  <c r="AH286" i="29"/>
  <c r="S145" i="25"/>
  <c r="K145" i="25" s="1"/>
  <c r="W145" i="25" s="1"/>
  <c r="Z145" i="25" s="1"/>
  <c r="AA145" i="25" s="1"/>
  <c r="AB145" i="25" s="1"/>
  <c r="S232" i="25"/>
  <c r="K232" i="25" s="1"/>
  <c r="S250" i="25"/>
  <c r="K250" i="25" s="1"/>
  <c r="W250" i="25" s="1"/>
  <c r="Z250" i="25" s="1"/>
  <c r="AA250" i="25" s="1"/>
  <c r="AB250" i="25" s="1"/>
  <c r="AH37" i="29"/>
  <c r="W228" i="29"/>
  <c r="AA228" i="29" s="1"/>
  <c r="AG228" i="29"/>
  <c r="AA195" i="29"/>
  <c r="AG83" i="29"/>
  <c r="W83" i="29"/>
  <c r="W303" i="29"/>
  <c r="AG303" i="29"/>
  <c r="AA575" i="29"/>
  <c r="AG496" i="29"/>
  <c r="W496" i="29"/>
  <c r="AG376" i="29"/>
  <c r="W376" i="29"/>
  <c r="AA288" i="29"/>
  <c r="AG343" i="29"/>
  <c r="W343" i="29"/>
  <c r="S278" i="25"/>
  <c r="K278" i="25" s="1"/>
  <c r="W278" i="25" s="1"/>
  <c r="Z278" i="25" s="1"/>
  <c r="AA278" i="25" s="1"/>
  <c r="AB278" i="25" s="1"/>
  <c r="T308" i="25"/>
  <c r="U308" i="25" s="1"/>
  <c r="S196" i="25"/>
  <c r="K196" i="25" s="1"/>
  <c r="AD196" i="25" s="1"/>
  <c r="X228" i="29"/>
  <c r="Y228" i="29" s="1"/>
  <c r="AH228" i="29"/>
  <c r="W250" i="29"/>
  <c r="AG250" i="29"/>
  <c r="W78" i="29"/>
  <c r="AG78" i="29"/>
  <c r="AJ252" i="29"/>
  <c r="AK252" i="29" s="1"/>
  <c r="AA252" i="29"/>
  <c r="X496" i="29"/>
  <c r="Y496" i="29" s="1"/>
  <c r="AH496" i="29"/>
  <c r="AH573" i="29"/>
  <c r="X573" i="29"/>
  <c r="Y573" i="29" s="1"/>
  <c r="AA530" i="29"/>
  <c r="X553" i="29"/>
  <c r="Y553" i="29" s="1"/>
  <c r="AH553" i="29"/>
  <c r="S146" i="25"/>
  <c r="K146" i="25" s="1"/>
  <c r="AD146" i="25" s="1"/>
  <c r="X557" i="29"/>
  <c r="Y557" i="29" s="1"/>
  <c r="AH557" i="29"/>
  <c r="AA562" i="29"/>
  <c r="AH250" i="29"/>
  <c r="X250" i="29"/>
  <c r="Y250" i="29" s="1"/>
  <c r="AH563" i="29"/>
  <c r="X563" i="29"/>
  <c r="Y563" i="29" s="1"/>
  <c r="W508" i="29"/>
  <c r="AG508" i="29"/>
  <c r="AA542" i="29"/>
  <c r="AG573" i="29"/>
  <c r="W573" i="29"/>
  <c r="W240" i="29"/>
  <c r="AG240" i="29"/>
  <c r="W553" i="29"/>
  <c r="AG553" i="29"/>
  <c r="Q186" i="25"/>
  <c r="R186" i="25"/>
  <c r="S186" i="25"/>
  <c r="K186" i="25" s="1"/>
  <c r="W186" i="25" s="1"/>
  <c r="Z186" i="25" s="1"/>
  <c r="AA186" i="25" s="1"/>
  <c r="AB186" i="25" s="1"/>
  <c r="R225" i="25"/>
  <c r="Q225" i="25"/>
  <c r="S225" i="25"/>
  <c r="K225" i="25" s="1"/>
  <c r="W225" i="25" s="1"/>
  <c r="Z225" i="25" s="1"/>
  <c r="AA225" i="25" s="1"/>
  <c r="AB225" i="25" s="1"/>
  <c r="S302" i="25"/>
  <c r="K302" i="25" s="1"/>
  <c r="AD302" i="25" s="1"/>
  <c r="Q302" i="25"/>
  <c r="R302" i="25"/>
  <c r="Q276" i="25"/>
  <c r="S276" i="25"/>
  <c r="K276" i="25" s="1"/>
  <c r="AD276" i="25" s="1"/>
  <c r="S311" i="25"/>
  <c r="K311" i="25" s="1"/>
  <c r="W311" i="25" s="1"/>
  <c r="Z311" i="25" s="1"/>
  <c r="AA311" i="25" s="1"/>
  <c r="AB311" i="25" s="1"/>
  <c r="R311" i="25"/>
  <c r="Q311" i="25"/>
  <c r="AH17" i="29"/>
  <c r="X17" i="29"/>
  <c r="Y17" i="29" s="1"/>
  <c r="X51" i="29"/>
  <c r="Y51" i="29" s="1"/>
  <c r="AH51" i="29"/>
  <c r="Q240" i="25"/>
  <c r="P244" i="25"/>
  <c r="S243" i="25"/>
  <c r="K243" i="25" s="1"/>
  <c r="W243" i="25" s="1"/>
  <c r="Z243" i="25" s="1"/>
  <c r="AA243" i="25" s="1"/>
  <c r="AB243" i="25" s="1"/>
  <c r="S304" i="25"/>
  <c r="K304" i="25" s="1"/>
  <c r="AD304" i="25" s="1"/>
  <c r="S164" i="25"/>
  <c r="K164" i="25" s="1"/>
  <c r="W164" i="25" s="1"/>
  <c r="Z164" i="25" s="1"/>
  <c r="AA164" i="25" s="1"/>
  <c r="AB164" i="25" s="1"/>
  <c r="S292" i="25"/>
  <c r="K292" i="25" s="1"/>
  <c r="W292" i="25" s="1"/>
  <c r="Z292" i="25" s="1"/>
  <c r="AA292" i="25" s="1"/>
  <c r="AB292" i="25" s="1"/>
  <c r="S222" i="25"/>
  <c r="K222" i="25" s="1"/>
  <c r="AD222" i="25" s="1"/>
  <c r="S156" i="25"/>
  <c r="K156" i="25" s="1"/>
  <c r="S231" i="25"/>
  <c r="K231" i="25" s="1"/>
  <c r="W231" i="25" s="1"/>
  <c r="Z231" i="25" s="1"/>
  <c r="AA231" i="25" s="1"/>
  <c r="AB231" i="25" s="1"/>
  <c r="S160" i="25"/>
  <c r="K160" i="25" s="1"/>
  <c r="W160" i="25" s="1"/>
  <c r="Z160" i="25" s="1"/>
  <c r="AA160" i="25" s="1"/>
  <c r="AB160" i="25" s="1"/>
  <c r="W185" i="29"/>
  <c r="AG185" i="29"/>
  <c r="W51" i="29"/>
  <c r="AG51" i="29"/>
  <c r="AH129" i="29"/>
  <c r="X129" i="29"/>
  <c r="Y129" i="29" s="1"/>
  <c r="A127" i="8"/>
  <c r="AH136" i="29"/>
  <c r="X136" i="29"/>
  <c r="Y136" i="29" s="1"/>
  <c r="X191" i="29"/>
  <c r="Y191" i="29" s="1"/>
  <c r="AH191" i="29"/>
  <c r="AG85" i="29"/>
  <c r="W85" i="29"/>
  <c r="W410" i="29"/>
  <c r="AG410" i="29"/>
  <c r="W217" i="29"/>
  <c r="AG217" i="29"/>
  <c r="X43" i="29"/>
  <c r="Y43" i="29" s="1"/>
  <c r="G52" i="23"/>
  <c r="H52" i="23" s="1"/>
  <c r="J52" i="23"/>
  <c r="F157" i="2"/>
  <c r="W175" i="29"/>
  <c r="AG175" i="29"/>
  <c r="AG28" i="29"/>
  <c r="W28" i="29"/>
  <c r="X73" i="29"/>
  <c r="Y73" i="29" s="1"/>
  <c r="AH73" i="29"/>
  <c r="X176" i="29"/>
  <c r="Y176" i="29" s="1"/>
  <c r="AH176" i="29"/>
  <c r="AG16" i="29"/>
  <c r="W16" i="29"/>
  <c r="AG459" i="29"/>
  <c r="W459" i="29"/>
  <c r="AH33" i="29"/>
  <c r="X33" i="29"/>
  <c r="Y33" i="29" s="1"/>
  <c r="AG121" i="29"/>
  <c r="W121" i="29"/>
  <c r="W277" i="29"/>
  <c r="AG277" i="29"/>
  <c r="W172" i="29"/>
  <c r="AG172" i="29"/>
  <c r="AG54" i="29"/>
  <c r="W54" i="29"/>
  <c r="AG210" i="29"/>
  <c r="X113" i="29"/>
  <c r="Y113" i="29" s="1"/>
  <c r="AG549" i="29"/>
  <c r="W549" i="29"/>
  <c r="W92" i="29"/>
  <c r="AG92" i="29"/>
  <c r="AG105" i="29"/>
  <c r="W105" i="29"/>
  <c r="X212" i="29"/>
  <c r="Y212" i="29" s="1"/>
  <c r="AH212" i="29"/>
  <c r="A132" i="8"/>
  <c r="AG177" i="29"/>
  <c r="W177" i="29"/>
  <c r="AG76" i="29"/>
  <c r="G86" i="23"/>
  <c r="H86" i="23" s="1"/>
  <c r="J86" i="23"/>
  <c r="AG102" i="29"/>
  <c r="W102" i="29"/>
  <c r="W152" i="29"/>
  <c r="AG152" i="29"/>
  <c r="X89" i="29"/>
  <c r="Y89" i="29" s="1"/>
  <c r="AH89" i="29"/>
  <c r="X221" i="29"/>
  <c r="Y221" i="29" s="1"/>
  <c r="AH221" i="29"/>
  <c r="S286" i="25"/>
  <c r="K286" i="25" s="1"/>
  <c r="W286" i="25" s="1"/>
  <c r="Z286" i="25" s="1"/>
  <c r="AA286" i="25" s="1"/>
  <c r="AB286" i="25" s="1"/>
  <c r="T166" i="25"/>
  <c r="U166" i="25" s="1"/>
  <c r="S151" i="25"/>
  <c r="K151" i="25" s="1"/>
  <c r="AH185" i="29"/>
  <c r="X185" i="29"/>
  <c r="Y185" i="29" s="1"/>
  <c r="AH190" i="29"/>
  <c r="X190" i="29"/>
  <c r="Y190" i="29" s="1"/>
  <c r="AH218" i="29"/>
  <c r="X218" i="29"/>
  <c r="Y218" i="29" s="1"/>
  <c r="AG481" i="29"/>
  <c r="W481" i="29"/>
  <c r="W14" i="29"/>
  <c r="AG14" i="29"/>
  <c r="X166" i="29"/>
  <c r="Y166" i="29" s="1"/>
  <c r="AH166" i="29"/>
  <c r="X76" i="29"/>
  <c r="Y76" i="29" s="1"/>
  <c r="AH76" i="29"/>
  <c r="X511" i="29"/>
  <c r="Y511" i="29" s="1"/>
  <c r="AH511" i="29"/>
  <c r="X175" i="29"/>
  <c r="Y175" i="29" s="1"/>
  <c r="AH175" i="29"/>
  <c r="AH28" i="29"/>
  <c r="X28" i="29"/>
  <c r="Y28" i="29" s="1"/>
  <c r="AG73" i="29"/>
  <c r="W73" i="29"/>
  <c r="W176" i="29"/>
  <c r="AG176" i="29"/>
  <c r="AH459" i="29"/>
  <c r="X459" i="29"/>
  <c r="Y459" i="29" s="1"/>
  <c r="AG113" i="29"/>
  <c r="W113" i="29"/>
  <c r="AG33" i="29"/>
  <c r="W33" i="29"/>
  <c r="AH121" i="29"/>
  <c r="X121" i="29"/>
  <c r="Y121" i="29" s="1"/>
  <c r="X172" i="29"/>
  <c r="Y172" i="29" s="1"/>
  <c r="AH172" i="29"/>
  <c r="W213" i="29"/>
  <c r="AG213" i="29"/>
  <c r="J24" i="23"/>
  <c r="X272" i="29"/>
  <c r="Y272" i="29" s="1"/>
  <c r="AH272" i="29"/>
  <c r="AG151" i="29"/>
  <c r="W151" i="29"/>
  <c r="AH105" i="29"/>
  <c r="X105" i="29"/>
  <c r="Y105" i="29" s="1"/>
  <c r="W212" i="29"/>
  <c r="AG212" i="29"/>
  <c r="X30" i="29"/>
  <c r="Y30" i="29" s="1"/>
  <c r="AH30" i="29"/>
  <c r="AH423" i="29"/>
  <c r="X423" i="29"/>
  <c r="Y423" i="29" s="1"/>
  <c r="X188" i="29"/>
  <c r="Y188" i="29" s="1"/>
  <c r="AH188" i="29"/>
  <c r="X152" i="29"/>
  <c r="Y152" i="29" s="1"/>
  <c r="AH152" i="29"/>
  <c r="AG120" i="29"/>
  <c r="W120" i="29"/>
  <c r="AG89" i="29"/>
  <c r="W89" i="29"/>
  <c r="W221" i="29"/>
  <c r="AG221" i="29"/>
  <c r="S148" i="25"/>
  <c r="K148" i="25" s="1"/>
  <c r="AD148" i="25" s="1"/>
  <c r="S162" i="25"/>
  <c r="K162" i="25" s="1"/>
  <c r="W162" i="25" s="1"/>
  <c r="Z162" i="25" s="1"/>
  <c r="AA162" i="25" s="1"/>
  <c r="AB162" i="25" s="1"/>
  <c r="S155" i="25"/>
  <c r="K155" i="25" s="1"/>
  <c r="AD155" i="25" s="1"/>
  <c r="R251" i="25"/>
  <c r="X526" i="29"/>
  <c r="Y526" i="29" s="1"/>
  <c r="AH526" i="29"/>
  <c r="U133" i="29"/>
  <c r="V133" i="29"/>
  <c r="W190" i="29"/>
  <c r="AG190" i="29"/>
  <c r="W218" i="29"/>
  <c r="AG218" i="29"/>
  <c r="O216" i="24"/>
  <c r="J216" i="24"/>
  <c r="AH481" i="29"/>
  <c r="X481" i="29"/>
  <c r="Y481" i="29" s="1"/>
  <c r="AH14" i="29"/>
  <c r="X14" i="29"/>
  <c r="Y14" i="29" s="1"/>
  <c r="AG134" i="29"/>
  <c r="W134" i="29"/>
  <c r="W166" i="29"/>
  <c r="AG166" i="29"/>
  <c r="AG511" i="29"/>
  <c r="W511" i="29"/>
  <c r="AG87" i="29"/>
  <c r="W87" i="29"/>
  <c r="AJ87" i="29" s="1"/>
  <c r="AK87" i="29" s="1"/>
  <c r="AG52" i="29"/>
  <c r="W52" i="29"/>
  <c r="AG90" i="29"/>
  <c r="W90" i="29"/>
  <c r="W128" i="29"/>
  <c r="AG128" i="29"/>
  <c r="U35" i="29"/>
  <c r="V35" i="29"/>
  <c r="X171" i="29"/>
  <c r="Y171" i="29" s="1"/>
  <c r="AH171" i="29"/>
  <c r="AA39" i="29"/>
  <c r="AG34" i="29"/>
  <c r="W34" i="29"/>
  <c r="W43" i="29"/>
  <c r="AG43" i="29"/>
  <c r="AG157" i="29"/>
  <c r="W157" i="29"/>
  <c r="AH149" i="29"/>
  <c r="X149" i="29"/>
  <c r="Y149" i="29" s="1"/>
  <c r="W272" i="29"/>
  <c r="AG272" i="29"/>
  <c r="X151" i="29"/>
  <c r="Y151" i="29" s="1"/>
  <c r="AH151" i="29"/>
  <c r="X199" i="29"/>
  <c r="Y199" i="29" s="1"/>
  <c r="AH199" i="29"/>
  <c r="AG423" i="29"/>
  <c r="W423" i="29"/>
  <c r="AG188" i="29"/>
  <c r="W188" i="29"/>
  <c r="X142" i="29"/>
  <c r="Y142" i="29" s="1"/>
  <c r="AH142" i="29"/>
  <c r="U186" i="29"/>
  <c r="V186" i="29"/>
  <c r="AH170" i="29"/>
  <c r="X170" i="29"/>
  <c r="Y170" i="29" s="1"/>
  <c r="AH146" i="29"/>
  <c r="X146" i="29"/>
  <c r="Y146" i="29" s="1"/>
  <c r="W173" i="29"/>
  <c r="AG173" i="29"/>
  <c r="AG79" i="29"/>
  <c r="W79" i="29"/>
  <c r="AH87" i="29"/>
  <c r="X87" i="29"/>
  <c r="Y87" i="29" s="1"/>
  <c r="X90" i="29"/>
  <c r="Y90" i="29" s="1"/>
  <c r="AH90" i="29"/>
  <c r="AA415" i="29"/>
  <c r="X128" i="29"/>
  <c r="Y128" i="29" s="1"/>
  <c r="AH128" i="29"/>
  <c r="W104" i="29"/>
  <c r="AG104" i="29"/>
  <c r="W171" i="29"/>
  <c r="AG171" i="29"/>
  <c r="AA220" i="29"/>
  <c r="AH34" i="29"/>
  <c r="X34" i="29"/>
  <c r="Y34" i="29" s="1"/>
  <c r="X157" i="29"/>
  <c r="Y157" i="29" s="1"/>
  <c r="AH157" i="29"/>
  <c r="W149" i="29"/>
  <c r="AG149" i="29"/>
  <c r="AG187" i="29"/>
  <c r="W187" i="29"/>
  <c r="U116" i="29"/>
  <c r="V116" i="29"/>
  <c r="AG199" i="29"/>
  <c r="W199" i="29"/>
  <c r="AH585" i="29"/>
  <c r="X585" i="29"/>
  <c r="Y585" i="29" s="1"/>
  <c r="W22" i="29"/>
  <c r="AG22" i="29"/>
  <c r="AH103" i="29"/>
  <c r="X103" i="29"/>
  <c r="Y103" i="29" s="1"/>
  <c r="W170" i="29"/>
  <c r="AG170" i="29"/>
  <c r="W146" i="29"/>
  <c r="AG146" i="29"/>
  <c r="AG526" i="29"/>
  <c r="W526" i="29"/>
  <c r="X61" i="29"/>
  <c r="Y61" i="29" s="1"/>
  <c r="AH61" i="29"/>
  <c r="X49" i="29"/>
  <c r="Y49" i="29" s="1"/>
  <c r="AH49" i="29"/>
  <c r="AG63" i="29"/>
  <c r="W63" i="29"/>
  <c r="AH58" i="29"/>
  <c r="X58" i="29"/>
  <c r="Y58" i="29" s="1"/>
  <c r="W139" i="29"/>
  <c r="AG139" i="29"/>
  <c r="X235" i="29"/>
  <c r="Y235" i="29" s="1"/>
  <c r="AH235" i="29"/>
  <c r="AH52" i="29"/>
  <c r="X52" i="29"/>
  <c r="Y52" i="29" s="1"/>
  <c r="S248" i="25"/>
  <c r="K248" i="25" s="1"/>
  <c r="W248" i="25" s="1"/>
  <c r="Z248" i="25" s="1"/>
  <c r="AA248" i="25" s="1"/>
  <c r="AB248" i="25" s="1"/>
  <c r="S147" i="25"/>
  <c r="K147" i="25" s="1"/>
  <c r="W147" i="25" s="1"/>
  <c r="Z147" i="25" s="1"/>
  <c r="AA147" i="25" s="1"/>
  <c r="AB147" i="25" s="1"/>
  <c r="P165" i="25"/>
  <c r="Q224" i="25"/>
  <c r="S207" i="25"/>
  <c r="K207" i="25" s="1"/>
  <c r="W207" i="25" s="1"/>
  <c r="Z207" i="25" s="1"/>
  <c r="AA207" i="25" s="1"/>
  <c r="AB207" i="25" s="1"/>
  <c r="AG61" i="29"/>
  <c r="W61" i="29"/>
  <c r="AH173" i="29"/>
  <c r="X173" i="29"/>
  <c r="Y173" i="29" s="1"/>
  <c r="AG49" i="29"/>
  <c r="W49" i="29"/>
  <c r="AH63" i="29"/>
  <c r="X63" i="29"/>
  <c r="Y63" i="29" s="1"/>
  <c r="X79" i="29"/>
  <c r="Y79" i="29" s="1"/>
  <c r="AH79" i="29"/>
  <c r="W58" i="29"/>
  <c r="AG58" i="29"/>
  <c r="AH139" i="29"/>
  <c r="X139" i="29"/>
  <c r="Y139" i="29" s="1"/>
  <c r="AG235" i="29"/>
  <c r="W235" i="29"/>
  <c r="W25" i="29"/>
  <c r="AG25" i="29"/>
  <c r="W222" i="29"/>
  <c r="AG222" i="29"/>
  <c r="AG111" i="29"/>
  <c r="W111" i="29"/>
  <c r="J72" i="23"/>
  <c r="AG19" i="29"/>
  <c r="W19" i="29"/>
  <c r="X104" i="29"/>
  <c r="Y104" i="29" s="1"/>
  <c r="AH104" i="29"/>
  <c r="AG200" i="29"/>
  <c r="W200" i="29"/>
  <c r="A150" i="8"/>
  <c r="AH123" i="29"/>
  <c r="X123" i="29"/>
  <c r="Y123" i="29" s="1"/>
  <c r="AH181" i="29"/>
  <c r="X181" i="29"/>
  <c r="Y181" i="29" s="1"/>
  <c r="AH59" i="29"/>
  <c r="X59" i="29"/>
  <c r="Y59" i="29" s="1"/>
  <c r="AH126" i="29"/>
  <c r="X126" i="29"/>
  <c r="Y126" i="29" s="1"/>
  <c r="X187" i="29"/>
  <c r="Y187" i="29" s="1"/>
  <c r="AH187" i="29"/>
  <c r="AH135" i="29"/>
  <c r="X135" i="29"/>
  <c r="Y135" i="29" s="1"/>
  <c r="X141" i="29"/>
  <c r="Y141" i="29" s="1"/>
  <c r="AH141" i="29"/>
  <c r="W585" i="29"/>
  <c r="AG585" i="29"/>
  <c r="AH22" i="29"/>
  <c r="X22" i="29"/>
  <c r="Y22" i="29" s="1"/>
  <c r="W75" i="29"/>
  <c r="AG75" i="29"/>
  <c r="W103" i="29"/>
  <c r="AG103" i="29"/>
  <c r="AH32" i="29"/>
  <c r="X32" i="29"/>
  <c r="Y32" i="29" s="1"/>
  <c r="AH115" i="29"/>
  <c r="X115" i="29"/>
  <c r="Y115" i="29" s="1"/>
  <c r="X27" i="29"/>
  <c r="Y27" i="29" s="1"/>
  <c r="AH27" i="29"/>
  <c r="W46" i="29"/>
  <c r="AG46" i="29"/>
  <c r="X216" i="29"/>
  <c r="Y216" i="29" s="1"/>
  <c r="AH216" i="29"/>
  <c r="AG98" i="29"/>
  <c r="W98" i="29"/>
  <c r="AH196" i="29"/>
  <c r="X196" i="29"/>
  <c r="Y196" i="29" s="1"/>
  <c r="AG205" i="29"/>
  <c r="W205" i="29"/>
  <c r="U224" i="29"/>
  <c r="V224" i="29"/>
  <c r="X229" i="29"/>
  <c r="Y229" i="29" s="1"/>
  <c r="AH229" i="29"/>
  <c r="AH156" i="29"/>
  <c r="X156" i="29"/>
  <c r="Y156" i="29" s="1"/>
  <c r="X99" i="29"/>
  <c r="Y99" i="29" s="1"/>
  <c r="AH99" i="29"/>
  <c r="X25" i="29"/>
  <c r="Y25" i="29" s="1"/>
  <c r="AH25" i="29"/>
  <c r="X222" i="29"/>
  <c r="Y222" i="29" s="1"/>
  <c r="AH111" i="29"/>
  <c r="X111" i="29"/>
  <c r="Y111" i="29" s="1"/>
  <c r="AH197" i="29"/>
  <c r="X197" i="29"/>
  <c r="Y197" i="29" s="1"/>
  <c r="AH19" i="29"/>
  <c r="X19" i="29"/>
  <c r="Y19" i="29" s="1"/>
  <c r="AH64" i="29"/>
  <c r="X64" i="29"/>
  <c r="Y64" i="29" s="1"/>
  <c r="X200" i="29"/>
  <c r="Y200" i="29" s="1"/>
  <c r="AH200" i="29"/>
  <c r="W123" i="29"/>
  <c r="AG123" i="29"/>
  <c r="AG181" i="29"/>
  <c r="W181" i="29"/>
  <c r="AG59" i="29"/>
  <c r="W59" i="29"/>
  <c r="W126" i="29"/>
  <c r="AG126" i="29"/>
  <c r="AG138" i="29"/>
  <c r="W138" i="29"/>
  <c r="AG135" i="29"/>
  <c r="W135" i="29"/>
  <c r="AG141" i="29"/>
  <c r="W141" i="29"/>
  <c r="X208" i="29"/>
  <c r="Y208" i="29" s="1"/>
  <c r="AH208" i="29"/>
  <c r="U162" i="29"/>
  <c r="V162" i="29"/>
  <c r="AH75" i="29"/>
  <c r="X75" i="29"/>
  <c r="Y75" i="29" s="1"/>
  <c r="AG32" i="29"/>
  <c r="W32" i="29"/>
  <c r="AG115" i="29"/>
  <c r="W115" i="29"/>
  <c r="AG27" i="29"/>
  <c r="W27" i="29"/>
  <c r="R239" i="25"/>
  <c r="T302" i="25"/>
  <c r="U302" i="25" s="1"/>
  <c r="AG17" i="29"/>
  <c r="W17" i="29"/>
  <c r="W216" i="29"/>
  <c r="AG216" i="29"/>
  <c r="X98" i="29"/>
  <c r="Y98" i="29" s="1"/>
  <c r="AH98" i="29"/>
  <c r="W196" i="29"/>
  <c r="AG196" i="29"/>
  <c r="AA88" i="29"/>
  <c r="AH205" i="29"/>
  <c r="X205" i="29"/>
  <c r="Y205" i="29" s="1"/>
  <c r="U219" i="29"/>
  <c r="V219" i="29"/>
  <c r="W156" i="29"/>
  <c r="AG156" i="29"/>
  <c r="AJ465" i="29"/>
  <c r="AK465" i="29" s="1"/>
  <c r="AA466" i="29"/>
  <c r="AA67" i="29"/>
  <c r="W99" i="29"/>
  <c r="AG99" i="29"/>
  <c r="X160" i="29"/>
  <c r="Y160" i="29" s="1"/>
  <c r="AH160" i="29"/>
  <c r="AG38" i="29"/>
  <c r="W38" i="29"/>
  <c r="AG197" i="29"/>
  <c r="W197" i="29"/>
  <c r="A104" i="8"/>
  <c r="W147" i="29"/>
  <c r="AG147" i="29"/>
  <c r="W559" i="29"/>
  <c r="AG559" i="29"/>
  <c r="W69" i="29"/>
  <c r="AG69" i="29"/>
  <c r="X110" i="29"/>
  <c r="Y110" i="29" s="1"/>
  <c r="AH110" i="29"/>
  <c r="X95" i="29"/>
  <c r="Y95" i="29" s="1"/>
  <c r="AH95" i="29"/>
  <c r="X138" i="29"/>
  <c r="Y138" i="29" s="1"/>
  <c r="AH138" i="29"/>
  <c r="X118" i="29"/>
  <c r="Y118" i="29" s="1"/>
  <c r="AH118" i="29"/>
  <c r="X214" i="29"/>
  <c r="Y214" i="29" s="1"/>
  <c r="AH214" i="29"/>
  <c r="AE5" i="24"/>
  <c r="AI5" i="24"/>
  <c r="X5" i="24"/>
  <c r="AA5" i="24" s="1"/>
  <c r="AB5" i="24" s="1"/>
  <c r="AC5" i="24" s="1"/>
  <c r="X134" i="29"/>
  <c r="Y134" i="29" s="1"/>
  <c r="AA456" i="29"/>
  <c r="W208" i="29"/>
  <c r="AG208" i="29"/>
  <c r="AG165" i="29"/>
  <c r="W165" i="29"/>
  <c r="W167" i="29"/>
  <c r="AG167" i="29"/>
  <c r="W159" i="29"/>
  <c r="AG159" i="29"/>
  <c r="X84" i="29"/>
  <c r="Y84" i="29" s="1"/>
  <c r="AH84" i="29"/>
  <c r="X48" i="29"/>
  <c r="Y48" i="29" s="1"/>
  <c r="AH48" i="29"/>
  <c r="W129" i="29"/>
  <c r="AG129" i="29"/>
  <c r="AA401" i="29"/>
  <c r="W136" i="29"/>
  <c r="AG136" i="29"/>
  <c r="W191" i="29"/>
  <c r="AG191" i="29"/>
  <c r="AH85" i="29"/>
  <c r="X85" i="29"/>
  <c r="Y85" i="29" s="1"/>
  <c r="AH410" i="29"/>
  <c r="X410" i="29"/>
  <c r="Y410" i="29" s="1"/>
  <c r="AH217" i="29"/>
  <c r="X217" i="29"/>
  <c r="Y217" i="29" s="1"/>
  <c r="B158" i="2"/>
  <c r="I17" i="8" s="1"/>
  <c r="J17" i="8" s="1"/>
  <c r="D158" i="2" s="1"/>
  <c r="U74" i="29"/>
  <c r="V74" i="29"/>
  <c r="W37" i="29"/>
  <c r="AG37" i="29"/>
  <c r="W160" i="29"/>
  <c r="AG160" i="29"/>
  <c r="AH38" i="29"/>
  <c r="X38" i="29"/>
  <c r="Y38" i="29" s="1"/>
  <c r="AH16" i="29"/>
  <c r="X16" i="29"/>
  <c r="Y16" i="29" s="1"/>
  <c r="U80" i="29"/>
  <c r="V80" i="29"/>
  <c r="AH147" i="29"/>
  <c r="X147" i="29"/>
  <c r="Y147" i="29" s="1"/>
  <c r="X277" i="29"/>
  <c r="Y277" i="29" s="1"/>
  <c r="AH277" i="29"/>
  <c r="AH559" i="29"/>
  <c r="X559" i="29"/>
  <c r="Y559" i="29" s="1"/>
  <c r="X69" i="29"/>
  <c r="Y69" i="29" s="1"/>
  <c r="AH69" i="29"/>
  <c r="AG110" i="29"/>
  <c r="W110" i="29"/>
  <c r="AG95" i="29"/>
  <c r="W95" i="29"/>
  <c r="X549" i="29"/>
  <c r="Y549" i="29" s="1"/>
  <c r="AH549" i="29"/>
  <c r="X92" i="29"/>
  <c r="Y92" i="29" s="1"/>
  <c r="AH92" i="29"/>
  <c r="AG118" i="29"/>
  <c r="W118" i="29"/>
  <c r="AG214" i="29"/>
  <c r="W214" i="29"/>
  <c r="AH177" i="29"/>
  <c r="X177" i="29"/>
  <c r="Y177" i="29" s="1"/>
  <c r="AH102" i="29"/>
  <c r="X102" i="29"/>
  <c r="Y102" i="29" s="1"/>
  <c r="AH165" i="29"/>
  <c r="X165" i="29"/>
  <c r="Y165" i="29" s="1"/>
  <c r="AH159" i="29"/>
  <c r="X159" i="29"/>
  <c r="Y159" i="29" s="1"/>
  <c r="W84" i="29"/>
  <c r="AG84" i="29"/>
  <c r="W48" i="29"/>
  <c r="AG48" i="29"/>
  <c r="R175" i="25"/>
  <c r="Q181" i="25"/>
  <c r="R162" i="25"/>
  <c r="L48" i="23"/>
  <c r="M48" i="23" s="1"/>
  <c r="R227" i="25"/>
  <c r="S263" i="25"/>
  <c r="K263" i="25" s="1"/>
  <c r="W263" i="25" s="1"/>
  <c r="Z263" i="25" s="1"/>
  <c r="AA263" i="25" s="1"/>
  <c r="AB263" i="25" s="1"/>
  <c r="S199" i="25"/>
  <c r="K199" i="25" s="1"/>
  <c r="W199" i="25" s="1"/>
  <c r="Z199" i="25" s="1"/>
  <c r="AA199" i="25" s="1"/>
  <c r="AB199" i="25" s="1"/>
  <c r="Q199" i="25"/>
  <c r="Q295" i="25"/>
  <c r="V5" i="24"/>
  <c r="W5" i="24"/>
  <c r="S295" i="25"/>
  <c r="K295" i="25" s="1"/>
  <c r="AD295" i="25" s="1"/>
  <c r="R176" i="25"/>
  <c r="AP5" i="24"/>
  <c r="Q5" i="24"/>
  <c r="R5" i="24" s="1"/>
  <c r="P5" i="24"/>
  <c r="CH101" i="24" s="1"/>
  <c r="Q137" i="25"/>
  <c r="S249" i="25"/>
  <c r="K249" i="25" s="1"/>
  <c r="AD249" i="25" s="1"/>
  <c r="S175" i="25"/>
  <c r="K175" i="25" s="1"/>
  <c r="W175" i="25" s="1"/>
  <c r="Z175" i="25" s="1"/>
  <c r="AA175" i="25" s="1"/>
  <c r="AB175" i="25" s="1"/>
  <c r="S181" i="25"/>
  <c r="K181" i="25" s="1"/>
  <c r="AD181" i="25" s="1"/>
  <c r="S137" i="25"/>
  <c r="K137" i="25" s="1"/>
  <c r="AD137" i="25" s="1"/>
  <c r="Q249" i="25"/>
  <c r="S202" i="25"/>
  <c r="K202" i="25" s="1"/>
  <c r="W202" i="25" s="1"/>
  <c r="Z202" i="25" s="1"/>
  <c r="AA202" i="25" s="1"/>
  <c r="AB202" i="25" s="1"/>
  <c r="S260" i="25"/>
  <c r="K260" i="25" s="1"/>
  <c r="W260" i="25" s="1"/>
  <c r="Z260" i="25" s="1"/>
  <c r="AA260" i="25" s="1"/>
  <c r="AB260" i="25" s="1"/>
  <c r="S163" i="25"/>
  <c r="K163" i="25" s="1"/>
  <c r="AD163" i="25" s="1"/>
  <c r="S210" i="25"/>
  <c r="K210" i="25" s="1"/>
  <c r="W210" i="25" s="1"/>
  <c r="Q112" i="25"/>
  <c r="R276" i="25"/>
  <c r="S316" i="25"/>
  <c r="K316" i="25" s="1"/>
  <c r="AD316" i="25" s="1"/>
  <c r="S195" i="25"/>
  <c r="K195" i="25" s="1"/>
  <c r="V195" i="25" s="1"/>
  <c r="X195" i="25" s="1"/>
  <c r="S254" i="25"/>
  <c r="K254" i="25" s="1"/>
  <c r="W254" i="25" s="1"/>
  <c r="Z254" i="25" s="1"/>
  <c r="AA254" i="25" s="1"/>
  <c r="AB254" i="25" s="1"/>
  <c r="Q205" i="25"/>
  <c r="R205" i="25"/>
  <c r="P100" i="25"/>
  <c r="P110" i="25"/>
  <c r="B45" i="2" s="1"/>
  <c r="P288" i="25"/>
  <c r="P88" i="25"/>
  <c r="S301" i="25"/>
  <c r="K301" i="25" s="1"/>
  <c r="AD301" i="25" s="1"/>
  <c r="P199" i="25"/>
  <c r="P236" i="25"/>
  <c r="P136" i="25"/>
  <c r="P164" i="25"/>
  <c r="S253" i="25"/>
  <c r="K253" i="25" s="1"/>
  <c r="AD253" i="25" s="1"/>
  <c r="P114" i="25"/>
  <c r="P259" i="25"/>
  <c r="P268" i="25"/>
  <c r="P99" i="25"/>
  <c r="P159" i="25"/>
  <c r="P19" i="25"/>
  <c r="P203" i="25"/>
  <c r="P316" i="25"/>
  <c r="Q277" i="25"/>
  <c r="R316" i="25"/>
  <c r="S174" i="25"/>
  <c r="K174" i="25" s="1"/>
  <c r="V174" i="25" s="1"/>
  <c r="X174" i="25" s="1"/>
  <c r="R195" i="25"/>
  <c r="Q254" i="25"/>
  <c r="AH6" i="25"/>
  <c r="Q201" i="25"/>
  <c r="Q125" i="25"/>
  <c r="R125" i="25"/>
  <c r="P94" i="25"/>
  <c r="P308" i="25"/>
  <c r="P11" i="25"/>
  <c r="P238" i="25"/>
  <c r="P301" i="25"/>
  <c r="P270" i="25"/>
  <c r="P33" i="25"/>
  <c r="P277" i="25"/>
  <c r="P168" i="25"/>
  <c r="P28" i="25"/>
  <c r="Q253" i="25"/>
  <c r="Q210" i="25"/>
  <c r="P284" i="25"/>
  <c r="P216" i="25"/>
  <c r="P86" i="25"/>
  <c r="P312" i="25"/>
  <c r="P66" i="25"/>
  <c r="P130" i="25"/>
  <c r="P139" i="25"/>
  <c r="P239" i="25"/>
  <c r="Q158" i="25"/>
  <c r="R274" i="25"/>
  <c r="S277" i="25"/>
  <c r="K277" i="25" s="1"/>
  <c r="V277" i="25" s="1"/>
  <c r="X277" i="25" s="1"/>
  <c r="S206" i="25"/>
  <c r="K206" i="25" s="1"/>
  <c r="V206" i="25" s="1"/>
  <c r="X206" i="25" s="1"/>
  <c r="S158" i="25"/>
  <c r="K158" i="25" s="1"/>
  <c r="AD158" i="25" s="1"/>
  <c r="S161" i="25"/>
  <c r="K161" i="25" s="1"/>
  <c r="AD161" i="25" s="1"/>
  <c r="Q259" i="25"/>
  <c r="S193" i="25"/>
  <c r="K193" i="25" s="1"/>
  <c r="AD193" i="25" s="1"/>
  <c r="P300" i="25"/>
  <c r="P200" i="25"/>
  <c r="P140" i="25"/>
  <c r="P197" i="25"/>
  <c r="P46" i="25"/>
  <c r="P102" i="25"/>
  <c r="S300" i="25"/>
  <c r="K300" i="25" s="1"/>
  <c r="V300" i="25" s="1"/>
  <c r="X300" i="25" s="1"/>
  <c r="R206" i="25"/>
  <c r="R301" i="25"/>
  <c r="S114" i="25"/>
  <c r="K114" i="25" s="1"/>
  <c r="W114" i="25" s="1"/>
  <c r="Z114" i="25" s="1"/>
  <c r="AA114" i="25" s="1"/>
  <c r="AB114" i="25" s="1"/>
  <c r="S172" i="25"/>
  <c r="K172" i="25" s="1"/>
  <c r="AD172" i="25" s="1"/>
  <c r="P44" i="25"/>
  <c r="P302" i="25"/>
  <c r="P207" i="25"/>
  <c r="P257" i="25"/>
  <c r="P305" i="25"/>
  <c r="P285" i="25"/>
  <c r="P176" i="25"/>
  <c r="P62" i="25"/>
  <c r="P161" i="25"/>
  <c r="P89" i="25"/>
  <c r="Q300" i="25"/>
  <c r="S219" i="25"/>
  <c r="K219" i="25" s="1"/>
  <c r="W219" i="25" s="1"/>
  <c r="Z219" i="25" s="1"/>
  <c r="AA219" i="25" s="1"/>
  <c r="AB219" i="25" s="1"/>
  <c r="R114" i="25"/>
  <c r="S126" i="25"/>
  <c r="K126" i="25" s="1"/>
  <c r="W126" i="25" s="1"/>
  <c r="Z126" i="25" s="1"/>
  <c r="AA126" i="25" s="1"/>
  <c r="AB126" i="25" s="1"/>
  <c r="P31" i="25"/>
  <c r="S168" i="25"/>
  <c r="K168" i="25" s="1"/>
  <c r="V168" i="25" s="1"/>
  <c r="X168" i="25" s="1"/>
  <c r="S144" i="25"/>
  <c r="K144" i="25" s="1"/>
  <c r="V144" i="25" s="1"/>
  <c r="X144" i="25" s="1"/>
  <c r="S125" i="25"/>
  <c r="K125" i="25" s="1"/>
  <c r="V125" i="25" s="1"/>
  <c r="X125" i="25" s="1"/>
  <c r="S178" i="25"/>
  <c r="K178" i="25" s="1"/>
  <c r="W178" i="25" s="1"/>
  <c r="Z178" i="25" s="1"/>
  <c r="AA178" i="25" s="1"/>
  <c r="AB178" i="25" s="1"/>
  <c r="S308" i="25"/>
  <c r="K308" i="25" s="1"/>
  <c r="AD308" i="25" s="1"/>
  <c r="T143" i="25"/>
  <c r="U143" i="25" s="1"/>
  <c r="S205" i="25"/>
  <c r="K205" i="25" s="1"/>
  <c r="V205" i="25" s="1"/>
  <c r="X205" i="25" s="1"/>
  <c r="T158" i="25"/>
  <c r="U158" i="25" s="1"/>
  <c r="S256" i="25"/>
  <c r="K256" i="25" s="1"/>
  <c r="AD256" i="25" s="1"/>
  <c r="S176" i="25"/>
  <c r="K176" i="25" s="1"/>
  <c r="AD176" i="25" s="1"/>
  <c r="R193" i="25"/>
  <c r="T245" i="25"/>
  <c r="U245" i="25" s="1"/>
  <c r="Q172" i="25"/>
  <c r="R172" i="25"/>
  <c r="Q307" i="25"/>
  <c r="S307" i="25"/>
  <c r="K307" i="25" s="1"/>
  <c r="AD307" i="25" s="1"/>
  <c r="BP201" i="25"/>
  <c r="BT201" i="25" s="1"/>
  <c r="CG201" i="25"/>
  <c r="H201" i="25"/>
  <c r="AL201" i="25"/>
  <c r="CG197" i="25"/>
  <c r="BP197" i="25"/>
  <c r="BT197" i="25" s="1"/>
  <c r="AL197" i="25"/>
  <c r="H197" i="25"/>
  <c r="CG21" i="25"/>
  <c r="AL21" i="25"/>
  <c r="H21" i="25"/>
  <c r="AH21" i="25" s="1"/>
  <c r="S22" i="24"/>
  <c r="T22" i="24" s="1"/>
  <c r="H22" i="24"/>
  <c r="AM22" i="24"/>
  <c r="Q22" i="24"/>
  <c r="R22" i="24" s="1"/>
  <c r="H315" i="25"/>
  <c r="AH315" i="25" s="1"/>
  <c r="AL315" i="25"/>
  <c r="T315" i="25"/>
  <c r="U315" i="25" s="1"/>
  <c r="CG105" i="25"/>
  <c r="H105" i="25"/>
  <c r="AH105" i="25" s="1"/>
  <c r="AL105" i="25"/>
  <c r="T105" i="25"/>
  <c r="U105" i="25" s="1"/>
  <c r="S164" i="24"/>
  <c r="T164" i="24" s="1"/>
  <c r="Q164" i="24"/>
  <c r="AM164" i="24"/>
  <c r="H164" i="24"/>
  <c r="CG164" i="24"/>
  <c r="CH164" i="24"/>
  <c r="S104" i="24"/>
  <c r="T104" i="24" s="1"/>
  <c r="AM104" i="24"/>
  <c r="H104" i="24"/>
  <c r="Q104" i="24"/>
  <c r="R104" i="24" s="1"/>
  <c r="S264" i="24"/>
  <c r="T264" i="24" s="1"/>
  <c r="Q264" i="24"/>
  <c r="H264" i="24"/>
  <c r="AM264" i="24"/>
  <c r="CH264" i="24"/>
  <c r="CG29" i="25"/>
  <c r="H29" i="25"/>
  <c r="AH29" i="25" s="1"/>
  <c r="AL29" i="25"/>
  <c r="BP205" i="25"/>
  <c r="BT205" i="25" s="1"/>
  <c r="CG205" i="25"/>
  <c r="AL205" i="25"/>
  <c r="H205" i="25"/>
  <c r="S145" i="24"/>
  <c r="T145" i="24" s="1"/>
  <c r="H145" i="24"/>
  <c r="AM145" i="24"/>
  <c r="Q145" i="24"/>
  <c r="AL70" i="25"/>
  <c r="H70" i="25"/>
  <c r="AH70" i="25" s="1"/>
  <c r="CG70" i="25"/>
  <c r="T70" i="25"/>
  <c r="U70" i="25" s="1"/>
  <c r="CG139" i="25"/>
  <c r="BP139" i="25"/>
  <c r="BT139" i="25" s="1"/>
  <c r="H139" i="25"/>
  <c r="AL139" i="25"/>
  <c r="S76" i="24"/>
  <c r="T76" i="24" s="1"/>
  <c r="AM76" i="24"/>
  <c r="H76" i="24"/>
  <c r="Q76" i="24"/>
  <c r="R76" i="24" s="1"/>
  <c r="S141" i="24"/>
  <c r="T141" i="24" s="1"/>
  <c r="Q141" i="24"/>
  <c r="AM141" i="24"/>
  <c r="H141" i="24"/>
  <c r="P120" i="25"/>
  <c r="P262" i="25"/>
  <c r="P166" i="25"/>
  <c r="P186" i="25"/>
  <c r="P22" i="25"/>
  <c r="P206" i="25"/>
  <c r="P310" i="25"/>
  <c r="P167" i="25"/>
  <c r="P92" i="25"/>
  <c r="P193" i="25"/>
  <c r="P289" i="25"/>
  <c r="P191" i="25"/>
  <c r="P34" i="25"/>
  <c r="P116" i="25"/>
  <c r="P295" i="25"/>
  <c r="P162" i="25"/>
  <c r="P269" i="25"/>
  <c r="P171" i="25"/>
  <c r="P10" i="25"/>
  <c r="P233" i="25"/>
  <c r="P275" i="25"/>
  <c r="P174" i="25"/>
  <c r="P57" i="25"/>
  <c r="P121" i="25"/>
  <c r="H31" i="25"/>
  <c r="AH31" i="25" s="1"/>
  <c r="AL31" i="25"/>
  <c r="CG31" i="25"/>
  <c r="T31" i="25"/>
  <c r="U31" i="25" s="1"/>
  <c r="AL283" i="25"/>
  <c r="H283" i="25"/>
  <c r="AH283" i="25" s="1"/>
  <c r="AL222" i="25"/>
  <c r="H222" i="25"/>
  <c r="T222" i="25"/>
  <c r="U222" i="25" s="1"/>
  <c r="S253" i="24"/>
  <c r="T253" i="24" s="1"/>
  <c r="AM253" i="24"/>
  <c r="H253" i="24"/>
  <c r="CH253" i="24"/>
  <c r="S9" i="24"/>
  <c r="T9" i="24" s="1"/>
  <c r="H9" i="24"/>
  <c r="AM9" i="24"/>
  <c r="Q9" i="24"/>
  <c r="R9" i="24" s="1"/>
  <c r="H270" i="25"/>
  <c r="AL270" i="25"/>
  <c r="T270" i="25"/>
  <c r="U270" i="25" s="1"/>
  <c r="AL9" i="25"/>
  <c r="H9" i="25"/>
  <c r="AH9" i="25" s="1"/>
  <c r="CG9" i="25"/>
  <c r="T9" i="25"/>
  <c r="U9" i="25" s="1"/>
  <c r="S12" i="24"/>
  <c r="T12" i="24" s="1"/>
  <c r="AM12" i="24"/>
  <c r="H12" i="24"/>
  <c r="Q12" i="24"/>
  <c r="R12" i="24" s="1"/>
  <c r="S274" i="24"/>
  <c r="T274" i="24" s="1"/>
  <c r="AM274" i="24"/>
  <c r="H274" i="24"/>
  <c r="CH274" i="24"/>
  <c r="CG59" i="25"/>
  <c r="H59" i="25"/>
  <c r="AH59" i="25" s="1"/>
  <c r="T59" i="25"/>
  <c r="U59" i="25" s="1"/>
  <c r="AL59" i="25"/>
  <c r="H291" i="25"/>
  <c r="AH291" i="25" s="1"/>
  <c r="AL291" i="25"/>
  <c r="T291" i="25"/>
  <c r="U291" i="25" s="1"/>
  <c r="S96" i="24"/>
  <c r="T96" i="24" s="1"/>
  <c r="AM96" i="24"/>
  <c r="H96" i="24"/>
  <c r="Q96" i="24"/>
  <c r="R96" i="24" s="1"/>
  <c r="S256" i="24"/>
  <c r="T256" i="24" s="1"/>
  <c r="AM256" i="24"/>
  <c r="H256" i="24"/>
  <c r="CH256" i="24"/>
  <c r="CG49" i="25"/>
  <c r="AL49" i="25"/>
  <c r="H49" i="25"/>
  <c r="T49" i="25"/>
  <c r="U49" i="25" s="1"/>
  <c r="AL224" i="25"/>
  <c r="H224" i="25"/>
  <c r="T224" i="25"/>
  <c r="U224" i="25" s="1"/>
  <c r="S89" i="24"/>
  <c r="T89" i="24" s="1"/>
  <c r="AM89" i="24"/>
  <c r="H89" i="24"/>
  <c r="Q89" i="24"/>
  <c r="R89" i="24" s="1"/>
  <c r="S236" i="24"/>
  <c r="T236" i="24" s="1"/>
  <c r="H236" i="24"/>
  <c r="AM236" i="24"/>
  <c r="CH236" i="24"/>
  <c r="H77" i="25"/>
  <c r="AH77" i="25" s="1"/>
  <c r="AL77" i="25"/>
  <c r="CG77" i="25"/>
  <c r="T77" i="25"/>
  <c r="U77" i="25" s="1"/>
  <c r="AL241" i="25"/>
  <c r="H241" i="25"/>
  <c r="AH241" i="25" s="1"/>
  <c r="T241" i="25"/>
  <c r="U241" i="25" s="1"/>
  <c r="S99" i="24"/>
  <c r="T99" i="24" s="1"/>
  <c r="H99" i="24"/>
  <c r="AM99" i="24"/>
  <c r="Q99" i="24"/>
  <c r="R99" i="24" s="1"/>
  <c r="S232" i="24"/>
  <c r="T232" i="24" s="1"/>
  <c r="AM232" i="24"/>
  <c r="H232" i="24"/>
  <c r="CH232" i="24"/>
  <c r="CG85" i="25"/>
  <c r="AL85" i="25"/>
  <c r="H85" i="25"/>
  <c r="AH85" i="25" s="1"/>
  <c r="AL298" i="25"/>
  <c r="H298" i="25"/>
  <c r="S298" i="25"/>
  <c r="K298" i="25" s="1"/>
  <c r="AD298" i="25" s="1"/>
  <c r="T298" i="25"/>
  <c r="U298" i="25" s="1"/>
  <c r="S49" i="24"/>
  <c r="T49" i="24" s="1"/>
  <c r="AM49" i="24"/>
  <c r="H49" i="24"/>
  <c r="Q49" i="24"/>
  <c r="R49" i="24" s="1"/>
  <c r="S266" i="24"/>
  <c r="T266" i="24" s="1"/>
  <c r="Q266" i="24"/>
  <c r="H266" i="24"/>
  <c r="AM266" i="24"/>
  <c r="CH266" i="24"/>
  <c r="H120" i="25"/>
  <c r="AH120" i="25" s="1"/>
  <c r="CG120" i="25"/>
  <c r="BP120" i="25"/>
  <c r="BT120" i="25" s="1"/>
  <c r="AL120" i="25"/>
  <c r="CG171" i="25"/>
  <c r="BP171" i="25"/>
  <c r="BT171" i="25" s="1"/>
  <c r="AL171" i="25"/>
  <c r="H171" i="25"/>
  <c r="T171" i="25"/>
  <c r="U171" i="25" s="1"/>
  <c r="G91" i="19"/>
  <c r="AY106" i="19"/>
  <c r="G66" i="19"/>
  <c r="S45" i="24"/>
  <c r="T45" i="24" s="1"/>
  <c r="AM45" i="24"/>
  <c r="H45" i="24"/>
  <c r="Q45" i="24"/>
  <c r="R45" i="24" s="1"/>
  <c r="S238" i="24"/>
  <c r="T238" i="24" s="1"/>
  <c r="Q238" i="24"/>
  <c r="AM238" i="24"/>
  <c r="H238" i="24"/>
  <c r="CH238" i="24"/>
  <c r="AL27" i="25"/>
  <c r="CG27" i="25"/>
  <c r="H27" i="25"/>
  <c r="AH27" i="25" s="1"/>
  <c r="H242" i="25"/>
  <c r="AL242" i="25"/>
  <c r="T242" i="25"/>
  <c r="U242" i="25" s="1"/>
  <c r="S101" i="24"/>
  <c r="T101" i="24" s="1"/>
  <c r="H101" i="24"/>
  <c r="AM101" i="24"/>
  <c r="Q101" i="24"/>
  <c r="R101" i="24" s="1"/>
  <c r="S187" i="24"/>
  <c r="T187" i="24" s="1"/>
  <c r="H187" i="24"/>
  <c r="AM187" i="24"/>
  <c r="Q187" i="24"/>
  <c r="S183" i="24"/>
  <c r="T183" i="24" s="1"/>
  <c r="H183" i="24"/>
  <c r="AM183" i="24"/>
  <c r="Q183" i="24"/>
  <c r="S258" i="24"/>
  <c r="T258" i="24" s="1"/>
  <c r="H258" i="24"/>
  <c r="AM258" i="24"/>
  <c r="CH258" i="24"/>
  <c r="S247" i="24"/>
  <c r="T247" i="24" s="1"/>
  <c r="H247" i="24"/>
  <c r="AM247" i="24"/>
  <c r="CH247" i="24"/>
  <c r="CG8" i="25"/>
  <c r="H8" i="25"/>
  <c r="AH8" i="25" s="1"/>
  <c r="AL8" i="25"/>
  <c r="T8" i="25"/>
  <c r="U8" i="25" s="1"/>
  <c r="CG99" i="25"/>
  <c r="AL99" i="25"/>
  <c r="H99" i="25"/>
  <c r="AH99" i="25" s="1"/>
  <c r="T99" i="25"/>
  <c r="U99" i="25" s="1"/>
  <c r="BP194" i="25"/>
  <c r="BT194" i="25" s="1"/>
  <c r="CG194" i="25"/>
  <c r="H194" i="25"/>
  <c r="AL194" i="25"/>
  <c r="H246" i="25"/>
  <c r="AH246" i="25" s="1"/>
  <c r="AL246" i="25"/>
  <c r="T246" i="25"/>
  <c r="U246" i="25" s="1"/>
  <c r="S85" i="24"/>
  <c r="T85" i="24" s="1"/>
  <c r="AM85" i="24"/>
  <c r="Q85" i="24"/>
  <c r="R85" i="24" s="1"/>
  <c r="H85" i="24"/>
  <c r="S19" i="24"/>
  <c r="T19" i="24" s="1"/>
  <c r="H19" i="24"/>
  <c r="AM19" i="24"/>
  <c r="Q19" i="24"/>
  <c r="R19" i="24" s="1"/>
  <c r="S182" i="24"/>
  <c r="T182" i="24" s="1"/>
  <c r="Q182" i="24"/>
  <c r="AM182" i="24"/>
  <c r="H182" i="24"/>
  <c r="S316" i="24"/>
  <c r="T316" i="24" s="1"/>
  <c r="AM316" i="24"/>
  <c r="H316" i="24"/>
  <c r="CH316" i="24"/>
  <c r="S114" i="24"/>
  <c r="T114" i="24" s="1"/>
  <c r="Q114" i="24"/>
  <c r="H114" i="24"/>
  <c r="AM114" i="24"/>
  <c r="CH114" i="24"/>
  <c r="CG114" i="24"/>
  <c r="H45" i="25"/>
  <c r="CG45" i="25"/>
  <c r="AL45" i="25"/>
  <c r="T45" i="25"/>
  <c r="U45" i="25" s="1"/>
  <c r="CG47" i="25"/>
  <c r="H47" i="25"/>
  <c r="AL47" i="25"/>
  <c r="BP156" i="25"/>
  <c r="BT156" i="25" s="1"/>
  <c r="CG156" i="25"/>
  <c r="AL156" i="25"/>
  <c r="H156" i="25"/>
  <c r="T156" i="25"/>
  <c r="U156" i="25" s="1"/>
  <c r="AL274" i="25"/>
  <c r="H274" i="25"/>
  <c r="AL309" i="25"/>
  <c r="H309" i="25"/>
  <c r="AH309" i="25" s="1"/>
  <c r="T309" i="25"/>
  <c r="U309" i="25" s="1"/>
  <c r="S56" i="24"/>
  <c r="T56" i="24" s="1"/>
  <c r="H56" i="24"/>
  <c r="AM56" i="24"/>
  <c r="Q56" i="24"/>
  <c r="R56" i="24" s="1"/>
  <c r="S38" i="24"/>
  <c r="T38" i="24" s="1"/>
  <c r="AM38" i="24"/>
  <c r="H38" i="24"/>
  <c r="Q38" i="24"/>
  <c r="R38" i="24" s="1"/>
  <c r="S269" i="24"/>
  <c r="T269" i="24" s="1"/>
  <c r="H269" i="24"/>
  <c r="AM269" i="24"/>
  <c r="CH269" i="24"/>
  <c r="S175" i="24"/>
  <c r="T175" i="24" s="1"/>
  <c r="Q175" i="24"/>
  <c r="H175" i="24"/>
  <c r="AM175" i="24"/>
  <c r="S299" i="24"/>
  <c r="T299" i="24" s="1"/>
  <c r="Q299" i="24"/>
  <c r="AM299" i="24"/>
  <c r="H299" i="24"/>
  <c r="CH299" i="24"/>
  <c r="AL54" i="25"/>
  <c r="H54" i="25"/>
  <c r="AH54" i="25" s="1"/>
  <c r="CG54" i="25"/>
  <c r="H231" i="25"/>
  <c r="AL231" i="25"/>
  <c r="T231" i="25"/>
  <c r="U231" i="25" s="1"/>
  <c r="CG142" i="25"/>
  <c r="H142" i="25"/>
  <c r="AL142" i="25"/>
  <c r="BP142" i="25"/>
  <c r="BT142" i="25" s="1"/>
  <c r="T142" i="25"/>
  <c r="S142" i="25"/>
  <c r="K142" i="25" s="1"/>
  <c r="W142" i="25" s="1"/>
  <c r="Z142" i="25" s="1"/>
  <c r="AA142" i="25" s="1"/>
  <c r="AB142" i="25" s="1"/>
  <c r="BP209" i="25"/>
  <c r="BT209" i="25" s="1"/>
  <c r="AL209" i="25"/>
  <c r="H209" i="25"/>
  <c r="CG209" i="25"/>
  <c r="T209" i="25"/>
  <c r="U209" i="25" s="1"/>
  <c r="S209" i="25"/>
  <c r="K209" i="25" s="1"/>
  <c r="AD209" i="25" s="1"/>
  <c r="AL306" i="25"/>
  <c r="H306" i="25"/>
  <c r="T306" i="25"/>
  <c r="U306" i="25" s="1"/>
  <c r="S75" i="24"/>
  <c r="T75" i="24" s="1"/>
  <c r="H75" i="24"/>
  <c r="AM75" i="24"/>
  <c r="Q75" i="24"/>
  <c r="R75" i="24" s="1"/>
  <c r="S242" i="24"/>
  <c r="T242" i="24" s="1"/>
  <c r="AM242" i="24"/>
  <c r="H242" i="24"/>
  <c r="CH242" i="24"/>
  <c r="S153" i="24"/>
  <c r="T153" i="24" s="1"/>
  <c r="Q153" i="24"/>
  <c r="H153" i="24"/>
  <c r="AM153" i="24"/>
  <c r="S161" i="24"/>
  <c r="T161" i="24" s="1"/>
  <c r="Q161" i="24"/>
  <c r="AM161" i="24"/>
  <c r="H161" i="24"/>
  <c r="AL50" i="25"/>
  <c r="H50" i="25"/>
  <c r="CG50" i="25"/>
  <c r="T50" i="25"/>
  <c r="U50" i="25" s="1"/>
  <c r="H19" i="25"/>
  <c r="AL19" i="25"/>
  <c r="CG19" i="25"/>
  <c r="T19" i="25"/>
  <c r="U19" i="25" s="1"/>
  <c r="BP160" i="25"/>
  <c r="BT160" i="25" s="1"/>
  <c r="CG160" i="25"/>
  <c r="H160" i="25"/>
  <c r="AL160" i="25"/>
  <c r="AL287" i="25"/>
  <c r="H287" i="25"/>
  <c r="AH287" i="25" s="1"/>
  <c r="T287" i="25"/>
  <c r="U287" i="25" s="1"/>
  <c r="H271" i="25"/>
  <c r="AL271" i="25"/>
  <c r="T271" i="25"/>
  <c r="U271" i="25" s="1"/>
  <c r="S271" i="25"/>
  <c r="K271" i="25" s="1"/>
  <c r="AD271" i="25" s="1"/>
  <c r="S16" i="24"/>
  <c r="T16" i="24" s="1"/>
  <c r="AM16" i="24"/>
  <c r="H16" i="24"/>
  <c r="Q16" i="24"/>
  <c r="R16" i="24" s="1"/>
  <c r="S229" i="24"/>
  <c r="T229" i="24" s="1"/>
  <c r="Q229" i="24"/>
  <c r="AM229" i="24"/>
  <c r="H229" i="24"/>
  <c r="CH229" i="24"/>
  <c r="S286" i="24"/>
  <c r="T286" i="24" s="1"/>
  <c r="Q286" i="24"/>
  <c r="AM286" i="24"/>
  <c r="H286" i="24"/>
  <c r="CH286" i="24"/>
  <c r="S259" i="24"/>
  <c r="T259" i="24" s="1"/>
  <c r="AM259" i="24"/>
  <c r="H259" i="24"/>
  <c r="CH259" i="24"/>
  <c r="Q259" i="24"/>
  <c r="BP116" i="25"/>
  <c r="BT116" i="25" s="1"/>
  <c r="CG116" i="25"/>
  <c r="AL116" i="25"/>
  <c r="H116" i="25"/>
  <c r="AH116" i="25" s="1"/>
  <c r="T116" i="25"/>
  <c r="U116" i="25" s="1"/>
  <c r="CG96" i="25"/>
  <c r="AL96" i="25"/>
  <c r="H96" i="25"/>
  <c r="AH96" i="25" s="1"/>
  <c r="T96" i="25"/>
  <c r="U96" i="25" s="1"/>
  <c r="H182" i="25"/>
  <c r="AH182" i="25" s="1"/>
  <c r="AL182" i="25"/>
  <c r="BP182" i="25"/>
  <c r="BT182" i="25" s="1"/>
  <c r="CG182" i="25"/>
  <c r="T182" i="25"/>
  <c r="U182" i="25" s="1"/>
  <c r="H234" i="25"/>
  <c r="AL234" i="25"/>
  <c r="T234" i="25"/>
  <c r="U234" i="25" s="1"/>
  <c r="T274" i="25"/>
  <c r="U274" i="25" s="1"/>
  <c r="O5" i="25"/>
  <c r="Q5" i="25" s="1"/>
  <c r="P69" i="25"/>
  <c r="P95" i="25"/>
  <c r="P307" i="25"/>
  <c r="P256" i="25"/>
  <c r="P150" i="25"/>
  <c r="P240" i="25"/>
  <c r="P160" i="25"/>
  <c r="P243" i="25"/>
  <c r="P117" i="25"/>
  <c r="P51" i="25"/>
  <c r="P223" i="25"/>
  <c r="P281" i="25"/>
  <c r="P172" i="25"/>
  <c r="P138" i="25"/>
  <c r="P228" i="25"/>
  <c r="P112" i="25"/>
  <c r="P227" i="25"/>
  <c r="P23" i="25"/>
  <c r="P253" i="25"/>
  <c r="P146" i="25"/>
  <c r="P144" i="25"/>
  <c r="P18" i="25"/>
  <c r="P287" i="25"/>
  <c r="P248" i="25"/>
  <c r="P254" i="25"/>
  <c r="P123" i="25"/>
  <c r="P230" i="25"/>
  <c r="P15" i="25"/>
  <c r="P242" i="25"/>
  <c r="P237" i="25"/>
  <c r="P75" i="25"/>
  <c r="P50" i="25"/>
  <c r="P17" i="25"/>
  <c r="P122" i="25"/>
  <c r="P201" i="25"/>
  <c r="P131" i="25"/>
  <c r="P208" i="25"/>
  <c r="P32" i="25"/>
  <c r="P29" i="25"/>
  <c r="P7" i="25"/>
  <c r="CD7" i="25" s="1"/>
  <c r="P84" i="25"/>
  <c r="P231" i="25"/>
  <c r="P278" i="25"/>
  <c r="P181" i="25"/>
  <c r="P83" i="25"/>
  <c r="P263" i="25"/>
  <c r="P313" i="25"/>
  <c r="P170" i="25"/>
  <c r="P36" i="25"/>
  <c r="P210" i="25"/>
  <c r="P266" i="25"/>
  <c r="P87" i="25"/>
  <c r="P5" i="25"/>
  <c r="P35" i="25"/>
  <c r="P265" i="25"/>
  <c r="P82" i="25"/>
  <c r="P260" i="25"/>
  <c r="P101" i="25"/>
  <c r="P218" i="25"/>
  <c r="P104" i="25"/>
  <c r="P187" i="25"/>
  <c r="P132" i="25"/>
  <c r="P79" i="25"/>
  <c r="P309" i="25"/>
  <c r="P282" i="25"/>
  <c r="P255" i="25"/>
  <c r="P143" i="25"/>
  <c r="P178" i="25"/>
  <c r="S67" i="24"/>
  <c r="T67" i="24" s="1"/>
  <c r="AM67" i="24"/>
  <c r="H67" i="24"/>
  <c r="Q67" i="24"/>
  <c r="R67" i="24" s="1"/>
  <c r="CG198" i="25"/>
  <c r="BP198" i="25"/>
  <c r="BT198" i="25" s="1"/>
  <c r="H198" i="25"/>
  <c r="AL198" i="25"/>
  <c r="S198" i="25"/>
  <c r="K198" i="25" s="1"/>
  <c r="AD198" i="25" s="1"/>
  <c r="T198" i="25"/>
  <c r="Q201" i="24"/>
  <c r="S201" i="24"/>
  <c r="T201" i="24" s="1"/>
  <c r="H201" i="24"/>
  <c r="AM201" i="24"/>
  <c r="S14" i="24"/>
  <c r="T14" i="24" s="1"/>
  <c r="H14" i="24"/>
  <c r="AM14" i="24"/>
  <c r="Q14" i="24"/>
  <c r="R14" i="24" s="1"/>
  <c r="AL301" i="25"/>
  <c r="H301" i="25"/>
  <c r="T301" i="25"/>
  <c r="U301" i="25" s="1"/>
  <c r="CG149" i="25"/>
  <c r="BP149" i="25"/>
  <c r="BT149" i="25" s="1"/>
  <c r="H149" i="25"/>
  <c r="AL149" i="25"/>
  <c r="G65" i="19"/>
  <c r="G90" i="19"/>
  <c r="S55" i="24"/>
  <c r="T55" i="24" s="1"/>
  <c r="AM55" i="24"/>
  <c r="H55" i="24"/>
  <c r="Q55" i="24"/>
  <c r="R55" i="24" s="1"/>
  <c r="S181" i="24"/>
  <c r="T181" i="24" s="1"/>
  <c r="Q181" i="24"/>
  <c r="AM181" i="24"/>
  <c r="H181" i="24"/>
  <c r="H227" i="25"/>
  <c r="AL227" i="25"/>
  <c r="T227" i="25"/>
  <c r="U227" i="25" s="1"/>
  <c r="S227" i="25"/>
  <c r="K227" i="25" s="1"/>
  <c r="W227" i="25" s="1"/>
  <c r="Z227" i="25" s="1"/>
  <c r="AA227" i="25" s="1"/>
  <c r="AB227" i="25" s="1"/>
  <c r="H279" i="25"/>
  <c r="AL279" i="25"/>
  <c r="T279" i="25"/>
  <c r="U279" i="25" s="1"/>
  <c r="S8" i="24"/>
  <c r="T8" i="24" s="1"/>
  <c r="AM8" i="24"/>
  <c r="H8" i="24"/>
  <c r="Q8" i="24"/>
  <c r="R8" i="24" s="1"/>
  <c r="S270" i="24"/>
  <c r="T270" i="24" s="1"/>
  <c r="AM270" i="24"/>
  <c r="H270" i="24"/>
  <c r="CH270" i="24"/>
  <c r="AL63" i="25"/>
  <c r="H63" i="25"/>
  <c r="CG63" i="25"/>
  <c r="CG200" i="25"/>
  <c r="BP200" i="25"/>
  <c r="BT200" i="25" s="1"/>
  <c r="H200" i="25"/>
  <c r="AH200" i="25" s="1"/>
  <c r="AL200" i="25"/>
  <c r="S31" i="24"/>
  <c r="T31" i="24" s="1"/>
  <c r="H31" i="24"/>
  <c r="AM31" i="24"/>
  <c r="Q31" i="24"/>
  <c r="R31" i="24" s="1"/>
  <c r="S246" i="24"/>
  <c r="T246" i="24" s="1"/>
  <c r="H246" i="24"/>
  <c r="AM246" i="24"/>
  <c r="CH246" i="24"/>
  <c r="H290" i="25"/>
  <c r="AH290" i="25" s="1"/>
  <c r="AL290" i="25"/>
  <c r="T290" i="25"/>
  <c r="U290" i="25" s="1"/>
  <c r="H289" i="25"/>
  <c r="AL289" i="25"/>
  <c r="T289" i="25"/>
  <c r="U289" i="25" s="1"/>
  <c r="S23" i="24"/>
  <c r="T23" i="24" s="1"/>
  <c r="AM23" i="24"/>
  <c r="H23" i="24"/>
  <c r="Q23" i="24"/>
  <c r="R23" i="24" s="1"/>
  <c r="S210" i="24"/>
  <c r="T210" i="24" s="1"/>
  <c r="AM210" i="24"/>
  <c r="Q210" i="24"/>
  <c r="H210" i="24"/>
  <c r="CG87" i="25"/>
  <c r="H87" i="25"/>
  <c r="AH87" i="25" s="1"/>
  <c r="AL87" i="25"/>
  <c r="T87" i="25"/>
  <c r="U87" i="25" s="1"/>
  <c r="H245" i="25"/>
  <c r="AL245" i="25"/>
  <c r="S64" i="24"/>
  <c r="T64" i="24" s="1"/>
  <c r="AM64" i="24"/>
  <c r="H64" i="24"/>
  <c r="Q64" i="24"/>
  <c r="R64" i="24" s="1"/>
  <c r="S300" i="24"/>
  <c r="T300" i="24" s="1"/>
  <c r="AM300" i="24"/>
  <c r="H300" i="24"/>
  <c r="CH300" i="24"/>
  <c r="CG117" i="25"/>
  <c r="T117" i="25"/>
  <c r="BP117" i="25"/>
  <c r="BT117" i="25" s="1"/>
  <c r="AL117" i="25"/>
  <c r="H117" i="25"/>
  <c r="AL238" i="25"/>
  <c r="H238" i="25"/>
  <c r="AH238" i="25" s="1"/>
  <c r="T238" i="25"/>
  <c r="U238" i="25" s="1"/>
  <c r="S44" i="24"/>
  <c r="T44" i="24" s="1"/>
  <c r="H44" i="24"/>
  <c r="AM44" i="24"/>
  <c r="Q44" i="24"/>
  <c r="R44" i="24" s="1"/>
  <c r="S296" i="24"/>
  <c r="T296" i="24" s="1"/>
  <c r="H296" i="24"/>
  <c r="AM296" i="24"/>
  <c r="CH296" i="24"/>
  <c r="BP118" i="25"/>
  <c r="BT118" i="25" s="1"/>
  <c r="CG118" i="25"/>
  <c r="AL118" i="25"/>
  <c r="H118" i="25"/>
  <c r="AH118" i="25" s="1"/>
  <c r="T118" i="25"/>
  <c r="U118" i="25" s="1"/>
  <c r="AL294" i="25"/>
  <c r="H294" i="25"/>
  <c r="T294" i="25"/>
  <c r="U294" i="25" s="1"/>
  <c r="S91" i="24"/>
  <c r="T91" i="24" s="1"/>
  <c r="AM91" i="24"/>
  <c r="H91" i="24"/>
  <c r="Q91" i="24"/>
  <c r="R91" i="24" s="1"/>
  <c r="S125" i="24"/>
  <c r="T125" i="24" s="1"/>
  <c r="H125" i="24"/>
  <c r="AM125" i="24"/>
  <c r="Q125" i="24"/>
  <c r="S254" i="24"/>
  <c r="T254" i="24" s="1"/>
  <c r="H254" i="24"/>
  <c r="AM254" i="24"/>
  <c r="CH254" i="24"/>
  <c r="S194" i="24"/>
  <c r="T194" i="24" s="1"/>
  <c r="H194" i="24"/>
  <c r="AM194" i="24"/>
  <c r="Q194" i="24"/>
  <c r="CG18" i="25"/>
  <c r="H18" i="25"/>
  <c r="AL18" i="25"/>
  <c r="T18" i="25"/>
  <c r="U18" i="25" s="1"/>
  <c r="AL33" i="25"/>
  <c r="H33" i="25"/>
  <c r="CG33" i="25"/>
  <c r="BP115" i="25"/>
  <c r="BT115" i="25" s="1"/>
  <c r="CG115" i="25"/>
  <c r="AL115" i="25"/>
  <c r="H115" i="25"/>
  <c r="H236" i="25"/>
  <c r="AH236" i="25" s="1"/>
  <c r="AL236" i="25"/>
  <c r="T236" i="25"/>
  <c r="U236" i="25" s="1"/>
  <c r="AL299" i="25"/>
  <c r="H299" i="25"/>
  <c r="T299" i="25"/>
  <c r="S25" i="24"/>
  <c r="T25" i="24" s="1"/>
  <c r="AM25" i="24"/>
  <c r="H25" i="24"/>
  <c r="Q25" i="24"/>
  <c r="R25" i="24" s="1"/>
  <c r="S41" i="24"/>
  <c r="T41" i="24" s="1"/>
  <c r="AM41" i="24"/>
  <c r="H41" i="24"/>
  <c r="Q41" i="24"/>
  <c r="R41" i="24" s="1"/>
  <c r="S150" i="24"/>
  <c r="T150" i="24" s="1"/>
  <c r="AM150" i="24"/>
  <c r="Q150" i="24"/>
  <c r="H150" i="24"/>
  <c r="S284" i="24"/>
  <c r="T284" i="24" s="1"/>
  <c r="AM284" i="24"/>
  <c r="H284" i="24"/>
  <c r="CH284" i="24"/>
  <c r="S180" i="24"/>
  <c r="T180" i="24" s="1"/>
  <c r="Q180" i="24"/>
  <c r="AM180" i="24"/>
  <c r="H180" i="24"/>
  <c r="AL20" i="25"/>
  <c r="H20" i="25"/>
  <c r="AH20" i="25" s="1"/>
  <c r="CG20" i="25"/>
  <c r="T20" i="25"/>
  <c r="U20" i="25" s="1"/>
  <c r="CG71" i="25"/>
  <c r="AL71" i="25"/>
  <c r="H71" i="25"/>
  <c r="AH71" i="25" s="1"/>
  <c r="T71" i="25"/>
  <c r="U71" i="25" s="1"/>
  <c r="BP172" i="25"/>
  <c r="BT172" i="25" s="1"/>
  <c r="CG172" i="25"/>
  <c r="AL172" i="25"/>
  <c r="H172" i="25"/>
  <c r="T172" i="25"/>
  <c r="U172" i="25" s="1"/>
  <c r="BP151" i="25"/>
  <c r="BT151" i="25" s="1"/>
  <c r="CG151" i="25"/>
  <c r="AL151" i="25"/>
  <c r="H151" i="25"/>
  <c r="T151" i="25"/>
  <c r="U151" i="25" s="1"/>
  <c r="H293" i="25"/>
  <c r="AH293" i="25" s="1"/>
  <c r="AL293" i="25"/>
  <c r="T293" i="25"/>
  <c r="U293" i="25" s="1"/>
  <c r="S24" i="24"/>
  <c r="T24" i="24" s="1"/>
  <c r="H24" i="24"/>
  <c r="AM24" i="24"/>
  <c r="Q24" i="24"/>
  <c r="R24" i="24" s="1"/>
  <c r="S6" i="24"/>
  <c r="T6" i="24" s="1"/>
  <c r="H6" i="24"/>
  <c r="AM6" i="24"/>
  <c r="Q6" i="24"/>
  <c r="R6" i="24" s="1"/>
  <c r="S237" i="24"/>
  <c r="T237" i="24" s="1"/>
  <c r="AM237" i="24"/>
  <c r="H237" i="24"/>
  <c r="CH237" i="24"/>
  <c r="P274" i="25"/>
  <c r="P8" i="25"/>
  <c r="P272" i="25"/>
  <c r="P286" i="25"/>
  <c r="P147" i="25"/>
  <c r="P202" i="25"/>
  <c r="P30" i="25"/>
  <c r="P291" i="25"/>
  <c r="P40" i="25"/>
  <c r="P175" i="25"/>
  <c r="P48" i="25"/>
  <c r="P74" i="25"/>
  <c r="P267" i="25"/>
  <c r="P235" i="25"/>
  <c r="P304" i="25"/>
  <c r="P127" i="25"/>
  <c r="P133" i="25"/>
  <c r="P219" i="25"/>
  <c r="P252" i="25"/>
  <c r="P90" i="25"/>
  <c r="P314" i="25"/>
  <c r="P246" i="25"/>
  <c r="P103" i="25"/>
  <c r="P93" i="25"/>
  <c r="P24" i="25"/>
  <c r="P182" i="25"/>
  <c r="P70" i="25"/>
  <c r="S306" i="25"/>
  <c r="K306" i="25" s="1"/>
  <c r="W306" i="25" s="1"/>
  <c r="Z306" i="25" s="1"/>
  <c r="AA306" i="25" s="1"/>
  <c r="AB306" i="25" s="1"/>
  <c r="T115" i="25"/>
  <c r="U115" i="25" s="1"/>
  <c r="T201" i="25"/>
  <c r="U201" i="25" s="1"/>
  <c r="Q192" i="25"/>
  <c r="R192" i="25"/>
  <c r="P226" i="25"/>
  <c r="P264" i="25"/>
  <c r="P297" i="25"/>
  <c r="P204" i="25"/>
  <c r="P126" i="25"/>
  <c r="P292" i="25"/>
  <c r="P129" i="25"/>
  <c r="P179" i="25"/>
  <c r="P249" i="25"/>
  <c r="P111" i="25"/>
  <c r="B46" i="2" s="1"/>
  <c r="P72" i="25"/>
  <c r="P6" i="25"/>
  <c r="CD6" i="25" s="1"/>
  <c r="P152" i="25"/>
  <c r="P298" i="25"/>
  <c r="P184" i="25"/>
  <c r="P91" i="25"/>
  <c r="P65" i="25"/>
  <c r="P247" i="25"/>
  <c r="P220" i="25"/>
  <c r="P58" i="25"/>
  <c r="P188" i="25"/>
  <c r="P315" i="25"/>
  <c r="P71" i="25"/>
  <c r="P293" i="25"/>
  <c r="P52" i="25"/>
  <c r="P38" i="25"/>
  <c r="R197" i="25"/>
  <c r="T47" i="25"/>
  <c r="U47" i="25" s="1"/>
  <c r="T139" i="25"/>
  <c r="U139" i="25" s="1"/>
  <c r="T283" i="25"/>
  <c r="U283" i="25" s="1"/>
  <c r="P68" i="25"/>
  <c r="P311" i="25"/>
  <c r="P245" i="25"/>
  <c r="P296" i="25"/>
  <c r="P54" i="25"/>
  <c r="P299" i="25"/>
  <c r="P115" i="25"/>
  <c r="P80" i="25"/>
  <c r="P43" i="25"/>
  <c r="P225" i="25"/>
  <c r="P81" i="25"/>
  <c r="P224" i="25"/>
  <c r="P148" i="25"/>
  <c r="P303" i="25"/>
  <c r="P59" i="25"/>
  <c r="P194" i="25"/>
  <c r="P183" i="25"/>
  <c r="P26" i="25"/>
  <c r="P64" i="25"/>
  <c r="P283" i="25"/>
  <c r="P39" i="25"/>
  <c r="P261" i="25"/>
  <c r="P195" i="25"/>
  <c r="P14" i="25"/>
  <c r="S117" i="25"/>
  <c r="K117" i="25" s="1"/>
  <c r="W117" i="25" s="1"/>
  <c r="Z117" i="25" s="1"/>
  <c r="AA117" i="25" s="1"/>
  <c r="AB117" i="25" s="1"/>
  <c r="S197" i="25"/>
  <c r="K197" i="25" s="1"/>
  <c r="AD197" i="25" s="1"/>
  <c r="S115" i="25"/>
  <c r="K115" i="25" s="1"/>
  <c r="W115" i="25" s="1"/>
  <c r="Z115" i="25" s="1"/>
  <c r="AA115" i="25" s="1"/>
  <c r="AB115" i="25" s="1"/>
  <c r="T21" i="25"/>
  <c r="U21" i="25" s="1"/>
  <c r="S149" i="25"/>
  <c r="K149" i="25" s="1"/>
  <c r="AD149" i="25" s="1"/>
  <c r="Q149" i="25"/>
  <c r="T85" i="25"/>
  <c r="U85" i="25" s="1"/>
  <c r="S241" i="25"/>
  <c r="K241" i="25" s="1"/>
  <c r="AD241" i="25" s="1"/>
  <c r="T194" i="25"/>
  <c r="U194" i="25" s="1"/>
  <c r="P180" i="25"/>
  <c r="P135" i="25"/>
  <c r="P67" i="25"/>
  <c r="P60" i="25"/>
  <c r="P169" i="25"/>
  <c r="P229" i="25"/>
  <c r="P96" i="25"/>
  <c r="P47" i="25"/>
  <c r="P156" i="25"/>
  <c r="P154" i="25"/>
  <c r="P279" i="25"/>
  <c r="P294" i="25"/>
  <c r="P155" i="25"/>
  <c r="P16" i="25"/>
  <c r="P271" i="25"/>
  <c r="P27" i="25"/>
  <c r="P290" i="25"/>
  <c r="P76" i="25"/>
  <c r="P151" i="25"/>
  <c r="P49" i="25"/>
  <c r="P276" i="25"/>
  <c r="P250" i="25"/>
  <c r="P118" i="25"/>
  <c r="P251" i="25"/>
  <c r="P221" i="25"/>
  <c r="P163" i="25"/>
  <c r="P157" i="25"/>
  <c r="P12" i="25"/>
  <c r="P42" i="25"/>
  <c r="P149" i="25"/>
  <c r="P56" i="25"/>
  <c r="P37" i="25"/>
  <c r="P20" i="25"/>
  <c r="P192" i="25"/>
  <c r="P158" i="25"/>
  <c r="P273" i="25"/>
  <c r="P97" i="25"/>
  <c r="P190" i="25"/>
  <c r="P222" i="25"/>
  <c r="P134" i="25"/>
  <c r="P241" i="25"/>
  <c r="P234" i="25"/>
  <c r="P98" i="25"/>
  <c r="P258" i="25"/>
  <c r="P280" i="25"/>
  <c r="P119" i="25"/>
  <c r="P124" i="25"/>
  <c r="P198" i="25"/>
  <c r="P78" i="25"/>
  <c r="P306" i="25"/>
  <c r="P128" i="25"/>
  <c r="P63" i="25"/>
  <c r="P125" i="25"/>
  <c r="S224" i="25"/>
  <c r="K224" i="25" s="1"/>
  <c r="W224" i="25" s="1"/>
  <c r="Z224" i="25" s="1"/>
  <c r="AA224" i="25" s="1"/>
  <c r="AB224" i="25" s="1"/>
  <c r="S274" i="25"/>
  <c r="K274" i="25" s="1"/>
  <c r="AD274" i="25" s="1"/>
  <c r="S294" i="25"/>
  <c r="K294" i="25" s="1"/>
  <c r="W294" i="25" s="1"/>
  <c r="Z294" i="25" s="1"/>
  <c r="AA294" i="25" s="1"/>
  <c r="AB294" i="25" s="1"/>
  <c r="S201" i="25"/>
  <c r="K201" i="25" s="1"/>
  <c r="AD201" i="25" s="1"/>
  <c r="T160" i="25"/>
  <c r="U160" i="25" s="1"/>
  <c r="T149" i="25"/>
  <c r="U149" i="25" s="1"/>
  <c r="S275" i="24"/>
  <c r="T275" i="24" s="1"/>
  <c r="H275" i="24"/>
  <c r="AM275" i="24"/>
  <c r="CH275" i="24"/>
  <c r="CG153" i="25"/>
  <c r="BP153" i="25"/>
  <c r="BT153" i="25" s="1"/>
  <c r="AL153" i="25"/>
  <c r="H153" i="25"/>
  <c r="AH153" i="25" s="1"/>
  <c r="T153" i="25"/>
  <c r="U153" i="25" s="1"/>
  <c r="CG43" i="25"/>
  <c r="H43" i="25"/>
  <c r="AH43" i="25" s="1"/>
  <c r="AL43" i="25"/>
  <c r="T43" i="25"/>
  <c r="U43" i="25" s="1"/>
  <c r="S217" i="24"/>
  <c r="T217" i="24" s="1"/>
  <c r="H217" i="24"/>
  <c r="AM217" i="24"/>
  <c r="CH217" i="24"/>
  <c r="S29" i="24"/>
  <c r="T29" i="24" s="1"/>
  <c r="AM29" i="24"/>
  <c r="H29" i="24"/>
  <c r="Q29" i="24"/>
  <c r="R29" i="24" s="1"/>
  <c r="H267" i="25"/>
  <c r="AH267" i="25" s="1"/>
  <c r="AL267" i="25"/>
  <c r="T267" i="25"/>
  <c r="U267" i="25" s="1"/>
  <c r="CG76" i="25"/>
  <c r="H76" i="25"/>
  <c r="AH76" i="25" s="1"/>
  <c r="AL76" i="25"/>
  <c r="T76" i="25"/>
  <c r="U76" i="25" s="1"/>
  <c r="S209" i="24"/>
  <c r="T209" i="24" s="1"/>
  <c r="Q209" i="24"/>
  <c r="H209" i="24"/>
  <c r="AM209" i="24"/>
  <c r="S185" i="24"/>
  <c r="T185" i="24" s="1"/>
  <c r="AM185" i="24"/>
  <c r="H185" i="24"/>
  <c r="Q185" i="24"/>
  <c r="AL84" i="25"/>
  <c r="H84" i="25"/>
  <c r="AH84" i="25" s="1"/>
  <c r="CG84" i="25"/>
  <c r="T84" i="25"/>
  <c r="U84" i="25" s="1"/>
  <c r="H135" i="25"/>
  <c r="AL135" i="25"/>
  <c r="CG135" i="25"/>
  <c r="T135" i="25"/>
  <c r="BP135" i="25"/>
  <c r="BT135" i="25" s="1"/>
  <c r="S135" i="25"/>
  <c r="K135" i="25" s="1"/>
  <c r="AL74" i="25"/>
  <c r="H74" i="25"/>
  <c r="AH74" i="25" s="1"/>
  <c r="CG74" i="25"/>
  <c r="H228" i="25"/>
  <c r="AH228" i="25" s="1"/>
  <c r="AL228" i="25"/>
  <c r="S72" i="24"/>
  <c r="T72" i="24" s="1"/>
  <c r="AM72" i="24"/>
  <c r="H72" i="24"/>
  <c r="Q72" i="24"/>
  <c r="R72" i="24" s="1"/>
  <c r="S133" i="24"/>
  <c r="T133" i="24" s="1"/>
  <c r="Q133" i="24"/>
  <c r="AM133" i="24"/>
  <c r="H133" i="24"/>
  <c r="CG82" i="25"/>
  <c r="H82" i="25"/>
  <c r="AH82" i="25" s="1"/>
  <c r="AL82" i="25"/>
  <c r="H167" i="25"/>
  <c r="AL167" i="25"/>
  <c r="CG167" i="25"/>
  <c r="BP167" i="25"/>
  <c r="BT167" i="25" s="1"/>
  <c r="T167" i="25"/>
  <c r="U167" i="25" s="1"/>
  <c r="S277" i="24"/>
  <c r="T277" i="24" s="1"/>
  <c r="H277" i="24"/>
  <c r="AM277" i="24"/>
  <c r="CH277" i="24"/>
  <c r="AL44" i="25"/>
  <c r="H44" i="25"/>
  <c r="AH44" i="25" s="1"/>
  <c r="CG44" i="25"/>
  <c r="T44" i="25"/>
  <c r="U44" i="25" s="1"/>
  <c r="H255" i="25"/>
  <c r="AH255" i="25" s="1"/>
  <c r="AL255" i="25"/>
  <c r="S257" i="24"/>
  <c r="T257" i="24" s="1"/>
  <c r="H257" i="24"/>
  <c r="AM257" i="24"/>
  <c r="CH257" i="24"/>
  <c r="CG124" i="25"/>
  <c r="H124" i="25"/>
  <c r="BP124" i="25"/>
  <c r="BT124" i="25" s="1"/>
  <c r="AL124" i="25"/>
  <c r="T124" i="25"/>
  <c r="BP179" i="25"/>
  <c r="BT179" i="25" s="1"/>
  <c r="CG179" i="25"/>
  <c r="H179" i="25"/>
  <c r="AH179" i="25" s="1"/>
  <c r="AL179" i="25"/>
  <c r="S36" i="24"/>
  <c r="T36" i="24" s="1"/>
  <c r="AM36" i="24"/>
  <c r="H36" i="24"/>
  <c r="Q36" i="24"/>
  <c r="R36" i="24" s="1"/>
  <c r="S18" i="24"/>
  <c r="T18" i="24" s="1"/>
  <c r="AM18" i="24"/>
  <c r="H18" i="24"/>
  <c r="Q18" i="24"/>
  <c r="R18" i="24" s="1"/>
  <c r="S249" i="24"/>
  <c r="T249" i="24" s="1"/>
  <c r="AM249" i="24"/>
  <c r="H249" i="24"/>
  <c r="CH249" i="24"/>
  <c r="S135" i="24"/>
  <c r="T135" i="24" s="1"/>
  <c r="Q135" i="24"/>
  <c r="H135" i="24"/>
  <c r="AM135" i="24"/>
  <c r="CG135" i="24"/>
  <c r="CH135" i="24"/>
  <c r="S279" i="24"/>
  <c r="T279" i="24" s="1"/>
  <c r="AM279" i="24"/>
  <c r="H279" i="24"/>
  <c r="CH279" i="24"/>
  <c r="CG78" i="25"/>
  <c r="AL78" i="25"/>
  <c r="H78" i="25"/>
  <c r="T78" i="25"/>
  <c r="U78" i="25" s="1"/>
  <c r="CG91" i="25"/>
  <c r="AL91" i="25"/>
  <c r="H91" i="25"/>
  <c r="CG162" i="25"/>
  <c r="BP162" i="25"/>
  <c r="BT162" i="25" s="1"/>
  <c r="H162" i="25"/>
  <c r="AL162" i="25"/>
  <c r="H282" i="25"/>
  <c r="AL282" i="25"/>
  <c r="S51" i="24"/>
  <c r="T51" i="24" s="1"/>
  <c r="H51" i="24"/>
  <c r="AM51" i="24"/>
  <c r="Q51" i="24"/>
  <c r="R51" i="24" s="1"/>
  <c r="S262" i="24"/>
  <c r="T262" i="24" s="1"/>
  <c r="AM262" i="24"/>
  <c r="H262" i="24"/>
  <c r="CH262" i="24"/>
  <c r="S173" i="24"/>
  <c r="T173" i="24" s="1"/>
  <c r="Q173" i="24"/>
  <c r="AM173" i="24"/>
  <c r="H173" i="24"/>
  <c r="Q177" i="24"/>
  <c r="S177" i="24"/>
  <c r="T177" i="24" s="1"/>
  <c r="AM177" i="24"/>
  <c r="H177" i="24"/>
  <c r="CH177" i="24"/>
  <c r="CG177" i="24"/>
  <c r="CG42" i="25"/>
  <c r="AL42" i="25"/>
  <c r="H42" i="25"/>
  <c r="AH42" i="25" s="1"/>
  <c r="CG125" i="25"/>
  <c r="BP125" i="25"/>
  <c r="BT125" i="25" s="1"/>
  <c r="H125" i="25"/>
  <c r="AL125" i="25"/>
  <c r="CG140" i="25"/>
  <c r="BP140" i="25"/>
  <c r="BT140" i="25" s="1"/>
  <c r="AL140" i="25"/>
  <c r="H140" i="25"/>
  <c r="AH140" i="25" s="1"/>
  <c r="H256" i="25"/>
  <c r="AL256" i="25"/>
  <c r="H257" i="25"/>
  <c r="AL257" i="25"/>
  <c r="T257" i="25"/>
  <c r="U257" i="25" s="1"/>
  <c r="S88" i="24"/>
  <c r="T88" i="24" s="1"/>
  <c r="AM88" i="24"/>
  <c r="H88" i="24"/>
  <c r="Q88" i="24"/>
  <c r="R88" i="24" s="1"/>
  <c r="S70" i="24"/>
  <c r="T70" i="24" s="1"/>
  <c r="H70" i="24"/>
  <c r="AM70" i="24"/>
  <c r="Q70" i="24"/>
  <c r="R70" i="24" s="1"/>
  <c r="S301" i="24"/>
  <c r="T301" i="24" s="1"/>
  <c r="H301" i="24"/>
  <c r="AM301" i="24"/>
  <c r="S248" i="24"/>
  <c r="T248" i="24" s="1"/>
  <c r="AM248" i="24"/>
  <c r="H248" i="24"/>
  <c r="CH248" i="24"/>
  <c r="S144" i="24"/>
  <c r="T144" i="24" s="1"/>
  <c r="Q144" i="24"/>
  <c r="H144" i="24"/>
  <c r="AM144" i="24"/>
  <c r="CH144" i="24"/>
  <c r="CG144" i="24"/>
  <c r="CG60" i="25"/>
  <c r="H60" i="25"/>
  <c r="AH60" i="25" s="1"/>
  <c r="AL60" i="25"/>
  <c r="H126" i="25"/>
  <c r="AL126" i="25"/>
  <c r="T126" i="25"/>
  <c r="U126" i="25" s="1"/>
  <c r="CG126" i="25"/>
  <c r="BP126" i="25"/>
  <c r="BT126" i="25" s="1"/>
  <c r="BP189" i="25"/>
  <c r="BT189" i="25" s="1"/>
  <c r="CG189" i="25"/>
  <c r="H189" i="25"/>
  <c r="AL189" i="25"/>
  <c r="AL187" i="25"/>
  <c r="H187" i="25"/>
  <c r="T187" i="25"/>
  <c r="BP187" i="25"/>
  <c r="BT187" i="25" s="1"/>
  <c r="CG187" i="25"/>
  <c r="T305" i="25"/>
  <c r="U305" i="25" s="1"/>
  <c r="AL305" i="25"/>
  <c r="H305" i="25"/>
  <c r="S37" i="24"/>
  <c r="T37" i="24" s="1"/>
  <c r="H37" i="24"/>
  <c r="AM37" i="24"/>
  <c r="Q37" i="24"/>
  <c r="R37" i="24" s="1"/>
  <c r="S163" i="24"/>
  <c r="T163" i="24" s="1"/>
  <c r="AM163" i="24"/>
  <c r="H163" i="24"/>
  <c r="Q163" i="24"/>
  <c r="S198" i="24"/>
  <c r="T198" i="24" s="1"/>
  <c r="Q198" i="24"/>
  <c r="AM198" i="24"/>
  <c r="H198" i="24"/>
  <c r="Q115" i="24"/>
  <c r="S115" i="24"/>
  <c r="T115" i="24" s="1"/>
  <c r="H115" i="24"/>
  <c r="AM115" i="24"/>
  <c r="CG115" i="24"/>
  <c r="CH115" i="24"/>
  <c r="CG34" i="25"/>
  <c r="H34" i="25"/>
  <c r="AL34" i="25"/>
  <c r="H65" i="25"/>
  <c r="AH65" i="25" s="1"/>
  <c r="CG65" i="25"/>
  <c r="AL65" i="25"/>
  <c r="T65" i="25"/>
  <c r="U65" i="25" s="1"/>
  <c r="AL144" i="25"/>
  <c r="H144" i="25"/>
  <c r="CG144" i="25"/>
  <c r="BP144" i="25"/>
  <c r="BT144" i="25" s="1"/>
  <c r="H260" i="25"/>
  <c r="AL260" i="25"/>
  <c r="H265" i="25"/>
  <c r="AL265" i="25"/>
  <c r="S48" i="24"/>
  <c r="T48" i="24" s="1"/>
  <c r="AM48" i="24"/>
  <c r="Q48" i="24"/>
  <c r="R48" i="24" s="1"/>
  <c r="H48" i="24"/>
  <c r="S30" i="24"/>
  <c r="T30" i="24" s="1"/>
  <c r="H30" i="24"/>
  <c r="AM30" i="24"/>
  <c r="Q30" i="24"/>
  <c r="R30" i="24" s="1"/>
  <c r="S261" i="24"/>
  <c r="T261" i="24" s="1"/>
  <c r="Q261" i="24"/>
  <c r="AM261" i="24"/>
  <c r="H261" i="24"/>
  <c r="CH261" i="24"/>
  <c r="Q159" i="24"/>
  <c r="S159" i="24"/>
  <c r="T159" i="24" s="1"/>
  <c r="AM159" i="24"/>
  <c r="H159" i="24"/>
  <c r="S291" i="24"/>
  <c r="T291" i="24" s="1"/>
  <c r="AM291" i="24"/>
  <c r="H291" i="24"/>
  <c r="CH291" i="24"/>
  <c r="CG66" i="25"/>
  <c r="H66" i="25"/>
  <c r="AH66" i="25" s="1"/>
  <c r="AL66" i="25"/>
  <c r="AL273" i="25"/>
  <c r="H273" i="25"/>
  <c r="T273" i="25"/>
  <c r="U273" i="25" s="1"/>
  <c r="CG150" i="25"/>
  <c r="BP150" i="25"/>
  <c r="BT150" i="25" s="1"/>
  <c r="H150" i="25"/>
  <c r="AL150" i="25"/>
  <c r="T150" i="25"/>
  <c r="U150" i="25" s="1"/>
  <c r="H220" i="25"/>
  <c r="AL220" i="25"/>
  <c r="AL314" i="25"/>
  <c r="H314" i="25"/>
  <c r="T260" i="25"/>
  <c r="U260" i="25" s="1"/>
  <c r="Q302" i="24"/>
  <c r="S302" i="24"/>
  <c r="T302" i="24" s="1"/>
  <c r="H302" i="24"/>
  <c r="AM302" i="24"/>
  <c r="CH302" i="24"/>
  <c r="S267" i="24"/>
  <c r="T267" i="24" s="1"/>
  <c r="Q267" i="24"/>
  <c r="H267" i="24"/>
  <c r="AM267" i="24"/>
  <c r="CH267" i="24"/>
  <c r="H90" i="25"/>
  <c r="CG90" i="25"/>
  <c r="AL90" i="25"/>
  <c r="T90" i="25"/>
  <c r="U90" i="25" s="1"/>
  <c r="AL94" i="25"/>
  <c r="H94" i="25"/>
  <c r="AH94" i="25" s="1"/>
  <c r="CG94" i="25"/>
  <c r="CG174" i="25"/>
  <c r="BP174" i="25"/>
  <c r="BT174" i="25" s="1"/>
  <c r="H174" i="25"/>
  <c r="AL174" i="25"/>
  <c r="CG203" i="25"/>
  <c r="AL203" i="25"/>
  <c r="H203" i="25"/>
  <c r="BP203" i="25"/>
  <c r="BT203" i="25" s="1"/>
  <c r="T203" i="25"/>
  <c r="U203" i="25" s="1"/>
  <c r="S43" i="24"/>
  <c r="T43" i="24" s="1"/>
  <c r="AM43" i="24"/>
  <c r="H43" i="24"/>
  <c r="Q43" i="24"/>
  <c r="R43" i="24" s="1"/>
  <c r="Q174" i="24"/>
  <c r="S174" i="24"/>
  <c r="T174" i="24" s="1"/>
  <c r="AM174" i="24"/>
  <c r="H174" i="24"/>
  <c r="S308" i="24"/>
  <c r="T308" i="24" s="1"/>
  <c r="H308" i="24"/>
  <c r="AM308" i="24"/>
  <c r="CH308" i="24"/>
  <c r="Q204" i="24"/>
  <c r="S204" i="24"/>
  <c r="T204" i="24" s="1"/>
  <c r="AM204" i="24"/>
  <c r="H204" i="24"/>
  <c r="AL69" i="25"/>
  <c r="H69" i="25"/>
  <c r="CG69" i="25"/>
  <c r="T69" i="25"/>
  <c r="U69" i="25" s="1"/>
  <c r="CG79" i="25"/>
  <c r="AL79" i="25"/>
  <c r="H79" i="25"/>
  <c r="AL176" i="25"/>
  <c r="H176" i="25"/>
  <c r="BP176" i="25"/>
  <c r="BT176" i="25" s="1"/>
  <c r="CG176" i="25"/>
  <c r="AL159" i="25"/>
  <c r="H159" i="25"/>
  <c r="AH159" i="25" s="1"/>
  <c r="T159" i="25"/>
  <c r="U159" i="25" s="1"/>
  <c r="BP159" i="25"/>
  <c r="BT159" i="25" s="1"/>
  <c r="CG159" i="25"/>
  <c r="AL312" i="25"/>
  <c r="H312" i="25"/>
  <c r="S103" i="24"/>
  <c r="T103" i="24" s="1"/>
  <c r="AM103" i="24"/>
  <c r="H103" i="24"/>
  <c r="Q103" i="24"/>
  <c r="R103" i="24" s="1"/>
  <c r="S195" i="24"/>
  <c r="T195" i="24" s="1"/>
  <c r="Q195" i="24"/>
  <c r="H195" i="24"/>
  <c r="AM195" i="24"/>
  <c r="S290" i="24"/>
  <c r="T290" i="24" s="1"/>
  <c r="AM290" i="24"/>
  <c r="H290" i="24"/>
  <c r="CH290" i="24"/>
  <c r="Q124" i="24"/>
  <c r="S124" i="24"/>
  <c r="T124" i="24" s="1"/>
  <c r="AM124" i="24"/>
  <c r="H124" i="24"/>
  <c r="S227" i="24"/>
  <c r="T227" i="24" s="1"/>
  <c r="H227" i="24"/>
  <c r="AM227" i="24"/>
  <c r="CH227" i="24"/>
  <c r="H17" i="25"/>
  <c r="AH17" i="25" s="1"/>
  <c r="CG17" i="25"/>
  <c r="T17" i="25"/>
  <c r="U17" i="25" s="1"/>
  <c r="AL17" i="25"/>
  <c r="CG104" i="25"/>
  <c r="AL104" i="25"/>
  <c r="H104" i="25"/>
  <c r="AH104" i="25" s="1"/>
  <c r="H229" i="25"/>
  <c r="AL229" i="25"/>
  <c r="H266" i="25"/>
  <c r="AL266" i="25"/>
  <c r="T228" i="25"/>
  <c r="U228" i="25" s="1"/>
  <c r="AH7" i="25"/>
  <c r="S63" i="24"/>
  <c r="T63" i="24" s="1"/>
  <c r="AM63" i="24"/>
  <c r="H63" i="24"/>
  <c r="Q63" i="24"/>
  <c r="R63" i="24" s="1"/>
  <c r="S131" i="24"/>
  <c r="T131" i="24" s="1"/>
  <c r="Q131" i="24"/>
  <c r="H131" i="24"/>
  <c r="AM131" i="24"/>
  <c r="AL272" i="25"/>
  <c r="H272" i="25"/>
  <c r="AH272" i="25" s="1"/>
  <c r="T272" i="25"/>
  <c r="U272" i="25" s="1"/>
  <c r="AL223" i="25"/>
  <c r="H223" i="25"/>
  <c r="AH223" i="25" s="1"/>
  <c r="Q245" i="24"/>
  <c r="S245" i="24"/>
  <c r="T245" i="24" s="1"/>
  <c r="AM245" i="24"/>
  <c r="H245" i="24"/>
  <c r="CH245" i="24"/>
  <c r="H199" i="25"/>
  <c r="AL199" i="25"/>
  <c r="T199" i="25"/>
  <c r="BP199" i="25"/>
  <c r="BT199" i="25" s="1"/>
  <c r="CG199" i="25"/>
  <c r="S86" i="24"/>
  <c r="T86" i="24" s="1"/>
  <c r="H86" i="24"/>
  <c r="AM86" i="24"/>
  <c r="Q86" i="24"/>
  <c r="R86" i="24" s="1"/>
  <c r="S160" i="24"/>
  <c r="T160" i="24" s="1"/>
  <c r="Q160" i="24"/>
  <c r="AM160" i="24"/>
  <c r="H160" i="24"/>
  <c r="CG111" i="25"/>
  <c r="BP111" i="25"/>
  <c r="BT111" i="25" s="1"/>
  <c r="AL111" i="25"/>
  <c r="H111" i="25"/>
  <c r="AL303" i="25"/>
  <c r="H303" i="25"/>
  <c r="AH303" i="25" s="1"/>
  <c r="S35" i="24"/>
  <c r="T35" i="24" s="1"/>
  <c r="H35" i="24"/>
  <c r="AM35" i="24"/>
  <c r="Q35" i="24"/>
  <c r="R35" i="24" s="1"/>
  <c r="Q130" i="24"/>
  <c r="S130" i="24"/>
  <c r="T130" i="24" s="1"/>
  <c r="AM130" i="24"/>
  <c r="H130" i="24"/>
  <c r="H277" i="25"/>
  <c r="AL277" i="25"/>
  <c r="H281" i="25"/>
  <c r="AL281" i="25"/>
  <c r="S58" i="24"/>
  <c r="T58" i="24" s="1"/>
  <c r="AM58" i="24"/>
  <c r="H58" i="24"/>
  <c r="Q58" i="24"/>
  <c r="R58" i="24" s="1"/>
  <c r="S126" i="24"/>
  <c r="T126" i="24" s="1"/>
  <c r="Q126" i="24"/>
  <c r="AM126" i="24"/>
  <c r="H126" i="24"/>
  <c r="CG132" i="25"/>
  <c r="H132" i="25"/>
  <c r="AH132" i="25" s="1"/>
  <c r="AL132" i="25"/>
  <c r="BP132" i="25"/>
  <c r="BT132" i="25" s="1"/>
  <c r="S54" i="24"/>
  <c r="T54" i="24" s="1"/>
  <c r="AM54" i="24"/>
  <c r="H54" i="24"/>
  <c r="Q54" i="24"/>
  <c r="R54" i="24" s="1"/>
  <c r="S118" i="24"/>
  <c r="T118" i="24" s="1"/>
  <c r="Q118" i="24"/>
  <c r="H118" i="24"/>
  <c r="AM118" i="24"/>
  <c r="CG118" i="24"/>
  <c r="CH118" i="24"/>
  <c r="CG92" i="25"/>
  <c r="H92" i="25"/>
  <c r="AH92" i="25" s="1"/>
  <c r="AL92" i="25"/>
  <c r="AL284" i="25"/>
  <c r="H284" i="25"/>
  <c r="T284" i="25"/>
  <c r="U284" i="25" s="1"/>
  <c r="S95" i="24"/>
  <c r="T95" i="24" s="1"/>
  <c r="H95" i="24"/>
  <c r="Q95" i="24"/>
  <c r="R95" i="24" s="1"/>
  <c r="AM95" i="24"/>
  <c r="S224" i="24"/>
  <c r="T224" i="24" s="1"/>
  <c r="AM224" i="24"/>
  <c r="H224" i="24"/>
  <c r="CH224" i="24"/>
  <c r="AL295" i="25"/>
  <c r="H295" i="25"/>
  <c r="H253" i="25"/>
  <c r="AL253" i="25"/>
  <c r="S87" i="24"/>
  <c r="T87" i="24" s="1"/>
  <c r="AM87" i="24"/>
  <c r="H87" i="24"/>
  <c r="Q87" i="24"/>
  <c r="R87" i="24" s="1"/>
  <c r="S151" i="24"/>
  <c r="T151" i="24" s="1"/>
  <c r="Q151" i="24"/>
  <c r="AM151" i="24"/>
  <c r="H151" i="24"/>
  <c r="CG98" i="25"/>
  <c r="H98" i="25"/>
  <c r="AH98" i="25" s="1"/>
  <c r="AL98" i="25"/>
  <c r="AL296" i="25"/>
  <c r="H296" i="25"/>
  <c r="AH296" i="25" s="1"/>
  <c r="S59" i="24"/>
  <c r="T59" i="24" s="1"/>
  <c r="AM59" i="24"/>
  <c r="H59" i="24"/>
  <c r="Q59" i="24"/>
  <c r="R59" i="24" s="1"/>
  <c r="S294" i="24"/>
  <c r="T294" i="24" s="1"/>
  <c r="H294" i="24"/>
  <c r="AM294" i="24"/>
  <c r="CH294" i="24"/>
  <c r="S197" i="24"/>
  <c r="T197" i="24" s="1"/>
  <c r="Q197" i="24"/>
  <c r="AM197" i="24"/>
  <c r="H197" i="24"/>
  <c r="S189" i="24"/>
  <c r="T189" i="24" s="1"/>
  <c r="Q189" i="24"/>
  <c r="H189" i="24"/>
  <c r="AM189" i="24"/>
  <c r="AL38" i="25"/>
  <c r="CG38" i="25"/>
  <c r="H38" i="25"/>
  <c r="T38" i="25"/>
  <c r="U38" i="25" s="1"/>
  <c r="H113" i="25"/>
  <c r="AH113" i="25" s="1"/>
  <c r="AL113" i="25"/>
  <c r="BP113" i="25"/>
  <c r="BT113" i="25" s="1"/>
  <c r="CG113" i="25"/>
  <c r="CG136" i="25"/>
  <c r="BP136" i="25"/>
  <c r="BT136" i="25" s="1"/>
  <c r="AL136" i="25"/>
  <c r="H136" i="25"/>
  <c r="T252" i="25"/>
  <c r="U252" i="25" s="1"/>
  <c r="H252" i="25"/>
  <c r="AL252" i="25"/>
  <c r="H249" i="25"/>
  <c r="AL249" i="25"/>
  <c r="S92" i="24"/>
  <c r="T92" i="24" s="1"/>
  <c r="AM92" i="24"/>
  <c r="H92" i="24"/>
  <c r="Q92" i="24"/>
  <c r="R92" i="24" s="1"/>
  <c r="S74" i="24"/>
  <c r="T74" i="24" s="1"/>
  <c r="AM74" i="24"/>
  <c r="H74" i="24"/>
  <c r="Q74" i="24"/>
  <c r="R74" i="24" s="1"/>
  <c r="S305" i="24"/>
  <c r="T305" i="24" s="1"/>
  <c r="AM305" i="24"/>
  <c r="H305" i="24"/>
  <c r="CH305" i="24"/>
  <c r="S252" i="24"/>
  <c r="T252" i="24" s="1"/>
  <c r="AM252" i="24"/>
  <c r="H252" i="24"/>
  <c r="CH252" i="24"/>
  <c r="S148" i="24"/>
  <c r="T148" i="24" s="1"/>
  <c r="AM148" i="24"/>
  <c r="H148" i="24"/>
  <c r="Q148" i="24"/>
  <c r="CG56" i="25"/>
  <c r="H56" i="25"/>
  <c r="AH56" i="25" s="1"/>
  <c r="AL56" i="25"/>
  <c r="T56" i="25"/>
  <c r="U56" i="25" s="1"/>
  <c r="CG122" i="25"/>
  <c r="BP122" i="25"/>
  <c r="BT122" i="25" s="1"/>
  <c r="H122" i="25"/>
  <c r="AL122" i="25"/>
  <c r="BP188" i="25"/>
  <c r="BT188" i="25" s="1"/>
  <c r="CG188" i="25"/>
  <c r="AL188" i="25"/>
  <c r="H188" i="25"/>
  <c r="AH188" i="25" s="1"/>
  <c r="BP183" i="25"/>
  <c r="BT183" i="25" s="1"/>
  <c r="CG183" i="25"/>
  <c r="AL183" i="25"/>
  <c r="H183" i="25"/>
  <c r="AH183" i="25" s="1"/>
  <c r="AL300" i="25"/>
  <c r="H300" i="25"/>
  <c r="S61" i="24"/>
  <c r="T61" i="24" s="1"/>
  <c r="H61" i="24"/>
  <c r="AM61" i="24"/>
  <c r="Q61" i="24"/>
  <c r="R61" i="24" s="1"/>
  <c r="S203" i="24"/>
  <c r="T203" i="24" s="1"/>
  <c r="Q203" i="24"/>
  <c r="H203" i="24"/>
  <c r="AM203" i="24"/>
  <c r="S139" i="24"/>
  <c r="T139" i="24" s="1"/>
  <c r="Q139" i="24"/>
  <c r="AM139" i="24"/>
  <c r="H139" i="24"/>
  <c r="Q222" i="24"/>
  <c r="S222" i="24"/>
  <c r="T222" i="24" s="1"/>
  <c r="AM222" i="24"/>
  <c r="H222" i="24"/>
  <c r="CH222" i="24"/>
  <c r="S235" i="24"/>
  <c r="T235" i="24" s="1"/>
  <c r="H235" i="24"/>
  <c r="AM235" i="24"/>
  <c r="CH235" i="24"/>
  <c r="CG11" i="25"/>
  <c r="H11" i="25"/>
  <c r="AH11" i="25" s="1"/>
  <c r="AL11" i="25"/>
  <c r="T11" i="25"/>
  <c r="U11" i="25" s="1"/>
  <c r="CG102" i="25"/>
  <c r="H102" i="25"/>
  <c r="AH102" i="25" s="1"/>
  <c r="AL102" i="25"/>
  <c r="AL221" i="25"/>
  <c r="H221" i="25"/>
  <c r="AH221" i="25" s="1"/>
  <c r="T221" i="25"/>
  <c r="U221" i="25" s="1"/>
  <c r="H258" i="25"/>
  <c r="AL258" i="25"/>
  <c r="T258" i="25"/>
  <c r="U258" i="25" s="1"/>
  <c r="S65" i="24"/>
  <c r="T65" i="24" s="1"/>
  <c r="H65" i="24"/>
  <c r="AM65" i="24"/>
  <c r="Q65" i="24"/>
  <c r="R65" i="24" s="1"/>
  <c r="S11" i="24"/>
  <c r="T11" i="24" s="1"/>
  <c r="H11" i="24"/>
  <c r="AM11" i="24"/>
  <c r="Q11" i="24"/>
  <c r="R11" i="24" s="1"/>
  <c r="Q142" i="24"/>
  <c r="S142" i="24"/>
  <c r="T142" i="24" s="1"/>
  <c r="H142" i="24"/>
  <c r="AM142" i="24"/>
  <c r="S276" i="24"/>
  <c r="T276" i="24" s="1"/>
  <c r="Q276" i="24"/>
  <c r="H276" i="24"/>
  <c r="AM276" i="24"/>
  <c r="CH276" i="24"/>
  <c r="Q172" i="24"/>
  <c r="S172" i="24"/>
  <c r="T172" i="24" s="1"/>
  <c r="H172" i="24"/>
  <c r="AM172" i="24"/>
  <c r="CG28" i="25"/>
  <c r="AL28" i="25"/>
  <c r="H28" i="25"/>
  <c r="AH28" i="25" s="1"/>
  <c r="AL218" i="25"/>
  <c r="H218" i="25"/>
  <c r="CG192" i="25"/>
  <c r="H192" i="25"/>
  <c r="AH192" i="25" s="1"/>
  <c r="AL192" i="25"/>
  <c r="T192" i="25"/>
  <c r="BP192" i="25"/>
  <c r="BT192" i="25" s="1"/>
  <c r="BP191" i="25"/>
  <c r="BT191" i="25" s="1"/>
  <c r="CG191" i="25"/>
  <c r="H191" i="25"/>
  <c r="AL191" i="25"/>
  <c r="H307" i="25"/>
  <c r="AH307" i="25" s="1"/>
  <c r="AL307" i="25"/>
  <c r="S71" i="24"/>
  <c r="T71" i="24" s="1"/>
  <c r="AM71" i="24"/>
  <c r="H71" i="24"/>
  <c r="Q71" i="24"/>
  <c r="R71" i="24" s="1"/>
  <c r="S147" i="24"/>
  <c r="T147" i="24" s="1"/>
  <c r="Q147" i="24"/>
  <c r="H147" i="24"/>
  <c r="AM147" i="24"/>
  <c r="Q190" i="24"/>
  <c r="S190" i="24"/>
  <c r="T190" i="24" s="1"/>
  <c r="AM190" i="24"/>
  <c r="H190" i="24"/>
  <c r="Q205" i="24"/>
  <c r="AM205" i="24"/>
  <c r="H205" i="24"/>
  <c r="S205" i="24"/>
  <c r="T205" i="24" s="1"/>
  <c r="CG35" i="25"/>
  <c r="H35" i="25"/>
  <c r="AH35" i="25" s="1"/>
  <c r="AL35" i="25"/>
  <c r="AL73" i="25"/>
  <c r="H73" i="25"/>
  <c r="AH73" i="25" s="1"/>
  <c r="CG73" i="25"/>
  <c r="T73" i="25"/>
  <c r="U73" i="25" s="1"/>
  <c r="H129" i="25"/>
  <c r="AL129" i="25"/>
  <c r="BP129" i="25"/>
  <c r="BT129" i="25" s="1"/>
  <c r="T129" i="25"/>
  <c r="U129" i="25" s="1"/>
  <c r="CG129" i="25"/>
  <c r="H247" i="25"/>
  <c r="AH247" i="25" s="1"/>
  <c r="AL247" i="25"/>
  <c r="H237" i="25"/>
  <c r="AL237" i="25"/>
  <c r="T247" i="25"/>
  <c r="U247" i="25" s="1"/>
  <c r="T66" i="25"/>
  <c r="U66" i="25" s="1"/>
  <c r="T307" i="25"/>
  <c r="U307" i="25" s="1"/>
  <c r="T281" i="25"/>
  <c r="U281" i="25" s="1"/>
  <c r="T255" i="25"/>
  <c r="U255" i="25" s="1"/>
  <c r="BP196" i="25"/>
  <c r="BT196" i="25" s="1"/>
  <c r="H196" i="25"/>
  <c r="AL196" i="25"/>
  <c r="T196" i="25"/>
  <c r="U196" i="25" s="1"/>
  <c r="CG196" i="25"/>
  <c r="Q288" i="24"/>
  <c r="S288" i="24"/>
  <c r="T288" i="24" s="1"/>
  <c r="AM288" i="24"/>
  <c r="H288" i="24"/>
  <c r="CH288" i="24"/>
  <c r="S53" i="24"/>
  <c r="T53" i="24" s="1"/>
  <c r="AM53" i="24"/>
  <c r="H53" i="24"/>
  <c r="Q53" i="24"/>
  <c r="R53" i="24" s="1"/>
  <c r="AL232" i="25"/>
  <c r="H232" i="25"/>
  <c r="S193" i="24"/>
  <c r="T193" i="24" s="1"/>
  <c r="Q193" i="24"/>
  <c r="AM193" i="24"/>
  <c r="H193" i="24"/>
  <c r="S40" i="24"/>
  <c r="T40" i="24" s="1"/>
  <c r="H40" i="24"/>
  <c r="AM40" i="24"/>
  <c r="Q40" i="24"/>
  <c r="R40" i="24" s="1"/>
  <c r="S282" i="24"/>
  <c r="T282" i="24" s="1"/>
  <c r="H282" i="24"/>
  <c r="AM282" i="24"/>
  <c r="CH282" i="24"/>
  <c r="S255" i="24"/>
  <c r="T255" i="24" s="1"/>
  <c r="H255" i="24"/>
  <c r="AM255" i="24"/>
  <c r="CH255" i="24"/>
  <c r="H164" i="25"/>
  <c r="AL164" i="25"/>
  <c r="T164" i="25"/>
  <c r="BP164" i="25"/>
  <c r="BT164" i="25" s="1"/>
  <c r="CG164" i="25"/>
  <c r="S78" i="24"/>
  <c r="T78" i="24" s="1"/>
  <c r="AM78" i="24"/>
  <c r="H78" i="24"/>
  <c r="Q78" i="24"/>
  <c r="R78" i="24" s="1"/>
  <c r="S152" i="24"/>
  <c r="T152" i="24" s="1"/>
  <c r="H152" i="24"/>
  <c r="AM152" i="24"/>
  <c r="Q152" i="24"/>
  <c r="CG119" i="25"/>
  <c r="H119" i="25"/>
  <c r="BP119" i="25"/>
  <c r="BT119" i="25" s="1"/>
  <c r="AL119" i="25"/>
  <c r="T119" i="25"/>
  <c r="U119" i="25" s="1"/>
  <c r="S117" i="24"/>
  <c r="T117" i="24" s="1"/>
  <c r="Q117" i="24"/>
  <c r="H117" i="24"/>
  <c r="AM117" i="24"/>
  <c r="CG117" i="24"/>
  <c r="CH117" i="24"/>
  <c r="S132" i="24"/>
  <c r="T132" i="24" s="1"/>
  <c r="Q132" i="24"/>
  <c r="AM132" i="24"/>
  <c r="H132" i="24"/>
  <c r="CG169" i="25"/>
  <c r="BP169" i="25"/>
  <c r="BT169" i="25" s="1"/>
  <c r="H169" i="25"/>
  <c r="AL169" i="25"/>
  <c r="S121" i="24"/>
  <c r="T121" i="24" s="1"/>
  <c r="AM121" i="24"/>
  <c r="Q121" i="24"/>
  <c r="H121" i="24"/>
  <c r="S315" i="24"/>
  <c r="T315" i="24" s="1"/>
  <c r="Q315" i="24"/>
  <c r="H315" i="24"/>
  <c r="AM315" i="24"/>
  <c r="CH315" i="24"/>
  <c r="BP133" i="25"/>
  <c r="BT133" i="25" s="1"/>
  <c r="CG133" i="25"/>
  <c r="AL133" i="25"/>
  <c r="H133" i="25"/>
  <c r="S93" i="24"/>
  <c r="T93" i="24" s="1"/>
  <c r="H93" i="24"/>
  <c r="AM93" i="24"/>
  <c r="Q93" i="24"/>
  <c r="R93" i="24" s="1"/>
  <c r="S206" i="24"/>
  <c r="T206" i="24" s="1"/>
  <c r="H206" i="24"/>
  <c r="Q206" i="24"/>
  <c r="AM206" i="24"/>
  <c r="H97" i="25"/>
  <c r="AH97" i="25" s="1"/>
  <c r="CG97" i="25"/>
  <c r="AL97" i="25"/>
  <c r="T97" i="25"/>
  <c r="U97" i="25" s="1"/>
  <c r="H288" i="25"/>
  <c r="AL288" i="25"/>
  <c r="S81" i="24"/>
  <c r="T81" i="24" s="1"/>
  <c r="AM81" i="24"/>
  <c r="H81" i="24"/>
  <c r="Q81" i="24"/>
  <c r="R81" i="24" s="1"/>
  <c r="Q112" i="24"/>
  <c r="S112" i="24"/>
  <c r="T112" i="24" s="1"/>
  <c r="H112" i="24"/>
  <c r="AM112" i="24"/>
  <c r="CH112" i="24"/>
  <c r="CG112" i="24"/>
  <c r="H148" i="25"/>
  <c r="AL148" i="25"/>
  <c r="BP148" i="25"/>
  <c r="BT148" i="25" s="1"/>
  <c r="CG148" i="25"/>
  <c r="T148" i="25"/>
  <c r="U148" i="25" s="1"/>
  <c r="S105" i="24"/>
  <c r="T105" i="24" s="1"/>
  <c r="AM105" i="24"/>
  <c r="H105" i="24"/>
  <c r="Q105" i="24"/>
  <c r="R105" i="24" s="1"/>
  <c r="S27" i="24"/>
  <c r="T27" i="24" s="1"/>
  <c r="H27" i="24"/>
  <c r="Q27" i="24"/>
  <c r="R27" i="24" s="1"/>
  <c r="AM27" i="24"/>
  <c r="Q202" i="24"/>
  <c r="S202" i="24"/>
  <c r="T202" i="24" s="1"/>
  <c r="H202" i="24"/>
  <c r="AM202" i="24"/>
  <c r="S137" i="24"/>
  <c r="T137" i="24" s="1"/>
  <c r="Q137" i="24"/>
  <c r="AM137" i="24"/>
  <c r="H137" i="24"/>
  <c r="Q122" i="24"/>
  <c r="S122" i="24"/>
  <c r="T122" i="24" s="1"/>
  <c r="AM122" i="24"/>
  <c r="H122" i="24"/>
  <c r="CG122" i="24"/>
  <c r="CH122" i="24"/>
  <c r="AL41" i="25"/>
  <c r="H41" i="25"/>
  <c r="AH41" i="25" s="1"/>
  <c r="CG41" i="25"/>
  <c r="AL39" i="25"/>
  <c r="CG39" i="25"/>
  <c r="H39" i="25"/>
  <c r="AH39" i="25" s="1"/>
  <c r="CG152" i="25"/>
  <c r="BP152" i="25"/>
  <c r="BT152" i="25" s="1"/>
  <c r="AL152" i="25"/>
  <c r="H152" i="25"/>
  <c r="AH152" i="25" s="1"/>
  <c r="AL268" i="25"/>
  <c r="H268" i="25"/>
  <c r="AH268" i="25" s="1"/>
  <c r="AL276" i="25"/>
  <c r="H276" i="25"/>
  <c r="S60" i="24"/>
  <c r="T60" i="24" s="1"/>
  <c r="AM60" i="24"/>
  <c r="H60" i="24"/>
  <c r="Q60" i="24"/>
  <c r="R60" i="24" s="1"/>
  <c r="S42" i="24"/>
  <c r="T42" i="24" s="1"/>
  <c r="H42" i="24"/>
  <c r="AM42" i="24"/>
  <c r="Q42" i="24"/>
  <c r="R42" i="24" s="1"/>
  <c r="Q273" i="24"/>
  <c r="S273" i="24"/>
  <c r="T273" i="24" s="1"/>
  <c r="H273" i="24"/>
  <c r="AM273" i="24"/>
  <c r="CH273" i="24"/>
  <c r="S220" i="24"/>
  <c r="T220" i="24" s="1"/>
  <c r="AM220" i="24"/>
  <c r="H220" i="24"/>
  <c r="CH220" i="24"/>
  <c r="S303" i="24"/>
  <c r="T303" i="24" s="1"/>
  <c r="H303" i="24"/>
  <c r="AM303" i="24"/>
  <c r="CH303" i="24"/>
  <c r="AL88" i="25"/>
  <c r="CG88" i="25"/>
  <c r="H88" i="25"/>
  <c r="T88" i="25"/>
  <c r="U88" i="25" s="1"/>
  <c r="H230" i="25"/>
  <c r="AL230" i="25"/>
  <c r="T230" i="25"/>
  <c r="U230" i="25" s="1"/>
  <c r="CG138" i="25"/>
  <c r="BP138" i="25"/>
  <c r="BT138" i="25" s="1"/>
  <c r="H138" i="25"/>
  <c r="AL138" i="25"/>
  <c r="CG206" i="25"/>
  <c r="BP206" i="25"/>
  <c r="BT206" i="25" s="1"/>
  <c r="H206" i="25"/>
  <c r="AL206" i="25"/>
  <c r="AL304" i="25"/>
  <c r="H304" i="25"/>
  <c r="S79" i="24"/>
  <c r="T79" i="24" s="1"/>
  <c r="AM79" i="24"/>
  <c r="H79" i="24"/>
  <c r="Q79" i="24"/>
  <c r="R79" i="24" s="1"/>
  <c r="S179" i="24"/>
  <c r="T179" i="24" s="1"/>
  <c r="H179" i="24"/>
  <c r="AM179" i="24"/>
  <c r="Q179" i="24"/>
  <c r="Q116" i="24"/>
  <c r="S116" i="24"/>
  <c r="T116" i="24" s="1"/>
  <c r="AM116" i="24"/>
  <c r="H116" i="24"/>
  <c r="CG116" i="24"/>
  <c r="CH116" i="24"/>
  <c r="Q119" i="24"/>
  <c r="S119" i="24"/>
  <c r="T119" i="24" s="1"/>
  <c r="H119" i="24"/>
  <c r="AM119" i="24"/>
  <c r="CG119" i="24"/>
  <c r="CH119" i="24"/>
  <c r="CG30" i="25"/>
  <c r="H30" i="25"/>
  <c r="AL30" i="25"/>
  <c r="CG61" i="25"/>
  <c r="AL61" i="25"/>
  <c r="H61" i="25"/>
  <c r="AL127" i="25"/>
  <c r="H127" i="25"/>
  <c r="BP127" i="25"/>
  <c r="BT127" i="25" s="1"/>
  <c r="CG127" i="25"/>
  <c r="H243" i="25"/>
  <c r="AL243" i="25"/>
  <c r="AL208" i="25"/>
  <c r="H208" i="25"/>
  <c r="CG208" i="25"/>
  <c r="BP208" i="25"/>
  <c r="BT208" i="25" s="1"/>
  <c r="S17" i="24"/>
  <c r="T17" i="24" s="1"/>
  <c r="AM17" i="24"/>
  <c r="H17" i="24"/>
  <c r="Q17" i="24"/>
  <c r="R17" i="24" s="1"/>
  <c r="S98" i="24"/>
  <c r="T98" i="24" s="1"/>
  <c r="H98" i="24"/>
  <c r="AM98" i="24"/>
  <c r="Q98" i="24"/>
  <c r="R98" i="24" s="1"/>
  <c r="S297" i="24"/>
  <c r="T297" i="24" s="1"/>
  <c r="H297" i="24"/>
  <c r="AM297" i="24"/>
  <c r="CH297" i="24"/>
  <c r="S244" i="24"/>
  <c r="T244" i="24" s="1"/>
  <c r="AM244" i="24"/>
  <c r="H244" i="24"/>
  <c r="CH244" i="24"/>
  <c r="S140" i="24"/>
  <c r="T140" i="24" s="1"/>
  <c r="Q140" i="24"/>
  <c r="H140" i="24"/>
  <c r="AM140" i="24"/>
  <c r="CG64" i="25"/>
  <c r="AL64" i="25"/>
  <c r="H64" i="25"/>
  <c r="AL269" i="25"/>
  <c r="H269" i="25"/>
  <c r="AH269" i="25" s="1"/>
  <c r="T269" i="25"/>
  <c r="U269" i="25" s="1"/>
  <c r="BP146" i="25"/>
  <c r="BT146" i="25" s="1"/>
  <c r="CG146" i="25"/>
  <c r="H146" i="25"/>
  <c r="AH146" i="25" s="1"/>
  <c r="AL146" i="25"/>
  <c r="T146" i="25"/>
  <c r="CG210" i="25"/>
  <c r="BP210" i="25"/>
  <c r="BT210" i="25" s="1"/>
  <c r="H210" i="25"/>
  <c r="AL210" i="25"/>
  <c r="AL310" i="25"/>
  <c r="H310" i="25"/>
  <c r="S39" i="24"/>
  <c r="T39" i="24" s="1"/>
  <c r="H39" i="24"/>
  <c r="AM39" i="24"/>
  <c r="Q39" i="24"/>
  <c r="R39" i="24" s="1"/>
  <c r="S226" i="24"/>
  <c r="T226" i="24" s="1"/>
  <c r="AM226" i="24"/>
  <c r="H226" i="24"/>
  <c r="CH226" i="24"/>
  <c r="Q149" i="24"/>
  <c r="AM149" i="24"/>
  <c r="S149" i="24"/>
  <c r="T149" i="24" s="1"/>
  <c r="H149" i="24"/>
  <c r="CG149" i="24"/>
  <c r="CH149" i="24"/>
  <c r="Q157" i="24"/>
  <c r="S157" i="24"/>
  <c r="T157" i="24" s="1"/>
  <c r="H157" i="24"/>
  <c r="AM157" i="24"/>
  <c r="CG58" i="25"/>
  <c r="AL58" i="25"/>
  <c r="H58" i="25"/>
  <c r="AH58" i="25" s="1"/>
  <c r="CG23" i="25"/>
  <c r="AL23" i="25"/>
  <c r="H23" i="25"/>
  <c r="AH23" i="25" s="1"/>
  <c r="T23" i="25"/>
  <c r="U23" i="25" s="1"/>
  <c r="CG145" i="25"/>
  <c r="BP145" i="25"/>
  <c r="BT145" i="25" s="1"/>
  <c r="H145" i="25"/>
  <c r="AL145" i="25"/>
  <c r="T145" i="25"/>
  <c r="H263" i="25"/>
  <c r="AL263" i="25"/>
  <c r="T263" i="25"/>
  <c r="H286" i="25"/>
  <c r="AL286" i="25"/>
  <c r="T229" i="25"/>
  <c r="U229" i="25" s="1"/>
  <c r="T296" i="25"/>
  <c r="U296" i="25" s="1"/>
  <c r="T295" i="25"/>
  <c r="U295" i="25" s="1"/>
  <c r="T312" i="25"/>
  <c r="U312" i="25" s="1"/>
  <c r="T265" i="25"/>
  <c r="U265" i="25" s="1"/>
  <c r="S239" i="25"/>
  <c r="K239" i="25" s="1"/>
  <c r="Q268" i="24"/>
  <c r="S268" i="24"/>
  <c r="T268" i="24" s="1"/>
  <c r="H268" i="24"/>
  <c r="AM268" i="24"/>
  <c r="CH268" i="24"/>
  <c r="S283" i="24"/>
  <c r="T283" i="24" s="1"/>
  <c r="AM283" i="24"/>
  <c r="H283" i="24"/>
  <c r="CH283" i="24"/>
  <c r="Q154" i="24"/>
  <c r="S154" i="24"/>
  <c r="T154" i="24" s="1"/>
  <c r="H154" i="24"/>
  <c r="AM154" i="24"/>
  <c r="S90" i="24"/>
  <c r="T90" i="24" s="1"/>
  <c r="AM90" i="24"/>
  <c r="H90" i="24"/>
  <c r="Q90" i="24"/>
  <c r="R90" i="24" s="1"/>
  <c r="H280" i="25"/>
  <c r="AH280" i="25" s="1"/>
  <c r="AL280" i="25"/>
  <c r="AL72" i="25"/>
  <c r="CG72" i="25"/>
  <c r="H72" i="25"/>
  <c r="Q123" i="24"/>
  <c r="S123" i="24"/>
  <c r="T123" i="24" s="1"/>
  <c r="H123" i="24"/>
  <c r="AM123" i="24"/>
  <c r="CH123" i="24"/>
  <c r="CG123" i="24"/>
  <c r="G89" i="19"/>
  <c r="G64" i="19"/>
  <c r="S218" i="24"/>
  <c r="T218" i="24" s="1"/>
  <c r="H218" i="24"/>
  <c r="AM218" i="24"/>
  <c r="CH218" i="24"/>
  <c r="CG14" i="25"/>
  <c r="H14" i="25"/>
  <c r="AH14" i="25" s="1"/>
  <c r="T14" i="25"/>
  <c r="U14" i="25" s="1"/>
  <c r="AL14" i="25"/>
  <c r="BP134" i="25"/>
  <c r="BT134" i="25" s="1"/>
  <c r="CG134" i="25"/>
  <c r="H134" i="25"/>
  <c r="AH134" i="25" s="1"/>
  <c r="AL134" i="25"/>
  <c r="Q111" i="24"/>
  <c r="AM111" i="24"/>
  <c r="H111" i="24"/>
  <c r="S111" i="24"/>
  <c r="T111" i="24" s="1"/>
  <c r="CH111" i="24"/>
  <c r="CG111" i="24"/>
  <c r="S251" i="24"/>
  <c r="T251" i="24" s="1"/>
  <c r="AM251" i="24"/>
  <c r="H251" i="24"/>
  <c r="CH251" i="24"/>
  <c r="BP165" i="25"/>
  <c r="BT165" i="25" s="1"/>
  <c r="CG165" i="25"/>
  <c r="H165" i="25"/>
  <c r="AL165" i="25"/>
  <c r="S120" i="24"/>
  <c r="T120" i="24" s="1"/>
  <c r="Q120" i="24"/>
  <c r="AM120" i="24"/>
  <c r="H120" i="24"/>
  <c r="CG120" i="24"/>
  <c r="CH120" i="24"/>
  <c r="S243" i="24"/>
  <c r="T243" i="24" s="1"/>
  <c r="AM243" i="24"/>
  <c r="H243" i="24"/>
  <c r="CH243" i="24"/>
  <c r="BP158" i="25"/>
  <c r="BT158" i="25" s="1"/>
  <c r="CG158" i="25"/>
  <c r="H158" i="25"/>
  <c r="AL158" i="25"/>
  <c r="S186" i="24"/>
  <c r="T186" i="24" s="1"/>
  <c r="Q186" i="24"/>
  <c r="AM186" i="24"/>
  <c r="H186" i="24"/>
  <c r="S223" i="24"/>
  <c r="T223" i="24" s="1"/>
  <c r="Q223" i="24"/>
  <c r="AM223" i="24"/>
  <c r="CH223" i="24"/>
  <c r="H223" i="24"/>
  <c r="CG180" i="25"/>
  <c r="H180" i="25"/>
  <c r="AL180" i="25"/>
  <c r="BP180" i="25"/>
  <c r="BT180" i="25" s="1"/>
  <c r="T180" i="25"/>
  <c r="S46" i="24"/>
  <c r="T46" i="24" s="1"/>
  <c r="AM46" i="24"/>
  <c r="H46" i="24"/>
  <c r="Q46" i="24"/>
  <c r="R46" i="24" s="1"/>
  <c r="Q196" i="24"/>
  <c r="S196" i="24"/>
  <c r="T196" i="24" s="1"/>
  <c r="H196" i="24"/>
  <c r="AM196" i="24"/>
  <c r="BP137" i="25"/>
  <c r="BT137" i="25" s="1"/>
  <c r="CG137" i="25"/>
  <c r="H137" i="25"/>
  <c r="AL137" i="25"/>
  <c r="T137" i="25"/>
  <c r="S26" i="24"/>
  <c r="T26" i="24" s="1"/>
  <c r="H26" i="24"/>
  <c r="AM26" i="24"/>
  <c r="Q26" i="24"/>
  <c r="R26" i="24" s="1"/>
  <c r="S192" i="24"/>
  <c r="T192" i="24" s="1"/>
  <c r="Q192" i="24"/>
  <c r="H192" i="24"/>
  <c r="AM192" i="24"/>
  <c r="BP185" i="25"/>
  <c r="BT185" i="25" s="1"/>
  <c r="CG185" i="25"/>
  <c r="AL185" i="25"/>
  <c r="H185" i="25"/>
  <c r="S33" i="24"/>
  <c r="T33" i="24" s="1"/>
  <c r="H33" i="24"/>
  <c r="AM33" i="24"/>
  <c r="Q33" i="24"/>
  <c r="R33" i="24" s="1"/>
  <c r="S69" i="24"/>
  <c r="T69" i="24" s="1"/>
  <c r="AM69" i="24"/>
  <c r="H69" i="24"/>
  <c r="Q69" i="24"/>
  <c r="R69" i="24" s="1"/>
  <c r="S158" i="24"/>
  <c r="T158" i="24" s="1"/>
  <c r="Q158" i="24"/>
  <c r="AM158" i="24"/>
  <c r="H158" i="24"/>
  <c r="S292" i="24"/>
  <c r="T292" i="24" s="1"/>
  <c r="H292" i="24"/>
  <c r="AM292" i="24"/>
  <c r="CH292" i="24"/>
  <c r="Q188" i="24"/>
  <c r="S188" i="24"/>
  <c r="T188" i="24" s="1"/>
  <c r="AM188" i="24"/>
  <c r="H188" i="24"/>
  <c r="CG12" i="25"/>
  <c r="AL12" i="25"/>
  <c r="H12" i="25"/>
  <c r="AH12" i="25" s="1"/>
  <c r="CG67" i="25"/>
  <c r="AL67" i="25"/>
  <c r="H67" i="25"/>
  <c r="T67" i="25"/>
  <c r="U67" i="25" s="1"/>
  <c r="CG168" i="25"/>
  <c r="BP168" i="25"/>
  <c r="BT168" i="25" s="1"/>
  <c r="AL168" i="25"/>
  <c r="H168" i="25"/>
  <c r="CG143" i="25"/>
  <c r="BP143" i="25"/>
  <c r="BT143" i="25" s="1"/>
  <c r="AL143" i="25"/>
  <c r="H143" i="25"/>
  <c r="H285" i="25"/>
  <c r="AH285" i="25" s="1"/>
  <c r="AL285" i="25"/>
  <c r="T285" i="25"/>
  <c r="U285" i="25" s="1"/>
  <c r="S28" i="24"/>
  <c r="T28" i="24" s="1"/>
  <c r="AM28" i="24"/>
  <c r="H28" i="24"/>
  <c r="Q28" i="24"/>
  <c r="R28" i="24" s="1"/>
  <c r="S10" i="24"/>
  <c r="T10" i="24" s="1"/>
  <c r="H10" i="24"/>
  <c r="AM10" i="24"/>
  <c r="Q10" i="24"/>
  <c r="R10" i="24" s="1"/>
  <c r="S241" i="24"/>
  <c r="T241" i="24" s="1"/>
  <c r="Q241" i="24"/>
  <c r="H241" i="24"/>
  <c r="AM241" i="24"/>
  <c r="CH241" i="24"/>
  <c r="S314" i="24"/>
  <c r="T314" i="24" s="1"/>
  <c r="H314" i="24"/>
  <c r="AM314" i="24"/>
  <c r="CH314" i="24"/>
  <c r="S271" i="24"/>
  <c r="T271" i="24" s="1"/>
  <c r="AM271" i="24"/>
  <c r="H271" i="24"/>
  <c r="CH271" i="24"/>
  <c r="H86" i="25"/>
  <c r="AH86" i="25" s="1"/>
  <c r="CG86" i="25"/>
  <c r="AL86" i="25"/>
  <c r="T86" i="25"/>
  <c r="U86" i="25" s="1"/>
  <c r="AL93" i="25"/>
  <c r="H93" i="25"/>
  <c r="AH93" i="25" s="1"/>
  <c r="CG93" i="25"/>
  <c r="BP170" i="25"/>
  <c r="BT170" i="25" s="1"/>
  <c r="CG170" i="25"/>
  <c r="H170" i="25"/>
  <c r="AL170" i="25"/>
  <c r="AL308" i="25"/>
  <c r="H308" i="25"/>
  <c r="S47" i="24"/>
  <c r="T47" i="24" s="1"/>
  <c r="H47" i="24"/>
  <c r="AM47" i="24"/>
  <c r="Q47" i="24"/>
  <c r="R47" i="24" s="1"/>
  <c r="S250" i="24"/>
  <c r="T250" i="24" s="1"/>
  <c r="H250" i="24"/>
  <c r="AM250" i="24"/>
  <c r="CH250" i="24"/>
  <c r="Q165" i="24"/>
  <c r="S165" i="24"/>
  <c r="T165" i="24" s="1"/>
  <c r="AM165" i="24"/>
  <c r="H165" i="24"/>
  <c r="S169" i="24"/>
  <c r="T169" i="24" s="1"/>
  <c r="AM169" i="24"/>
  <c r="H169" i="24"/>
  <c r="Q169" i="24"/>
  <c r="CG46" i="25"/>
  <c r="H46" i="25"/>
  <c r="AL46" i="25"/>
  <c r="T46" i="25"/>
  <c r="U46" i="25" s="1"/>
  <c r="CG15" i="25"/>
  <c r="AL15" i="25"/>
  <c r="H15" i="25"/>
  <c r="CG141" i="25"/>
  <c r="H141" i="25"/>
  <c r="AH141" i="25" s="1"/>
  <c r="AL141" i="25"/>
  <c r="BP141" i="25"/>
  <c r="BT141" i="25" s="1"/>
  <c r="T141" i="25"/>
  <c r="U141" i="25" s="1"/>
  <c r="H259" i="25"/>
  <c r="AL259" i="25"/>
  <c r="S259" i="25"/>
  <c r="K259" i="25" s="1"/>
  <c r="H261" i="25"/>
  <c r="AL261" i="25"/>
  <c r="S84" i="24"/>
  <c r="T84" i="24" s="1"/>
  <c r="H84" i="24"/>
  <c r="AM84" i="24"/>
  <c r="Q84" i="24"/>
  <c r="R84" i="24" s="1"/>
  <c r="S66" i="24"/>
  <c r="T66" i="24" s="1"/>
  <c r="AM66" i="24"/>
  <c r="H66" i="24"/>
  <c r="Q66" i="24"/>
  <c r="R66" i="24" s="1"/>
  <c r="S265" i="24"/>
  <c r="T265" i="24" s="1"/>
  <c r="AM265" i="24"/>
  <c r="H265" i="24"/>
  <c r="CH265" i="24"/>
  <c r="Q171" i="24"/>
  <c r="S171" i="24"/>
  <c r="T171" i="24" s="1"/>
  <c r="AM171" i="24"/>
  <c r="H171" i="24"/>
  <c r="S295" i="24"/>
  <c r="T295" i="24" s="1"/>
  <c r="H295" i="24"/>
  <c r="AM295" i="24"/>
  <c r="CH295" i="24"/>
  <c r="AL62" i="25"/>
  <c r="H62" i="25"/>
  <c r="CG62" i="25"/>
  <c r="CG95" i="25"/>
  <c r="H95" i="25"/>
  <c r="AH95" i="25" s="1"/>
  <c r="AL95" i="25"/>
  <c r="CG178" i="25"/>
  <c r="BP178" i="25"/>
  <c r="BT178" i="25" s="1"/>
  <c r="AL178" i="25"/>
  <c r="H178" i="25"/>
  <c r="CG207" i="25"/>
  <c r="BP207" i="25"/>
  <c r="BT207" i="25" s="1"/>
  <c r="AL207" i="25"/>
  <c r="H207" i="25"/>
  <c r="S57" i="24"/>
  <c r="T57" i="24" s="1"/>
  <c r="AM57" i="24"/>
  <c r="H57" i="24"/>
  <c r="Q57" i="24"/>
  <c r="R57" i="24" s="1"/>
  <c r="S7" i="24"/>
  <c r="T7" i="24" s="1"/>
  <c r="AM7" i="24"/>
  <c r="H7" i="24"/>
  <c r="Q7" i="24"/>
  <c r="R7" i="24" s="1"/>
  <c r="Q170" i="24"/>
  <c r="S170" i="24"/>
  <c r="T170" i="24" s="1"/>
  <c r="AM170" i="24"/>
  <c r="H170" i="24"/>
  <c r="S304" i="24"/>
  <c r="T304" i="24" s="1"/>
  <c r="AM304" i="24"/>
  <c r="H304" i="24"/>
  <c r="CH304" i="24"/>
  <c r="S200" i="24"/>
  <c r="T200" i="24" s="1"/>
  <c r="Q200" i="24"/>
  <c r="AM200" i="24"/>
  <c r="H200" i="24"/>
  <c r="CG81" i="25"/>
  <c r="AL81" i="25"/>
  <c r="H81" i="25"/>
  <c r="AH81" i="25" s="1"/>
  <c r="T81" i="25"/>
  <c r="U81" i="25" s="1"/>
  <c r="H55" i="25"/>
  <c r="CG55" i="25"/>
  <c r="AL55" i="25"/>
  <c r="H161" i="25"/>
  <c r="AL161" i="25"/>
  <c r="CG161" i="25"/>
  <c r="T161" i="25"/>
  <c r="U161" i="25" s="1"/>
  <c r="BP161" i="25"/>
  <c r="BT161" i="25" s="1"/>
  <c r="CG131" i="25"/>
  <c r="BP131" i="25"/>
  <c r="BT131" i="25" s="1"/>
  <c r="AL131" i="25"/>
  <c r="H131" i="25"/>
  <c r="AH131" i="25" s="1"/>
  <c r="AL275" i="25"/>
  <c r="H275" i="25"/>
  <c r="AH275" i="25" s="1"/>
  <c r="T288" i="25"/>
  <c r="U288" i="25" s="1"/>
  <c r="T280" i="25"/>
  <c r="U280" i="25" s="1"/>
  <c r="T237" i="25"/>
  <c r="U237" i="25" s="1"/>
  <c r="S169" i="25"/>
  <c r="K169" i="25" s="1"/>
  <c r="AD169" i="25" s="1"/>
  <c r="S124" i="25"/>
  <c r="K124" i="25" s="1"/>
  <c r="W124" i="25" s="1"/>
  <c r="Z124" i="25" s="1"/>
  <c r="AA124" i="25" s="1"/>
  <c r="AB124" i="25" s="1"/>
  <c r="S251" i="25"/>
  <c r="K251" i="25" s="1"/>
  <c r="W251" i="25" s="1"/>
  <c r="Z251" i="25" s="1"/>
  <c r="AA251" i="25" s="1"/>
  <c r="AB251" i="25" s="1"/>
  <c r="T74" i="25"/>
  <c r="U74" i="25" s="1"/>
  <c r="T91" i="25"/>
  <c r="U91" i="25" s="1"/>
  <c r="T79" i="25"/>
  <c r="U79" i="25" s="1"/>
  <c r="T176" i="25"/>
  <c r="U176" i="25" s="1"/>
  <c r="T189" i="25"/>
  <c r="U189" i="25" s="1"/>
  <c r="S310" i="24"/>
  <c r="T310" i="24" s="1"/>
  <c r="AM310" i="24"/>
  <c r="H310" i="24"/>
  <c r="CH310" i="24"/>
  <c r="H250" i="25"/>
  <c r="AL250" i="25"/>
  <c r="CG25" i="25"/>
  <c r="AL25" i="25"/>
  <c r="H25" i="25"/>
  <c r="AH25" i="25" s="1"/>
  <c r="S143" i="24"/>
  <c r="T143" i="24" s="1"/>
  <c r="Q143" i="24"/>
  <c r="AM143" i="24"/>
  <c r="H143" i="24"/>
  <c r="CH143" i="24"/>
  <c r="CG143" i="24"/>
  <c r="Q134" i="24"/>
  <c r="S134" i="24"/>
  <c r="T134" i="24" s="1"/>
  <c r="H134" i="24"/>
  <c r="AM134" i="24"/>
  <c r="CG100" i="25"/>
  <c r="AL100" i="25"/>
  <c r="H100" i="25"/>
  <c r="S184" i="24"/>
  <c r="T184" i="24" s="1"/>
  <c r="Q184" i="24"/>
  <c r="AM184" i="24"/>
  <c r="H184" i="24"/>
  <c r="S32" i="24"/>
  <c r="T32" i="24" s="1"/>
  <c r="AM32" i="24"/>
  <c r="H32" i="24"/>
  <c r="Q32" i="24"/>
  <c r="R32" i="24" s="1"/>
  <c r="S225" i="24"/>
  <c r="T225" i="24" s="1"/>
  <c r="H225" i="24"/>
  <c r="AM225" i="24"/>
  <c r="CH225" i="24"/>
  <c r="H89" i="25"/>
  <c r="CG89" i="25"/>
  <c r="AL89" i="25"/>
  <c r="H235" i="25"/>
  <c r="AL235" i="25"/>
  <c r="S309" i="24"/>
  <c r="T309" i="24" s="1"/>
  <c r="AM309" i="24"/>
  <c r="H309" i="24"/>
  <c r="Q309" i="24"/>
  <c r="CH309" i="24"/>
  <c r="CG22" i="25"/>
  <c r="AL22" i="25"/>
  <c r="H22" i="25"/>
  <c r="AH22" i="25" s="1"/>
  <c r="T22" i="25"/>
  <c r="U22" i="25" s="1"/>
  <c r="AL154" i="25"/>
  <c r="H154" i="25"/>
  <c r="AH154" i="25" s="1"/>
  <c r="CG154" i="25"/>
  <c r="BP154" i="25"/>
  <c r="BT154" i="25" s="1"/>
  <c r="T154" i="25"/>
  <c r="U154" i="25" s="1"/>
  <c r="S289" i="24"/>
  <c r="T289" i="24" s="1"/>
  <c r="AM289" i="24"/>
  <c r="H289" i="24"/>
  <c r="CH289" i="24"/>
  <c r="CG36" i="25"/>
  <c r="AL36" i="25"/>
  <c r="H36" i="25"/>
  <c r="AH36" i="25" s="1"/>
  <c r="AL248" i="25"/>
  <c r="H248" i="25"/>
  <c r="S285" i="24"/>
  <c r="T285" i="24" s="1"/>
  <c r="H285" i="24"/>
  <c r="AM285" i="24"/>
  <c r="CH285" i="24"/>
  <c r="AL37" i="25"/>
  <c r="H37" i="25"/>
  <c r="T37" i="25"/>
  <c r="U37" i="25" s="1"/>
  <c r="CG37" i="25"/>
  <c r="CG166" i="25"/>
  <c r="BP166" i="25"/>
  <c r="BT166" i="25" s="1"/>
  <c r="AL166" i="25"/>
  <c r="H166" i="25"/>
  <c r="S129" i="24"/>
  <c r="T129" i="24" s="1"/>
  <c r="Q129" i="24"/>
  <c r="H129" i="24"/>
  <c r="AM129" i="24"/>
  <c r="S307" i="24"/>
  <c r="T307" i="24" s="1"/>
  <c r="Q307" i="24"/>
  <c r="AM307" i="24"/>
  <c r="H307" i="24"/>
  <c r="CH307" i="24"/>
  <c r="BP181" i="25"/>
  <c r="BT181" i="25" s="1"/>
  <c r="CG181" i="25"/>
  <c r="AL181" i="25"/>
  <c r="H181" i="25"/>
  <c r="Q207" i="24"/>
  <c r="S207" i="24"/>
  <c r="T207" i="24" s="1"/>
  <c r="H207" i="24"/>
  <c r="AM207" i="24"/>
  <c r="S287" i="24"/>
  <c r="T287" i="24" s="1"/>
  <c r="AM287" i="24"/>
  <c r="H287" i="24"/>
  <c r="CH287" i="24"/>
  <c r="BP190" i="25"/>
  <c r="BT190" i="25" s="1"/>
  <c r="CG190" i="25"/>
  <c r="AL190" i="25"/>
  <c r="H190" i="25"/>
  <c r="AH190" i="25" s="1"/>
  <c r="S100" i="24"/>
  <c r="T100" i="24" s="1"/>
  <c r="H100" i="24"/>
  <c r="AM100" i="24"/>
  <c r="Q100" i="24"/>
  <c r="R100" i="24" s="1"/>
  <c r="S82" i="24"/>
  <c r="T82" i="24" s="1"/>
  <c r="AM82" i="24"/>
  <c r="H82" i="24"/>
  <c r="Q82" i="24"/>
  <c r="R82" i="24" s="1"/>
  <c r="S313" i="24"/>
  <c r="T313" i="24" s="1"/>
  <c r="H313" i="24"/>
  <c r="AM313" i="24"/>
  <c r="CH313" i="24"/>
  <c r="S260" i="24"/>
  <c r="T260" i="24" s="1"/>
  <c r="H260" i="24"/>
  <c r="AM260" i="24"/>
  <c r="CH260" i="24"/>
  <c r="S156" i="24"/>
  <c r="T156" i="24" s="1"/>
  <c r="Q156" i="24"/>
  <c r="AM156" i="24"/>
  <c r="H156" i="24"/>
  <c r="CG48" i="25"/>
  <c r="AL48" i="25"/>
  <c r="H48" i="25"/>
  <c r="BP114" i="25"/>
  <c r="BT114" i="25" s="1"/>
  <c r="CG114" i="25"/>
  <c r="H114" i="25"/>
  <c r="AL114" i="25"/>
  <c r="CG184" i="25"/>
  <c r="BP184" i="25"/>
  <c r="BT184" i="25" s="1"/>
  <c r="AL184" i="25"/>
  <c r="H184" i="25"/>
  <c r="AH184" i="25" s="1"/>
  <c r="CG175" i="25"/>
  <c r="BP175" i="25"/>
  <c r="BT175" i="25" s="1"/>
  <c r="AL175" i="25"/>
  <c r="H175" i="25"/>
  <c r="H292" i="25"/>
  <c r="AL292" i="25"/>
  <c r="T292" i="25"/>
  <c r="U292" i="25" s="1"/>
  <c r="S73" i="24"/>
  <c r="T73" i="24" s="1"/>
  <c r="AM73" i="24"/>
  <c r="Q73" i="24"/>
  <c r="R73" i="24" s="1"/>
  <c r="H73" i="24"/>
  <c r="S199" i="24"/>
  <c r="T199" i="24" s="1"/>
  <c r="Q199" i="24"/>
  <c r="H199" i="24"/>
  <c r="AM199" i="24"/>
  <c r="S155" i="24"/>
  <c r="T155" i="24" s="1"/>
  <c r="AM155" i="24"/>
  <c r="H155" i="24"/>
  <c r="Q155" i="24"/>
  <c r="S234" i="24"/>
  <c r="T234" i="24" s="1"/>
  <c r="Q234" i="24"/>
  <c r="H234" i="24"/>
  <c r="AM234" i="24"/>
  <c r="CH234" i="24"/>
  <c r="Q239" i="24"/>
  <c r="S239" i="24"/>
  <c r="T239" i="24" s="1"/>
  <c r="H239" i="24"/>
  <c r="AM239" i="24"/>
  <c r="CH239" i="24"/>
  <c r="CG10" i="25"/>
  <c r="H10" i="25"/>
  <c r="AL10" i="25"/>
  <c r="T10" i="25"/>
  <c r="U10" i="25" s="1"/>
  <c r="CG101" i="25"/>
  <c r="AL101" i="25"/>
  <c r="H101" i="25"/>
  <c r="H217" i="25"/>
  <c r="AL217" i="25"/>
  <c r="H254" i="25"/>
  <c r="AL254" i="25"/>
  <c r="S77" i="24"/>
  <c r="T77" i="24" s="1"/>
  <c r="H77" i="24"/>
  <c r="AM77" i="24"/>
  <c r="Q77" i="24"/>
  <c r="R77" i="24" s="1"/>
  <c r="S15" i="24"/>
  <c r="T15" i="24" s="1"/>
  <c r="H15" i="24"/>
  <c r="AM15" i="24"/>
  <c r="Q15" i="24"/>
  <c r="R15" i="24" s="1"/>
  <c r="S178" i="24"/>
  <c r="T178" i="24" s="1"/>
  <c r="Q178" i="24"/>
  <c r="H178" i="24"/>
  <c r="AM178" i="24"/>
  <c r="Q312" i="24"/>
  <c r="S312" i="24"/>
  <c r="T312" i="24" s="1"/>
  <c r="H312" i="24"/>
  <c r="AM312" i="24"/>
  <c r="CH312" i="24"/>
  <c r="S208" i="24"/>
  <c r="T208" i="24" s="1"/>
  <c r="AM208" i="24"/>
  <c r="H208" i="24"/>
  <c r="Q208" i="24"/>
  <c r="H53" i="25"/>
  <c r="CG53" i="25"/>
  <c r="AL53" i="25"/>
  <c r="CG51" i="25"/>
  <c r="AL51" i="25"/>
  <c r="H51" i="25"/>
  <c r="AH51" i="25" s="1"/>
  <c r="CG157" i="25"/>
  <c r="AL157" i="25"/>
  <c r="H157" i="25"/>
  <c r="BP157" i="25"/>
  <c r="BT157" i="25" s="1"/>
  <c r="T157" i="25"/>
  <c r="U157" i="25" s="1"/>
  <c r="AL278" i="25"/>
  <c r="H278" i="25"/>
  <c r="AL316" i="25"/>
  <c r="H316" i="25"/>
  <c r="T316" i="25"/>
  <c r="S52" i="24"/>
  <c r="T52" i="24" s="1"/>
  <c r="H52" i="24"/>
  <c r="AM52" i="24"/>
  <c r="Q52" i="24"/>
  <c r="R52" i="24" s="1"/>
  <c r="S34" i="24"/>
  <c r="T34" i="24" s="1"/>
  <c r="H34" i="24"/>
  <c r="AM34" i="24"/>
  <c r="Q34" i="24"/>
  <c r="R34" i="24" s="1"/>
  <c r="S233" i="24"/>
  <c r="T233" i="24" s="1"/>
  <c r="H233" i="24"/>
  <c r="AM233" i="24"/>
  <c r="CH233" i="24"/>
  <c r="S298" i="24"/>
  <c r="T298" i="24" s="1"/>
  <c r="AM298" i="24"/>
  <c r="H298" i="24"/>
  <c r="CH298" i="24"/>
  <c r="S263" i="24"/>
  <c r="T263" i="24" s="1"/>
  <c r="AM263" i="24"/>
  <c r="H263" i="24"/>
  <c r="CH263" i="24"/>
  <c r="CG112" i="25"/>
  <c r="BP112" i="25"/>
  <c r="BT112" i="25" s="1"/>
  <c r="AL112" i="25"/>
  <c r="H112" i="25"/>
  <c r="T112" i="25"/>
  <c r="U112" i="25" s="1"/>
  <c r="CG103" i="25"/>
  <c r="AL103" i="25"/>
  <c r="H103" i="25"/>
  <c r="T103" i="25"/>
  <c r="U103" i="25" s="1"/>
  <c r="H225" i="25"/>
  <c r="AL225" i="25"/>
  <c r="H262" i="25"/>
  <c r="AH262" i="25" s="1"/>
  <c r="AL262" i="25"/>
  <c r="T262" i="25"/>
  <c r="U262" i="25" s="1"/>
  <c r="S13" i="24"/>
  <c r="T13" i="24" s="1"/>
  <c r="H13" i="24"/>
  <c r="AM13" i="24"/>
  <c r="Q13" i="24"/>
  <c r="R13" i="24" s="1"/>
  <c r="S94" i="24"/>
  <c r="T94" i="24" s="1"/>
  <c r="H94" i="24"/>
  <c r="AM94" i="24"/>
  <c r="Q94" i="24"/>
  <c r="R94" i="24" s="1"/>
  <c r="Q138" i="24"/>
  <c r="S138" i="24"/>
  <c r="T138" i="24" s="1"/>
  <c r="AM138" i="24"/>
  <c r="H138" i="24"/>
  <c r="S272" i="24"/>
  <c r="T272" i="24" s="1"/>
  <c r="H272" i="24"/>
  <c r="AM272" i="24"/>
  <c r="CH272" i="24"/>
  <c r="Q168" i="24"/>
  <c r="S168" i="24"/>
  <c r="T168" i="24" s="1"/>
  <c r="H168" i="24"/>
  <c r="AM168" i="24"/>
  <c r="H32" i="25"/>
  <c r="T32" i="25"/>
  <c r="U32" i="25" s="1"/>
  <c r="CG32" i="25"/>
  <c r="AL32" i="25"/>
  <c r="CG83" i="25"/>
  <c r="AL83" i="25"/>
  <c r="H83" i="25"/>
  <c r="H177" i="25"/>
  <c r="AL177" i="25"/>
  <c r="BP177" i="25"/>
  <c r="BT177" i="25" s="1"/>
  <c r="CG177" i="25"/>
  <c r="T177" i="25"/>
  <c r="U177" i="25" s="1"/>
  <c r="CG163" i="25"/>
  <c r="BP163" i="25"/>
  <c r="BT163" i="25" s="1"/>
  <c r="AL163" i="25"/>
  <c r="H163" i="25"/>
  <c r="AL313" i="25"/>
  <c r="H313" i="25"/>
  <c r="AH313" i="25" s="1"/>
  <c r="T259" i="25"/>
  <c r="T275" i="25"/>
  <c r="U275" i="25" s="1"/>
  <c r="T235" i="25"/>
  <c r="U235" i="25" s="1"/>
  <c r="T98" i="25"/>
  <c r="U98" i="25" s="1"/>
  <c r="T249" i="25"/>
  <c r="U249" i="25" s="1"/>
  <c r="T225" i="25"/>
  <c r="S221" i="24"/>
  <c r="T221" i="24" s="1"/>
  <c r="AM221" i="24"/>
  <c r="H221" i="24"/>
  <c r="CH221" i="24"/>
  <c r="BP121" i="25"/>
  <c r="BT121" i="25" s="1"/>
  <c r="CG121" i="25"/>
  <c r="AL121" i="25"/>
  <c r="H121" i="25"/>
  <c r="AL239" i="25"/>
  <c r="H239" i="25"/>
  <c r="S167" i="24"/>
  <c r="T167" i="24" s="1"/>
  <c r="AM167" i="24"/>
  <c r="H167" i="24"/>
  <c r="Q167" i="24"/>
  <c r="T16" i="25"/>
  <c r="U16" i="25" s="1"/>
  <c r="H16" i="25"/>
  <c r="AH16" i="25" s="1"/>
  <c r="CG16" i="25"/>
  <c r="AL16" i="25"/>
  <c r="BP147" i="25"/>
  <c r="BT147" i="25" s="1"/>
  <c r="CG147" i="25"/>
  <c r="AL147" i="25"/>
  <c r="H147" i="25"/>
  <c r="S97" i="24"/>
  <c r="T97" i="24" s="1"/>
  <c r="AM97" i="24"/>
  <c r="H97" i="24"/>
  <c r="Q97" i="24"/>
  <c r="R97" i="24" s="1"/>
  <c r="S278" i="24"/>
  <c r="T278" i="24" s="1"/>
  <c r="H278" i="24"/>
  <c r="AM278" i="24"/>
  <c r="CH278" i="24"/>
  <c r="CG40" i="25"/>
  <c r="H40" i="25"/>
  <c r="AL40" i="25"/>
  <c r="AL251" i="25"/>
  <c r="H251" i="25"/>
  <c r="S166" i="24"/>
  <c r="T166" i="24" s="1"/>
  <c r="Q166" i="24"/>
  <c r="H166" i="24"/>
  <c r="AM166" i="24"/>
  <c r="S219" i="24"/>
  <c r="T219" i="24" s="1"/>
  <c r="H219" i="24"/>
  <c r="AM219" i="24"/>
  <c r="CH219" i="24"/>
  <c r="AL186" i="25"/>
  <c r="H186" i="25"/>
  <c r="BP186" i="25"/>
  <c r="BT186" i="25" s="1"/>
  <c r="T186" i="25"/>
  <c r="U186" i="25" s="1"/>
  <c r="CG186" i="25"/>
  <c r="S162" i="24"/>
  <c r="T162" i="24" s="1"/>
  <c r="H162" i="24"/>
  <c r="AM162" i="24"/>
  <c r="Q162" i="24"/>
  <c r="H52" i="25"/>
  <c r="AL52" i="25"/>
  <c r="T52" i="25"/>
  <c r="U52" i="25" s="1"/>
  <c r="CG52" i="25"/>
  <c r="AL264" i="25"/>
  <c r="H264" i="25"/>
  <c r="T264" i="25"/>
  <c r="U264" i="25" s="1"/>
  <c r="S68" i="24"/>
  <c r="T68" i="24" s="1"/>
  <c r="AM68" i="24"/>
  <c r="H68" i="24"/>
  <c r="Q68" i="24"/>
  <c r="R68" i="24" s="1"/>
  <c r="S50" i="24"/>
  <c r="T50" i="24" s="1"/>
  <c r="AM50" i="24"/>
  <c r="H50" i="24"/>
  <c r="Q50" i="24"/>
  <c r="R50" i="24" s="1"/>
  <c r="S281" i="24"/>
  <c r="T281" i="24" s="1"/>
  <c r="H281" i="24"/>
  <c r="AM281" i="24"/>
  <c r="CH281" i="24"/>
  <c r="S228" i="24"/>
  <c r="T228" i="24" s="1"/>
  <c r="H228" i="24"/>
  <c r="AM228" i="24"/>
  <c r="CH228" i="24"/>
  <c r="S311" i="24"/>
  <c r="T311" i="24" s="1"/>
  <c r="AM311" i="24"/>
  <c r="H311" i="24"/>
  <c r="CH311" i="24"/>
  <c r="CG80" i="25"/>
  <c r="AL80" i="25"/>
  <c r="H80" i="25"/>
  <c r="AH80" i="25" s="1"/>
  <c r="H226" i="25"/>
  <c r="AL226" i="25"/>
  <c r="CG130" i="25"/>
  <c r="BP130" i="25"/>
  <c r="BT130" i="25" s="1"/>
  <c r="H130" i="25"/>
  <c r="AH130" i="25" s="1"/>
  <c r="AL130" i="25"/>
  <c r="BP202" i="25"/>
  <c r="BT202" i="25" s="1"/>
  <c r="CG202" i="25"/>
  <c r="H202" i="25"/>
  <c r="AL202" i="25"/>
  <c r="AL302" i="25"/>
  <c r="H302" i="25"/>
  <c r="AH302" i="25" s="1"/>
  <c r="S83" i="24"/>
  <c r="T83" i="24" s="1"/>
  <c r="AM83" i="24"/>
  <c r="H83" i="24"/>
  <c r="Q83" i="24"/>
  <c r="R83" i="24" s="1"/>
  <c r="S191" i="24"/>
  <c r="T191" i="24" s="1"/>
  <c r="Q191" i="24"/>
  <c r="H191" i="24"/>
  <c r="AM191" i="24"/>
  <c r="S230" i="24"/>
  <c r="T230" i="24" s="1"/>
  <c r="AM230" i="24"/>
  <c r="H230" i="24"/>
  <c r="CH230" i="24"/>
  <c r="Q127" i="24"/>
  <c r="S127" i="24"/>
  <c r="T127" i="24" s="1"/>
  <c r="H127" i="24"/>
  <c r="AM127" i="24"/>
  <c r="CG26" i="25"/>
  <c r="AL26" i="25"/>
  <c r="H26" i="25"/>
  <c r="AH26" i="25" s="1"/>
  <c r="CG57" i="25"/>
  <c r="AL57" i="25"/>
  <c r="H57" i="25"/>
  <c r="AH57" i="25" s="1"/>
  <c r="T57" i="25"/>
  <c r="U57" i="25" s="1"/>
  <c r="CG123" i="25"/>
  <c r="BP123" i="25"/>
  <c r="BT123" i="25" s="1"/>
  <c r="AL123" i="25"/>
  <c r="H123" i="25"/>
  <c r="AH123" i="25" s="1"/>
  <c r="H240" i="25"/>
  <c r="AL240" i="25"/>
  <c r="BP204" i="25"/>
  <c r="BT204" i="25" s="1"/>
  <c r="CG204" i="25"/>
  <c r="AL204" i="25"/>
  <c r="H204" i="25"/>
  <c r="AH204" i="25" s="1"/>
  <c r="S21" i="24"/>
  <c r="T21" i="24" s="1"/>
  <c r="AM21" i="24"/>
  <c r="H21" i="24"/>
  <c r="Q21" i="24"/>
  <c r="R21" i="24" s="1"/>
  <c r="S102" i="24"/>
  <c r="T102" i="24" s="1"/>
  <c r="AM102" i="24"/>
  <c r="H102" i="24"/>
  <c r="Q102" i="24"/>
  <c r="R102" i="24" s="1"/>
  <c r="S146" i="24"/>
  <c r="T146" i="24" s="1"/>
  <c r="H146" i="24"/>
  <c r="AM146" i="24"/>
  <c r="Q146" i="24"/>
  <c r="S280" i="24"/>
  <c r="T280" i="24" s="1"/>
  <c r="H280" i="24"/>
  <c r="AM280" i="24"/>
  <c r="CH280" i="24"/>
  <c r="Q176" i="24"/>
  <c r="S176" i="24"/>
  <c r="T176" i="24" s="1"/>
  <c r="AM176" i="24"/>
  <c r="H176" i="24"/>
  <c r="CG24" i="25"/>
  <c r="AL24" i="25"/>
  <c r="H24" i="25"/>
  <c r="AL75" i="25"/>
  <c r="H75" i="25"/>
  <c r="AH75" i="25" s="1"/>
  <c r="CG75" i="25"/>
  <c r="T75" i="25"/>
  <c r="U75" i="25" s="1"/>
  <c r="CG173" i="25"/>
  <c r="BP173" i="25"/>
  <c r="BT173" i="25" s="1"/>
  <c r="H173" i="25"/>
  <c r="AL173" i="25"/>
  <c r="CG155" i="25"/>
  <c r="H155" i="25"/>
  <c r="AL155" i="25"/>
  <c r="BP155" i="25"/>
  <c r="BT155" i="25" s="1"/>
  <c r="T155" i="25"/>
  <c r="U155" i="25" s="1"/>
  <c r="H297" i="25"/>
  <c r="AL297" i="25"/>
  <c r="T297" i="25"/>
  <c r="U297" i="25" s="1"/>
  <c r="S20" i="24"/>
  <c r="T20" i="24" s="1"/>
  <c r="H20" i="24"/>
  <c r="AM20" i="24"/>
  <c r="Q20" i="24"/>
  <c r="R20" i="24" s="1"/>
  <c r="S113" i="24"/>
  <c r="T113" i="24" s="1"/>
  <c r="Q113" i="24"/>
  <c r="AM113" i="24"/>
  <c r="H113" i="24"/>
  <c r="CH113" i="24"/>
  <c r="CG113" i="24"/>
  <c r="S306" i="24"/>
  <c r="T306" i="24" s="1"/>
  <c r="H306" i="24"/>
  <c r="AM306" i="24"/>
  <c r="CH306" i="24"/>
  <c r="Q128" i="24"/>
  <c r="S128" i="24"/>
  <c r="T128" i="24" s="1"/>
  <c r="H128" i="24"/>
  <c r="AM128" i="24"/>
  <c r="S231" i="24"/>
  <c r="T231" i="24" s="1"/>
  <c r="H231" i="24"/>
  <c r="AM231" i="24"/>
  <c r="CH231" i="24"/>
  <c r="CG13" i="25"/>
  <c r="H13" i="25"/>
  <c r="AH13" i="25" s="1"/>
  <c r="AL13" i="25"/>
  <c r="BP128" i="25"/>
  <c r="BT128" i="25" s="1"/>
  <c r="H128" i="25"/>
  <c r="AL128" i="25"/>
  <c r="CG128" i="25"/>
  <c r="T128" i="25"/>
  <c r="AL244" i="25"/>
  <c r="H244" i="25"/>
  <c r="T244" i="25"/>
  <c r="U244" i="25" s="1"/>
  <c r="AL233" i="25"/>
  <c r="H233" i="25"/>
  <c r="T233" i="25"/>
  <c r="U233" i="25" s="1"/>
  <c r="S80" i="24"/>
  <c r="T80" i="24" s="1"/>
  <c r="AM80" i="24"/>
  <c r="H80" i="24"/>
  <c r="Q80" i="24"/>
  <c r="R80" i="24" s="1"/>
  <c r="S62" i="24"/>
  <c r="T62" i="24" s="1"/>
  <c r="AM62" i="24"/>
  <c r="H62" i="24"/>
  <c r="Q62" i="24"/>
  <c r="R62" i="24" s="1"/>
  <c r="S293" i="24"/>
  <c r="T293" i="24" s="1"/>
  <c r="AM293" i="24"/>
  <c r="H293" i="24"/>
  <c r="CH293" i="24"/>
  <c r="S240" i="24"/>
  <c r="T240" i="24" s="1"/>
  <c r="AM240" i="24"/>
  <c r="H240" i="24"/>
  <c r="CH240" i="24"/>
  <c r="S136" i="24"/>
  <c r="T136" i="24" s="1"/>
  <c r="Q136" i="24"/>
  <c r="AM136" i="24"/>
  <c r="H136" i="24"/>
  <c r="CG136" i="24"/>
  <c r="CH136" i="24"/>
  <c r="AL68" i="25"/>
  <c r="H68" i="25"/>
  <c r="AH68" i="25" s="1"/>
  <c r="CG68" i="25"/>
  <c r="H219" i="25"/>
  <c r="AL219" i="25"/>
  <c r="T219" i="25"/>
  <c r="U219" i="25" s="1"/>
  <c r="H193" i="25"/>
  <c r="AL193" i="25"/>
  <c r="T193" i="25"/>
  <c r="BP193" i="25"/>
  <c r="BT193" i="25" s="1"/>
  <c r="CG193" i="25"/>
  <c r="CG195" i="25"/>
  <c r="BP195" i="25"/>
  <c r="BT195" i="25" s="1"/>
  <c r="AL195" i="25"/>
  <c r="H195" i="25"/>
  <c r="AL311" i="25"/>
  <c r="H311" i="25"/>
  <c r="T311" i="25"/>
  <c r="U311" i="25" s="1"/>
  <c r="T34" i="25"/>
  <c r="U34" i="25" s="1"/>
  <c r="T240" i="25"/>
  <c r="U240" i="25" s="1"/>
  <c r="T282" i="25"/>
  <c r="T266" i="25"/>
  <c r="U266" i="25" s="1"/>
  <c r="Q241" i="25"/>
  <c r="R241" i="25"/>
  <c r="P105" i="25"/>
  <c r="S192" i="25"/>
  <c r="K192" i="25" s="1"/>
  <c r="AD192" i="25" s="1"/>
  <c r="P53" i="25"/>
  <c r="P177" i="25"/>
  <c r="P9" i="25"/>
  <c r="Q14" i="25"/>
  <c r="R14" i="25"/>
  <c r="S14" i="25"/>
  <c r="K14" i="25" s="1"/>
  <c r="S290" i="25"/>
  <c r="K290" i="25" s="1"/>
  <c r="Q290" i="25"/>
  <c r="R290" i="25"/>
  <c r="Q116" i="25"/>
  <c r="R116" i="25"/>
  <c r="S116" i="25"/>
  <c r="K116" i="25" s="1"/>
  <c r="R53" i="25"/>
  <c r="Q53" i="25"/>
  <c r="S53" i="25"/>
  <c r="K53" i="25" s="1"/>
  <c r="R95" i="25"/>
  <c r="Q95" i="25"/>
  <c r="S95" i="25"/>
  <c r="K95" i="25" s="1"/>
  <c r="Q86" i="25"/>
  <c r="R86" i="25"/>
  <c r="S86" i="25"/>
  <c r="K86" i="25" s="1"/>
  <c r="R102" i="25"/>
  <c r="Q102" i="25"/>
  <c r="S102" i="25"/>
  <c r="K102" i="25" s="1"/>
  <c r="R79" i="25"/>
  <c r="Q79" i="25"/>
  <c r="S79" i="25"/>
  <c r="K79" i="25" s="1"/>
  <c r="R268" i="25"/>
  <c r="S268" i="25"/>
  <c r="K268" i="25" s="1"/>
  <c r="Q268" i="25"/>
  <c r="R101" i="25"/>
  <c r="Q101" i="25"/>
  <c r="S101" i="25"/>
  <c r="K101" i="25" s="1"/>
  <c r="Q10" i="25"/>
  <c r="R10" i="25"/>
  <c r="S10" i="25"/>
  <c r="K10" i="25" s="1"/>
  <c r="Q83" i="25"/>
  <c r="R83" i="25"/>
  <c r="S83" i="25"/>
  <c r="K83" i="25" s="1"/>
  <c r="Q287" i="25"/>
  <c r="R287" i="25"/>
  <c r="S287" i="25"/>
  <c r="K287" i="25" s="1"/>
  <c r="R16" i="25"/>
  <c r="Q16" i="25"/>
  <c r="S16" i="25"/>
  <c r="K16" i="25" s="1"/>
  <c r="S309" i="25"/>
  <c r="K309" i="25" s="1"/>
  <c r="R309" i="25"/>
  <c r="Q309" i="25"/>
  <c r="Q76" i="25"/>
  <c r="R76" i="25"/>
  <c r="S76" i="25"/>
  <c r="K76" i="25" s="1"/>
  <c r="R139" i="25"/>
  <c r="S139" i="25"/>
  <c r="K139" i="25" s="1"/>
  <c r="Q139" i="25"/>
  <c r="R68" i="25"/>
  <c r="Q68" i="25"/>
  <c r="S68" i="25"/>
  <c r="K68" i="25" s="1"/>
  <c r="R35" i="25"/>
  <c r="Q35" i="25"/>
  <c r="S35" i="25"/>
  <c r="K35" i="25" s="1"/>
  <c r="Q54" i="25"/>
  <c r="R54" i="25"/>
  <c r="S54" i="25"/>
  <c r="K54" i="25" s="1"/>
  <c r="R140" i="25"/>
  <c r="Q140" i="25"/>
  <c r="S140" i="25"/>
  <c r="K140" i="25" s="1"/>
  <c r="P21" i="25"/>
  <c r="P209" i="25"/>
  <c r="Q38" i="25"/>
  <c r="R38" i="25"/>
  <c r="S38" i="25"/>
  <c r="K38" i="25" s="1"/>
  <c r="P73" i="25"/>
  <c r="Q32" i="25"/>
  <c r="R32" i="25"/>
  <c r="S32" i="25"/>
  <c r="K32" i="25" s="1"/>
  <c r="R66" i="25"/>
  <c r="Q66" i="25"/>
  <c r="S66" i="25"/>
  <c r="K66" i="25" s="1"/>
  <c r="R29" i="25"/>
  <c r="Q29" i="25"/>
  <c r="S29" i="25"/>
  <c r="K29" i="25" s="1"/>
  <c r="Q255" i="25"/>
  <c r="R255" i="25"/>
  <c r="S255" i="25"/>
  <c r="K255" i="25" s="1"/>
  <c r="R61" i="25"/>
  <c r="Q61" i="25"/>
  <c r="S61" i="25"/>
  <c r="K61" i="25" s="1"/>
  <c r="R283" i="25"/>
  <c r="Q283" i="25"/>
  <c r="S283" i="25"/>
  <c r="K283" i="25" s="1"/>
  <c r="R71" i="25"/>
  <c r="Q71" i="25"/>
  <c r="S71" i="25"/>
  <c r="K71" i="25" s="1"/>
  <c r="Q179" i="25"/>
  <c r="R179" i="25"/>
  <c r="S179" i="25"/>
  <c r="K179" i="25" s="1"/>
  <c r="R30" i="25"/>
  <c r="Q30" i="25"/>
  <c r="S30" i="25"/>
  <c r="K30" i="25" s="1"/>
  <c r="Q267" i="25"/>
  <c r="R267" i="25"/>
  <c r="S267" i="25"/>
  <c r="K267" i="25" s="1"/>
  <c r="Q47" i="25"/>
  <c r="R47" i="25"/>
  <c r="S47" i="25"/>
  <c r="K47" i="25" s="1"/>
  <c r="Q275" i="25"/>
  <c r="R275" i="25"/>
  <c r="S275" i="25"/>
  <c r="K275" i="25" s="1"/>
  <c r="R46" i="25"/>
  <c r="Q46" i="25"/>
  <c r="S46" i="25"/>
  <c r="K46" i="25" s="1"/>
  <c r="Q52" i="25"/>
  <c r="R52" i="25"/>
  <c r="S52" i="25"/>
  <c r="K52" i="25" s="1"/>
  <c r="Q314" i="25"/>
  <c r="R314" i="25"/>
  <c r="S314" i="25"/>
  <c r="K314" i="25" s="1"/>
  <c r="Q229" i="25"/>
  <c r="R229" i="25"/>
  <c r="S229" i="25"/>
  <c r="K229" i="25" s="1"/>
  <c r="Q8" i="25"/>
  <c r="R8" i="25"/>
  <c r="S8" i="25"/>
  <c r="K8" i="25" s="1"/>
  <c r="R194" i="25"/>
  <c r="Q194" i="25"/>
  <c r="S194" i="25"/>
  <c r="K194" i="25" s="1"/>
  <c r="Q74" i="25"/>
  <c r="R74" i="25"/>
  <c r="S74" i="25"/>
  <c r="K74" i="25" s="1"/>
  <c r="Q100" i="25"/>
  <c r="R100" i="25"/>
  <c r="S100" i="25"/>
  <c r="K100" i="25" s="1"/>
  <c r="P41" i="25"/>
  <c r="R159" i="25"/>
  <c r="Q159" i="25"/>
  <c r="S159" i="25"/>
  <c r="K159" i="25" s="1"/>
  <c r="Q28" i="25"/>
  <c r="S28" i="25"/>
  <c r="K28" i="25" s="1"/>
  <c r="R28" i="25"/>
  <c r="R13" i="25"/>
  <c r="Q13" i="25"/>
  <c r="S13" i="25"/>
  <c r="K13" i="25" s="1"/>
  <c r="R221" i="25"/>
  <c r="S221" i="25"/>
  <c r="K221" i="25" s="1"/>
  <c r="Q221" i="25"/>
  <c r="R25" i="25"/>
  <c r="Q25" i="25"/>
  <c r="S25" i="25"/>
  <c r="K25" i="25" s="1"/>
  <c r="Q244" i="25"/>
  <c r="R244" i="25"/>
  <c r="S244" i="25"/>
  <c r="K244" i="25" s="1"/>
  <c r="Q85" i="25"/>
  <c r="R85" i="25"/>
  <c r="S85" i="25"/>
  <c r="K85" i="25" s="1"/>
  <c r="R20" i="25"/>
  <c r="Q20" i="25"/>
  <c r="S20" i="25"/>
  <c r="K20" i="25" s="1"/>
  <c r="R67" i="25"/>
  <c r="Q67" i="25"/>
  <c r="S67" i="25"/>
  <c r="K67" i="25" s="1"/>
  <c r="Q78" i="25"/>
  <c r="R78" i="25"/>
  <c r="S78" i="25"/>
  <c r="K78" i="25" s="1"/>
  <c r="Q58" i="25"/>
  <c r="R58" i="25"/>
  <c r="S58" i="25"/>
  <c r="K58" i="25" s="1"/>
  <c r="R236" i="25"/>
  <c r="S236" i="25"/>
  <c r="K236" i="25" s="1"/>
  <c r="Q236" i="25"/>
  <c r="Q70" i="25"/>
  <c r="R70" i="25"/>
  <c r="S70" i="25"/>
  <c r="K70" i="25" s="1"/>
  <c r="R94" i="25"/>
  <c r="Q94" i="25"/>
  <c r="S94" i="25"/>
  <c r="K94" i="25" s="1"/>
  <c r="R182" i="25"/>
  <c r="Q182" i="25"/>
  <c r="S182" i="25"/>
  <c r="K182" i="25" s="1"/>
  <c r="R118" i="25"/>
  <c r="Q118" i="25"/>
  <c r="S118" i="25"/>
  <c r="K118" i="25" s="1"/>
  <c r="Q82" i="25"/>
  <c r="R82" i="25"/>
  <c r="S82" i="25"/>
  <c r="K82" i="25" s="1"/>
  <c r="Q11" i="25"/>
  <c r="R11" i="25"/>
  <c r="S11" i="25"/>
  <c r="K11" i="25" s="1"/>
  <c r="R64" i="25"/>
  <c r="Q64" i="25"/>
  <c r="S64" i="25"/>
  <c r="K64" i="25" s="1"/>
  <c r="R173" i="25"/>
  <c r="Q173" i="25"/>
  <c r="S173" i="25"/>
  <c r="K173" i="25" s="1"/>
  <c r="Q6" i="25"/>
  <c r="R6" i="25"/>
  <c r="S6" i="25"/>
  <c r="K6" i="25" s="1"/>
  <c r="AO6" i="25"/>
  <c r="R9" i="25"/>
  <c r="Q9" i="25"/>
  <c r="S9" i="25"/>
  <c r="K9" i="25" s="1"/>
  <c r="Q190" i="25"/>
  <c r="R190" i="25"/>
  <c r="S190" i="25"/>
  <c r="K190" i="25" s="1"/>
  <c r="R19" i="25"/>
  <c r="Q19" i="25"/>
  <c r="S19" i="25"/>
  <c r="K19" i="25" s="1"/>
  <c r="R57" i="25"/>
  <c r="Q57" i="25"/>
  <c r="S57" i="25"/>
  <c r="K57" i="25" s="1"/>
  <c r="R98" i="25"/>
  <c r="Q98" i="25"/>
  <c r="S98" i="25"/>
  <c r="K98" i="25" s="1"/>
  <c r="Q44" i="25"/>
  <c r="S44" i="25"/>
  <c r="K44" i="25" s="1"/>
  <c r="R44" i="25"/>
  <c r="R238" i="25"/>
  <c r="Q238" i="25"/>
  <c r="S238" i="25"/>
  <c r="K238" i="25" s="1"/>
  <c r="R73" i="25"/>
  <c r="Q73" i="25"/>
  <c r="S73" i="25"/>
  <c r="K73" i="25" s="1"/>
  <c r="Q92" i="25"/>
  <c r="R92" i="25"/>
  <c r="S92" i="25"/>
  <c r="K92" i="25" s="1"/>
  <c r="R62" i="25"/>
  <c r="Q62" i="25"/>
  <c r="S62" i="25"/>
  <c r="K62" i="25" s="1"/>
  <c r="Q77" i="25"/>
  <c r="R77" i="25"/>
  <c r="S77" i="25"/>
  <c r="K77" i="25" s="1"/>
  <c r="Q41" i="25"/>
  <c r="R41" i="25"/>
  <c r="S41" i="25"/>
  <c r="K41" i="25" s="1"/>
  <c r="S223" i="25"/>
  <c r="K223" i="25" s="1"/>
  <c r="R223" i="25"/>
  <c r="Q223" i="25"/>
  <c r="R99" i="25"/>
  <c r="Q99" i="25"/>
  <c r="S99" i="25"/>
  <c r="K99" i="25" s="1"/>
  <c r="R189" i="25"/>
  <c r="Q189" i="25"/>
  <c r="S189" i="25"/>
  <c r="K189" i="25" s="1"/>
  <c r="Q131" i="25"/>
  <c r="R131" i="25"/>
  <c r="S131" i="25"/>
  <c r="K131" i="25" s="1"/>
  <c r="Q280" i="25"/>
  <c r="R280" i="25"/>
  <c r="S280" i="25"/>
  <c r="K280" i="25" s="1"/>
  <c r="Q303" i="25"/>
  <c r="R303" i="25"/>
  <c r="S303" i="25"/>
  <c r="K303" i="25" s="1"/>
  <c r="Q72" i="25"/>
  <c r="R72" i="25"/>
  <c r="S72" i="25"/>
  <c r="K72" i="25" s="1"/>
  <c r="P137" i="25"/>
  <c r="R133" i="25"/>
  <c r="Q133" i="25"/>
  <c r="S133" i="25"/>
  <c r="K133" i="25" s="1"/>
  <c r="P25" i="25"/>
  <c r="P185" i="25"/>
  <c r="R291" i="25"/>
  <c r="S291" i="25"/>
  <c r="K291" i="25" s="1"/>
  <c r="Q291" i="25"/>
  <c r="P113" i="25"/>
  <c r="Q130" i="25"/>
  <c r="R130" i="25"/>
  <c r="S130" i="25"/>
  <c r="K130" i="25" s="1"/>
  <c r="Q110" i="25"/>
  <c r="AO110" i="25"/>
  <c r="S110" i="25"/>
  <c r="K110" i="25" s="1"/>
  <c r="R110" i="25"/>
  <c r="R272" i="25"/>
  <c r="Q272" i="25"/>
  <c r="S272" i="25"/>
  <c r="K272" i="25" s="1"/>
  <c r="Q43" i="25"/>
  <c r="R43" i="25"/>
  <c r="S43" i="25"/>
  <c r="K43" i="25" s="1"/>
  <c r="Q80" i="25"/>
  <c r="S80" i="25"/>
  <c r="K80" i="25" s="1"/>
  <c r="R80" i="25"/>
  <c r="R27" i="25"/>
  <c r="Q27" i="25"/>
  <c r="S27" i="25"/>
  <c r="K27" i="25" s="1"/>
  <c r="Q22" i="25"/>
  <c r="R22" i="25"/>
  <c r="S22" i="25"/>
  <c r="K22" i="25" s="1"/>
  <c r="Q56" i="25"/>
  <c r="R56" i="25"/>
  <c r="S56" i="25"/>
  <c r="K56" i="25" s="1"/>
  <c r="R81" i="25"/>
  <c r="Q81" i="25"/>
  <c r="S81" i="25"/>
  <c r="K81" i="25" s="1"/>
  <c r="Q105" i="25"/>
  <c r="R105" i="25"/>
  <c r="S105" i="25"/>
  <c r="K105" i="25" s="1"/>
  <c r="R123" i="25"/>
  <c r="Q123" i="25"/>
  <c r="S123" i="25"/>
  <c r="K123" i="25" s="1"/>
  <c r="R42" i="25"/>
  <c r="Q42" i="25"/>
  <c r="S42" i="25"/>
  <c r="K42" i="25" s="1"/>
  <c r="R18" i="25"/>
  <c r="Q18" i="25"/>
  <c r="S18" i="25"/>
  <c r="K18" i="25" s="1"/>
  <c r="Q266" i="25"/>
  <c r="S266" i="25"/>
  <c r="K266" i="25" s="1"/>
  <c r="R266" i="25"/>
  <c r="Q40" i="25"/>
  <c r="R40" i="25"/>
  <c r="S40" i="25"/>
  <c r="K40" i="25" s="1"/>
  <c r="Q69" i="25"/>
  <c r="R69" i="25"/>
  <c r="S69" i="25"/>
  <c r="K69" i="25" s="1"/>
  <c r="R12" i="25"/>
  <c r="Q12" i="25"/>
  <c r="S12" i="25"/>
  <c r="K12" i="25" s="1"/>
  <c r="Q183" i="25"/>
  <c r="R183" i="25"/>
  <c r="S183" i="25"/>
  <c r="K183" i="25" s="1"/>
  <c r="P153" i="25"/>
  <c r="Q84" i="25"/>
  <c r="R84" i="25"/>
  <c r="S84" i="25"/>
  <c r="K84" i="25" s="1"/>
  <c r="P77" i="25"/>
  <c r="P205" i="25"/>
  <c r="Q262" i="25"/>
  <c r="R262" i="25"/>
  <c r="S262" i="25"/>
  <c r="K262" i="25" s="1"/>
  <c r="Q226" i="25"/>
  <c r="S226" i="25"/>
  <c r="K226" i="25" s="1"/>
  <c r="R226" i="25"/>
  <c r="Q21" i="25"/>
  <c r="R21" i="25"/>
  <c r="S21" i="25"/>
  <c r="K21" i="25" s="1"/>
  <c r="Q113" i="25"/>
  <c r="R113" i="25"/>
  <c r="S113" i="25"/>
  <c r="K113" i="25" s="1"/>
  <c r="Q33" i="25"/>
  <c r="R33" i="25"/>
  <c r="S33" i="25"/>
  <c r="K33" i="25" s="1"/>
  <c r="Q87" i="25"/>
  <c r="R87" i="25"/>
  <c r="S87" i="25"/>
  <c r="K87" i="25" s="1"/>
  <c r="Q103" i="25"/>
  <c r="R103" i="25"/>
  <c r="S103" i="25"/>
  <c r="K103" i="25" s="1"/>
  <c r="Q59" i="25"/>
  <c r="R59" i="25"/>
  <c r="S59" i="25"/>
  <c r="K59" i="25" s="1"/>
  <c r="R37" i="25"/>
  <c r="Q37" i="25"/>
  <c r="S37" i="25"/>
  <c r="K37" i="25" s="1"/>
  <c r="Q153" i="25"/>
  <c r="R153" i="25"/>
  <c r="S153" i="25"/>
  <c r="K153" i="25" s="1"/>
  <c r="R48" i="25"/>
  <c r="Q48" i="25"/>
  <c r="S48" i="25"/>
  <c r="K48" i="25" s="1"/>
  <c r="Q55" i="25"/>
  <c r="R55" i="25"/>
  <c r="S55" i="25"/>
  <c r="K55" i="25" s="1"/>
  <c r="R246" i="25"/>
  <c r="Q246" i="25"/>
  <c r="S246" i="25"/>
  <c r="K246" i="25" s="1"/>
  <c r="Q88" i="25"/>
  <c r="S88" i="25"/>
  <c r="K88" i="25" s="1"/>
  <c r="R88" i="25"/>
  <c r="R293" i="25"/>
  <c r="Q293" i="25"/>
  <c r="S293" i="25"/>
  <c r="K293" i="25" s="1"/>
  <c r="R315" i="25"/>
  <c r="S315" i="25"/>
  <c r="K315" i="25" s="1"/>
  <c r="Q315" i="25"/>
  <c r="R89" i="25"/>
  <c r="S89" i="25"/>
  <c r="K89" i="25" s="1"/>
  <c r="Q89" i="25"/>
  <c r="R50" i="25"/>
  <c r="Q50" i="25"/>
  <c r="S50" i="25"/>
  <c r="K50" i="25" s="1"/>
  <c r="R7" i="25"/>
  <c r="Q7" i="25"/>
  <c r="S7" i="25"/>
  <c r="K7" i="25" s="1"/>
  <c r="AO7" i="25"/>
  <c r="Q15" i="25"/>
  <c r="R15" i="25"/>
  <c r="S15" i="25"/>
  <c r="K15" i="25" s="1"/>
  <c r="P45" i="25"/>
  <c r="P173" i="25"/>
  <c r="Q97" i="25"/>
  <c r="S97" i="25"/>
  <c r="K97" i="25" s="1"/>
  <c r="R97" i="25"/>
  <c r="S285" i="25"/>
  <c r="K285" i="25" s="1"/>
  <c r="R285" i="25"/>
  <c r="Q285" i="25"/>
  <c r="R49" i="25"/>
  <c r="Q49" i="25"/>
  <c r="S49" i="25"/>
  <c r="K49" i="25" s="1"/>
  <c r="Q200" i="25"/>
  <c r="R200" i="25"/>
  <c r="S200" i="25"/>
  <c r="K200" i="25" s="1"/>
  <c r="Q75" i="25"/>
  <c r="R75" i="25"/>
  <c r="S75" i="25"/>
  <c r="K75" i="25" s="1"/>
  <c r="Q93" i="25"/>
  <c r="R93" i="25"/>
  <c r="S93" i="25"/>
  <c r="K93" i="25" s="1"/>
  <c r="Q45" i="25"/>
  <c r="R45" i="25"/>
  <c r="S45" i="25"/>
  <c r="K45" i="25" s="1"/>
  <c r="Q184" i="25"/>
  <c r="R184" i="25"/>
  <c r="S184" i="25"/>
  <c r="K184" i="25" s="1"/>
  <c r="Q51" i="25"/>
  <c r="R51" i="25"/>
  <c r="S51" i="25"/>
  <c r="K51" i="25" s="1"/>
  <c r="Q31" i="25"/>
  <c r="R31" i="25"/>
  <c r="S31" i="25"/>
  <c r="K31" i="25" s="1"/>
  <c r="R39" i="25"/>
  <c r="Q39" i="25"/>
  <c r="S39" i="25"/>
  <c r="K39" i="25" s="1"/>
  <c r="Q208" i="25"/>
  <c r="R208" i="25"/>
  <c r="S208" i="25"/>
  <c r="K208" i="25" s="1"/>
  <c r="R34" i="25"/>
  <c r="Q34" i="25"/>
  <c r="S34" i="25"/>
  <c r="K34" i="25" s="1"/>
  <c r="Q90" i="25"/>
  <c r="R90" i="25"/>
  <c r="S90" i="25"/>
  <c r="K90" i="25" s="1"/>
  <c r="Q154" i="25"/>
  <c r="R154" i="25"/>
  <c r="S154" i="25"/>
  <c r="K154" i="25" s="1"/>
  <c r="Q134" i="25"/>
  <c r="R134" i="25"/>
  <c r="S134" i="25"/>
  <c r="K134" i="25" s="1"/>
  <c r="R269" i="25"/>
  <c r="Q269" i="25"/>
  <c r="S269" i="25"/>
  <c r="K269" i="25" s="1"/>
  <c r="P232" i="25"/>
  <c r="P142" i="25"/>
  <c r="Q235" i="25"/>
  <c r="S235" i="25"/>
  <c r="K235" i="25" s="1"/>
  <c r="R235" i="25"/>
  <c r="P189" i="25"/>
  <c r="R60" i="25"/>
  <c r="Q60" i="25"/>
  <c r="S60" i="25"/>
  <c r="K60" i="25" s="1"/>
  <c r="P85" i="25"/>
  <c r="R120" i="25"/>
  <c r="Q120" i="25"/>
  <c r="S120" i="25"/>
  <c r="K120" i="25" s="1"/>
  <c r="P13" i="25"/>
  <c r="P141" i="25"/>
  <c r="Q96" i="25"/>
  <c r="R96" i="25"/>
  <c r="S96" i="25"/>
  <c r="K96" i="25" s="1"/>
  <c r="S247" i="25"/>
  <c r="K247" i="25" s="1"/>
  <c r="R247" i="25"/>
  <c r="Q247" i="25"/>
  <c r="R24" i="25"/>
  <c r="Q24" i="25"/>
  <c r="S24" i="25"/>
  <c r="K24" i="25" s="1"/>
  <c r="Q152" i="25"/>
  <c r="R152" i="25"/>
  <c r="S152" i="25"/>
  <c r="K152" i="25" s="1"/>
  <c r="Q91" i="25"/>
  <c r="R91" i="25"/>
  <c r="S91" i="25"/>
  <c r="K91" i="25" s="1"/>
  <c r="Q104" i="25"/>
  <c r="R104" i="25"/>
  <c r="S104" i="25"/>
  <c r="K104" i="25" s="1"/>
  <c r="Q36" i="25"/>
  <c r="R36" i="25"/>
  <c r="S36" i="25"/>
  <c r="K36" i="25" s="1"/>
  <c r="Q313" i="25"/>
  <c r="R313" i="25"/>
  <c r="S313" i="25"/>
  <c r="K313" i="25" s="1"/>
  <c r="Q26" i="25"/>
  <c r="R26" i="25"/>
  <c r="S26" i="25"/>
  <c r="K26" i="25" s="1"/>
  <c r="Q65" i="25"/>
  <c r="R65" i="25"/>
  <c r="S65" i="25"/>
  <c r="K65" i="25" s="1"/>
  <c r="Q23" i="25"/>
  <c r="S23" i="25"/>
  <c r="K23" i="25" s="1"/>
  <c r="R23" i="25"/>
  <c r="R141" i="25"/>
  <c r="Q141" i="25"/>
  <c r="S141" i="25"/>
  <c r="K141" i="25" s="1"/>
  <c r="R17" i="25"/>
  <c r="S17" i="25"/>
  <c r="K17" i="25" s="1"/>
  <c r="Q17" i="25"/>
  <c r="R63" i="25"/>
  <c r="Q63" i="25"/>
  <c r="S63" i="25"/>
  <c r="K63" i="25" s="1"/>
  <c r="Q121" i="25"/>
  <c r="R121" i="25"/>
  <c r="S121" i="25"/>
  <c r="K121" i="25" s="1"/>
  <c r="AJ23" i="29" l="1"/>
  <c r="AK23" i="29" s="1"/>
  <c r="AK371" i="29"/>
  <c r="AJ446" i="29"/>
  <c r="AK446" i="29" s="1"/>
  <c r="AJ279" i="29"/>
  <c r="AK279" i="29" s="1"/>
  <c r="AJ278" i="29"/>
  <c r="AK278" i="29" s="1"/>
  <c r="AJ143" i="29"/>
  <c r="AK143" i="29" s="1"/>
  <c r="AJ347" i="29"/>
  <c r="AK347" i="29" s="1"/>
  <c r="AJ453" i="29"/>
  <c r="AK453" i="29" s="1"/>
  <c r="AJ293" i="29"/>
  <c r="AK293" i="29" s="1"/>
  <c r="AJ482" i="29"/>
  <c r="AK482" i="29" s="1"/>
  <c r="AJ546" i="29"/>
  <c r="AK546" i="29" s="1"/>
  <c r="AJ282" i="29"/>
  <c r="AK282" i="29" s="1"/>
  <c r="AA348" i="29"/>
  <c r="AJ144" i="29"/>
  <c r="AK144" i="29" s="1"/>
  <c r="AJ40" i="29"/>
  <c r="AK40" i="29" s="1"/>
  <c r="AJ325" i="29"/>
  <c r="AK325" i="29" s="1"/>
  <c r="AJ294" i="29"/>
  <c r="AK294" i="29" s="1"/>
  <c r="AJ330" i="29"/>
  <c r="AK330" i="29" s="1"/>
  <c r="AA294" i="29"/>
  <c r="AJ312" i="29"/>
  <c r="AK312" i="29" s="1"/>
  <c r="AJ490" i="29"/>
  <c r="AK490" i="29" s="1"/>
  <c r="AJ575" i="29"/>
  <c r="AK575" i="29" s="1"/>
  <c r="AJ547" i="29"/>
  <c r="AK547" i="29" s="1"/>
  <c r="AJ304" i="29"/>
  <c r="AK304" i="29" s="1"/>
  <c r="AJ311" i="29"/>
  <c r="AK311" i="29" s="1"/>
  <c r="AJ605" i="29"/>
  <c r="AK605" i="29" s="1"/>
  <c r="AJ93" i="29"/>
  <c r="AK93" i="29" s="1"/>
  <c r="AJ297" i="29"/>
  <c r="AK297" i="29" s="1"/>
  <c r="AJ476" i="29"/>
  <c r="AK476" i="29" s="1"/>
  <c r="AA370" i="29"/>
  <c r="AJ286" i="29"/>
  <c r="AK286" i="29" s="1"/>
  <c r="AJ561" i="29"/>
  <c r="AK561" i="29" s="1"/>
  <c r="AJ363" i="29"/>
  <c r="AK363" i="29" s="1"/>
  <c r="AJ473" i="29"/>
  <c r="AK473" i="29" s="1"/>
  <c r="AJ350" i="29"/>
  <c r="AK350" i="29" s="1"/>
  <c r="AJ497" i="29"/>
  <c r="AK497" i="29" s="1"/>
  <c r="AJ210" i="29"/>
  <c r="AK210" i="29" s="1"/>
  <c r="AJ433" i="29"/>
  <c r="AK433" i="29" s="1"/>
  <c r="AJ255" i="29"/>
  <c r="AK255" i="29" s="1"/>
  <c r="AJ296" i="29"/>
  <c r="AK296" i="29" s="1"/>
  <c r="AJ426" i="29"/>
  <c r="AK426" i="29" s="1"/>
  <c r="AJ545" i="29"/>
  <c r="AK545" i="29" s="1"/>
  <c r="AJ567" i="29"/>
  <c r="AK567" i="29" s="1"/>
  <c r="AJ450" i="29"/>
  <c r="AK450" i="29" s="1"/>
  <c r="AJ354" i="29"/>
  <c r="AK354" i="29" s="1"/>
  <c r="AJ295" i="29"/>
  <c r="AK295" i="29" s="1"/>
  <c r="AA498" i="29"/>
  <c r="AJ533" i="29"/>
  <c r="AK533" i="29" s="1"/>
  <c r="AJ243" i="29"/>
  <c r="AK243" i="29" s="1"/>
  <c r="AJ467" i="29"/>
  <c r="AK467" i="29" s="1"/>
  <c r="AJ233" i="29"/>
  <c r="AK233" i="29" s="1"/>
  <c r="AJ353" i="29"/>
  <c r="AK353" i="29" s="1"/>
  <c r="AJ70" i="29"/>
  <c r="AK70" i="29" s="1"/>
  <c r="AJ534" i="29"/>
  <c r="AK534" i="29" s="1"/>
  <c r="AJ598" i="29"/>
  <c r="AK598" i="29" s="1"/>
  <c r="AJ401" i="29"/>
  <c r="AK401" i="29" s="1"/>
  <c r="AJ560" i="29"/>
  <c r="AK560" i="29" s="1"/>
  <c r="AA286" i="29"/>
  <c r="AJ343" i="29"/>
  <c r="AK343" i="29" s="1"/>
  <c r="AJ333" i="29"/>
  <c r="AK333" i="29" s="1"/>
  <c r="AJ535" i="29"/>
  <c r="AK535" i="29" s="1"/>
  <c r="AA350" i="29"/>
  <c r="AJ324" i="29"/>
  <c r="AK324" i="29" s="1"/>
  <c r="AJ232" i="29"/>
  <c r="AK232" i="29" s="1"/>
  <c r="AJ264" i="29"/>
  <c r="AK264" i="29" s="1"/>
  <c r="AJ287" i="29"/>
  <c r="AK287" i="29" s="1"/>
  <c r="AJ256" i="29"/>
  <c r="AK256" i="29" s="1"/>
  <c r="AJ332" i="29"/>
  <c r="AK332" i="29" s="1"/>
  <c r="AJ407" i="29"/>
  <c r="AK407" i="29" s="1"/>
  <c r="AJ274" i="29"/>
  <c r="AK274" i="29" s="1"/>
  <c r="AA487" i="29"/>
  <c r="AJ445" i="29"/>
  <c r="AK445" i="29" s="1"/>
  <c r="AJ203" i="29"/>
  <c r="AK203" i="29" s="1"/>
  <c r="AJ380" i="29"/>
  <c r="AK380" i="29" s="1"/>
  <c r="AJ449" i="29"/>
  <c r="AK449" i="29" s="1"/>
  <c r="AJ238" i="29"/>
  <c r="AK238" i="29" s="1"/>
  <c r="AJ126" i="29"/>
  <c r="AK126" i="29" s="1"/>
  <c r="AJ522" i="29"/>
  <c r="AK522" i="29" s="1"/>
  <c r="AJ554" i="29"/>
  <c r="AK554" i="29" s="1"/>
  <c r="AJ523" i="29"/>
  <c r="AK523" i="29" s="1"/>
  <c r="AA468" i="29"/>
  <c r="AA234" i="29"/>
  <c r="AJ346" i="29"/>
  <c r="AK346" i="29" s="1"/>
  <c r="AJ322" i="29"/>
  <c r="AK322" i="29" s="1"/>
  <c r="AJ168" i="29"/>
  <c r="AK168" i="29" s="1"/>
  <c r="AJ468" i="29"/>
  <c r="AK468" i="29" s="1"/>
  <c r="AJ356" i="29"/>
  <c r="AK356" i="29" s="1"/>
  <c r="AJ71" i="29"/>
  <c r="AK71" i="29" s="1"/>
  <c r="AJ582" i="29"/>
  <c r="AK582" i="29" s="1"/>
  <c r="AJ606" i="29"/>
  <c r="AK606" i="29" s="1"/>
  <c r="AJ597" i="29"/>
  <c r="AK597" i="29" s="1"/>
  <c r="AJ315" i="29"/>
  <c r="AK315" i="29" s="1"/>
  <c r="AJ244" i="29"/>
  <c r="AK244" i="29" s="1"/>
  <c r="AA485" i="29"/>
  <c r="AJ484" i="29"/>
  <c r="AK484" i="29" s="1"/>
  <c r="AJ328" i="29"/>
  <c r="AK328" i="29" s="1"/>
  <c r="AA408" i="29"/>
  <c r="AJ592" i="29"/>
  <c r="AK592" i="29" s="1"/>
  <c r="AJ498" i="29"/>
  <c r="AK498" i="29" s="1"/>
  <c r="AA264" i="29"/>
  <c r="AJ421" i="29"/>
  <c r="AK421" i="29" s="1"/>
  <c r="AJ209" i="29"/>
  <c r="AK209" i="29" s="1"/>
  <c r="AJ366" i="29"/>
  <c r="AK366" i="29" s="1"/>
  <c r="AJ418" i="29"/>
  <c r="AK418" i="29" s="1"/>
  <c r="AJ417" i="29"/>
  <c r="AK417" i="29" s="1"/>
  <c r="AA418" i="29"/>
  <c r="AA309" i="29"/>
  <c r="AA525" i="29"/>
  <c r="AJ524" i="29"/>
  <c r="AK524" i="29" s="1"/>
  <c r="AA281" i="29"/>
  <c r="AJ280" i="29"/>
  <c r="AK280" i="29" s="1"/>
  <c r="AJ281" i="29"/>
  <c r="AK281" i="29" s="1"/>
  <c r="W31" i="29"/>
  <c r="AG31" i="29"/>
  <c r="W308" i="29"/>
  <c r="AA308" i="29" s="1"/>
  <c r="X281" i="29"/>
  <c r="Y281" i="29" s="1"/>
  <c r="AH281" i="29"/>
  <c r="AJ348" i="29"/>
  <c r="AK348" i="29" s="1"/>
  <c r="AH114" i="29"/>
  <c r="X114" i="29"/>
  <c r="Y114" i="29" s="1"/>
  <c r="AJ309" i="29"/>
  <c r="AK309" i="29" s="1"/>
  <c r="AH42" i="29"/>
  <c r="AJ318" i="29"/>
  <c r="AK318" i="29" s="1"/>
  <c r="AJ367" i="29"/>
  <c r="AK367" i="29" s="1"/>
  <c r="W386" i="29"/>
  <c r="AG386" i="29"/>
  <c r="W306" i="29"/>
  <c r="AJ306" i="29" s="1"/>
  <c r="AK306" i="29" s="1"/>
  <c r="AG306" i="29"/>
  <c r="X50" i="29"/>
  <c r="Y50" i="29" s="1"/>
  <c r="AJ320" i="29"/>
  <c r="AK320" i="29" s="1"/>
  <c r="AJ75" i="29"/>
  <c r="AK75" i="29" s="1"/>
  <c r="AA271" i="29"/>
  <c r="AJ225" i="29"/>
  <c r="AK225" i="29" s="1"/>
  <c r="AJ427" i="29"/>
  <c r="AK427" i="29" s="1"/>
  <c r="AJ569" i="29"/>
  <c r="AK569" i="29" s="1"/>
  <c r="AJ596" i="29"/>
  <c r="AK596" i="29" s="1"/>
  <c r="AJ351" i="29"/>
  <c r="AK351" i="29" s="1"/>
  <c r="AJ500" i="29"/>
  <c r="AK500" i="29" s="1"/>
  <c r="AJ292" i="29"/>
  <c r="AK292" i="29" s="1"/>
  <c r="W231" i="29"/>
  <c r="AA231" i="29" s="1"/>
  <c r="W314" i="29"/>
  <c r="AG314" i="29"/>
  <c r="AG211" i="29"/>
  <c r="AD622" i="29"/>
  <c r="W60" i="29"/>
  <c r="AA60" i="29" s="1"/>
  <c r="AE625" i="29"/>
  <c r="AH225" i="29"/>
  <c r="AH418" i="29"/>
  <c r="X418" i="29"/>
  <c r="Y418" i="29" s="1"/>
  <c r="AG321" i="29"/>
  <c r="W515" i="29"/>
  <c r="AJ514" i="29" s="1"/>
  <c r="AK514" i="29" s="1"/>
  <c r="AH519" i="29"/>
  <c r="AG148" i="29"/>
  <c r="W625" i="29"/>
  <c r="J635" i="29" s="1"/>
  <c r="AG625" i="29"/>
  <c r="K635" i="29" s="1"/>
  <c r="AH316" i="29"/>
  <c r="X316" i="29"/>
  <c r="Y316" i="29" s="1"/>
  <c r="AG361" i="29"/>
  <c r="W361" i="29"/>
  <c r="AJ360" i="29" s="1"/>
  <c r="AK360" i="29" s="1"/>
  <c r="AG281" i="29"/>
  <c r="AA283" i="29"/>
  <c r="AJ283" i="29"/>
  <c r="AK283" i="29" s="1"/>
  <c r="AG610" i="29"/>
  <c r="W610" i="29"/>
  <c r="AJ610" i="29" s="1"/>
  <c r="AK610" i="29" s="1"/>
  <c r="AJ107" i="29"/>
  <c r="AK107" i="29" s="1"/>
  <c r="AA243" i="29"/>
  <c r="AJ106" i="29"/>
  <c r="AK106" i="29" s="1"/>
  <c r="AJ130" i="29"/>
  <c r="AK130" i="29" s="1"/>
  <c r="AJ39" i="29"/>
  <c r="AK39" i="29" s="1"/>
  <c r="AA332" i="29"/>
  <c r="AJ349" i="29"/>
  <c r="AK349" i="29" s="1"/>
  <c r="AJ163" i="29"/>
  <c r="AK163" i="29" s="1"/>
  <c r="AJ470" i="29"/>
  <c r="AK470" i="29" s="1"/>
  <c r="AG622" i="29"/>
  <c r="K632" i="29" s="1"/>
  <c r="W622" i="29"/>
  <c r="J632" i="29" s="1"/>
  <c r="AG388" i="29"/>
  <c r="AH31" i="29"/>
  <c r="AH338" i="29"/>
  <c r="X338" i="29"/>
  <c r="Y338" i="29" s="1"/>
  <c r="AG140" i="29"/>
  <c r="AA239" i="29"/>
  <c r="W42" i="29"/>
  <c r="AJ42" i="29" s="1"/>
  <c r="AK42" i="29" s="1"/>
  <c r="AH291" i="29"/>
  <c r="X174" i="29"/>
  <c r="Y174" i="29" s="1"/>
  <c r="AH174" i="29"/>
  <c r="X625" i="29"/>
  <c r="Y625" i="29" s="1"/>
  <c r="AH318" i="29"/>
  <c r="X318" i="29"/>
  <c r="Y318" i="29" s="1"/>
  <c r="AG182" i="29"/>
  <c r="W182" i="29"/>
  <c r="AA182" i="29" s="1"/>
  <c r="AA546" i="29"/>
  <c r="AJ381" i="29"/>
  <c r="AK381" i="29" s="1"/>
  <c r="AJ551" i="29"/>
  <c r="AK551" i="29" s="1"/>
  <c r="AJ331" i="29"/>
  <c r="AK331" i="29" s="1"/>
  <c r="AJ76" i="29"/>
  <c r="AK76" i="29" s="1"/>
  <c r="AJ408" i="29"/>
  <c r="AK408" i="29" s="1"/>
  <c r="AJ402" i="29"/>
  <c r="AK402" i="29" s="1"/>
  <c r="AJ20" i="29"/>
  <c r="AK20" i="29" s="1"/>
  <c r="AJ555" i="29"/>
  <c r="AK555" i="29" s="1"/>
  <c r="AJ477" i="29"/>
  <c r="AK477" i="29" s="1"/>
  <c r="X211" i="29"/>
  <c r="Y211" i="29" s="1"/>
  <c r="X574" i="29"/>
  <c r="Y574" i="29" s="1"/>
  <c r="X386" i="29"/>
  <c r="Y386" i="29" s="1"/>
  <c r="AH569" i="29"/>
  <c r="X494" i="29"/>
  <c r="Y494" i="29" s="1"/>
  <c r="X145" i="29"/>
  <c r="Y145" i="29" s="1"/>
  <c r="AH515" i="29"/>
  <c r="AG323" i="29"/>
  <c r="AG338" i="29"/>
  <c r="W338" i="29"/>
  <c r="AA338" i="29" s="1"/>
  <c r="AJ239" i="29"/>
  <c r="AK239" i="29" s="1"/>
  <c r="AJ512" i="29"/>
  <c r="AK512" i="29" s="1"/>
  <c r="AJ382" i="29"/>
  <c r="AK382" i="29" s="1"/>
  <c r="AJ501" i="29"/>
  <c r="AK501" i="29" s="1"/>
  <c r="AH248" i="29"/>
  <c r="X248" i="29"/>
  <c r="Y248" i="29" s="1"/>
  <c r="X182" i="29"/>
  <c r="Y182" i="29" s="1"/>
  <c r="AH182" i="29"/>
  <c r="AJ44" i="29"/>
  <c r="AK44" i="29" s="1"/>
  <c r="AA94" i="29"/>
  <c r="AA254" i="29"/>
  <c r="AJ321" i="29"/>
  <c r="AK321" i="29" s="1"/>
  <c r="AG50" i="29"/>
  <c r="AA499" i="29"/>
  <c r="X243" i="29"/>
  <c r="Y243" i="29" s="1"/>
  <c r="AA367" i="29"/>
  <c r="AJ388" i="29"/>
  <c r="AK388" i="29" s="1"/>
  <c r="AG227" i="29"/>
  <c r="W227" i="29"/>
  <c r="AJ227" i="29" s="1"/>
  <c r="AK227" i="29" s="1"/>
  <c r="X588" i="29"/>
  <c r="Y588" i="29" s="1"/>
  <c r="AH622" i="29"/>
  <c r="X622" i="29"/>
  <c r="Y622" i="29" s="1"/>
  <c r="X387" i="29"/>
  <c r="Y387" i="29" s="1"/>
  <c r="AH387" i="29"/>
  <c r="AG561" i="29"/>
  <c r="AG366" i="29"/>
  <c r="W66" i="29"/>
  <c r="AJ65" i="29" s="1"/>
  <c r="AK65" i="29" s="1"/>
  <c r="AG525" i="29"/>
  <c r="AG215" i="29"/>
  <c r="W215" i="29"/>
  <c r="AA215" i="29" s="1"/>
  <c r="AJ424" i="29"/>
  <c r="AK424" i="29" s="1"/>
  <c r="AG291" i="29"/>
  <c r="W291" i="29"/>
  <c r="AJ428" i="29"/>
  <c r="AK428" i="29" s="1"/>
  <c r="AH66" i="29"/>
  <c r="X66" i="29"/>
  <c r="Y66" i="29" s="1"/>
  <c r="AJ310" i="29"/>
  <c r="AK310" i="29" s="1"/>
  <c r="AE622" i="29"/>
  <c r="AJ245" i="29"/>
  <c r="AK245" i="29" s="1"/>
  <c r="AJ369" i="29"/>
  <c r="AK369" i="29" s="1"/>
  <c r="AJ254" i="29"/>
  <c r="AK254" i="29" s="1"/>
  <c r="AA509" i="29"/>
  <c r="AJ568" i="29"/>
  <c r="AK568" i="29" s="1"/>
  <c r="AJ299" i="29"/>
  <c r="AK299" i="29" s="1"/>
  <c r="AG554" i="29"/>
  <c r="X198" i="29"/>
  <c r="Y198" i="29" s="1"/>
  <c r="AH198" i="29"/>
  <c r="AD625" i="29"/>
  <c r="W112" i="29"/>
  <c r="AA112" i="29" s="1"/>
  <c r="AG112" i="29"/>
  <c r="W494" i="29"/>
  <c r="AA494" i="29" s="1"/>
  <c r="AG494" i="29"/>
  <c r="AG225" i="29"/>
  <c r="AH308" i="29"/>
  <c r="X231" i="29"/>
  <c r="Y231" i="29" s="1"/>
  <c r="AH321" i="29"/>
  <c r="X321" i="29"/>
  <c r="Y321" i="29" s="1"/>
  <c r="AJ527" i="29"/>
  <c r="AK527" i="29" s="1"/>
  <c r="X154" i="29"/>
  <c r="Y154" i="29" s="1"/>
  <c r="AH154" i="29"/>
  <c r="AJ131" i="29"/>
  <c r="AK131" i="29" s="1"/>
  <c r="AJ317" i="29"/>
  <c r="AK317" i="29" s="1"/>
  <c r="AJ298" i="29"/>
  <c r="AK298" i="29" s="1"/>
  <c r="AJ387" i="29"/>
  <c r="AK387" i="29" s="1"/>
  <c r="W198" i="29"/>
  <c r="AA198" i="29" s="1"/>
  <c r="AG198" i="29"/>
  <c r="AH60" i="29"/>
  <c r="X60" i="29"/>
  <c r="Y60" i="29" s="1"/>
  <c r="AJ574" i="29"/>
  <c r="AK574" i="29" s="1"/>
  <c r="AJ521" i="29"/>
  <c r="AK521" i="29" s="1"/>
  <c r="AJ368" i="29"/>
  <c r="AK368" i="29" s="1"/>
  <c r="AJ499" i="29"/>
  <c r="AK499" i="29" s="1"/>
  <c r="AG309" i="29"/>
  <c r="AJ206" i="29"/>
  <c r="AK206" i="29" s="1"/>
  <c r="AH215" i="29"/>
  <c r="X215" i="29"/>
  <c r="Y215" i="29" s="1"/>
  <c r="W154" i="29"/>
  <c r="AA154" i="29" s="1"/>
  <c r="AG588" i="29"/>
  <c r="W588" i="29"/>
  <c r="AG487" i="29"/>
  <c r="L19" i="1"/>
  <c r="L20" i="1" s="1"/>
  <c r="AA478" i="29"/>
  <c r="AJ260" i="29"/>
  <c r="AK260" i="29" s="1"/>
  <c r="AJ414" i="29"/>
  <c r="AK414" i="29" s="1"/>
  <c r="AJ273" i="29"/>
  <c r="AK273" i="29" s="1"/>
  <c r="AJ183" i="29"/>
  <c r="AK183" i="29" s="1"/>
  <c r="F60" i="1"/>
  <c r="E60" i="1"/>
  <c r="E61" i="1" s="1"/>
  <c r="AA356" i="29"/>
  <c r="AA206" i="29"/>
  <c r="AJ267" i="29"/>
  <c r="AK267" i="29" s="1"/>
  <c r="AJ355" i="29"/>
  <c r="AK355" i="29" s="1"/>
  <c r="AJ242" i="29"/>
  <c r="AK242" i="29" s="1"/>
  <c r="AJ124" i="29"/>
  <c r="AK124" i="29" s="1"/>
  <c r="AJ396" i="29"/>
  <c r="AK396" i="29" s="1"/>
  <c r="AJ576" i="29"/>
  <c r="AK576" i="29" s="1"/>
  <c r="AJ466" i="29"/>
  <c r="AK466" i="29" s="1"/>
  <c r="AJ425" i="29"/>
  <c r="AK425" i="29" s="1"/>
  <c r="AJ395" i="29"/>
  <c r="AK395" i="29" s="1"/>
  <c r="AJ518" i="29"/>
  <c r="AK518" i="29" s="1"/>
  <c r="BI8" i="19"/>
  <c r="BC8" i="19"/>
  <c r="AJ389" i="29"/>
  <c r="AK389" i="29" s="1"/>
  <c r="AJ390" i="29"/>
  <c r="AK390" i="29" s="1"/>
  <c r="AJ327" i="29"/>
  <c r="AK327" i="29" s="1"/>
  <c r="AH46" i="29"/>
  <c r="AJ472" i="29"/>
  <c r="AK472" i="29" s="1"/>
  <c r="AJ64" i="29"/>
  <c r="AK64" i="29" s="1"/>
  <c r="AJ29" i="29"/>
  <c r="AK29" i="29" s="1"/>
  <c r="AJ326" i="29"/>
  <c r="AK326" i="29" s="1"/>
  <c r="AJ471" i="29"/>
  <c r="AK471" i="29" s="1"/>
  <c r="AJ257" i="29"/>
  <c r="AK257" i="29" s="1"/>
  <c r="AJ503" i="29"/>
  <c r="AK503" i="29" s="1"/>
  <c r="AJ411" i="29"/>
  <c r="AK411" i="29" s="1"/>
  <c r="AG628" i="29"/>
  <c r="AJ452" i="29"/>
  <c r="AK452" i="29" s="1"/>
  <c r="AJ96" i="29"/>
  <c r="AK96" i="29" s="1"/>
  <c r="AA527" i="29"/>
  <c r="AJ451" i="29"/>
  <c r="AK451" i="29" s="1"/>
  <c r="AJ434" i="29"/>
  <c r="AK434" i="29" s="1"/>
  <c r="AJ435" i="29"/>
  <c r="AK435" i="29" s="1"/>
  <c r="AA425" i="29"/>
  <c r="AH628" i="29"/>
  <c r="W628" i="29"/>
  <c r="AJ108" i="29"/>
  <c r="AK108" i="29" s="1"/>
  <c r="X628" i="29"/>
  <c r="Y628" i="29" s="1"/>
  <c r="BG8" i="19"/>
  <c r="BS8" i="19"/>
  <c r="AZ8" i="19"/>
  <c r="BL8" i="19" s="1"/>
  <c r="BM8" i="19" s="1"/>
  <c r="BZ8" i="19" s="1"/>
  <c r="BA8" i="19"/>
  <c r="BE8" i="19"/>
  <c r="BH8" i="19"/>
  <c r="BB8" i="19"/>
  <c r="BK8" i="19"/>
  <c r="BF8" i="19"/>
  <c r="BJ8" i="19"/>
  <c r="D60" i="1"/>
  <c r="AZ6" i="19"/>
  <c r="BL6" i="19" s="1"/>
  <c r="BM6" i="19" s="1"/>
  <c r="BZ6" i="19" s="1"/>
  <c r="BK6" i="19"/>
  <c r="BE6" i="19"/>
  <c r="CH301" i="24"/>
  <c r="W136" i="25"/>
  <c r="Z136" i="25" s="1"/>
  <c r="AA136" i="25" s="1"/>
  <c r="AB136" i="25" s="1"/>
  <c r="AJ541" i="29"/>
  <c r="AK541" i="29" s="1"/>
  <c r="AJ540" i="29"/>
  <c r="AK540" i="29" s="1"/>
  <c r="AJ487" i="29"/>
  <c r="AK487" i="29" s="1"/>
  <c r="BB212" i="24"/>
  <c r="U212" i="24"/>
  <c r="V212" i="24" s="1"/>
  <c r="BF6" i="19"/>
  <c r="BC6" i="19"/>
  <c r="V136" i="25"/>
  <c r="X136" i="25" s="1"/>
  <c r="BG6" i="19"/>
  <c r="BS6" i="19"/>
  <c r="BI6" i="19"/>
  <c r="BJ6" i="19"/>
  <c r="BH6" i="19"/>
  <c r="BA6" i="19"/>
  <c r="BD6" i="19"/>
  <c r="W143" i="25"/>
  <c r="Z143" i="25" s="1"/>
  <c r="AA143" i="25" s="1"/>
  <c r="AB143" i="25" s="1"/>
  <c r="BA7" i="19"/>
  <c r="BJ7" i="19"/>
  <c r="AJ415" i="29"/>
  <c r="AK415" i="29" s="1"/>
  <c r="Q232" i="24"/>
  <c r="AA194" i="29"/>
  <c r="AJ110" i="24"/>
  <c r="AT110" i="24" s="1"/>
  <c r="AG110" i="24"/>
  <c r="AN110" i="24" s="1"/>
  <c r="AJ577" i="29"/>
  <c r="AK577" i="29" s="1"/>
  <c r="Q253" i="24"/>
  <c r="Q236" i="24"/>
  <c r="AJ478" i="29"/>
  <c r="AK478" i="29" s="1"/>
  <c r="Q224" i="24"/>
  <c r="Q277" i="24"/>
  <c r="AJ544" i="29"/>
  <c r="AK544" i="29" s="1"/>
  <c r="Q316" i="24"/>
  <c r="Q258" i="24"/>
  <c r="Q305" i="24"/>
  <c r="AJ373" i="29"/>
  <c r="AK373" i="29" s="1"/>
  <c r="Q275" i="24"/>
  <c r="AJ142" i="29"/>
  <c r="AK142" i="29" s="1"/>
  <c r="Q303" i="24"/>
  <c r="AA594" i="29"/>
  <c r="Q295" i="24"/>
  <c r="Q240" i="24"/>
  <c r="Q221" i="24"/>
  <c r="Q250" i="24"/>
  <c r="AJ613" i="29"/>
  <c r="AK613" i="29" s="1"/>
  <c r="AJ413" i="29"/>
  <c r="AK413" i="29" s="1"/>
  <c r="Q306" i="24"/>
  <c r="AJ412" i="29"/>
  <c r="AK412" i="29" s="1"/>
  <c r="Q291" i="24"/>
  <c r="L15" i="1"/>
  <c r="Q281" i="24"/>
  <c r="Q226" i="24"/>
  <c r="Q255" i="24"/>
  <c r="Q216" i="24"/>
  <c r="AJ266" i="29"/>
  <c r="AK266" i="29" s="1"/>
  <c r="P216" i="24"/>
  <c r="CG216" i="24" s="1"/>
  <c r="Q230" i="24"/>
  <c r="AJ265" i="29"/>
  <c r="AK265" i="29" s="1"/>
  <c r="Q289" i="24"/>
  <c r="Q244" i="24"/>
  <c r="AJ517" i="29"/>
  <c r="AK517" i="29" s="1"/>
  <c r="Q282" i="24"/>
  <c r="Q252" i="24"/>
  <c r="AJ250" i="29"/>
  <c r="AK250" i="29" s="1"/>
  <c r="AJ251" i="29"/>
  <c r="AK251" i="29" s="1"/>
  <c r="AJ491" i="29"/>
  <c r="AK491" i="29" s="1"/>
  <c r="AJ594" i="29"/>
  <c r="AK594" i="29" s="1"/>
  <c r="AJ492" i="29"/>
  <c r="AK492" i="29" s="1"/>
  <c r="AJ489" i="29"/>
  <c r="AK489" i="29" s="1"/>
  <c r="AJ488" i="29"/>
  <c r="AK488" i="29" s="1"/>
  <c r="AJ194" i="29"/>
  <c r="AK194" i="29" s="1"/>
  <c r="AJ248" i="29"/>
  <c r="AK248" i="29" s="1"/>
  <c r="Q254" i="24"/>
  <c r="Q270" i="24"/>
  <c r="AJ595" i="29"/>
  <c r="AK595" i="29" s="1"/>
  <c r="AJ601" i="29"/>
  <c r="AK601" i="29" s="1"/>
  <c r="Q298" i="24"/>
  <c r="AJ416" i="29"/>
  <c r="AK416" i="29" s="1"/>
  <c r="AI204" i="25"/>
  <c r="AS204" i="25" s="1"/>
  <c r="AJ600" i="29"/>
  <c r="AK600" i="29" s="1"/>
  <c r="Q313" i="24"/>
  <c r="Q285" i="24"/>
  <c r="Q294" i="24"/>
  <c r="Q237" i="24"/>
  <c r="Q293" i="24"/>
  <c r="Q231" i="24"/>
  <c r="Q260" i="24"/>
  <c r="Q233" i="24"/>
  <c r="Q290" i="24"/>
  <c r="Q242" i="24"/>
  <c r="Q274" i="24"/>
  <c r="Q218" i="24"/>
  <c r="Q301" i="24"/>
  <c r="Q271" i="24"/>
  <c r="Q243" i="24"/>
  <c r="Q296" i="24"/>
  <c r="Q251" i="24"/>
  <c r="Q269" i="24"/>
  <c r="Q249" i="24"/>
  <c r="Q219" i="24"/>
  <c r="Q248" i="24"/>
  <c r="Q256" i="24"/>
  <c r="Q287" i="24"/>
  <c r="Q262" i="24"/>
  <c r="Q304" i="24"/>
  <c r="Q227" i="24"/>
  <c r="Q247" i="24"/>
  <c r="Q246" i="24"/>
  <c r="Q263" i="24"/>
  <c r="Q257" i="24"/>
  <c r="Q297" i="24"/>
  <c r="Q311" i="24"/>
  <c r="Q235" i="24"/>
  <c r="Q217" i="24"/>
  <c r="Q314" i="24"/>
  <c r="Q228" i="24"/>
  <c r="Q278" i="24"/>
  <c r="Q308" i="24"/>
  <c r="Q272" i="24"/>
  <c r="Q310" i="24"/>
  <c r="Q225" i="24"/>
  <c r="Q265" i="24"/>
  <c r="Q283" i="24"/>
  <c r="Q280" i="24"/>
  <c r="Q292" i="24"/>
  <c r="Q300" i="24"/>
  <c r="Q279" i="24"/>
  <c r="Q220" i="24"/>
  <c r="AJ81" i="29"/>
  <c r="AK81" i="29" s="1"/>
  <c r="AA82" i="29"/>
  <c r="AJ241" i="29"/>
  <c r="AK241" i="29" s="1"/>
  <c r="AA503" i="29"/>
  <c r="AJ502" i="29"/>
  <c r="AK502" i="29" s="1"/>
  <c r="AJ284" i="29"/>
  <c r="AK284" i="29" s="1"/>
  <c r="AJ319" i="29"/>
  <c r="AK319" i="29" s="1"/>
  <c r="AG229" i="29"/>
  <c r="AA319" i="29"/>
  <c r="AJ516" i="29"/>
  <c r="AK516" i="29" s="1"/>
  <c r="AO206" i="25"/>
  <c r="AJ336" i="29"/>
  <c r="AK336" i="29" s="1"/>
  <c r="AA275" i="29"/>
  <c r="AJ275" i="29"/>
  <c r="AK275" i="29" s="1"/>
  <c r="AJ566" i="29"/>
  <c r="AK566" i="29" s="1"/>
  <c r="Q284" i="24"/>
  <c r="AJ444" i="29"/>
  <c r="AK444" i="29" s="1"/>
  <c r="AJ358" i="29"/>
  <c r="AK358" i="29" s="1"/>
  <c r="AJ359" i="29"/>
  <c r="AK359" i="29" s="1"/>
  <c r="AJ246" i="29"/>
  <c r="AK246" i="29" s="1"/>
  <c r="AJ247" i="29"/>
  <c r="AK247" i="29" s="1"/>
  <c r="AJ513" i="29"/>
  <c r="AK513" i="29" s="1"/>
  <c r="CD18" i="25"/>
  <c r="W302" i="25"/>
  <c r="Z302" i="25" s="1"/>
  <c r="AA302" i="25" s="1"/>
  <c r="AB302" i="25" s="1"/>
  <c r="AI302" i="25" s="1"/>
  <c r="AS302" i="25" s="1"/>
  <c r="AD132" i="25"/>
  <c r="AF132" i="25" s="1"/>
  <c r="V127" i="25"/>
  <c r="X127" i="25" s="1"/>
  <c r="AD119" i="25"/>
  <c r="AF119" i="25" s="1"/>
  <c r="V114" i="25"/>
  <c r="X114" i="25" s="1"/>
  <c r="W127" i="25"/>
  <c r="Z127" i="25" s="1"/>
  <c r="AA127" i="25" s="1"/>
  <c r="AB127" i="25" s="1"/>
  <c r="CD105" i="25"/>
  <c r="W265" i="25"/>
  <c r="Z265" i="25" s="1"/>
  <c r="AA265" i="25" s="1"/>
  <c r="AB265" i="25" s="1"/>
  <c r="AO105" i="25"/>
  <c r="AZ9" i="19"/>
  <c r="BL9" i="19" s="1"/>
  <c r="BM9" i="19" s="1"/>
  <c r="BZ9" i="19" s="1"/>
  <c r="BE7" i="19"/>
  <c r="BJ9" i="19"/>
  <c r="AZ7" i="19"/>
  <c r="BL7" i="19" s="1"/>
  <c r="BM7" i="19" s="1"/>
  <c r="BZ7" i="19" s="1"/>
  <c r="BD9" i="19"/>
  <c r="BK7" i="19"/>
  <c r="BF7" i="19"/>
  <c r="BB9" i="19"/>
  <c r="BH9" i="19"/>
  <c r="W195" i="25"/>
  <c r="Z195" i="25" s="1"/>
  <c r="AA195" i="25" s="1"/>
  <c r="AB195" i="25" s="1"/>
  <c r="V178" i="25"/>
  <c r="X178" i="25" s="1"/>
  <c r="BI7" i="19"/>
  <c r="BG7" i="19"/>
  <c r="BC9" i="19"/>
  <c r="BI9" i="19"/>
  <c r="BC7" i="19"/>
  <c r="BD7" i="19"/>
  <c r="BA9" i="19"/>
  <c r="BF9" i="19"/>
  <c r="BG9" i="19"/>
  <c r="AD174" i="25"/>
  <c r="AE174" i="25" s="1"/>
  <c r="CD20" i="25"/>
  <c r="BB7" i="19"/>
  <c r="BS9" i="19"/>
  <c r="BS7" i="19"/>
  <c r="BK9" i="19"/>
  <c r="AD178" i="25"/>
  <c r="AF178" i="25" s="1"/>
  <c r="CD113" i="25"/>
  <c r="V202" i="25"/>
  <c r="X202" i="25" s="1"/>
  <c r="AJ334" i="29"/>
  <c r="AK334" i="29" s="1"/>
  <c r="AJ457" i="29"/>
  <c r="AK457" i="29" s="1"/>
  <c r="AJ456" i="29"/>
  <c r="AK456" i="29" s="1"/>
  <c r="AA335" i="29"/>
  <c r="AJ344" i="29"/>
  <c r="AK344" i="29" s="1"/>
  <c r="AJ345" i="29"/>
  <c r="AK345" i="29" s="1"/>
  <c r="AA125" i="29"/>
  <c r="CD11" i="25"/>
  <c r="W128" i="25"/>
  <c r="Z128" i="25" s="1"/>
  <c r="AA128" i="25" s="1"/>
  <c r="AB128" i="25" s="1"/>
  <c r="W209" i="25"/>
  <c r="Z209" i="25" s="1"/>
  <c r="AA209" i="25" s="1"/>
  <c r="AB209" i="25" s="1"/>
  <c r="AO91" i="25"/>
  <c r="CD59" i="25"/>
  <c r="R216" i="25"/>
  <c r="AD142" i="25"/>
  <c r="AE142" i="25" s="1"/>
  <c r="AD164" i="25"/>
  <c r="AE164" i="25" s="1"/>
  <c r="AD311" i="25"/>
  <c r="AE311" i="25" s="1"/>
  <c r="AO216" i="25"/>
  <c r="AD278" i="25"/>
  <c r="AF278" i="25" s="1"/>
  <c r="V181" i="25"/>
  <c r="X181" i="25" s="1"/>
  <c r="CD8" i="25"/>
  <c r="AD257" i="25"/>
  <c r="AF257" i="25" s="1"/>
  <c r="W165" i="25"/>
  <c r="Z165" i="25" s="1"/>
  <c r="AA165" i="25" s="1"/>
  <c r="AB165" i="25" s="1"/>
  <c r="AD165" i="25"/>
  <c r="W181" i="25"/>
  <c r="Z181" i="25" s="1"/>
  <c r="AA181" i="25" s="1"/>
  <c r="AB181" i="25" s="1"/>
  <c r="AD157" i="25"/>
  <c r="AE157" i="25" s="1"/>
  <c r="AD122" i="25"/>
  <c r="AE122" i="25" s="1"/>
  <c r="AD186" i="25"/>
  <c r="AE186" i="25" s="1"/>
  <c r="W177" i="25"/>
  <c r="Z177" i="25" s="1"/>
  <c r="AA177" i="25" s="1"/>
  <c r="AB177" i="25" s="1"/>
  <c r="AD125" i="25"/>
  <c r="AE125" i="25" s="1"/>
  <c r="AD162" i="25"/>
  <c r="AF162" i="25" s="1"/>
  <c r="AD166" i="25"/>
  <c r="AE166" i="25" s="1"/>
  <c r="AD145" i="25"/>
  <c r="AE145" i="25" s="1"/>
  <c r="AD147" i="25"/>
  <c r="AF147" i="25" s="1"/>
  <c r="CD205" i="25"/>
  <c r="AD167" i="25"/>
  <c r="AF167" i="25" s="1"/>
  <c r="V166" i="25"/>
  <c r="X166" i="25" s="1"/>
  <c r="V122" i="25"/>
  <c r="X122" i="25" s="1"/>
  <c r="W193" i="25"/>
  <c r="Z193" i="25" s="1"/>
  <c r="AA193" i="25" s="1"/>
  <c r="AB193" i="25" s="1"/>
  <c r="AD199" i="25"/>
  <c r="AE199" i="25" s="1"/>
  <c r="AD202" i="25"/>
  <c r="AE202" i="25" s="1"/>
  <c r="AD112" i="25"/>
  <c r="AE112" i="25" s="1"/>
  <c r="W146" i="25"/>
  <c r="Z146" i="25" s="1"/>
  <c r="AA146" i="25" s="1"/>
  <c r="AB146" i="25" s="1"/>
  <c r="AI146" i="25" s="1"/>
  <c r="AS146" i="25" s="1"/>
  <c r="V177" i="25"/>
  <c r="X177" i="25" s="1"/>
  <c r="V175" i="25"/>
  <c r="X175" i="25" s="1"/>
  <c r="W171" i="25"/>
  <c r="Z171" i="25" s="1"/>
  <c r="AA171" i="25" s="1"/>
  <c r="AB171" i="25" s="1"/>
  <c r="CD104" i="25"/>
  <c r="AO104" i="25"/>
  <c r="CD92" i="25"/>
  <c r="CD86" i="25"/>
  <c r="AO14" i="25"/>
  <c r="CD45" i="25"/>
  <c r="CD96" i="25"/>
  <c r="CD100" i="25"/>
  <c r="AO99" i="25"/>
  <c r="CD77" i="25"/>
  <c r="AO44" i="25"/>
  <c r="AO8" i="25"/>
  <c r="CG36" i="24"/>
  <c r="CH31" i="24"/>
  <c r="CD55" i="25"/>
  <c r="AO101" i="25"/>
  <c r="AO84" i="25"/>
  <c r="AO82" i="25"/>
  <c r="AO54" i="25"/>
  <c r="L91" i="23"/>
  <c r="M91" i="23" s="1"/>
  <c r="V256" i="25"/>
  <c r="X256" i="25" s="1"/>
  <c r="K23" i="23"/>
  <c r="M23" i="23" s="1"/>
  <c r="W222" i="25"/>
  <c r="Z222" i="25" s="1"/>
  <c r="AA222" i="25" s="1"/>
  <c r="AB222" i="25" s="1"/>
  <c r="L16" i="23"/>
  <c r="M16" i="23" s="1"/>
  <c r="AD292" i="25"/>
  <c r="AE292" i="25" s="1"/>
  <c r="AD264" i="25"/>
  <c r="AF264" i="25" s="1"/>
  <c r="AD248" i="25"/>
  <c r="AE248" i="25" s="1"/>
  <c r="Q216" i="25"/>
  <c r="V232" i="25"/>
  <c r="X232" i="25" s="1"/>
  <c r="AD296" i="25"/>
  <c r="AE296" i="25" s="1"/>
  <c r="W256" i="25"/>
  <c r="Z256" i="25" s="1"/>
  <c r="AA256" i="25" s="1"/>
  <c r="AB256" i="25" s="1"/>
  <c r="W300" i="25"/>
  <c r="Z300" i="25" s="1"/>
  <c r="AA300" i="25" s="1"/>
  <c r="AB300" i="25" s="1"/>
  <c r="AD300" i="25"/>
  <c r="AD219" i="25"/>
  <c r="AE219" i="25" s="1"/>
  <c r="AD254" i="25"/>
  <c r="AE254" i="25" s="1"/>
  <c r="W185" i="25"/>
  <c r="Z185" i="25" s="1"/>
  <c r="AA185" i="25" s="1"/>
  <c r="AB185" i="25" s="1"/>
  <c r="V185" i="25"/>
  <c r="X185" i="25" s="1"/>
  <c r="W188" i="25"/>
  <c r="Z188" i="25" s="1"/>
  <c r="AA188" i="25" s="1"/>
  <c r="AB188" i="25" s="1"/>
  <c r="AI188" i="25" s="1"/>
  <c r="AS188" i="25" s="1"/>
  <c r="AD207" i="25"/>
  <c r="AF207" i="25" s="1"/>
  <c r="W196" i="25"/>
  <c r="Z196" i="25" s="1"/>
  <c r="AA196" i="25" s="1"/>
  <c r="AB196" i="25" s="1"/>
  <c r="W149" i="25"/>
  <c r="Z149" i="25" s="1"/>
  <c r="AA149" i="25" s="1"/>
  <c r="AB149" i="25" s="1"/>
  <c r="W138" i="25"/>
  <c r="Z138" i="25" s="1"/>
  <c r="AA138" i="25" s="1"/>
  <c r="AB138" i="25" s="1"/>
  <c r="K41" i="23"/>
  <c r="M41" i="23" s="1"/>
  <c r="V149" i="25"/>
  <c r="X149" i="25" s="1"/>
  <c r="W201" i="25"/>
  <c r="Z201" i="25" s="1"/>
  <c r="AA201" i="25" s="1"/>
  <c r="AB201" i="25" s="1"/>
  <c r="W172" i="25"/>
  <c r="Z172" i="25" s="1"/>
  <c r="AA172" i="25" s="1"/>
  <c r="AB172" i="25" s="1"/>
  <c r="V197" i="25"/>
  <c r="X197" i="25" s="1"/>
  <c r="AD160" i="25"/>
  <c r="AF160" i="25" s="1"/>
  <c r="CD176" i="25"/>
  <c r="W169" i="25"/>
  <c r="Z169" i="25" s="1"/>
  <c r="AA169" i="25" s="1"/>
  <c r="AB169" i="25" s="1"/>
  <c r="CD141" i="25"/>
  <c r="V207" i="25"/>
  <c r="X207" i="25" s="1"/>
  <c r="V138" i="25"/>
  <c r="X138" i="25" s="1"/>
  <c r="AD175" i="25"/>
  <c r="AE175" i="25" s="1"/>
  <c r="CD183" i="25"/>
  <c r="W155" i="25"/>
  <c r="Z155" i="25" s="1"/>
  <c r="AA155" i="25" s="1"/>
  <c r="AB155" i="25" s="1"/>
  <c r="AD170" i="25"/>
  <c r="AE170" i="25" s="1"/>
  <c r="V111" i="25"/>
  <c r="X111" i="25" s="1"/>
  <c r="L88" i="23"/>
  <c r="M88" i="23" s="1"/>
  <c r="AD129" i="25"/>
  <c r="AF129" i="25" s="1"/>
  <c r="V147" i="25"/>
  <c r="X147" i="25" s="1"/>
  <c r="V170" i="25"/>
  <c r="X170" i="25" s="1"/>
  <c r="W111" i="25"/>
  <c r="Z111" i="25" s="1"/>
  <c r="AA111" i="25" s="1"/>
  <c r="AB111" i="25" s="1"/>
  <c r="V191" i="25"/>
  <c r="X191" i="25" s="1"/>
  <c r="K59" i="23"/>
  <c r="M59" i="23" s="1"/>
  <c r="CD142" i="25"/>
  <c r="W197" i="25"/>
  <c r="Z197" i="25" s="1"/>
  <c r="AA197" i="25" s="1"/>
  <c r="AB197" i="25" s="1"/>
  <c r="V171" i="25"/>
  <c r="X171" i="25" s="1"/>
  <c r="V163" i="25"/>
  <c r="X163" i="25" s="1"/>
  <c r="W163" i="25"/>
  <c r="Z163" i="25" s="1"/>
  <c r="AA163" i="25" s="1"/>
  <c r="AB163" i="25" s="1"/>
  <c r="AD126" i="25"/>
  <c r="AE126" i="25" s="1"/>
  <c r="W176" i="25"/>
  <c r="Z176" i="25" s="1"/>
  <c r="AA176" i="25" s="1"/>
  <c r="AB176" i="25" s="1"/>
  <c r="W203" i="25"/>
  <c r="Z203" i="25" s="1"/>
  <c r="AA203" i="25" s="1"/>
  <c r="AB203" i="25" s="1"/>
  <c r="W187" i="25"/>
  <c r="Z187" i="25" s="1"/>
  <c r="AA187" i="25" s="1"/>
  <c r="AB187" i="25" s="1"/>
  <c r="AO182" i="25"/>
  <c r="W148" i="25"/>
  <c r="Z148" i="25" s="1"/>
  <c r="AA148" i="25" s="1"/>
  <c r="AB148" i="25" s="1"/>
  <c r="V143" i="25"/>
  <c r="X143" i="25" s="1"/>
  <c r="AO183" i="25"/>
  <c r="V150" i="25"/>
  <c r="X150" i="25" s="1"/>
  <c r="AD114" i="25"/>
  <c r="AE114" i="25" s="1"/>
  <c r="V162" i="25"/>
  <c r="X162" i="25" s="1"/>
  <c r="W150" i="25"/>
  <c r="Z150" i="25" s="1"/>
  <c r="AA150" i="25" s="1"/>
  <c r="AB150" i="25" s="1"/>
  <c r="K81" i="23"/>
  <c r="M81" i="23" s="1"/>
  <c r="AD124" i="25"/>
  <c r="AF124" i="25" s="1"/>
  <c r="CD164" i="25"/>
  <c r="AD205" i="25"/>
  <c r="AE205" i="25" s="1"/>
  <c r="V132" i="25"/>
  <c r="X132" i="25" s="1"/>
  <c r="W205" i="25"/>
  <c r="Z205" i="25" s="1"/>
  <c r="AA205" i="25" s="1"/>
  <c r="AB205" i="25" s="1"/>
  <c r="W191" i="25"/>
  <c r="Z191" i="25" s="1"/>
  <c r="AA191" i="25" s="1"/>
  <c r="AB191" i="25" s="1"/>
  <c r="CD78" i="25"/>
  <c r="CD41" i="25"/>
  <c r="AO192" i="25"/>
  <c r="AO97" i="25"/>
  <c r="V196" i="25"/>
  <c r="X196" i="25" s="1"/>
  <c r="CD137" i="25"/>
  <c r="AO86" i="25"/>
  <c r="AO90" i="25"/>
  <c r="CD95" i="25"/>
  <c r="K36" i="23"/>
  <c r="M36" i="23" s="1"/>
  <c r="L62" i="23"/>
  <c r="M62" i="23" s="1"/>
  <c r="W234" i="25"/>
  <c r="Z234" i="25" s="1"/>
  <c r="AA234" i="25" s="1"/>
  <c r="AB234" i="25" s="1"/>
  <c r="AD228" i="25"/>
  <c r="AE228" i="25" s="1"/>
  <c r="AD237" i="25"/>
  <c r="AF237" i="25" s="1"/>
  <c r="L33" i="23"/>
  <c r="M33" i="23" s="1"/>
  <c r="V261" i="25"/>
  <c r="X261" i="25" s="1"/>
  <c r="W240" i="25"/>
  <c r="Z240" i="25" s="1"/>
  <c r="AA240" i="25" s="1"/>
  <c r="AB240" i="25" s="1"/>
  <c r="K7" i="23"/>
  <c r="M7" i="23" s="1"/>
  <c r="L38" i="23"/>
  <c r="K38" i="23"/>
  <c r="AD261" i="25"/>
  <c r="AE261" i="25" s="1"/>
  <c r="W288" i="25"/>
  <c r="Z288" i="25" s="1"/>
  <c r="AA288" i="25" s="1"/>
  <c r="AB288" i="25" s="1"/>
  <c r="AD227" i="25"/>
  <c r="AE227" i="25" s="1"/>
  <c r="AD231" i="25"/>
  <c r="AF231" i="25" s="1"/>
  <c r="AD312" i="25"/>
  <c r="AF312" i="25" s="1"/>
  <c r="AD225" i="25"/>
  <c r="AE225" i="25" s="1"/>
  <c r="V304" i="25"/>
  <c r="X304" i="25" s="1"/>
  <c r="W307" i="25"/>
  <c r="Z307" i="25" s="1"/>
  <c r="AA307" i="25" s="1"/>
  <c r="AB307" i="25" s="1"/>
  <c r="AI307" i="25" s="1"/>
  <c r="AS307" i="25" s="1"/>
  <c r="W270" i="25"/>
  <c r="Z270" i="25" s="1"/>
  <c r="AA270" i="25" s="1"/>
  <c r="AB270" i="25" s="1"/>
  <c r="AD273" i="25"/>
  <c r="AE273" i="25" s="1"/>
  <c r="AD242" i="25"/>
  <c r="AE242" i="25" s="1"/>
  <c r="W305" i="25"/>
  <c r="Z305" i="25" s="1"/>
  <c r="AA305" i="25" s="1"/>
  <c r="AB305" i="25" s="1"/>
  <c r="W295" i="25"/>
  <c r="Z295" i="25" s="1"/>
  <c r="AA295" i="25" s="1"/>
  <c r="AB295" i="25" s="1"/>
  <c r="AO287" i="25"/>
  <c r="V220" i="25"/>
  <c r="X220" i="25" s="1"/>
  <c r="V218" i="25"/>
  <c r="X218" i="25" s="1"/>
  <c r="W274" i="25"/>
  <c r="Z274" i="25" s="1"/>
  <c r="AA274" i="25" s="1"/>
  <c r="AB274" i="25" s="1"/>
  <c r="W218" i="25"/>
  <c r="Z218" i="25" s="1"/>
  <c r="AA218" i="25" s="1"/>
  <c r="AB218" i="25" s="1"/>
  <c r="W279" i="25"/>
  <c r="Z279" i="25" s="1"/>
  <c r="AA279" i="25" s="1"/>
  <c r="AB279" i="25" s="1"/>
  <c r="V234" i="25"/>
  <c r="X234" i="25" s="1"/>
  <c r="K94" i="23"/>
  <c r="L94" i="23"/>
  <c r="W299" i="25"/>
  <c r="Z299" i="25" s="1"/>
  <c r="AA299" i="25" s="1"/>
  <c r="AB299" i="25" s="1"/>
  <c r="W230" i="25"/>
  <c r="Z230" i="25" s="1"/>
  <c r="AA230" i="25" s="1"/>
  <c r="AB230" i="25" s="1"/>
  <c r="W297" i="25"/>
  <c r="Z297" i="25" s="1"/>
  <c r="AA297" i="25" s="1"/>
  <c r="AB297" i="25" s="1"/>
  <c r="V227" i="25"/>
  <c r="X227" i="25" s="1"/>
  <c r="V222" i="25"/>
  <c r="X222" i="25" s="1"/>
  <c r="K103" i="23"/>
  <c r="L103" i="23"/>
  <c r="K35" i="23"/>
  <c r="M35" i="23" s="1"/>
  <c r="L12" i="23"/>
  <c r="K12" i="23"/>
  <c r="W249" i="25"/>
  <c r="Z249" i="25" s="1"/>
  <c r="AA249" i="25" s="1"/>
  <c r="AB249" i="25" s="1"/>
  <c r="V278" i="25"/>
  <c r="X278" i="25" s="1"/>
  <c r="AJ542" i="29"/>
  <c r="AK542" i="29" s="1"/>
  <c r="AA400" i="29"/>
  <c r="AJ399" i="29"/>
  <c r="AK399" i="29" s="1"/>
  <c r="AJ56" i="29"/>
  <c r="AK56" i="29" s="1"/>
  <c r="AA56" i="29"/>
  <c r="AJ55" i="29"/>
  <c r="AK55" i="29" s="1"/>
  <c r="AJ543" i="29"/>
  <c r="AK543" i="29" s="1"/>
  <c r="L22" i="23"/>
  <c r="K22" i="23"/>
  <c r="V156" i="25"/>
  <c r="X156" i="25" s="1"/>
  <c r="V169" i="25"/>
  <c r="X169" i="25" s="1"/>
  <c r="AJ519" i="29"/>
  <c r="AK519" i="29" s="1"/>
  <c r="AA520" i="29"/>
  <c r="AA612" i="29"/>
  <c r="AJ612" i="29"/>
  <c r="AK612" i="29" s="1"/>
  <c r="AJ611" i="29"/>
  <c r="AK611" i="29" s="1"/>
  <c r="AA301" i="29"/>
  <c r="AJ301" i="29"/>
  <c r="AK301" i="29" s="1"/>
  <c r="AJ300" i="29"/>
  <c r="AK300" i="29" s="1"/>
  <c r="CD14" i="25"/>
  <c r="AJ474" i="29"/>
  <c r="AK474" i="29" s="1"/>
  <c r="AJ475" i="29"/>
  <c r="AK475" i="29" s="1"/>
  <c r="AA475" i="29"/>
  <c r="L77" i="23"/>
  <c r="K77" i="23"/>
  <c r="K60" i="23"/>
  <c r="L60" i="23"/>
  <c r="K55" i="23"/>
  <c r="L55" i="23"/>
  <c r="L58" i="23"/>
  <c r="K58" i="23"/>
  <c r="K47" i="23"/>
  <c r="L47" i="23"/>
  <c r="V310" i="25"/>
  <c r="X310" i="25" s="1"/>
  <c r="K79" i="23"/>
  <c r="L79" i="23"/>
  <c r="L64" i="23"/>
  <c r="K64" i="23"/>
  <c r="K49" i="23"/>
  <c r="L49" i="23"/>
  <c r="AD310" i="25"/>
  <c r="AE310" i="25" s="1"/>
  <c r="L19" i="23"/>
  <c r="K19" i="23"/>
  <c r="W232" i="25"/>
  <c r="Z232" i="25" s="1"/>
  <c r="AA232" i="25" s="1"/>
  <c r="AB232" i="25" s="1"/>
  <c r="V270" i="25"/>
  <c r="X270" i="25" s="1"/>
  <c r="V253" i="25"/>
  <c r="X253" i="25" s="1"/>
  <c r="V243" i="25"/>
  <c r="X243" i="25" s="1"/>
  <c r="L74" i="23"/>
  <c r="K74" i="23"/>
  <c r="K20" i="23"/>
  <c r="L20" i="23"/>
  <c r="AD232" i="25"/>
  <c r="AO290" i="25"/>
  <c r="L29" i="23"/>
  <c r="K29" i="23"/>
  <c r="K26" i="23"/>
  <c r="L26" i="23"/>
  <c r="K68" i="23"/>
  <c r="L68" i="23"/>
  <c r="V276" i="25"/>
  <c r="X276" i="25" s="1"/>
  <c r="AD258" i="25"/>
  <c r="AF258" i="25" s="1"/>
  <c r="V250" i="25"/>
  <c r="X250" i="25" s="1"/>
  <c r="W261" i="25"/>
  <c r="Z261" i="25" s="1"/>
  <c r="AA261" i="25" s="1"/>
  <c r="AB261" i="25" s="1"/>
  <c r="V286" i="25"/>
  <c r="X286" i="25" s="1"/>
  <c r="AO313" i="25"/>
  <c r="AD250" i="25"/>
  <c r="AF250" i="25" s="1"/>
  <c r="AD286" i="25"/>
  <c r="AE286" i="25" s="1"/>
  <c r="W277" i="25"/>
  <c r="Z277" i="25" s="1"/>
  <c r="AA277" i="25" s="1"/>
  <c r="AB277" i="25" s="1"/>
  <c r="W276" i="25"/>
  <c r="Z276" i="25" s="1"/>
  <c r="AA276" i="25" s="1"/>
  <c r="AB276" i="25" s="1"/>
  <c r="AD277" i="25"/>
  <c r="AE277" i="25" s="1"/>
  <c r="W241" i="25"/>
  <c r="Z241" i="25" s="1"/>
  <c r="AA241" i="25" s="1"/>
  <c r="AB241" i="25" s="1"/>
  <c r="AI241" i="25" s="1"/>
  <c r="AS241" i="25" s="1"/>
  <c r="W253" i="25"/>
  <c r="Z253" i="25" s="1"/>
  <c r="AA253" i="25" s="1"/>
  <c r="AB253" i="25" s="1"/>
  <c r="AD220" i="25"/>
  <c r="AE220" i="25" s="1"/>
  <c r="AD260" i="25"/>
  <c r="AE260" i="25" s="1"/>
  <c r="V254" i="25"/>
  <c r="X254" i="25" s="1"/>
  <c r="V312" i="25"/>
  <c r="X312" i="25" s="1"/>
  <c r="V284" i="25"/>
  <c r="X284" i="25" s="1"/>
  <c r="AI228" i="25"/>
  <c r="AS228" i="25" s="1"/>
  <c r="V217" i="25"/>
  <c r="X217" i="25" s="1"/>
  <c r="V242" i="25"/>
  <c r="X242" i="25" s="1"/>
  <c r="V241" i="25"/>
  <c r="X241" i="25" s="1"/>
  <c r="AD284" i="25"/>
  <c r="AE284" i="25" s="1"/>
  <c r="W217" i="25"/>
  <c r="Z217" i="25" s="1"/>
  <c r="AA217" i="25" s="1"/>
  <c r="AB217" i="25" s="1"/>
  <c r="W284" i="25"/>
  <c r="Z284" i="25" s="1"/>
  <c r="AA284" i="25" s="1"/>
  <c r="AB284" i="25" s="1"/>
  <c r="V252" i="25"/>
  <c r="X252" i="25" s="1"/>
  <c r="AD281" i="25"/>
  <c r="AE281" i="25" s="1"/>
  <c r="AD243" i="25"/>
  <c r="AE243" i="25" s="1"/>
  <c r="V248" i="25"/>
  <c r="X248" i="25" s="1"/>
  <c r="V188" i="25"/>
  <c r="X188" i="25" s="1"/>
  <c r="CD21" i="25"/>
  <c r="AJ237" i="29"/>
  <c r="AK237" i="29" s="1"/>
  <c r="AD263" i="25"/>
  <c r="AF263" i="25" s="1"/>
  <c r="AO283" i="25"/>
  <c r="AJ285" i="29"/>
  <c r="AK285" i="29" s="1"/>
  <c r="AJ289" i="29"/>
  <c r="AK289" i="29" s="1"/>
  <c r="AJ384" i="29"/>
  <c r="AK384" i="29" s="1"/>
  <c r="AA384" i="29"/>
  <c r="AJ383" i="29"/>
  <c r="AK383" i="29" s="1"/>
  <c r="K84" i="23"/>
  <c r="M84" i="23" s="1"/>
  <c r="AJ288" i="29"/>
  <c r="AK288" i="29" s="1"/>
  <c r="AJ236" i="29"/>
  <c r="AK236" i="29" s="1"/>
  <c r="AJ578" i="29"/>
  <c r="AK578" i="29" s="1"/>
  <c r="AA483" i="29"/>
  <c r="AJ483" i="29"/>
  <c r="AK483" i="29" s="1"/>
  <c r="AJ362" i="29"/>
  <c r="AK362" i="29" s="1"/>
  <c r="AA363" i="29"/>
  <c r="AA360" i="29"/>
  <c r="W316" i="25"/>
  <c r="Z316" i="25" s="1"/>
  <c r="AA316" i="25" s="1"/>
  <c r="AB316" i="25" s="1"/>
  <c r="W158" i="25"/>
  <c r="Z158" i="25" s="1"/>
  <c r="AA158" i="25" s="1"/>
  <c r="AB158" i="25" s="1"/>
  <c r="V273" i="25"/>
  <c r="X273" i="25" s="1"/>
  <c r="W252" i="25"/>
  <c r="Z252" i="25" s="1"/>
  <c r="AA252" i="25" s="1"/>
  <c r="AB252" i="25" s="1"/>
  <c r="AD144" i="25"/>
  <c r="AE144" i="25" s="1"/>
  <c r="W298" i="25"/>
  <c r="Z298" i="25" s="1"/>
  <c r="AA298" i="25" s="1"/>
  <c r="AB298" i="25" s="1"/>
  <c r="AO85" i="25"/>
  <c r="AA600" i="29"/>
  <c r="AJ599" i="29"/>
  <c r="AK599" i="29" s="1"/>
  <c r="AJ323" i="29"/>
  <c r="AK323" i="29" s="1"/>
  <c r="AA324" i="29"/>
  <c r="AA441" i="29"/>
  <c r="AJ441" i="29"/>
  <c r="AK441" i="29" s="1"/>
  <c r="CD189" i="25"/>
  <c r="V302" i="25"/>
  <c r="X302" i="25" s="1"/>
  <c r="AD252" i="25"/>
  <c r="AD233" i="25"/>
  <c r="AF233" i="25" s="1"/>
  <c r="W144" i="25"/>
  <c r="Z144" i="25" s="1"/>
  <c r="AA144" i="25" s="1"/>
  <c r="AB144" i="25" s="1"/>
  <c r="AO94" i="25"/>
  <c r="V176" i="25"/>
  <c r="X176" i="25" s="1"/>
  <c r="W156" i="25"/>
  <c r="Z156" i="25" s="1"/>
  <c r="AA156" i="25" s="1"/>
  <c r="AB156" i="25" s="1"/>
  <c r="B246" i="2"/>
  <c r="G246" i="2"/>
  <c r="C246" i="2"/>
  <c r="H246" i="2"/>
  <c r="C43" i="16" s="1"/>
  <c r="F246" i="2"/>
  <c r="AJ258" i="29"/>
  <c r="AK258" i="29" s="1"/>
  <c r="AA608" i="29"/>
  <c r="AJ608" i="29"/>
  <c r="AK608" i="29" s="1"/>
  <c r="AA330" i="29"/>
  <c r="AJ329" i="29"/>
  <c r="AK329" i="29" s="1"/>
  <c r="CD85" i="25"/>
  <c r="CD94" i="25"/>
  <c r="AD156" i="25"/>
  <c r="AE156" i="25" s="1"/>
  <c r="AA259" i="29"/>
  <c r="W180" i="25"/>
  <c r="AJ67" i="29"/>
  <c r="AK67" i="29" s="1"/>
  <c r="CD64" i="25"/>
  <c r="CD82" i="25"/>
  <c r="AA307" i="29"/>
  <c r="CG57" i="24"/>
  <c r="AJ261" i="29"/>
  <c r="AK261" i="29" s="1"/>
  <c r="AA262" i="29"/>
  <c r="AJ262" i="29"/>
  <c r="AK262" i="29" s="1"/>
  <c r="K76" i="23"/>
  <c r="L76" i="23"/>
  <c r="AJ528" i="29"/>
  <c r="AK528" i="29" s="1"/>
  <c r="AA529" i="29"/>
  <c r="CG91" i="24"/>
  <c r="CG8" i="24"/>
  <c r="AA591" i="29"/>
  <c r="AJ591" i="29"/>
  <c r="AK591" i="29" s="1"/>
  <c r="AO59" i="25"/>
  <c r="AA607" i="29"/>
  <c r="AJ607" i="29"/>
  <c r="AK607" i="29" s="1"/>
  <c r="CD97" i="25"/>
  <c r="AP253" i="24"/>
  <c r="CH12" i="24"/>
  <c r="AA480" i="29"/>
  <c r="AJ479" i="29"/>
  <c r="AK479" i="29" s="1"/>
  <c r="AJ447" i="29"/>
  <c r="AK447" i="29" s="1"/>
  <c r="V151" i="25"/>
  <c r="X151" i="25" s="1"/>
  <c r="AA461" i="29"/>
  <c r="AJ460" i="29"/>
  <c r="AK460" i="29" s="1"/>
  <c r="AA532" i="29"/>
  <c r="AJ532" i="29"/>
  <c r="AK532" i="29" s="1"/>
  <c r="AA455" i="29"/>
  <c r="AJ454" i="29"/>
  <c r="AK454" i="29" s="1"/>
  <c r="AA375" i="29"/>
  <c r="AJ374" i="29"/>
  <c r="AK374" i="29" s="1"/>
  <c r="M65" i="23"/>
  <c r="AA432" i="29"/>
  <c r="AJ432" i="29"/>
  <c r="AK432" i="29" s="1"/>
  <c r="AA449" i="29"/>
  <c r="AJ448" i="29"/>
  <c r="AK448" i="29" s="1"/>
  <c r="AA358" i="29"/>
  <c r="AJ357" i="29"/>
  <c r="AK357" i="29" s="1"/>
  <c r="M66" i="23"/>
  <c r="AJ437" i="29"/>
  <c r="AK437" i="29" s="1"/>
  <c r="AA437" i="29"/>
  <c r="AJ436" i="29"/>
  <c r="AK436" i="29" s="1"/>
  <c r="V186" i="25"/>
  <c r="X186" i="25" s="1"/>
  <c r="AA462" i="29"/>
  <c r="AJ462" i="29"/>
  <c r="AK462" i="29" s="1"/>
  <c r="AJ461" i="29"/>
  <c r="AK461" i="29" s="1"/>
  <c r="AA352" i="29"/>
  <c r="AJ352" i="29"/>
  <c r="AK352" i="29" s="1"/>
  <c r="AA571" i="29"/>
  <c r="AJ571" i="29"/>
  <c r="AK571" i="29" s="1"/>
  <c r="AJ438" i="29"/>
  <c r="AK438" i="29" s="1"/>
  <c r="AA439" i="29"/>
  <c r="AA380" i="29"/>
  <c r="AJ379" i="29"/>
  <c r="AK379" i="29" s="1"/>
  <c r="AA420" i="29"/>
  <c r="AJ419" i="29"/>
  <c r="AK419" i="29" s="1"/>
  <c r="AA341" i="29"/>
  <c r="AJ340" i="29"/>
  <c r="AK340" i="29" s="1"/>
  <c r="AO74" i="25"/>
  <c r="AO21" i="25"/>
  <c r="V245" i="25"/>
  <c r="X245" i="25" s="1"/>
  <c r="AJ579" i="29"/>
  <c r="AK579" i="29" s="1"/>
  <c r="AA317" i="29"/>
  <c r="AJ316" i="29"/>
  <c r="AK316" i="29" s="1"/>
  <c r="AA539" i="29"/>
  <c r="AJ538" i="29"/>
  <c r="AK538" i="29" s="1"/>
  <c r="AJ539" i="29"/>
  <c r="AK539" i="29" s="1"/>
  <c r="S212" i="24"/>
  <c r="T212" i="24" s="1"/>
  <c r="Q212" i="24"/>
  <c r="AM212" i="24"/>
  <c r="H212" i="24"/>
  <c r="AO255" i="25"/>
  <c r="V204" i="25"/>
  <c r="X204" i="25" s="1"/>
  <c r="CD185" i="25"/>
  <c r="AO315" i="25"/>
  <c r="AD204" i="25"/>
  <c r="AE204" i="25" s="1"/>
  <c r="V219" i="25"/>
  <c r="X219" i="25" s="1"/>
  <c r="W137" i="25"/>
  <c r="Z137" i="25" s="1"/>
  <c r="AA137" i="25" s="1"/>
  <c r="AB137" i="25" s="1"/>
  <c r="CD161" i="25"/>
  <c r="W304" i="25"/>
  <c r="Z304" i="25" s="1"/>
  <c r="AA304" i="25" s="1"/>
  <c r="AB304" i="25" s="1"/>
  <c r="W206" i="25"/>
  <c r="Z206" i="25" s="1"/>
  <c r="AA206" i="25" s="1"/>
  <c r="AB206" i="25" s="1"/>
  <c r="W289" i="25"/>
  <c r="Z289" i="25" s="1"/>
  <c r="AA289" i="25" s="1"/>
  <c r="AB289" i="25" s="1"/>
  <c r="V172" i="25"/>
  <c r="X172" i="25" s="1"/>
  <c r="W282" i="25"/>
  <c r="Z282" i="25" s="1"/>
  <c r="AA282" i="25" s="1"/>
  <c r="AB282" i="25" s="1"/>
  <c r="AO131" i="25"/>
  <c r="CD190" i="25"/>
  <c r="CD118" i="25"/>
  <c r="CD27" i="25"/>
  <c r="CD201" i="25"/>
  <c r="AA392" i="29"/>
  <c r="AJ391" i="29"/>
  <c r="AK391" i="29" s="1"/>
  <c r="AA605" i="29"/>
  <c r="AJ604" i="29"/>
  <c r="AK604" i="29" s="1"/>
  <c r="AD151" i="25"/>
  <c r="AE151" i="25" s="1"/>
  <c r="AD206" i="25"/>
  <c r="AE206" i="25" s="1"/>
  <c r="S5" i="25"/>
  <c r="K5" i="25" s="1"/>
  <c r="V5" i="25" s="1"/>
  <c r="X5" i="25" s="1"/>
  <c r="V281" i="25"/>
  <c r="X281" i="25" s="1"/>
  <c r="W198" i="25"/>
  <c r="Z198" i="25" s="1"/>
  <c r="AA198" i="25" s="1"/>
  <c r="AB198" i="25" s="1"/>
  <c r="W271" i="25"/>
  <c r="Z271" i="25" s="1"/>
  <c r="AA271" i="25" s="1"/>
  <c r="AB271" i="25" s="1"/>
  <c r="AO20" i="25"/>
  <c r="AO159" i="25"/>
  <c r="V260" i="25"/>
  <c r="X260" i="25" s="1"/>
  <c r="AJ431" i="29"/>
  <c r="AK431" i="29" s="1"/>
  <c r="AA431" i="29"/>
  <c r="AJ430" i="29"/>
  <c r="AK430" i="29" s="1"/>
  <c r="AJ403" i="29"/>
  <c r="AK403" i="29" s="1"/>
  <c r="AA404" i="29"/>
  <c r="AJ404" i="29"/>
  <c r="AK404" i="29" s="1"/>
  <c r="AJ589" i="29"/>
  <c r="AK589" i="29" s="1"/>
  <c r="AA590" i="29"/>
  <c r="AJ590" i="29"/>
  <c r="AK590" i="29" s="1"/>
  <c r="AA531" i="29"/>
  <c r="AJ531" i="29"/>
  <c r="AK531" i="29" s="1"/>
  <c r="AA269" i="29"/>
  <c r="AJ268" i="29"/>
  <c r="AK268" i="29" s="1"/>
  <c r="AA365" i="29"/>
  <c r="AJ365" i="29"/>
  <c r="AK365" i="29" s="1"/>
  <c r="AD224" i="25"/>
  <c r="AE224" i="25" s="1"/>
  <c r="AA393" i="29"/>
  <c r="AJ392" i="29"/>
  <c r="AK392" i="29" s="1"/>
  <c r="AJ393" i="29"/>
  <c r="AK393" i="29" s="1"/>
  <c r="AJ464" i="29"/>
  <c r="AK464" i="29" s="1"/>
  <c r="AJ463" i="29"/>
  <c r="AK463" i="29" s="1"/>
  <c r="AA464" i="29"/>
  <c r="AJ565" i="29"/>
  <c r="AK565" i="29" s="1"/>
  <c r="AA565" i="29"/>
  <c r="AJ564" i="29"/>
  <c r="AK564" i="29" s="1"/>
  <c r="AO152" i="25"/>
  <c r="AD245" i="25"/>
  <c r="AF245" i="25" s="1"/>
  <c r="CD209" i="25"/>
  <c r="CD29" i="25"/>
  <c r="AD210" i="25"/>
  <c r="AE210" i="25" s="1"/>
  <c r="AJ420" i="29"/>
  <c r="AK420" i="29" s="1"/>
  <c r="AA421" i="29"/>
  <c r="AA507" i="29"/>
  <c r="AJ506" i="29"/>
  <c r="AK506" i="29" s="1"/>
  <c r="W151" i="25"/>
  <c r="Z151" i="25" s="1"/>
  <c r="AA151" i="25" s="1"/>
  <c r="AB151" i="25" s="1"/>
  <c r="CD110" i="25"/>
  <c r="CD99" i="25"/>
  <c r="CD80" i="25"/>
  <c r="AI132" i="25"/>
  <c r="AS132" i="25" s="1"/>
  <c r="AW132" i="25" s="1"/>
  <c r="CD9" i="25"/>
  <c r="CD199" i="25"/>
  <c r="AA339" i="29"/>
  <c r="AJ339" i="29"/>
  <c r="AK339" i="29" s="1"/>
  <c r="AJ583" i="29"/>
  <c r="AK583" i="29" s="1"/>
  <c r="AA584" i="29"/>
  <c r="AA430" i="29"/>
  <c r="AJ429" i="29"/>
  <c r="AK429" i="29" s="1"/>
  <c r="AJ520" i="29"/>
  <c r="AK520" i="29" s="1"/>
  <c r="AA521" i="29"/>
  <c r="AD117" i="25"/>
  <c r="AF117" i="25" s="1"/>
  <c r="CD103" i="25"/>
  <c r="CD54" i="25"/>
  <c r="AO63" i="25"/>
  <c r="CD5" i="25"/>
  <c r="AO47" i="25"/>
  <c r="AP232" i="24"/>
  <c r="AJ364" i="29"/>
  <c r="AK364" i="29" s="1"/>
  <c r="AA406" i="29"/>
  <c r="AJ406" i="29"/>
  <c r="AK406" i="29" s="1"/>
  <c r="AJ405" i="29"/>
  <c r="AK405" i="29" s="1"/>
  <c r="AA586" i="29"/>
  <c r="AJ586" i="29"/>
  <c r="AK586" i="29" s="1"/>
  <c r="AA581" i="29"/>
  <c r="AJ580" i="29"/>
  <c r="AK580" i="29" s="1"/>
  <c r="AJ581" i="29"/>
  <c r="AK581" i="29" s="1"/>
  <c r="AA550" i="29"/>
  <c r="AJ550" i="29"/>
  <c r="AK550" i="29" s="1"/>
  <c r="CD156" i="25"/>
  <c r="AA101" i="29"/>
  <c r="AJ100" i="29"/>
  <c r="AK100" i="29" s="1"/>
  <c r="AO58" i="25"/>
  <c r="AO11" i="25"/>
  <c r="AO113" i="25"/>
  <c r="CD58" i="25"/>
  <c r="AJ375" i="29"/>
  <c r="AK375" i="29" s="1"/>
  <c r="AA376" i="29"/>
  <c r="AJ376" i="29"/>
  <c r="AK376" i="29" s="1"/>
  <c r="AJ82" i="29"/>
  <c r="AK82" i="29" s="1"/>
  <c r="AA83" i="29"/>
  <c r="AA440" i="29"/>
  <c r="AJ439" i="29"/>
  <c r="AK439" i="29" s="1"/>
  <c r="AJ440" i="29"/>
  <c r="AK440" i="29" s="1"/>
  <c r="AA505" i="29"/>
  <c r="AJ504" i="29"/>
  <c r="AK504" i="29" s="1"/>
  <c r="AJ505" i="29"/>
  <c r="AK505" i="29" s="1"/>
  <c r="AA240" i="29"/>
  <c r="AJ240" i="29"/>
  <c r="AK240" i="29" s="1"/>
  <c r="AJ249" i="29"/>
  <c r="AK249" i="29" s="1"/>
  <c r="AA250" i="29"/>
  <c r="AA303" i="29"/>
  <c r="AJ302" i="29"/>
  <c r="AK302" i="29" s="1"/>
  <c r="AJ303" i="29"/>
  <c r="AK303" i="29" s="1"/>
  <c r="AJ536" i="29"/>
  <c r="AK536" i="29" s="1"/>
  <c r="AA537" i="29"/>
  <c r="AJ537" i="29"/>
  <c r="AK537" i="29" s="1"/>
  <c r="AJ572" i="29"/>
  <c r="AK572" i="29" s="1"/>
  <c r="AJ573" i="29"/>
  <c r="AK573" i="29" s="1"/>
  <c r="AA573" i="29"/>
  <c r="AJ443" i="29"/>
  <c r="AK443" i="29" s="1"/>
  <c r="AA443" i="29"/>
  <c r="AJ442" i="29"/>
  <c r="AK442" i="29" s="1"/>
  <c r="AA508" i="29"/>
  <c r="AJ507" i="29"/>
  <c r="AK507" i="29" s="1"/>
  <c r="AA343" i="29"/>
  <c r="AJ342" i="29"/>
  <c r="AK342" i="29" s="1"/>
  <c r="AA603" i="29"/>
  <c r="AJ603" i="29"/>
  <c r="AK603" i="29" s="1"/>
  <c r="AJ602" i="29"/>
  <c r="AK602" i="29" s="1"/>
  <c r="AJ378" i="29"/>
  <c r="AK378" i="29" s="1"/>
  <c r="AA378" i="29"/>
  <c r="AJ377" i="29"/>
  <c r="AK377" i="29" s="1"/>
  <c r="AA557" i="29"/>
  <c r="AJ557" i="29"/>
  <c r="AK557" i="29" s="1"/>
  <c r="AJ556" i="29"/>
  <c r="AK556" i="29" s="1"/>
  <c r="AP21" i="24"/>
  <c r="AJ398" i="29"/>
  <c r="AK398" i="29" s="1"/>
  <c r="AJ397" i="29"/>
  <c r="AK397" i="29" s="1"/>
  <c r="AA398" i="29"/>
  <c r="AJ562" i="29"/>
  <c r="AK562" i="29" s="1"/>
  <c r="AA563" i="29"/>
  <c r="AJ563" i="29"/>
  <c r="AK563" i="29" s="1"/>
  <c r="AO66" i="25"/>
  <c r="CD71" i="25"/>
  <c r="AO57" i="25"/>
  <c r="AJ5" i="24"/>
  <c r="AT5" i="24" s="1"/>
  <c r="AA496" i="29"/>
  <c r="AJ495" i="29"/>
  <c r="AK495" i="29" s="1"/>
  <c r="AJ496" i="29"/>
  <c r="AK496" i="29" s="1"/>
  <c r="AJ508" i="29"/>
  <c r="AK508" i="29" s="1"/>
  <c r="AJ552" i="29"/>
  <c r="AK552" i="29" s="1"/>
  <c r="AJ553" i="29"/>
  <c r="AK553" i="29" s="1"/>
  <c r="AA553" i="29"/>
  <c r="AA78" i="29"/>
  <c r="AJ77" i="29"/>
  <c r="AK77" i="29" s="1"/>
  <c r="AJ201" i="29"/>
  <c r="AK201" i="29" s="1"/>
  <c r="AA202" i="29"/>
  <c r="AJ202" i="29"/>
  <c r="AK202" i="29" s="1"/>
  <c r="AA179" i="29"/>
  <c r="AJ178" i="29"/>
  <c r="AK178" i="29" s="1"/>
  <c r="AJ179" i="29"/>
  <c r="AK179" i="29" s="1"/>
  <c r="Z210" i="25"/>
  <c r="AA210" i="25" s="1"/>
  <c r="AB210" i="25" s="1"/>
  <c r="V160" i="25"/>
  <c r="X160" i="25" s="1"/>
  <c r="CD84" i="25"/>
  <c r="AJ160" i="29"/>
  <c r="AK160" i="29" s="1"/>
  <c r="AA160" i="29"/>
  <c r="AJ159" i="29"/>
  <c r="AK159" i="29" s="1"/>
  <c r="AA17" i="29"/>
  <c r="AJ17" i="29"/>
  <c r="AK17" i="29" s="1"/>
  <c r="AJ16" i="29"/>
  <c r="AK16" i="29" s="1"/>
  <c r="AA32" i="29"/>
  <c r="AJ140" i="29"/>
  <c r="AK140" i="29" s="1"/>
  <c r="AA141" i="29"/>
  <c r="AJ58" i="29"/>
  <c r="AK58" i="29" s="1"/>
  <c r="AA59" i="29"/>
  <c r="AH224" i="29"/>
  <c r="X224" i="29"/>
  <c r="Y224" i="29" s="1"/>
  <c r="AA200" i="29"/>
  <c r="AJ200" i="29"/>
  <c r="AK200" i="29" s="1"/>
  <c r="AJ199" i="29"/>
  <c r="AK199" i="29" s="1"/>
  <c r="AA146" i="29"/>
  <c r="AJ145" i="29"/>
  <c r="AK145" i="29" s="1"/>
  <c r="AA187" i="29"/>
  <c r="AA104" i="29"/>
  <c r="AJ103" i="29"/>
  <c r="AK103" i="29" s="1"/>
  <c r="AJ172" i="29"/>
  <c r="AK172" i="29" s="1"/>
  <c r="AA173" i="29"/>
  <c r="AJ173" i="29"/>
  <c r="AK173" i="29" s="1"/>
  <c r="AJ157" i="29"/>
  <c r="AK157" i="29" s="1"/>
  <c r="AJ156" i="29"/>
  <c r="AK156" i="29" s="1"/>
  <c r="AA157" i="29"/>
  <c r="AJ510" i="29"/>
  <c r="AK510" i="29" s="1"/>
  <c r="AJ511" i="29"/>
  <c r="AK511" i="29" s="1"/>
  <c r="AA511" i="29"/>
  <c r="AH133" i="29"/>
  <c r="X133" i="29"/>
  <c r="Y133" i="29" s="1"/>
  <c r="K24" i="23"/>
  <c r="L24" i="23"/>
  <c r="AA481" i="29"/>
  <c r="AJ481" i="29"/>
  <c r="AK481" i="29" s="1"/>
  <c r="AJ480" i="29"/>
  <c r="AK480" i="29" s="1"/>
  <c r="AA54" i="29"/>
  <c r="AJ53" i="29"/>
  <c r="AK53" i="29" s="1"/>
  <c r="AJ54" i="29"/>
  <c r="AK54" i="29" s="1"/>
  <c r="AJ276" i="29"/>
  <c r="AK276" i="29" s="1"/>
  <c r="AA277" i="29"/>
  <c r="AJ277" i="29"/>
  <c r="AK277" i="29" s="1"/>
  <c r="AA175" i="29"/>
  <c r="AJ174" i="29"/>
  <c r="AK174" i="29" s="1"/>
  <c r="AJ409" i="29"/>
  <c r="AK409" i="29" s="1"/>
  <c r="AJ410" i="29"/>
  <c r="AK410" i="29" s="1"/>
  <c r="AA410" i="29"/>
  <c r="CH38" i="24"/>
  <c r="AJ83" i="29"/>
  <c r="AK83" i="29" s="1"/>
  <c r="AA84" i="29"/>
  <c r="AH80" i="29"/>
  <c r="X80" i="29"/>
  <c r="Y80" i="29" s="1"/>
  <c r="AJ136" i="29"/>
  <c r="AK136" i="29" s="1"/>
  <c r="AA136" i="29"/>
  <c r="AJ135" i="29"/>
  <c r="AK135" i="29" s="1"/>
  <c r="AF5" i="24"/>
  <c r="AG5" i="24"/>
  <c r="AJ37" i="29"/>
  <c r="AK37" i="29" s="1"/>
  <c r="AA38" i="29"/>
  <c r="AA156" i="29"/>
  <c r="AJ155" i="29"/>
  <c r="AK155" i="29" s="1"/>
  <c r="AG224" i="29"/>
  <c r="W224" i="29"/>
  <c r="AA585" i="29"/>
  <c r="AJ584" i="29"/>
  <c r="AK584" i="29" s="1"/>
  <c r="AJ585" i="29"/>
  <c r="AK585" i="29" s="1"/>
  <c r="AA61" i="29"/>
  <c r="AJ61" i="29"/>
  <c r="AK61" i="29" s="1"/>
  <c r="AJ188" i="29"/>
  <c r="AK188" i="29" s="1"/>
  <c r="AA188" i="29"/>
  <c r="AJ187" i="29"/>
  <c r="AK187" i="29" s="1"/>
  <c r="AA128" i="29"/>
  <c r="AJ127" i="29"/>
  <c r="AK127" i="29" s="1"/>
  <c r="W133" i="29"/>
  <c r="AJ133" i="29" s="1"/>
  <c r="AK133" i="29" s="1"/>
  <c r="AG133" i="29"/>
  <c r="AA221" i="29"/>
  <c r="AJ220" i="29"/>
  <c r="AK220" i="29" s="1"/>
  <c r="AJ175" i="29"/>
  <c r="AK175" i="29" s="1"/>
  <c r="AA176" i="29"/>
  <c r="AA152" i="29"/>
  <c r="AJ151" i="29"/>
  <c r="AK151" i="29" s="1"/>
  <c r="AJ152" i="29"/>
  <c r="AK152" i="29" s="1"/>
  <c r="AJ120" i="29"/>
  <c r="AK120" i="29" s="1"/>
  <c r="AJ121" i="29"/>
  <c r="AK121" i="29" s="1"/>
  <c r="AA121" i="29"/>
  <c r="E38" i="1"/>
  <c r="F158" i="2"/>
  <c r="E39" i="1" s="1"/>
  <c r="A205" i="2" s="1"/>
  <c r="AJ84" i="29"/>
  <c r="AK84" i="29" s="1"/>
  <c r="AA85" i="29"/>
  <c r="AJ85" i="29"/>
  <c r="AK85" i="29" s="1"/>
  <c r="A139" i="8"/>
  <c r="W80" i="29"/>
  <c r="AG80" i="29"/>
  <c r="AJ36" i="29"/>
  <c r="AK36" i="29" s="1"/>
  <c r="AA37" i="29"/>
  <c r="AA208" i="29"/>
  <c r="AJ208" i="29"/>
  <c r="AK208" i="29" s="1"/>
  <c r="AJ207" i="29"/>
  <c r="AK207" i="29" s="1"/>
  <c r="AJ146" i="29"/>
  <c r="AK146" i="29" s="1"/>
  <c r="AJ147" i="29"/>
  <c r="AK147" i="29" s="1"/>
  <c r="AA147" i="29"/>
  <c r="AJ228" i="29"/>
  <c r="AK228" i="29" s="1"/>
  <c r="AA229" i="29"/>
  <c r="AJ229" i="29"/>
  <c r="AK229" i="29" s="1"/>
  <c r="AJ134" i="29"/>
  <c r="AK134" i="29" s="1"/>
  <c r="AA135" i="29"/>
  <c r="AA181" i="29"/>
  <c r="AJ180" i="29"/>
  <c r="AK180" i="29" s="1"/>
  <c r="AJ204" i="29"/>
  <c r="AK204" i="29" s="1"/>
  <c r="AJ205" i="29"/>
  <c r="AK205" i="29" s="1"/>
  <c r="AA205" i="29"/>
  <c r="AJ222" i="29"/>
  <c r="AK222" i="29" s="1"/>
  <c r="AA222" i="29"/>
  <c r="AJ221" i="29"/>
  <c r="AK221" i="29" s="1"/>
  <c r="AA63" i="29"/>
  <c r="AJ62" i="29"/>
  <c r="AK62" i="29" s="1"/>
  <c r="AJ169" i="29"/>
  <c r="AK169" i="29" s="1"/>
  <c r="AA170" i="29"/>
  <c r="AJ78" i="29"/>
  <c r="AK78" i="29" s="1"/>
  <c r="AA79" i="29"/>
  <c r="AA90" i="29"/>
  <c r="AJ89" i="29"/>
  <c r="AK89" i="29" s="1"/>
  <c r="AJ90" i="29"/>
  <c r="AK90" i="29" s="1"/>
  <c r="AE216" i="24"/>
  <c r="AI216" i="24"/>
  <c r="X216" i="24"/>
  <c r="AA216" i="24" s="1"/>
  <c r="AB216" i="24" s="1"/>
  <c r="AC216" i="24" s="1"/>
  <c r="AA89" i="29"/>
  <c r="AJ88" i="29"/>
  <c r="AK88" i="29" s="1"/>
  <c r="AA151" i="29"/>
  <c r="AJ150" i="29"/>
  <c r="AK150" i="29" s="1"/>
  <c r="AJ32" i="29"/>
  <c r="AK32" i="29" s="1"/>
  <c r="AA33" i="29"/>
  <c r="AA73" i="29"/>
  <c r="AJ72" i="29"/>
  <c r="AK72" i="29" s="1"/>
  <c r="AA102" i="29"/>
  <c r="AJ101" i="29"/>
  <c r="AK101" i="29" s="1"/>
  <c r="AA177" i="29"/>
  <c r="AJ177" i="29"/>
  <c r="AK177" i="29" s="1"/>
  <c r="AJ176" i="29"/>
  <c r="AK176" i="29" s="1"/>
  <c r="AJ92" i="29"/>
  <c r="AK92" i="29" s="1"/>
  <c r="AJ91" i="29"/>
  <c r="AK91" i="29" s="1"/>
  <c r="AA92" i="29"/>
  <c r="K52" i="23"/>
  <c r="L52" i="23"/>
  <c r="AO309" i="25"/>
  <c r="CH72" i="24"/>
  <c r="CH26" i="24"/>
  <c r="AH74" i="29"/>
  <c r="X74" i="29"/>
  <c r="Y74" i="29" s="1"/>
  <c r="AA69" i="29"/>
  <c r="AJ69" i="29"/>
  <c r="AK69" i="29" s="1"/>
  <c r="AJ68" i="29"/>
  <c r="AK68" i="29" s="1"/>
  <c r="AA196" i="29"/>
  <c r="AJ195" i="29"/>
  <c r="AK195" i="29" s="1"/>
  <c r="AJ63" i="29"/>
  <c r="AK63" i="29" s="1"/>
  <c r="AA46" i="29"/>
  <c r="AJ45" i="29"/>
  <c r="AK45" i="29" s="1"/>
  <c r="AJ46" i="29"/>
  <c r="AK46" i="29" s="1"/>
  <c r="AJ102" i="29"/>
  <c r="AK102" i="29" s="1"/>
  <c r="AA103" i="29"/>
  <c r="AA149" i="29"/>
  <c r="AJ149" i="29"/>
  <c r="AK149" i="29" s="1"/>
  <c r="AJ148" i="29"/>
  <c r="AK148" i="29" s="1"/>
  <c r="AJ423" i="29"/>
  <c r="AK423" i="29" s="1"/>
  <c r="AA423" i="29"/>
  <c r="AJ422" i="29"/>
  <c r="AK422" i="29" s="1"/>
  <c r="AA43" i="29"/>
  <c r="AJ43" i="29"/>
  <c r="AK43" i="29" s="1"/>
  <c r="AA166" i="29"/>
  <c r="AJ165" i="29"/>
  <c r="AK165" i="29" s="1"/>
  <c r="AJ548" i="29"/>
  <c r="AK548" i="29" s="1"/>
  <c r="AA549" i="29"/>
  <c r="AJ549" i="29"/>
  <c r="AK549" i="29" s="1"/>
  <c r="AJ171" i="29"/>
  <c r="AK171" i="29" s="1"/>
  <c r="AA172" i="29"/>
  <c r="G158" i="2"/>
  <c r="AG74" i="29"/>
  <c r="W74" i="29"/>
  <c r="AJ158" i="29"/>
  <c r="AK158" i="29" s="1"/>
  <c r="AA159" i="29"/>
  <c r="X219" i="29"/>
  <c r="Y219" i="29" s="1"/>
  <c r="AH219" i="29"/>
  <c r="AJ26" i="29"/>
  <c r="AK26" i="29" s="1"/>
  <c r="AA27" i="29"/>
  <c r="AH162" i="29"/>
  <c r="X162" i="29"/>
  <c r="Y162" i="29" s="1"/>
  <c r="AJ137" i="29"/>
  <c r="AK137" i="29" s="1"/>
  <c r="AA138" i="29"/>
  <c r="AA19" i="29"/>
  <c r="AJ19" i="29"/>
  <c r="AK19" i="29" s="1"/>
  <c r="AJ18" i="29"/>
  <c r="AK18" i="29" s="1"/>
  <c r="AJ24" i="29"/>
  <c r="AK24" i="29" s="1"/>
  <c r="AA25" i="29"/>
  <c r="AJ25" i="29"/>
  <c r="AK25" i="29" s="1"/>
  <c r="AA199" i="29"/>
  <c r="AA34" i="29"/>
  <c r="AJ33" i="29"/>
  <c r="AK33" i="29" s="1"/>
  <c r="AA52" i="29"/>
  <c r="AJ51" i="29"/>
  <c r="AK51" i="29" s="1"/>
  <c r="AJ52" i="29"/>
  <c r="AK52" i="29" s="1"/>
  <c r="AA134" i="29"/>
  <c r="AJ119" i="29"/>
  <c r="AK119" i="29" s="1"/>
  <c r="AA120" i="29"/>
  <c r="AJ113" i="29"/>
  <c r="AK113" i="29" s="1"/>
  <c r="AA113" i="29"/>
  <c r="K86" i="23"/>
  <c r="L86" i="23"/>
  <c r="A144" i="8"/>
  <c r="CD198" i="25"/>
  <c r="CG9" i="24"/>
  <c r="V210" i="25"/>
  <c r="X210" i="25" s="1"/>
  <c r="CH36" i="24"/>
  <c r="AA214" i="29"/>
  <c r="AJ213" i="29"/>
  <c r="AK213" i="29" s="1"/>
  <c r="AJ94" i="29"/>
  <c r="AK94" i="29" s="1"/>
  <c r="AJ95" i="29"/>
  <c r="AK95" i="29" s="1"/>
  <c r="AA95" i="29"/>
  <c r="B161" i="2"/>
  <c r="AA559" i="29"/>
  <c r="AJ558" i="29"/>
  <c r="AK558" i="29" s="1"/>
  <c r="AJ559" i="29"/>
  <c r="AK559" i="29" s="1"/>
  <c r="AG219" i="29"/>
  <c r="W219" i="29"/>
  <c r="W162" i="29"/>
  <c r="AG162" i="29"/>
  <c r="AJ122" i="29"/>
  <c r="AK122" i="29" s="1"/>
  <c r="AA123" i="29"/>
  <c r="AJ123" i="29"/>
  <c r="AK123" i="29" s="1"/>
  <c r="AA75" i="29"/>
  <c r="AJ235" i="29"/>
  <c r="AK235" i="29" s="1"/>
  <c r="AJ234" i="29"/>
  <c r="AK234" i="29" s="1"/>
  <c r="AA235" i="29"/>
  <c r="AA58" i="29"/>
  <c r="AJ57" i="29"/>
  <c r="AK57" i="29" s="1"/>
  <c r="AA49" i="29"/>
  <c r="AJ49" i="29"/>
  <c r="AK49" i="29" s="1"/>
  <c r="AJ48" i="29"/>
  <c r="AK48" i="29" s="1"/>
  <c r="AA526" i="29"/>
  <c r="AJ525" i="29"/>
  <c r="AK525" i="29" s="1"/>
  <c r="AJ526" i="29"/>
  <c r="AK526" i="29" s="1"/>
  <c r="AH186" i="29"/>
  <c r="X186" i="29"/>
  <c r="Y186" i="29" s="1"/>
  <c r="AJ272" i="29"/>
  <c r="AK272" i="29" s="1"/>
  <c r="AA272" i="29"/>
  <c r="AJ271" i="29"/>
  <c r="AK271" i="29" s="1"/>
  <c r="AJ217" i="29"/>
  <c r="AK217" i="29" s="1"/>
  <c r="AA218" i="29"/>
  <c r="AA213" i="29"/>
  <c r="AJ212" i="29"/>
  <c r="AK212" i="29" s="1"/>
  <c r="AA459" i="29"/>
  <c r="AJ458" i="29"/>
  <c r="AK458" i="29" s="1"/>
  <c r="AJ459" i="29"/>
  <c r="AK459" i="29" s="1"/>
  <c r="AJ27" i="29"/>
  <c r="AK27" i="29" s="1"/>
  <c r="AA28" i="29"/>
  <c r="AJ28" i="29"/>
  <c r="AK28" i="29" s="1"/>
  <c r="AA51" i="29"/>
  <c r="AJ50" i="29"/>
  <c r="AK50" i="29" s="1"/>
  <c r="AO75" i="25"/>
  <c r="AO303" i="25"/>
  <c r="V157" i="25"/>
  <c r="X157" i="25" s="1"/>
  <c r="AO35" i="25"/>
  <c r="CG38" i="24"/>
  <c r="CG31" i="24"/>
  <c r="B160" i="2"/>
  <c r="AA129" i="29"/>
  <c r="AJ128" i="29"/>
  <c r="AK128" i="29" s="1"/>
  <c r="AA167" i="29"/>
  <c r="AJ166" i="29"/>
  <c r="AK166" i="29" s="1"/>
  <c r="AJ167" i="29"/>
  <c r="AK167" i="29" s="1"/>
  <c r="A116" i="8"/>
  <c r="AJ98" i="29"/>
  <c r="AK98" i="29" s="1"/>
  <c r="AA99" i="29"/>
  <c r="AJ99" i="29"/>
  <c r="AK99" i="29" s="1"/>
  <c r="AA115" i="29"/>
  <c r="AJ114" i="29"/>
  <c r="AK114" i="29" s="1"/>
  <c r="AJ97" i="29"/>
  <c r="AK97" i="29" s="1"/>
  <c r="AA98" i="29"/>
  <c r="K72" i="23"/>
  <c r="L72" i="23"/>
  <c r="AJ129" i="29"/>
  <c r="AK129" i="29" s="1"/>
  <c r="AJ21" i="29"/>
  <c r="AK21" i="29" s="1"/>
  <c r="AJ22" i="29"/>
  <c r="AK22" i="29" s="1"/>
  <c r="AA22" i="29"/>
  <c r="AH116" i="29"/>
  <c r="X116" i="29"/>
  <c r="Y116" i="29" s="1"/>
  <c r="AA171" i="29"/>
  <c r="AJ170" i="29"/>
  <c r="AK170" i="29" s="1"/>
  <c r="W186" i="29"/>
  <c r="AG186" i="29"/>
  <c r="AH35" i="29"/>
  <c r="X35" i="29"/>
  <c r="Y35" i="29" s="1"/>
  <c r="AA87" i="29"/>
  <c r="AJ86" i="29"/>
  <c r="AK86" i="29" s="1"/>
  <c r="AJ216" i="29"/>
  <c r="AK216" i="29" s="1"/>
  <c r="AA217" i="29"/>
  <c r="AO268" i="25"/>
  <c r="AJ47" i="29"/>
  <c r="AK47" i="29" s="1"/>
  <c r="AA48" i="29"/>
  <c r="AA118" i="29"/>
  <c r="AJ118" i="29"/>
  <c r="AK118" i="29" s="1"/>
  <c r="AJ117" i="29"/>
  <c r="AK117" i="29" s="1"/>
  <c r="AJ109" i="29"/>
  <c r="AK109" i="29" s="1"/>
  <c r="AA110" i="29"/>
  <c r="AA191" i="29"/>
  <c r="AJ190" i="29"/>
  <c r="AK190" i="29" s="1"/>
  <c r="AJ191" i="29"/>
  <c r="AK191" i="29" s="1"/>
  <c r="AJ164" i="29"/>
  <c r="AK164" i="29" s="1"/>
  <c r="AA165" i="29"/>
  <c r="AA197" i="29"/>
  <c r="AJ196" i="29"/>
  <c r="AK196" i="29" s="1"/>
  <c r="AA216" i="29"/>
  <c r="AA126" i="29"/>
  <c r="AJ125" i="29"/>
  <c r="AK125" i="29" s="1"/>
  <c r="AA111" i="29"/>
  <c r="AJ110" i="29"/>
  <c r="AK110" i="29" s="1"/>
  <c r="AJ141" i="29"/>
  <c r="AK141" i="29" s="1"/>
  <c r="AA139" i="29"/>
  <c r="AJ138" i="29"/>
  <c r="AK138" i="29" s="1"/>
  <c r="AJ139" i="29"/>
  <c r="AK139" i="29" s="1"/>
  <c r="W116" i="29"/>
  <c r="AG116" i="29"/>
  <c r="AJ38" i="29"/>
  <c r="AK38" i="29" s="1"/>
  <c r="W35" i="29"/>
  <c r="AG35" i="29"/>
  <c r="AJ189" i="29"/>
  <c r="AK189" i="29" s="1"/>
  <c r="AA190" i="29"/>
  <c r="AJ211" i="29"/>
  <c r="AK211" i="29" s="1"/>
  <c r="AA212" i="29"/>
  <c r="AA14" i="29"/>
  <c r="AJ13" i="29"/>
  <c r="AJ14" i="29"/>
  <c r="AK14" i="29" s="1"/>
  <c r="AJ105" i="29"/>
  <c r="AK105" i="29" s="1"/>
  <c r="AA105" i="29"/>
  <c r="AJ104" i="29"/>
  <c r="AK104" i="29" s="1"/>
  <c r="AJ15" i="29"/>
  <c r="AK15" i="29" s="1"/>
  <c r="AA16" i="29"/>
  <c r="V216" i="24"/>
  <c r="W216" i="24"/>
  <c r="AA185" i="29"/>
  <c r="AJ184" i="29"/>
  <c r="AK184" i="29" s="1"/>
  <c r="AO139" i="25"/>
  <c r="CD130" i="25"/>
  <c r="V301" i="25"/>
  <c r="X301" i="25" s="1"/>
  <c r="CH18" i="24"/>
  <c r="CG7" i="24"/>
  <c r="CD16" i="25"/>
  <c r="AO16" i="25"/>
  <c r="AP226" i="24"/>
  <c r="AO269" i="25"/>
  <c r="AO41" i="25"/>
  <c r="CH41" i="24"/>
  <c r="CG101" i="24"/>
  <c r="CG72" i="24"/>
  <c r="CH55" i="24"/>
  <c r="CG66" i="24"/>
  <c r="CH9" i="24"/>
  <c r="CD37" i="25"/>
  <c r="CG84" i="24"/>
  <c r="CH19" i="24"/>
  <c r="AO130" i="25"/>
  <c r="CH14" i="24"/>
  <c r="CH6" i="24"/>
  <c r="CG12" i="24"/>
  <c r="CH66" i="24"/>
  <c r="CG104" i="24"/>
  <c r="CH84" i="24"/>
  <c r="CH104" i="24"/>
  <c r="CG14" i="24"/>
  <c r="Y5" i="24"/>
  <c r="CH32" i="24"/>
  <c r="CG35" i="24"/>
  <c r="CG93" i="24"/>
  <c r="CH21" i="24"/>
  <c r="CG19" i="24"/>
  <c r="CH57" i="24"/>
  <c r="CH58" i="24"/>
  <c r="CH40" i="24"/>
  <c r="CG80" i="24"/>
  <c r="CH73" i="24"/>
  <c r="CH35" i="24"/>
  <c r="CG63" i="24"/>
  <c r="CG83" i="24"/>
  <c r="CH27" i="24"/>
  <c r="CG59" i="24"/>
  <c r="CH62" i="24"/>
  <c r="CH7" i="24"/>
  <c r="CH65" i="24"/>
  <c r="CG58" i="24"/>
  <c r="CH59" i="24"/>
  <c r="CG32" i="24"/>
  <c r="CH10" i="24"/>
  <c r="CH5" i="24"/>
  <c r="CG52" i="24"/>
  <c r="CG5" i="24"/>
  <c r="CH52" i="24"/>
  <c r="CG65" i="24"/>
  <c r="CG73" i="24"/>
  <c r="CG13" i="24"/>
  <c r="CH15" i="24"/>
  <c r="CH100" i="24"/>
  <c r="CG18" i="24"/>
  <c r="CH11" i="24"/>
  <c r="CG27" i="24"/>
  <c r="CG21" i="24"/>
  <c r="CG40" i="24"/>
  <c r="CG15" i="24"/>
  <c r="CG62" i="24"/>
  <c r="CH13" i="24"/>
  <c r="CH93" i="24"/>
  <c r="CG11" i="24"/>
  <c r="CG100" i="24"/>
  <c r="CH63" i="24"/>
  <c r="CH80" i="24"/>
  <c r="CH83" i="24"/>
  <c r="CG10" i="24"/>
  <c r="CG26" i="24"/>
  <c r="CH43" i="24"/>
  <c r="CG6" i="24"/>
  <c r="CH8" i="24"/>
  <c r="V233" i="25"/>
  <c r="X233" i="25" s="1"/>
  <c r="CH91" i="24"/>
  <c r="CG41" i="24"/>
  <c r="CG43" i="24"/>
  <c r="CG55" i="24"/>
  <c r="AO153" i="25"/>
  <c r="W174" i="25"/>
  <c r="Z174" i="25" s="1"/>
  <c r="AA174" i="25" s="1"/>
  <c r="AB174" i="25" s="1"/>
  <c r="W125" i="25"/>
  <c r="Z125" i="25" s="1"/>
  <c r="AA125" i="25" s="1"/>
  <c r="AB125" i="25" s="1"/>
  <c r="W161" i="25"/>
  <c r="Z161" i="25" s="1"/>
  <c r="AA161" i="25" s="1"/>
  <c r="AB161" i="25" s="1"/>
  <c r="V258" i="25"/>
  <c r="X258" i="25" s="1"/>
  <c r="AD294" i="25"/>
  <c r="AF294" i="25" s="1"/>
  <c r="AO31" i="25"/>
  <c r="CD140" i="25"/>
  <c r="CD98" i="25"/>
  <c r="AO42" i="25"/>
  <c r="W301" i="25"/>
  <c r="Z301" i="25" s="1"/>
  <c r="AA301" i="25" s="1"/>
  <c r="AB301" i="25" s="1"/>
  <c r="AD195" i="25"/>
  <c r="AE195" i="25" s="1"/>
  <c r="CD31" i="25"/>
  <c r="AO12" i="25"/>
  <c r="V294" i="25"/>
  <c r="X294" i="25" s="1"/>
  <c r="AD306" i="25"/>
  <c r="AE306" i="25" s="1"/>
  <c r="AO179" i="25"/>
  <c r="AO95" i="25"/>
  <c r="AO141" i="25"/>
  <c r="AO72" i="25"/>
  <c r="W192" i="25"/>
  <c r="Z192" i="25" s="1"/>
  <c r="AA192" i="25" s="1"/>
  <c r="AB192" i="25" s="1"/>
  <c r="AI192" i="25" s="1"/>
  <c r="AS192" i="25" s="1"/>
  <c r="V306" i="25"/>
  <c r="X306" i="25" s="1"/>
  <c r="AO73" i="25"/>
  <c r="CD120" i="25"/>
  <c r="AO140" i="25"/>
  <c r="V230" i="25"/>
  <c r="X230" i="25" s="1"/>
  <c r="CD177" i="25"/>
  <c r="CD42" i="25"/>
  <c r="V158" i="25"/>
  <c r="X158" i="25" s="1"/>
  <c r="AO120" i="25"/>
  <c r="V224" i="25"/>
  <c r="X224" i="25" s="1"/>
  <c r="CD153" i="25"/>
  <c r="CD179" i="25"/>
  <c r="CD73" i="25"/>
  <c r="AO79" i="25"/>
  <c r="AO69" i="25"/>
  <c r="AO65" i="25"/>
  <c r="AO76" i="25"/>
  <c r="CD154" i="25"/>
  <c r="CD152" i="25"/>
  <c r="AO49" i="25"/>
  <c r="AO291" i="25"/>
  <c r="AO285" i="25"/>
  <c r="AD168" i="25"/>
  <c r="AE168" i="25" s="1"/>
  <c r="AP251" i="24"/>
  <c r="AO70" i="25"/>
  <c r="AO38" i="25"/>
  <c r="V298" i="25"/>
  <c r="X298" i="25" s="1"/>
  <c r="AO29" i="25"/>
  <c r="V237" i="25"/>
  <c r="X237" i="25" s="1"/>
  <c r="AO102" i="25"/>
  <c r="AO247" i="25"/>
  <c r="V308" i="25"/>
  <c r="X308" i="25" s="1"/>
  <c r="V201" i="25"/>
  <c r="X201" i="25" s="1"/>
  <c r="AO17" i="25"/>
  <c r="CD182" i="25"/>
  <c r="AO60" i="25"/>
  <c r="CD70" i="25"/>
  <c r="V307" i="25"/>
  <c r="X307" i="25" s="1"/>
  <c r="W308" i="25"/>
  <c r="Z308" i="25" s="1"/>
  <c r="AA308" i="25" s="1"/>
  <c r="AB308" i="25" s="1"/>
  <c r="W168" i="25"/>
  <c r="Z168" i="25" s="1"/>
  <c r="AA168" i="25" s="1"/>
  <c r="AB168" i="25" s="1"/>
  <c r="AO236" i="25"/>
  <c r="AP46" i="24"/>
  <c r="V305" i="25"/>
  <c r="X305" i="25" s="1"/>
  <c r="V295" i="25"/>
  <c r="X295" i="25" s="1"/>
  <c r="V274" i="25"/>
  <c r="X274" i="25" s="1"/>
  <c r="CD12" i="25"/>
  <c r="V311" i="25"/>
  <c r="X311" i="25" s="1"/>
  <c r="AO68" i="25"/>
  <c r="AO173" i="25"/>
  <c r="AO53" i="25"/>
  <c r="AO10" i="25"/>
  <c r="AO184" i="25"/>
  <c r="AO48" i="25"/>
  <c r="AO46" i="25"/>
  <c r="AP104" i="24"/>
  <c r="AO88" i="25"/>
  <c r="AP305" i="24"/>
  <c r="CD76" i="25"/>
  <c r="CD135" i="25"/>
  <c r="CD184" i="25"/>
  <c r="V249" i="25"/>
  <c r="X249" i="25" s="1"/>
  <c r="CD75" i="25"/>
  <c r="AO246" i="25"/>
  <c r="CD68" i="25"/>
  <c r="AO293" i="25"/>
  <c r="AO238" i="25"/>
  <c r="AP55" i="24"/>
  <c r="AO52" i="25"/>
  <c r="AO277" i="25"/>
  <c r="AO27" i="25"/>
  <c r="AO134" i="25"/>
  <c r="AO25" i="25"/>
  <c r="CD26" i="25"/>
  <c r="CD188" i="25"/>
  <c r="CD126" i="25"/>
  <c r="AO121" i="25"/>
  <c r="AO228" i="25"/>
  <c r="CD180" i="25"/>
  <c r="CD159" i="25"/>
  <c r="CD87" i="25"/>
  <c r="CD131" i="25"/>
  <c r="CD146" i="25"/>
  <c r="CD186" i="25"/>
  <c r="V126" i="25"/>
  <c r="X126" i="25" s="1"/>
  <c r="V119" i="25"/>
  <c r="X119" i="25" s="1"/>
  <c r="AO116" i="25"/>
  <c r="CD57" i="25"/>
  <c r="AP293" i="24"/>
  <c r="AO80" i="25"/>
  <c r="V129" i="25"/>
  <c r="X129" i="25" s="1"/>
  <c r="CD143" i="25"/>
  <c r="V209" i="25"/>
  <c r="X209" i="25" s="1"/>
  <c r="V264" i="25"/>
  <c r="X264" i="25" s="1"/>
  <c r="AH206" i="25"/>
  <c r="CD56" i="25"/>
  <c r="CD123" i="25"/>
  <c r="CD23" i="25"/>
  <c r="CD171" i="25"/>
  <c r="CD28" i="25"/>
  <c r="AO93" i="25"/>
  <c r="V115" i="25"/>
  <c r="X115" i="25" s="1"/>
  <c r="AO123" i="25"/>
  <c r="AO190" i="25"/>
  <c r="AO23" i="25"/>
  <c r="AP139" i="24"/>
  <c r="CD22" i="25"/>
  <c r="CD149" i="25"/>
  <c r="CD65" i="25"/>
  <c r="AO71" i="25"/>
  <c r="AO118" i="25"/>
  <c r="AP286" i="24"/>
  <c r="AP242" i="24"/>
  <c r="CD93" i="25"/>
  <c r="CD173" i="25"/>
  <c r="AD115" i="25"/>
  <c r="AE115" i="25" s="1"/>
  <c r="AO28" i="25"/>
  <c r="AO13" i="25"/>
  <c r="AO22" i="25"/>
  <c r="AO67" i="25"/>
  <c r="AH173" i="25"/>
  <c r="CD39" i="25"/>
  <c r="CD175" i="25"/>
  <c r="AO87" i="25"/>
  <c r="CD170" i="25"/>
  <c r="CD112" i="25"/>
  <c r="CD44" i="25"/>
  <c r="CD116" i="25"/>
  <c r="CD25" i="25"/>
  <c r="AP165" i="24"/>
  <c r="AO266" i="25"/>
  <c r="AP30" i="24"/>
  <c r="AO267" i="25"/>
  <c r="AO9" i="25"/>
  <c r="CD174" i="25"/>
  <c r="CD206" i="25"/>
  <c r="V279" i="25"/>
  <c r="X279" i="25" s="1"/>
  <c r="V289" i="25"/>
  <c r="X289" i="25" s="1"/>
  <c r="V231" i="25"/>
  <c r="X231" i="25" s="1"/>
  <c r="V271" i="25"/>
  <c r="X271" i="25" s="1"/>
  <c r="AO235" i="25"/>
  <c r="AP225" i="24"/>
  <c r="AI296" i="25"/>
  <c r="AS296" i="25" s="1"/>
  <c r="AH266" i="25"/>
  <c r="V257" i="25"/>
  <c r="X257" i="25" s="1"/>
  <c r="AO221" i="25"/>
  <c r="AP267" i="24"/>
  <c r="V228" i="25"/>
  <c r="X228" i="25" s="1"/>
  <c r="AO280" i="25"/>
  <c r="AP312" i="24"/>
  <c r="AP260" i="24"/>
  <c r="AP268" i="24"/>
  <c r="O306" i="24"/>
  <c r="J306" i="24"/>
  <c r="W306" i="24" s="1"/>
  <c r="V168" i="24"/>
  <c r="AP7" i="24"/>
  <c r="V295" i="24"/>
  <c r="J219" i="24"/>
  <c r="W219" i="24" s="1"/>
  <c r="O219" i="24"/>
  <c r="V278" i="24"/>
  <c r="AP184" i="24"/>
  <c r="V57" i="24"/>
  <c r="AH168" i="25"/>
  <c r="AO168" i="25"/>
  <c r="O226" i="24"/>
  <c r="J226" i="24"/>
  <c r="W226" i="24" s="1"/>
  <c r="AP80" i="24"/>
  <c r="AP191" i="24"/>
  <c r="V311" i="24"/>
  <c r="AP162" i="24"/>
  <c r="AH163" i="25"/>
  <c r="AO163" i="25"/>
  <c r="AH103" i="25"/>
  <c r="AO103" i="25"/>
  <c r="V156" i="24"/>
  <c r="AP289" i="24"/>
  <c r="O7" i="24"/>
  <c r="CB7" i="24" s="1"/>
  <c r="J7" i="24"/>
  <c r="W7" i="24" s="1"/>
  <c r="V250" i="24"/>
  <c r="AP69" i="24"/>
  <c r="AP243" i="24"/>
  <c r="V268" i="24"/>
  <c r="AP297" i="24"/>
  <c r="AH304" i="25"/>
  <c r="AO304" i="25"/>
  <c r="V42" i="24"/>
  <c r="AP255" i="24"/>
  <c r="V193" i="24"/>
  <c r="J197" i="24"/>
  <c r="W197" i="24" s="1"/>
  <c r="O197" i="24"/>
  <c r="CB197" i="24" s="1"/>
  <c r="AP224" i="24"/>
  <c r="O43" i="24"/>
  <c r="CB43" i="24" s="1"/>
  <c r="J43" i="24"/>
  <c r="W43" i="24" s="1"/>
  <c r="AH90" i="25"/>
  <c r="CD90" i="25"/>
  <c r="J135" i="24"/>
  <c r="W135" i="24" s="1"/>
  <c r="O135" i="24"/>
  <c r="CB135" i="24" s="1"/>
  <c r="AP237" i="24"/>
  <c r="O55" i="24"/>
  <c r="CB55" i="24" s="1"/>
  <c r="J55" i="24"/>
  <c r="W55" i="24" s="1"/>
  <c r="AH194" i="25"/>
  <c r="CD194" i="25"/>
  <c r="AO194" i="25"/>
  <c r="AO275" i="25"/>
  <c r="O176" i="24"/>
  <c r="CB176" i="24" s="1"/>
  <c r="J176" i="24"/>
  <c r="W176" i="24" s="1"/>
  <c r="V83" i="24"/>
  <c r="V68" i="24"/>
  <c r="V219" i="24"/>
  <c r="AP97" i="24"/>
  <c r="AH239" i="25"/>
  <c r="AO239" i="25"/>
  <c r="U225" i="25"/>
  <c r="V225" i="25"/>
  <c r="AH83" i="25"/>
  <c r="AO83" i="25"/>
  <c r="AH32" i="25"/>
  <c r="AO32" i="25"/>
  <c r="J138" i="24"/>
  <c r="W138" i="24" s="1"/>
  <c r="O138" i="24"/>
  <c r="CB138" i="24" s="1"/>
  <c r="O13" i="24"/>
  <c r="CB13" i="24" s="1"/>
  <c r="J13" i="24"/>
  <c r="W13" i="24" s="1"/>
  <c r="J233" i="24"/>
  <c r="W233" i="24" s="1"/>
  <c r="O233" i="24"/>
  <c r="V52" i="24"/>
  <c r="AH157" i="25"/>
  <c r="AI157" i="25" s="1"/>
  <c r="AS157" i="25" s="1"/>
  <c r="CD157" i="25"/>
  <c r="AO157" i="25"/>
  <c r="J239" i="24"/>
  <c r="W239" i="24" s="1"/>
  <c r="O239" i="24"/>
  <c r="O100" i="24"/>
  <c r="CB100" i="24" s="1"/>
  <c r="J100" i="24"/>
  <c r="W100" i="24" s="1"/>
  <c r="J129" i="24"/>
  <c r="W129" i="24" s="1"/>
  <c r="O129" i="24"/>
  <c r="CB129" i="24" s="1"/>
  <c r="AH37" i="25"/>
  <c r="AO37" i="25"/>
  <c r="V225" i="24"/>
  <c r="V170" i="24"/>
  <c r="AO207" i="25"/>
  <c r="AH207" i="25"/>
  <c r="AI207" i="25" s="1"/>
  <c r="AS207" i="25" s="1"/>
  <c r="CD207" i="25"/>
  <c r="AP314" i="24"/>
  <c r="AP158" i="24"/>
  <c r="O33" i="24"/>
  <c r="CB33" i="24" s="1"/>
  <c r="J33" i="24"/>
  <c r="AP218" i="24"/>
  <c r="O283" i="24"/>
  <c r="J283" i="24"/>
  <c r="W283" i="24" s="1"/>
  <c r="J268" i="24"/>
  <c r="O268" i="24"/>
  <c r="AO145" i="25"/>
  <c r="AH145" i="25"/>
  <c r="AI145" i="25" s="1"/>
  <c r="AS145" i="25" s="1"/>
  <c r="AY145" i="25" s="1"/>
  <c r="CD145" i="25"/>
  <c r="V116" i="24"/>
  <c r="V273" i="24"/>
  <c r="V137" i="24"/>
  <c r="AP93" i="24"/>
  <c r="U164" i="25"/>
  <c r="V164" i="25"/>
  <c r="O40" i="24"/>
  <c r="CB40" i="24" s="1"/>
  <c r="J40" i="24"/>
  <c r="W40" i="24" s="1"/>
  <c r="V190" i="24"/>
  <c r="AP147" i="24"/>
  <c r="O276" i="24"/>
  <c r="J276" i="24"/>
  <c r="W276" i="24" s="1"/>
  <c r="AP92" i="24"/>
  <c r="AH252" i="25"/>
  <c r="AO252" i="25"/>
  <c r="J294" i="24"/>
  <c r="W294" i="24" s="1"/>
  <c r="O294" i="24"/>
  <c r="V54" i="24"/>
  <c r="V86" i="24"/>
  <c r="AP290" i="24"/>
  <c r="O204" i="24"/>
  <c r="CB204" i="24" s="1"/>
  <c r="J204" i="24"/>
  <c r="W204" i="24" s="1"/>
  <c r="V267" i="24"/>
  <c r="V159" i="24"/>
  <c r="AH189" i="25"/>
  <c r="AO189" i="25"/>
  <c r="AH91" i="25"/>
  <c r="CD91" i="25"/>
  <c r="V18" i="24"/>
  <c r="V277" i="24"/>
  <c r="AP44" i="24"/>
  <c r="V55" i="24"/>
  <c r="U142" i="25"/>
  <c r="V142" i="25"/>
  <c r="V114" i="24"/>
  <c r="AP258" i="24"/>
  <c r="O99" i="24"/>
  <c r="CB99" i="24" s="1"/>
  <c r="J99" i="24"/>
  <c r="W99" i="24" s="1"/>
  <c r="O96" i="24"/>
  <c r="CB96" i="24" s="1"/>
  <c r="J96" i="24"/>
  <c r="AH270" i="25"/>
  <c r="AO270" i="25"/>
  <c r="AH311" i="25"/>
  <c r="AI311" i="25" s="1"/>
  <c r="AS311" i="25" s="1"/>
  <c r="AO311" i="25"/>
  <c r="U193" i="25"/>
  <c r="V193" i="25"/>
  <c r="V240" i="24"/>
  <c r="AP50" i="24"/>
  <c r="AH40" i="25"/>
  <c r="AO40" i="25"/>
  <c r="V298" i="24"/>
  <c r="AH254" i="25"/>
  <c r="AI254" i="25" s="1"/>
  <c r="AS254" i="25" s="1"/>
  <c r="AO254" i="25"/>
  <c r="V287" i="24"/>
  <c r="AP32" i="24"/>
  <c r="AH250" i="25"/>
  <c r="AI250" i="25" s="1"/>
  <c r="AS250" i="25" s="1"/>
  <c r="AO250" i="25"/>
  <c r="O57" i="24"/>
  <c r="CB57" i="24" s="1"/>
  <c r="J57" i="24"/>
  <c r="W57" i="24" s="1"/>
  <c r="CD62" i="25"/>
  <c r="AH62" i="25"/>
  <c r="AP66" i="24"/>
  <c r="V192" i="24"/>
  <c r="O157" i="24"/>
  <c r="CB157" i="24" s="1"/>
  <c r="J157" i="24"/>
  <c r="W157" i="24" s="1"/>
  <c r="AO202" i="25"/>
  <c r="AH226" i="25"/>
  <c r="AO226" i="25"/>
  <c r="V13" i="24"/>
  <c r="AP239" i="24"/>
  <c r="AP207" i="24"/>
  <c r="O84" i="24"/>
  <c r="CB84" i="24" s="1"/>
  <c r="J84" i="24"/>
  <c r="W84" i="24" s="1"/>
  <c r="J186" i="24"/>
  <c r="W186" i="24" s="1"/>
  <c r="O186" i="24"/>
  <c r="CB186" i="24" s="1"/>
  <c r="V251" i="24"/>
  <c r="U145" i="25"/>
  <c r="V145" i="25"/>
  <c r="AP244" i="24"/>
  <c r="O166" i="24"/>
  <c r="CB166" i="24" s="1"/>
  <c r="J166" i="24"/>
  <c r="V94" i="24"/>
  <c r="J287" i="24"/>
  <c r="O287" i="24"/>
  <c r="J223" i="24"/>
  <c r="W223" i="24" s="1"/>
  <c r="O223" i="24"/>
  <c r="AP273" i="24"/>
  <c r="V121" i="24"/>
  <c r="J142" i="24"/>
  <c r="W142" i="24" s="1"/>
  <c r="O142" i="24"/>
  <c r="CB142" i="24" s="1"/>
  <c r="O54" i="24"/>
  <c r="CB54" i="24" s="1"/>
  <c r="J54" i="24"/>
  <c r="W54" i="24" s="1"/>
  <c r="V130" i="24"/>
  <c r="AP308" i="24"/>
  <c r="V163" i="24"/>
  <c r="V279" i="24"/>
  <c r="O18" i="24"/>
  <c r="CB18" i="24" s="1"/>
  <c r="J18" i="24"/>
  <c r="AP284" i="24"/>
  <c r="AH117" i="25"/>
  <c r="AI117" i="25" s="1"/>
  <c r="AS117" i="25" s="1"/>
  <c r="AO117" i="25"/>
  <c r="V64" i="24"/>
  <c r="V14" i="24"/>
  <c r="AH306" i="25"/>
  <c r="AI306" i="25" s="1"/>
  <c r="AS306" i="25" s="1"/>
  <c r="AO306" i="25"/>
  <c r="AH231" i="25"/>
  <c r="AI231" i="25" s="1"/>
  <c r="AS231" i="25" s="1"/>
  <c r="AO231" i="25"/>
  <c r="O49" i="24"/>
  <c r="CB49" i="24" s="1"/>
  <c r="J49" i="24"/>
  <c r="W49" i="24" s="1"/>
  <c r="V148" i="25"/>
  <c r="X148" i="25" s="1"/>
  <c r="AO154" i="25"/>
  <c r="AH244" i="25"/>
  <c r="AO244" i="25"/>
  <c r="AH24" i="25"/>
  <c r="CD24" i="25"/>
  <c r="AO24" i="25"/>
  <c r="CD36" i="25"/>
  <c r="CD200" i="25"/>
  <c r="U282" i="25"/>
  <c r="V282" i="25"/>
  <c r="V136" i="24"/>
  <c r="AP62" i="24"/>
  <c r="V231" i="24"/>
  <c r="AP128" i="24"/>
  <c r="AH297" i="25"/>
  <c r="AO297" i="25"/>
  <c r="AP280" i="24"/>
  <c r="V191" i="24"/>
  <c r="AP228" i="24"/>
  <c r="J281" i="24"/>
  <c r="W281" i="24" s="1"/>
  <c r="O281" i="24"/>
  <c r="AH52" i="25"/>
  <c r="CD52" i="25"/>
  <c r="V162" i="24"/>
  <c r="AO251" i="25"/>
  <c r="AH251" i="25"/>
  <c r="AI251" i="25" s="1"/>
  <c r="AS251" i="25" s="1"/>
  <c r="U316" i="25"/>
  <c r="V316" i="25"/>
  <c r="AH53" i="25"/>
  <c r="CD53" i="25"/>
  <c r="AP15" i="24"/>
  <c r="O77" i="24"/>
  <c r="CB77" i="24" s="1"/>
  <c r="J77" i="24"/>
  <c r="W77" i="24" s="1"/>
  <c r="AP155" i="24"/>
  <c r="AP73" i="24"/>
  <c r="AO292" i="25"/>
  <c r="AH292" i="25"/>
  <c r="AI292" i="25" s="1"/>
  <c r="AS292" i="25" s="1"/>
  <c r="AH166" i="25"/>
  <c r="AI166" i="25" s="1"/>
  <c r="AS166" i="25" s="1"/>
  <c r="AO166" i="25"/>
  <c r="V285" i="24"/>
  <c r="O225" i="24"/>
  <c r="J225" i="24"/>
  <c r="W225" i="24" s="1"/>
  <c r="J170" i="24"/>
  <c r="O170" i="24"/>
  <c r="CB170" i="24" s="1"/>
  <c r="V7" i="24"/>
  <c r="O265" i="24"/>
  <c r="J265" i="24"/>
  <c r="W265" i="24" s="1"/>
  <c r="O66" i="24"/>
  <c r="CB66" i="24" s="1"/>
  <c r="J66" i="24"/>
  <c r="W66" i="24" s="1"/>
  <c r="J169" i="24"/>
  <c r="W169" i="24" s="1"/>
  <c r="O169" i="24"/>
  <c r="CB169" i="24" s="1"/>
  <c r="J271" i="24"/>
  <c r="W271" i="24" s="1"/>
  <c r="O271" i="24"/>
  <c r="V314" i="24"/>
  <c r="AP292" i="24"/>
  <c r="O69" i="24"/>
  <c r="CB69" i="24" s="1"/>
  <c r="J69" i="24"/>
  <c r="W69" i="24" s="1"/>
  <c r="V196" i="24"/>
  <c r="J46" i="24"/>
  <c r="W46" i="24" s="1"/>
  <c r="O46" i="24"/>
  <c r="CB46" i="24" s="1"/>
  <c r="AP223" i="24"/>
  <c r="AH72" i="25"/>
  <c r="CD72" i="25"/>
  <c r="AO210" i="25"/>
  <c r="AH210" i="25"/>
  <c r="J116" i="24"/>
  <c r="O116" i="24"/>
  <c r="CB116" i="24" s="1"/>
  <c r="AH133" i="25"/>
  <c r="AO133" i="25"/>
  <c r="CD133" i="25"/>
  <c r="AP78" i="24"/>
  <c r="O255" i="24"/>
  <c r="J255" i="24"/>
  <c r="W255" i="24" s="1"/>
  <c r="V40" i="24"/>
  <c r="V205" i="24"/>
  <c r="O190" i="24"/>
  <c r="CB190" i="24" s="1"/>
  <c r="J190" i="24"/>
  <c r="AP71" i="24"/>
  <c r="AH191" i="25"/>
  <c r="AO191" i="25"/>
  <c r="AH218" i="25"/>
  <c r="AO218" i="25"/>
  <c r="AH122" i="25"/>
  <c r="AI122" i="25" s="1"/>
  <c r="AS122" i="25" s="1"/>
  <c r="AO122" i="25"/>
  <c r="AP151" i="24"/>
  <c r="J118" i="24"/>
  <c r="W118" i="24" s="1"/>
  <c r="O118" i="24"/>
  <c r="CB118" i="24" s="1"/>
  <c r="AP58" i="24"/>
  <c r="AP103" i="24"/>
  <c r="AH79" i="25"/>
  <c r="CD79" i="25"/>
  <c r="O159" i="24"/>
  <c r="CB159" i="24" s="1"/>
  <c r="J159" i="24"/>
  <c r="O70" i="24"/>
  <c r="CB70" i="24" s="1"/>
  <c r="J70" i="24"/>
  <c r="W70" i="24" s="1"/>
  <c r="V177" i="24"/>
  <c r="V257" i="24"/>
  <c r="O277" i="24"/>
  <c r="J277" i="24"/>
  <c r="AH277" i="25"/>
  <c r="CD168" i="25"/>
  <c r="V6" i="24"/>
  <c r="AP296" i="24"/>
  <c r="AO5" i="25"/>
  <c r="R5" i="25"/>
  <c r="V286" i="24"/>
  <c r="V299" i="24"/>
  <c r="V175" i="24"/>
  <c r="O19" i="24"/>
  <c r="CB19" i="24" s="1"/>
  <c r="J19" i="24"/>
  <c r="J258" i="24"/>
  <c r="W258" i="24" s="1"/>
  <c r="O258" i="24"/>
  <c r="AP238" i="24"/>
  <c r="V236" i="24"/>
  <c r="V274" i="24"/>
  <c r="AH202" i="25"/>
  <c r="AI202" i="25" s="1"/>
  <c r="AS202" i="25" s="1"/>
  <c r="CD191" i="25"/>
  <c r="AO26" i="25"/>
  <c r="AO36" i="25"/>
  <c r="AO200" i="25"/>
  <c r="V240" i="25"/>
  <c r="X240" i="25" s="1"/>
  <c r="V203" i="25"/>
  <c r="X203" i="25" s="1"/>
  <c r="V251" i="25"/>
  <c r="X251" i="25" s="1"/>
  <c r="CD40" i="25"/>
  <c r="V293" i="24"/>
  <c r="V80" i="24"/>
  <c r="U128" i="25"/>
  <c r="V128" i="25"/>
  <c r="AP113" i="24"/>
  <c r="V228" i="24"/>
  <c r="AP178" i="24"/>
  <c r="O15" i="24"/>
  <c r="CB15" i="24" s="1"/>
  <c r="J15" i="24"/>
  <c r="W15" i="24" s="1"/>
  <c r="AP199" i="24"/>
  <c r="AP307" i="24"/>
  <c r="AP143" i="24"/>
  <c r="AH55" i="25"/>
  <c r="AO55" i="25"/>
  <c r="V304" i="24"/>
  <c r="W259" i="25"/>
  <c r="Z259" i="25" s="1"/>
  <c r="AA259" i="25" s="1"/>
  <c r="AB259" i="25" s="1"/>
  <c r="AD259" i="25"/>
  <c r="AH15" i="25"/>
  <c r="AO15" i="25"/>
  <c r="V169" i="24"/>
  <c r="J165" i="24"/>
  <c r="W165" i="24" s="1"/>
  <c r="O165" i="24"/>
  <c r="CB165" i="24" s="1"/>
  <c r="AP241" i="24"/>
  <c r="O10" i="24"/>
  <c r="CB10" i="24" s="1"/>
  <c r="J10" i="24"/>
  <c r="W10" i="24" s="1"/>
  <c r="V292" i="24"/>
  <c r="AP26" i="24"/>
  <c r="AP186" i="24"/>
  <c r="W239" i="25"/>
  <c r="Z239" i="25" s="1"/>
  <c r="AA239" i="25" s="1"/>
  <c r="AB239" i="25" s="1"/>
  <c r="AD239" i="25"/>
  <c r="AE239" i="25" s="1"/>
  <c r="V239" i="25"/>
  <c r="X239" i="25" s="1"/>
  <c r="AO286" i="25"/>
  <c r="AH286" i="25"/>
  <c r="AI286" i="25" s="1"/>
  <c r="AS286" i="25" s="1"/>
  <c r="AP39" i="24"/>
  <c r="O244" i="24"/>
  <c r="J244" i="24"/>
  <c r="J220" i="24"/>
  <c r="W220" i="24" s="1"/>
  <c r="O220" i="24"/>
  <c r="AP60" i="24"/>
  <c r="V202" i="24"/>
  <c r="AH148" i="25"/>
  <c r="AO148" i="25"/>
  <c r="O206" i="24"/>
  <c r="CB206" i="24" s="1"/>
  <c r="J206" i="24"/>
  <c r="W206" i="24" s="1"/>
  <c r="AP315" i="24"/>
  <c r="AH169" i="25"/>
  <c r="AO169" i="25"/>
  <c r="AP152" i="24"/>
  <c r="O193" i="24"/>
  <c r="CB193" i="24" s="1"/>
  <c r="J193" i="24"/>
  <c r="W193" i="24" s="1"/>
  <c r="AP288" i="24"/>
  <c r="AH196" i="25"/>
  <c r="AO196" i="25"/>
  <c r="CD196" i="25"/>
  <c r="AP87" i="24"/>
  <c r="V95" i="24"/>
  <c r="AP126" i="24"/>
  <c r="O63" i="24"/>
  <c r="CB63" i="24" s="1"/>
  <c r="J63" i="24"/>
  <c r="AP195" i="24"/>
  <c r="AH144" i="25"/>
  <c r="AO144" i="25"/>
  <c r="AH34" i="25"/>
  <c r="CD34" i="25"/>
  <c r="AO34" i="25"/>
  <c r="V248" i="24"/>
  <c r="O177" i="24"/>
  <c r="CB177" i="24" s="1"/>
  <c r="J177" i="24"/>
  <c r="W177" i="24" s="1"/>
  <c r="V173" i="24"/>
  <c r="V262" i="24"/>
  <c r="AP29" i="24"/>
  <c r="O237" i="24"/>
  <c r="J237" i="24"/>
  <c r="W237" i="24" s="1"/>
  <c r="J180" i="24"/>
  <c r="W180" i="24" s="1"/>
  <c r="O180" i="24"/>
  <c r="CB180" i="24" s="1"/>
  <c r="AP194" i="24"/>
  <c r="V91" i="24"/>
  <c r="AH227" i="25"/>
  <c r="AI227" i="25" s="1"/>
  <c r="AS227" i="25" s="1"/>
  <c r="AO227" i="25"/>
  <c r="AP259" i="24"/>
  <c r="AH50" i="25"/>
  <c r="AO50" i="25"/>
  <c r="CD50" i="25"/>
  <c r="AH45" i="25"/>
  <c r="AO45" i="25"/>
  <c r="V19" i="24"/>
  <c r="AP183" i="24"/>
  <c r="O232" i="24"/>
  <c r="J232" i="24"/>
  <c r="AH224" i="25"/>
  <c r="AI224" i="25" s="1"/>
  <c r="AS224" i="25" s="1"/>
  <c r="AO224" i="25"/>
  <c r="AO195" i="25"/>
  <c r="AH195" i="25"/>
  <c r="AH177" i="25"/>
  <c r="AO177" i="25"/>
  <c r="AO217" i="25"/>
  <c r="AH217" i="25"/>
  <c r="AP234" i="24"/>
  <c r="AP117" i="24"/>
  <c r="AO119" i="25"/>
  <c r="AH119" i="25"/>
  <c r="AI119" i="25" s="1"/>
  <c r="AS119" i="25" s="1"/>
  <c r="CD119" i="25"/>
  <c r="J152" i="24"/>
  <c r="W152" i="24" s="1"/>
  <c r="O152" i="24"/>
  <c r="CB152" i="24" s="1"/>
  <c r="O78" i="24"/>
  <c r="CB78" i="24" s="1"/>
  <c r="J78" i="24"/>
  <c r="W78" i="24" s="1"/>
  <c r="AP172" i="24"/>
  <c r="V252" i="24"/>
  <c r="AP189" i="24"/>
  <c r="AP197" i="24"/>
  <c r="J224" i="24"/>
  <c r="W224" i="24" s="1"/>
  <c r="O224" i="24"/>
  <c r="AO111" i="25"/>
  <c r="AH111" i="25"/>
  <c r="J124" i="24"/>
  <c r="W124" i="24" s="1"/>
  <c r="O124" i="24"/>
  <c r="CB124" i="24" s="1"/>
  <c r="AH314" i="25"/>
  <c r="AO314" i="25"/>
  <c r="J115" i="24"/>
  <c r="W115" i="24" s="1"/>
  <c r="O115" i="24"/>
  <c r="CB115" i="24" s="1"/>
  <c r="V198" i="24"/>
  <c r="O144" i="24"/>
  <c r="CB144" i="24" s="1"/>
  <c r="J144" i="24"/>
  <c r="W144" i="24" s="1"/>
  <c r="J301" i="24"/>
  <c r="W301" i="24" s="1"/>
  <c r="O301" i="24"/>
  <c r="CD111" i="25"/>
  <c r="V41" i="24"/>
  <c r="U299" i="25"/>
  <c r="V299" i="25"/>
  <c r="AH18" i="25"/>
  <c r="AO18" i="25"/>
  <c r="O91" i="24"/>
  <c r="CB91" i="24" s="1"/>
  <c r="J91" i="24"/>
  <c r="W91" i="24" s="1"/>
  <c r="AP246" i="24"/>
  <c r="AH63" i="25"/>
  <c r="CD63" i="25"/>
  <c r="O8" i="24"/>
  <c r="CB8" i="24" s="1"/>
  <c r="J8" i="24"/>
  <c r="W8" i="24" s="1"/>
  <c r="AP153" i="24"/>
  <c r="V75" i="24"/>
  <c r="AO142" i="25"/>
  <c r="AH142" i="25"/>
  <c r="AI142" i="25" s="1"/>
  <c r="AS142" i="25" s="1"/>
  <c r="AP101" i="24"/>
  <c r="AO241" i="25"/>
  <c r="O146" i="24"/>
  <c r="CB146" i="24" s="1"/>
  <c r="J146" i="24"/>
  <c r="V127" i="24"/>
  <c r="AP230" i="24"/>
  <c r="V166" i="24"/>
  <c r="AP272" i="24"/>
  <c r="J134" i="24"/>
  <c r="W134" i="24" s="1"/>
  <c r="O134" i="24"/>
  <c r="CB134" i="24" s="1"/>
  <c r="O171" i="24"/>
  <c r="CB171" i="24" s="1"/>
  <c r="J171" i="24"/>
  <c r="W171" i="24" s="1"/>
  <c r="AP271" i="24"/>
  <c r="V28" i="24"/>
  <c r="AP111" i="24"/>
  <c r="V90" i="24"/>
  <c r="V154" i="24"/>
  <c r="AP83" i="24"/>
  <c r="O168" i="24"/>
  <c r="CB168" i="24" s="1"/>
  <c r="J168" i="24"/>
  <c r="V263" i="24"/>
  <c r="AH10" i="25"/>
  <c r="CD10" i="25"/>
  <c r="V260" i="24"/>
  <c r="J250" i="24"/>
  <c r="W250" i="24" s="1"/>
  <c r="O250" i="24"/>
  <c r="U137" i="25"/>
  <c r="V137" i="25"/>
  <c r="J123" i="24"/>
  <c r="O123" i="24"/>
  <c r="CB123" i="24" s="1"/>
  <c r="AH243" i="25"/>
  <c r="AI243" i="25" s="1"/>
  <c r="AS243" i="25" s="1"/>
  <c r="AO243" i="25"/>
  <c r="V179" i="24"/>
  <c r="AO62" i="25"/>
  <c r="AH193" i="25"/>
  <c r="CD193" i="25"/>
  <c r="AO193" i="25"/>
  <c r="AP231" i="24"/>
  <c r="O263" i="24"/>
  <c r="J263" i="24"/>
  <c r="AD251" i="25"/>
  <c r="AF251" i="25" s="1"/>
  <c r="O62" i="24"/>
  <c r="CB62" i="24" s="1"/>
  <c r="J62" i="24"/>
  <c r="W62" i="24" s="1"/>
  <c r="AP306" i="24"/>
  <c r="O102" i="24"/>
  <c r="CB102" i="24" s="1"/>
  <c r="J102" i="24"/>
  <c r="W102" i="24" s="1"/>
  <c r="AP127" i="24"/>
  <c r="O311" i="24"/>
  <c r="J311" i="24"/>
  <c r="W311" i="24" s="1"/>
  <c r="J228" i="24"/>
  <c r="O228" i="24"/>
  <c r="AP167" i="24"/>
  <c r="AP298" i="24"/>
  <c r="V178" i="24"/>
  <c r="V155" i="24"/>
  <c r="AH114" i="25"/>
  <c r="AI114" i="25" s="1"/>
  <c r="AS114" i="25" s="1"/>
  <c r="AO114" i="25"/>
  <c r="CD114" i="25"/>
  <c r="AO181" i="25"/>
  <c r="AH181" i="25"/>
  <c r="AH89" i="25"/>
  <c r="CD89" i="25"/>
  <c r="AO89" i="25"/>
  <c r="AP134" i="24"/>
  <c r="AP200" i="24"/>
  <c r="AP295" i="24"/>
  <c r="AP171" i="24"/>
  <c r="O47" i="24"/>
  <c r="CB47" i="24" s="1"/>
  <c r="J47" i="24"/>
  <c r="AO308" i="25"/>
  <c r="AH308" i="25"/>
  <c r="J292" i="24"/>
  <c r="W292" i="24" s="1"/>
  <c r="O292" i="24"/>
  <c r="V69" i="24"/>
  <c r="O26" i="24"/>
  <c r="CB26" i="24" s="1"/>
  <c r="J26" i="24"/>
  <c r="O196" i="24"/>
  <c r="CB196" i="24" s="1"/>
  <c r="J196" i="24"/>
  <c r="W196" i="24" s="1"/>
  <c r="U180" i="25"/>
  <c r="V180" i="25"/>
  <c r="O120" i="24"/>
  <c r="CB120" i="24" s="1"/>
  <c r="J120" i="24"/>
  <c r="W120" i="24" s="1"/>
  <c r="V218" i="24"/>
  <c r="AP154" i="24"/>
  <c r="AP149" i="24"/>
  <c r="AH208" i="25"/>
  <c r="CD208" i="25"/>
  <c r="AO208" i="25"/>
  <c r="AH61" i="25"/>
  <c r="CD61" i="25"/>
  <c r="AO61" i="25"/>
  <c r="AH230" i="25"/>
  <c r="AO230" i="25"/>
  <c r="O93" i="24"/>
  <c r="CB93" i="24" s="1"/>
  <c r="J93" i="24"/>
  <c r="V155" i="25"/>
  <c r="X155" i="25" s="1"/>
  <c r="V296" i="25"/>
  <c r="X296" i="25" s="1"/>
  <c r="V288" i="25"/>
  <c r="X288" i="25" s="1"/>
  <c r="V292" i="25"/>
  <c r="X292" i="25" s="1"/>
  <c r="J240" i="24"/>
  <c r="O240" i="24"/>
  <c r="V306" i="24"/>
  <c r="V113" i="24"/>
  <c r="O20" i="24"/>
  <c r="CB20" i="24" s="1"/>
  <c r="J20" i="24"/>
  <c r="V102" i="24"/>
  <c r="AO204" i="25"/>
  <c r="AP278" i="24"/>
  <c r="AP168" i="24"/>
  <c r="O312" i="24"/>
  <c r="J312" i="24"/>
  <c r="AO100" i="25"/>
  <c r="AH100" i="25"/>
  <c r="V134" i="24"/>
  <c r="AH178" i="25"/>
  <c r="AI178" i="25" s="1"/>
  <c r="AS178" i="25" s="1"/>
  <c r="AO178" i="25"/>
  <c r="AP84" i="24"/>
  <c r="AH259" i="25"/>
  <c r="AO259" i="25"/>
  <c r="V47" i="24"/>
  <c r="O28" i="24"/>
  <c r="CB28" i="24" s="1"/>
  <c r="J28" i="24"/>
  <c r="W28" i="24" s="1"/>
  <c r="AH67" i="25"/>
  <c r="CD67" i="25"/>
  <c r="J111" i="24"/>
  <c r="W111" i="24" s="1"/>
  <c r="O111" i="24"/>
  <c r="CB111" i="24" s="1"/>
  <c r="O90" i="24"/>
  <c r="CB90" i="24" s="1"/>
  <c r="J90" i="24"/>
  <c r="V157" i="24"/>
  <c r="O149" i="24"/>
  <c r="CB149" i="24" s="1"/>
  <c r="J149" i="24"/>
  <c r="W149" i="24" s="1"/>
  <c r="V39" i="24"/>
  <c r="V146" i="25"/>
  <c r="U146" i="25"/>
  <c r="AH64" i="25"/>
  <c r="AO64" i="25"/>
  <c r="AP17" i="24"/>
  <c r="O60" i="24"/>
  <c r="CB60" i="24" s="1"/>
  <c r="J60" i="24"/>
  <c r="W60" i="24" s="1"/>
  <c r="O81" i="24"/>
  <c r="CB81" i="24" s="1"/>
  <c r="J81" i="24"/>
  <c r="V132" i="24"/>
  <c r="V117" i="24"/>
  <c r="V152" i="24"/>
  <c r="V288" i="24"/>
  <c r="AH235" i="25"/>
  <c r="O172" i="24"/>
  <c r="CB172" i="24" s="1"/>
  <c r="J172" i="24"/>
  <c r="O252" i="24"/>
  <c r="J252" i="24"/>
  <c r="V92" i="24"/>
  <c r="AH38" i="25"/>
  <c r="CD38" i="25"/>
  <c r="AP130" i="24"/>
  <c r="V227" i="24"/>
  <c r="O37" i="24"/>
  <c r="CB37" i="24" s="1"/>
  <c r="J37" i="24"/>
  <c r="W37" i="24" s="1"/>
  <c r="U187" i="25"/>
  <c r="V187" i="25"/>
  <c r="AP135" i="24"/>
  <c r="O133" i="24"/>
  <c r="CB133" i="24" s="1"/>
  <c r="J133" i="24"/>
  <c r="W133" i="24" s="1"/>
  <c r="O209" i="24"/>
  <c r="CB209" i="24" s="1"/>
  <c r="J209" i="24"/>
  <c r="AP217" i="24"/>
  <c r="CD163" i="25"/>
  <c r="CD148" i="25"/>
  <c r="V125" i="24"/>
  <c r="AP64" i="24"/>
  <c r="AP210" i="24"/>
  <c r="V270" i="24"/>
  <c r="U198" i="25"/>
  <c r="V198" i="25"/>
  <c r="V101" i="24"/>
  <c r="AO298" i="25"/>
  <c r="AH298" i="25"/>
  <c r="O136" i="24"/>
  <c r="CB136" i="24" s="1"/>
  <c r="J136" i="24"/>
  <c r="W136" i="24" s="1"/>
  <c r="O79" i="24"/>
  <c r="CB79" i="24" s="1"/>
  <c r="J79" i="24"/>
  <c r="AP42" i="24"/>
  <c r="O53" i="24"/>
  <c r="CB53" i="24" s="1"/>
  <c r="J53" i="24"/>
  <c r="W53" i="24" s="1"/>
  <c r="J205" i="24"/>
  <c r="W205" i="24" s="1"/>
  <c r="O205" i="24"/>
  <c r="CB205" i="24" s="1"/>
  <c r="U192" i="25"/>
  <c r="V192" i="25"/>
  <c r="AP11" i="24"/>
  <c r="V65" i="24"/>
  <c r="V235" i="24"/>
  <c r="O59" i="24"/>
  <c r="CB59" i="24" s="1"/>
  <c r="J59" i="24"/>
  <c r="W59" i="24" s="1"/>
  <c r="AP118" i="24"/>
  <c r="V160" i="24"/>
  <c r="V245" i="24"/>
  <c r="J131" i="24"/>
  <c r="W131" i="24" s="1"/>
  <c r="O131" i="24"/>
  <c r="CB131" i="24" s="1"/>
  <c r="AH229" i="25"/>
  <c r="AO229" i="25"/>
  <c r="O227" i="24"/>
  <c r="J227" i="24"/>
  <c r="AP204" i="24"/>
  <c r="AO187" i="25"/>
  <c r="AH187" i="25"/>
  <c r="AO162" i="25"/>
  <c r="AH162" i="25"/>
  <c r="AI162" i="25" s="1"/>
  <c r="AS162" i="25" s="1"/>
  <c r="AH78" i="25"/>
  <c r="AO78" i="25"/>
  <c r="AP249" i="24"/>
  <c r="U124" i="25"/>
  <c r="V124" i="25"/>
  <c r="V185" i="24"/>
  <c r="V29" i="24"/>
  <c r="J254" i="24"/>
  <c r="W254" i="24" s="1"/>
  <c r="O254" i="24"/>
  <c r="O125" i="24"/>
  <c r="CB125" i="24" s="1"/>
  <c r="J125" i="24"/>
  <c r="W125" i="24" s="1"/>
  <c r="CD178" i="25"/>
  <c r="CD181" i="25"/>
  <c r="CD15" i="25"/>
  <c r="J286" i="24"/>
  <c r="O286" i="24"/>
  <c r="J161" i="24"/>
  <c r="O161" i="24"/>
  <c r="CB161" i="24" s="1"/>
  <c r="V242" i="24"/>
  <c r="AP56" i="24"/>
  <c r="V182" i="24"/>
  <c r="V187" i="24"/>
  <c r="O238" i="24"/>
  <c r="J238" i="24"/>
  <c r="W238" i="24" s="1"/>
  <c r="AP303" i="24"/>
  <c r="J121" i="24"/>
  <c r="O121" i="24"/>
  <c r="CB121" i="24" s="1"/>
  <c r="O132" i="24"/>
  <c r="CB132" i="24" s="1"/>
  <c r="J132" i="24"/>
  <c r="W132" i="24" s="1"/>
  <c r="V142" i="24"/>
  <c r="O11" i="24"/>
  <c r="CB11" i="24" s="1"/>
  <c r="J11" i="24"/>
  <c r="W11" i="24" s="1"/>
  <c r="AH300" i="25"/>
  <c r="AO300" i="25"/>
  <c r="J126" i="24"/>
  <c r="W126" i="24" s="1"/>
  <c r="O126" i="24"/>
  <c r="CB126" i="24" s="1"/>
  <c r="O35" i="24"/>
  <c r="CB35" i="24" s="1"/>
  <c r="J35" i="24"/>
  <c r="W35" i="24" s="1"/>
  <c r="AO312" i="25"/>
  <c r="AH312" i="25"/>
  <c r="AI312" i="25" s="1"/>
  <c r="AS312" i="25" s="1"/>
  <c r="V302" i="24"/>
  <c r="AH220" i="25"/>
  <c r="AI220" i="25" s="1"/>
  <c r="AS220" i="25" s="1"/>
  <c r="AO220" i="25"/>
  <c r="AP291" i="24"/>
  <c r="AP48" i="24"/>
  <c r="AP88" i="24"/>
  <c r="O36" i="24"/>
  <c r="CB36" i="24" s="1"/>
  <c r="J36" i="24"/>
  <c r="W36" i="24" s="1"/>
  <c r="AP275" i="24"/>
  <c r="CD134" i="25"/>
  <c r="AP180" i="24"/>
  <c r="AP25" i="24"/>
  <c r="AH33" i="25"/>
  <c r="CD33" i="25"/>
  <c r="AO33" i="25"/>
  <c r="AH294" i="25"/>
  <c r="AI294" i="25" s="1"/>
  <c r="AS294" i="25" s="1"/>
  <c r="AO294" i="25"/>
  <c r="AP300" i="24"/>
  <c r="O23" i="24"/>
  <c r="CB23" i="24" s="1"/>
  <c r="J23" i="24"/>
  <c r="W23" i="24" s="1"/>
  <c r="O246" i="24"/>
  <c r="J246" i="24"/>
  <c r="AO279" i="25"/>
  <c r="AH279" i="25"/>
  <c r="AP14" i="24"/>
  <c r="O67" i="24"/>
  <c r="CB67" i="24" s="1"/>
  <c r="J67" i="24"/>
  <c r="W67" i="24" s="1"/>
  <c r="O16" i="24"/>
  <c r="CB16" i="24" s="1"/>
  <c r="J16" i="24"/>
  <c r="AH19" i="25"/>
  <c r="CD19" i="25"/>
  <c r="AO19" i="25"/>
  <c r="AP299" i="24"/>
  <c r="AP175" i="24"/>
  <c r="O187" i="24"/>
  <c r="CB187" i="24" s="1"/>
  <c r="J187" i="24"/>
  <c r="BI106" i="19"/>
  <c r="BH106" i="19"/>
  <c r="BB106" i="19"/>
  <c r="BS106" i="19"/>
  <c r="BF106" i="19"/>
  <c r="BJ106" i="19"/>
  <c r="BE106" i="19"/>
  <c r="BC106" i="19"/>
  <c r="BD106" i="19"/>
  <c r="AZ106" i="19"/>
  <c r="BL106" i="19" s="1"/>
  <c r="BM106" i="19" s="1"/>
  <c r="BG106" i="19"/>
  <c r="BK106" i="19"/>
  <c r="BA106" i="19"/>
  <c r="AP236" i="24"/>
  <c r="CD49" i="25"/>
  <c r="AH49" i="25"/>
  <c r="CD139" i="25"/>
  <c r="AH139" i="25"/>
  <c r="V145" i="24"/>
  <c r="AP164" i="24"/>
  <c r="O65" i="24"/>
  <c r="CB65" i="24" s="1"/>
  <c r="J65" i="24"/>
  <c r="O189" i="24"/>
  <c r="CB189" i="24" s="1"/>
  <c r="J189" i="24"/>
  <c r="W189" i="24" s="1"/>
  <c r="AP294" i="24"/>
  <c r="AP59" i="24"/>
  <c r="AP160" i="24"/>
  <c r="O104" i="24"/>
  <c r="CB104" i="24" s="1"/>
  <c r="J104" i="24"/>
  <c r="AP22" i="24"/>
  <c r="AH197" i="25"/>
  <c r="AO197" i="25"/>
  <c r="AO307" i="25"/>
  <c r="V11" i="24"/>
  <c r="AP235" i="24"/>
  <c r="AO249" i="25"/>
  <c r="AH249" i="25"/>
  <c r="AH253" i="25"/>
  <c r="AO253" i="25"/>
  <c r="AO284" i="25"/>
  <c r="AH284" i="25"/>
  <c r="AO281" i="25"/>
  <c r="AH281" i="25"/>
  <c r="AI281" i="25" s="1"/>
  <c r="AS281" i="25" s="1"/>
  <c r="V63" i="24"/>
  <c r="O290" i="24"/>
  <c r="J290" i="24"/>
  <c r="W290" i="24" s="1"/>
  <c r="AH176" i="25"/>
  <c r="AO176" i="25"/>
  <c r="V43" i="24"/>
  <c r="AP261" i="24"/>
  <c r="AP115" i="24"/>
  <c r="AP198" i="24"/>
  <c r="V37" i="24"/>
  <c r="O248" i="24"/>
  <c r="J248" i="24"/>
  <c r="W248" i="24" s="1"/>
  <c r="AP301" i="24"/>
  <c r="O173" i="24"/>
  <c r="CB173" i="24" s="1"/>
  <c r="J173" i="24"/>
  <c r="AP262" i="24"/>
  <c r="AP279" i="24"/>
  <c r="V135" i="24"/>
  <c r="V133" i="24"/>
  <c r="AP72" i="24"/>
  <c r="AO135" i="25"/>
  <c r="AH135" i="25"/>
  <c r="V209" i="24"/>
  <c r="V275" i="24"/>
  <c r="CD43" i="25"/>
  <c r="AP6" i="24"/>
  <c r="AH172" i="25"/>
  <c r="AO172" i="25"/>
  <c r="AP150" i="24"/>
  <c r="AH299" i="25"/>
  <c r="AO299" i="25"/>
  <c r="V194" i="24"/>
  <c r="V296" i="24"/>
  <c r="O44" i="24"/>
  <c r="CB44" i="24" s="1"/>
  <c r="J44" i="24"/>
  <c r="J300" i="24"/>
  <c r="W300" i="24" s="1"/>
  <c r="O300" i="24"/>
  <c r="V23" i="24"/>
  <c r="V181" i="24"/>
  <c r="AO301" i="25"/>
  <c r="AH301" i="25"/>
  <c r="O14" i="24"/>
  <c r="CB14" i="24" s="1"/>
  <c r="J14" i="24"/>
  <c r="W14" i="24" s="1"/>
  <c r="AP67" i="24"/>
  <c r="CD210" i="25"/>
  <c r="CD122" i="25"/>
  <c r="CD51" i="25"/>
  <c r="AO234" i="25"/>
  <c r="AH234" i="25"/>
  <c r="V259" i="24"/>
  <c r="AH160" i="25"/>
  <c r="AI160" i="25" s="1"/>
  <c r="AS160" i="25" s="1"/>
  <c r="AO160" i="25"/>
  <c r="V153" i="24"/>
  <c r="AP269" i="24"/>
  <c r="O114" i="24"/>
  <c r="CB114" i="24" s="1"/>
  <c r="J114" i="24"/>
  <c r="W114" i="24" s="1"/>
  <c r="O182" i="24"/>
  <c r="CB182" i="24" s="1"/>
  <c r="J182" i="24"/>
  <c r="W182" i="24" s="1"/>
  <c r="V85" i="24"/>
  <c r="V258" i="24"/>
  <c r="O101" i="24"/>
  <c r="CB101" i="24" s="1"/>
  <c r="J101" i="24"/>
  <c r="W101" i="24" s="1"/>
  <c r="V238" i="24"/>
  <c r="AP45" i="24"/>
  <c r="AP49" i="24"/>
  <c r="V232" i="24"/>
  <c r="V99" i="24"/>
  <c r="AP89" i="24"/>
  <c r="V12" i="24"/>
  <c r="CD13" i="25"/>
  <c r="V265" i="25"/>
  <c r="X265" i="25" s="1"/>
  <c r="AO262" i="25"/>
  <c r="AO81" i="25"/>
  <c r="AO272" i="25"/>
  <c r="V112" i="25"/>
  <c r="X112" i="25" s="1"/>
  <c r="V297" i="25"/>
  <c r="X297" i="25" s="1"/>
  <c r="CD35" i="25"/>
  <c r="O80" i="24"/>
  <c r="CB80" i="24" s="1"/>
  <c r="J80" i="24"/>
  <c r="AP20" i="24"/>
  <c r="V176" i="24"/>
  <c r="J127" i="24"/>
  <c r="W127" i="24" s="1"/>
  <c r="O127" i="24"/>
  <c r="CB127" i="24" s="1"/>
  <c r="O191" i="24"/>
  <c r="CB191" i="24" s="1"/>
  <c r="J191" i="24"/>
  <c r="AO264" i="25"/>
  <c r="AH264" i="25"/>
  <c r="AI264" i="25" s="1"/>
  <c r="AS264" i="25" s="1"/>
  <c r="J162" i="24"/>
  <c r="O162" i="24"/>
  <c r="CB162" i="24" s="1"/>
  <c r="O278" i="24"/>
  <c r="J278" i="24"/>
  <c r="W278" i="24" s="1"/>
  <c r="O97" i="24"/>
  <c r="CB97" i="24" s="1"/>
  <c r="J97" i="24"/>
  <c r="W97" i="24" s="1"/>
  <c r="AH121" i="25"/>
  <c r="CD121" i="25"/>
  <c r="AP221" i="24"/>
  <c r="AH316" i="25"/>
  <c r="AO316" i="25"/>
  <c r="AP208" i="24"/>
  <c r="V15" i="24"/>
  <c r="AP77" i="24"/>
  <c r="AH101" i="25"/>
  <c r="CD101" i="25"/>
  <c r="V239" i="24"/>
  <c r="J155" i="24"/>
  <c r="O155" i="24"/>
  <c r="CB155" i="24" s="1"/>
  <c r="V199" i="24"/>
  <c r="AO175" i="25"/>
  <c r="AH175" i="25"/>
  <c r="AI175" i="25" s="1"/>
  <c r="AS175" i="25" s="1"/>
  <c r="O156" i="24"/>
  <c r="CB156" i="24" s="1"/>
  <c r="J156" i="24"/>
  <c r="W156" i="24" s="1"/>
  <c r="O260" i="24"/>
  <c r="J260" i="24"/>
  <c r="W260" i="24" s="1"/>
  <c r="AP313" i="24"/>
  <c r="AP82" i="24"/>
  <c r="AP100" i="24"/>
  <c r="AP285" i="24"/>
  <c r="AP309" i="24"/>
  <c r="O32" i="24"/>
  <c r="CB32" i="24" s="1"/>
  <c r="J32" i="24"/>
  <c r="W32" i="24" s="1"/>
  <c r="AP310" i="24"/>
  <c r="O295" i="24"/>
  <c r="J295" i="24"/>
  <c r="W295" i="24" s="1"/>
  <c r="V66" i="24"/>
  <c r="AH170" i="25"/>
  <c r="AI170" i="25" s="1"/>
  <c r="AS170" i="25" s="1"/>
  <c r="AO170" i="25"/>
  <c r="J314" i="24"/>
  <c r="W314" i="24" s="1"/>
  <c r="O314" i="24"/>
  <c r="AP10" i="24"/>
  <c r="AP188" i="24"/>
  <c r="V158" i="24"/>
  <c r="AP33" i="24"/>
  <c r="O192" i="24"/>
  <c r="CB192" i="24" s="1"/>
  <c r="J192" i="24"/>
  <c r="W192" i="24" s="1"/>
  <c r="CD158" i="25"/>
  <c r="AO158" i="25"/>
  <c r="V120" i="24"/>
  <c r="J218" i="24"/>
  <c r="W218" i="24" s="1"/>
  <c r="O218" i="24"/>
  <c r="J154" i="24"/>
  <c r="W154" i="24" s="1"/>
  <c r="O154" i="24"/>
  <c r="CB154" i="24" s="1"/>
  <c r="V149" i="24"/>
  <c r="V226" i="24"/>
  <c r="O39" i="24"/>
  <c r="CB39" i="24" s="1"/>
  <c r="J39" i="24"/>
  <c r="W39" i="24" s="1"/>
  <c r="AP140" i="24"/>
  <c r="V297" i="24"/>
  <c r="AP98" i="24"/>
  <c r="V79" i="24"/>
  <c r="AH138" i="25"/>
  <c r="AO138" i="25"/>
  <c r="AH88" i="25"/>
  <c r="CD88" i="25"/>
  <c r="J273" i="24"/>
  <c r="W273" i="24" s="1"/>
  <c r="O273" i="24"/>
  <c r="O42" i="24"/>
  <c r="CB42" i="24" s="1"/>
  <c r="J42" i="24"/>
  <c r="W42" i="24" s="1"/>
  <c r="V60" i="24"/>
  <c r="AP122" i="24"/>
  <c r="J137" i="24"/>
  <c r="O137" i="24"/>
  <c r="CB137" i="24" s="1"/>
  <c r="AP202" i="24"/>
  <c r="AP105" i="24"/>
  <c r="AH288" i="25"/>
  <c r="AO288" i="25"/>
  <c r="O117" i="24"/>
  <c r="CB117" i="24" s="1"/>
  <c r="J117" i="24"/>
  <c r="W117" i="24" s="1"/>
  <c r="AO164" i="25"/>
  <c r="AH164" i="25"/>
  <c r="AI164" i="25" s="1"/>
  <c r="AS164" i="25" s="1"/>
  <c r="V255" i="24"/>
  <c r="J288" i="24"/>
  <c r="W288" i="24" s="1"/>
  <c r="O288" i="24"/>
  <c r="J235" i="24"/>
  <c r="W235" i="24" s="1"/>
  <c r="O235" i="24"/>
  <c r="AP222" i="24"/>
  <c r="AP203" i="24"/>
  <c r="AP148" i="24"/>
  <c r="V305" i="24"/>
  <c r="AP74" i="24"/>
  <c r="V189" i="24"/>
  <c r="V294" i="24"/>
  <c r="V151" i="24"/>
  <c r="AH295" i="25"/>
  <c r="AO295" i="25"/>
  <c r="O130" i="24"/>
  <c r="CB130" i="24" s="1"/>
  <c r="J130" i="24"/>
  <c r="AP35" i="24"/>
  <c r="U199" i="25"/>
  <c r="V199" i="25"/>
  <c r="V290" i="24"/>
  <c r="AH69" i="25"/>
  <c r="CD69" i="25"/>
  <c r="V204" i="24"/>
  <c r="AP174" i="24"/>
  <c r="AH203" i="25"/>
  <c r="AO203" i="25"/>
  <c r="O267" i="24"/>
  <c r="J267" i="24"/>
  <c r="AP302" i="24"/>
  <c r="AO273" i="25"/>
  <c r="AH273" i="25"/>
  <c r="AI273" i="25" s="1"/>
  <c r="AS273" i="25" s="1"/>
  <c r="AH265" i="25"/>
  <c r="AO265" i="25"/>
  <c r="V115" i="24"/>
  <c r="AH305" i="25"/>
  <c r="AO305" i="25"/>
  <c r="AH126" i="25"/>
  <c r="AI126" i="25" s="1"/>
  <c r="AS126" i="25" s="1"/>
  <c r="AO126" i="25"/>
  <c r="V301" i="24"/>
  <c r="AP70" i="24"/>
  <c r="AH257" i="25"/>
  <c r="AI257" i="25" s="1"/>
  <c r="AS257" i="25" s="1"/>
  <c r="AO257" i="25"/>
  <c r="AO125" i="25"/>
  <c r="V36" i="24"/>
  <c r="AH124" i="25"/>
  <c r="AI124" i="25" s="1"/>
  <c r="AS124" i="25" s="1"/>
  <c r="AO124" i="25"/>
  <c r="CD124" i="25"/>
  <c r="O29" i="24"/>
  <c r="CB29" i="24" s="1"/>
  <c r="J29" i="24"/>
  <c r="W29" i="24" s="1"/>
  <c r="J275" i="24"/>
  <c r="W275" i="24" s="1"/>
  <c r="O275" i="24"/>
  <c r="CD125" i="25"/>
  <c r="V167" i="25"/>
  <c r="X167" i="25" s="1"/>
  <c r="CD129" i="25"/>
  <c r="CD127" i="25"/>
  <c r="CD74" i="25"/>
  <c r="O6" i="24"/>
  <c r="CB6" i="24" s="1"/>
  <c r="J6" i="24"/>
  <c r="W6" i="24" s="1"/>
  <c r="O284" i="24"/>
  <c r="J284" i="24"/>
  <c r="W284" i="24" s="1"/>
  <c r="O194" i="24"/>
  <c r="CB194" i="24" s="1"/>
  <c r="J194" i="24"/>
  <c r="W194" i="24" s="1"/>
  <c r="O296" i="24"/>
  <c r="J296" i="24"/>
  <c r="V44" i="24"/>
  <c r="U117" i="25"/>
  <c r="V117" i="25"/>
  <c r="V300" i="24"/>
  <c r="O64" i="24"/>
  <c r="CB64" i="24" s="1"/>
  <c r="J64" i="24"/>
  <c r="V246" i="24"/>
  <c r="AP31" i="24"/>
  <c r="J181" i="24"/>
  <c r="O181" i="24"/>
  <c r="CB181" i="24" s="1"/>
  <c r="AP201" i="24"/>
  <c r="AH198" i="25"/>
  <c r="AO198" i="25"/>
  <c r="CD117" i="25"/>
  <c r="J259" i="24"/>
  <c r="O259" i="24"/>
  <c r="AP229" i="24"/>
  <c r="AP161" i="24"/>
  <c r="AP75" i="24"/>
  <c r="J175" i="24"/>
  <c r="O175" i="24"/>
  <c r="CB175" i="24" s="1"/>
  <c r="V269" i="24"/>
  <c r="AP38" i="24"/>
  <c r="AO274" i="25"/>
  <c r="AH274" i="25"/>
  <c r="CD47" i="25"/>
  <c r="AH47" i="25"/>
  <c r="AP316" i="24"/>
  <c r="O85" i="24"/>
  <c r="CB85" i="24" s="1"/>
  <c r="J85" i="24"/>
  <c r="W85" i="24" s="1"/>
  <c r="AH171" i="25"/>
  <c r="AO171" i="25"/>
  <c r="AP266" i="24"/>
  <c r="J236" i="24"/>
  <c r="O236" i="24"/>
  <c r="AP256" i="24"/>
  <c r="J274" i="24"/>
  <c r="O274" i="24"/>
  <c r="O12" i="24"/>
  <c r="CB12" i="24" s="1"/>
  <c r="J12" i="24"/>
  <c r="AP9" i="24"/>
  <c r="AH222" i="25"/>
  <c r="AO222" i="25"/>
  <c r="AP76" i="24"/>
  <c r="J145" i="24"/>
  <c r="W145" i="24" s="1"/>
  <c r="O145" i="24"/>
  <c r="CB145" i="24" s="1"/>
  <c r="AP264" i="24"/>
  <c r="V104" i="24"/>
  <c r="V164" i="24"/>
  <c r="V141" i="24"/>
  <c r="AO205" i="25"/>
  <c r="AH205" i="25"/>
  <c r="O22" i="24"/>
  <c r="CB22" i="24" s="1"/>
  <c r="J22" i="24"/>
  <c r="W22" i="24" s="1"/>
  <c r="CD102" i="25"/>
  <c r="AH219" i="25"/>
  <c r="AI219" i="25" s="1"/>
  <c r="AS219" i="25" s="1"/>
  <c r="AO219" i="25"/>
  <c r="O128" i="24"/>
  <c r="CB128" i="24" s="1"/>
  <c r="J128" i="24"/>
  <c r="W128" i="24" s="1"/>
  <c r="O208" i="24"/>
  <c r="CB208" i="24" s="1"/>
  <c r="J208" i="24"/>
  <c r="W208" i="24" s="1"/>
  <c r="O73" i="24"/>
  <c r="CB73" i="24" s="1"/>
  <c r="J73" i="24"/>
  <c r="V313" i="24"/>
  <c r="J307" i="24"/>
  <c r="O307" i="24"/>
  <c r="AP129" i="24"/>
  <c r="V309" i="24"/>
  <c r="V32" i="24"/>
  <c r="V184" i="24"/>
  <c r="V143" i="24"/>
  <c r="V200" i="24"/>
  <c r="AP304" i="24"/>
  <c r="V171" i="24"/>
  <c r="V188" i="24"/>
  <c r="AH165" i="25"/>
  <c r="AO165" i="25"/>
  <c r="J297" i="24"/>
  <c r="O297" i="24"/>
  <c r="V17" i="24"/>
  <c r="AP119" i="24"/>
  <c r="AP220" i="24"/>
  <c r="J202" i="24"/>
  <c r="W202" i="24" s="1"/>
  <c r="O202" i="24"/>
  <c r="CB202" i="24" s="1"/>
  <c r="AP27" i="24"/>
  <c r="AP121" i="24"/>
  <c r="AP132" i="24"/>
  <c r="V78" i="24"/>
  <c r="AP282" i="24"/>
  <c r="AP53" i="24"/>
  <c r="J222" i="24"/>
  <c r="W222" i="24" s="1"/>
  <c r="O222" i="24"/>
  <c r="J148" i="24"/>
  <c r="O148" i="24"/>
  <c r="CB148" i="24" s="1"/>
  <c r="O74" i="24"/>
  <c r="CB74" i="24" s="1"/>
  <c r="J74" i="24"/>
  <c r="W74" i="24" s="1"/>
  <c r="O151" i="24"/>
  <c r="CB151" i="24" s="1"/>
  <c r="J151" i="24"/>
  <c r="AP95" i="24"/>
  <c r="V118" i="24"/>
  <c r="AO132" i="25"/>
  <c r="AP86" i="24"/>
  <c r="AO199" i="25"/>
  <c r="AP245" i="24"/>
  <c r="AP131" i="24"/>
  <c r="AP124" i="24"/>
  <c r="V308" i="24"/>
  <c r="V174" i="24"/>
  <c r="J302" i="24"/>
  <c r="O302" i="24"/>
  <c r="O261" i="24"/>
  <c r="J261" i="24"/>
  <c r="W261" i="24" s="1"/>
  <c r="O30" i="24"/>
  <c r="CB30" i="24" s="1"/>
  <c r="J30" i="24"/>
  <c r="W30" i="24" s="1"/>
  <c r="AH260" i="25"/>
  <c r="AI260" i="25" s="1"/>
  <c r="AS260" i="25" s="1"/>
  <c r="AO260" i="25"/>
  <c r="AP163" i="24"/>
  <c r="AP144" i="24"/>
  <c r="AO256" i="25"/>
  <c r="AH256" i="25"/>
  <c r="O262" i="24"/>
  <c r="J262" i="24"/>
  <c r="W262" i="24" s="1"/>
  <c r="AP51" i="24"/>
  <c r="J279" i="24"/>
  <c r="O279" i="24"/>
  <c r="O72" i="24"/>
  <c r="CB72" i="24" s="1"/>
  <c r="J72" i="24"/>
  <c r="W72" i="24" s="1"/>
  <c r="AD135" i="25"/>
  <c r="W135" i="25"/>
  <c r="Z135" i="25" s="1"/>
  <c r="AA135" i="25" s="1"/>
  <c r="AB135" i="25" s="1"/>
  <c r="AP185" i="24"/>
  <c r="CD128" i="25"/>
  <c r="CD155" i="25"/>
  <c r="CD169" i="25"/>
  <c r="CD202" i="25"/>
  <c r="CD165" i="25"/>
  <c r="V237" i="24"/>
  <c r="AP24" i="24"/>
  <c r="AO151" i="25"/>
  <c r="AH151" i="25"/>
  <c r="V150" i="24"/>
  <c r="AP41" i="24"/>
  <c r="AP254" i="24"/>
  <c r="V31" i="24"/>
  <c r="AP270" i="24"/>
  <c r="AP8" i="24"/>
  <c r="J201" i="24"/>
  <c r="O201" i="24"/>
  <c r="CB201" i="24" s="1"/>
  <c r="V67" i="24"/>
  <c r="CD160" i="25"/>
  <c r="V229" i="24"/>
  <c r="AP16" i="24"/>
  <c r="AH271" i="25"/>
  <c r="AO271" i="25"/>
  <c r="O153" i="24"/>
  <c r="CB153" i="24" s="1"/>
  <c r="J153" i="24"/>
  <c r="O242" i="24"/>
  <c r="J242" i="24"/>
  <c r="O75" i="24"/>
  <c r="CB75" i="24" s="1"/>
  <c r="J75" i="24"/>
  <c r="W75" i="24" s="1"/>
  <c r="AO209" i="25"/>
  <c r="AH209" i="25"/>
  <c r="O299" i="24"/>
  <c r="J299" i="24"/>
  <c r="W299" i="24" s="1"/>
  <c r="O269" i="24"/>
  <c r="J269" i="24"/>
  <c r="O38" i="24"/>
  <c r="CB38" i="24" s="1"/>
  <c r="J38" i="24"/>
  <c r="W38" i="24" s="1"/>
  <c r="V316" i="24"/>
  <c r="AP247" i="24"/>
  <c r="V183" i="24"/>
  <c r="V45" i="24"/>
  <c r="V266" i="24"/>
  <c r="V89" i="24"/>
  <c r="J256" i="24"/>
  <c r="O256" i="24"/>
  <c r="AP96" i="24"/>
  <c r="V9" i="24"/>
  <c r="CD166" i="25"/>
  <c r="J141" i="24"/>
  <c r="O141" i="24"/>
  <c r="CB141" i="24" s="1"/>
  <c r="O76" i="24"/>
  <c r="CB76" i="24" s="1"/>
  <c r="J76" i="24"/>
  <c r="W76" i="24" s="1"/>
  <c r="V264" i="24"/>
  <c r="J164" i="24"/>
  <c r="O164" i="24"/>
  <c r="CB164" i="24" s="1"/>
  <c r="V22" i="24"/>
  <c r="AH158" i="25"/>
  <c r="J293" i="24"/>
  <c r="W293" i="24" s="1"/>
  <c r="O293" i="24"/>
  <c r="V62" i="24"/>
  <c r="O113" i="24"/>
  <c r="CB113" i="24" s="1"/>
  <c r="J113" i="24"/>
  <c r="AH155" i="25"/>
  <c r="AO155" i="25"/>
  <c r="AP68" i="24"/>
  <c r="U259" i="25"/>
  <c r="V259" i="25"/>
  <c r="V138" i="24"/>
  <c r="J178" i="24"/>
  <c r="W178" i="24" s="1"/>
  <c r="O178" i="24"/>
  <c r="CB178" i="24" s="1"/>
  <c r="V234" i="24"/>
  <c r="O82" i="24"/>
  <c r="CB82" i="24" s="1"/>
  <c r="J82" i="24"/>
  <c r="W82" i="24" s="1"/>
  <c r="O207" i="24"/>
  <c r="CB207" i="24" s="1"/>
  <c r="J207" i="24"/>
  <c r="W207" i="24" s="1"/>
  <c r="J285" i="24"/>
  <c r="W285" i="24" s="1"/>
  <c r="O285" i="24"/>
  <c r="J310" i="24"/>
  <c r="W310" i="24" s="1"/>
  <c r="O310" i="24"/>
  <c r="AP265" i="24"/>
  <c r="V84" i="24"/>
  <c r="V10" i="24"/>
  <c r="O158" i="24"/>
  <c r="CB158" i="24" s="1"/>
  <c r="J158" i="24"/>
  <c r="W158" i="24" s="1"/>
  <c r="AO180" i="25"/>
  <c r="AH180" i="25"/>
  <c r="AP283" i="24"/>
  <c r="V263" i="25"/>
  <c r="U263" i="25"/>
  <c r="V140" i="24"/>
  <c r="O98" i="24"/>
  <c r="CB98" i="24" s="1"/>
  <c r="J98" i="24"/>
  <c r="W98" i="24" s="1"/>
  <c r="V303" i="24"/>
  <c r="AO276" i="25"/>
  <c r="AH276" i="25"/>
  <c r="V122" i="24"/>
  <c r="O105" i="24"/>
  <c r="CB105" i="24" s="1"/>
  <c r="J105" i="24"/>
  <c r="W105" i="24" s="1"/>
  <c r="AP112" i="24"/>
  <c r="AP81" i="24"/>
  <c r="AO232" i="25"/>
  <c r="AH232" i="25"/>
  <c r="AP205" i="24"/>
  <c r="V147" i="24"/>
  <c r="AP276" i="24"/>
  <c r="AH258" i="25"/>
  <c r="AI258" i="25" s="1"/>
  <c r="AS258" i="25" s="1"/>
  <c r="AO258" i="25"/>
  <c r="O139" i="24"/>
  <c r="CB139" i="24" s="1"/>
  <c r="J139" i="24"/>
  <c r="W139" i="24" s="1"/>
  <c r="V203" i="24"/>
  <c r="AP61" i="24"/>
  <c r="AP252" i="24"/>
  <c r="O305" i="24"/>
  <c r="J305" i="24"/>
  <c r="W305" i="24" s="1"/>
  <c r="AO96" i="25"/>
  <c r="AO223" i="25"/>
  <c r="AO77" i="25"/>
  <c r="AO92" i="25"/>
  <c r="AO98" i="25"/>
  <c r="CD17" i="25"/>
  <c r="AP240" i="24"/>
  <c r="V128" i="24"/>
  <c r="V20" i="24"/>
  <c r="O280" i="24"/>
  <c r="J280" i="24"/>
  <c r="W280" i="24" s="1"/>
  <c r="AP146" i="24"/>
  <c r="AP102" i="24"/>
  <c r="O21" i="24"/>
  <c r="CB21" i="24" s="1"/>
  <c r="J21" i="24"/>
  <c r="W21" i="24" s="1"/>
  <c r="AO240" i="25"/>
  <c r="AH240" i="25"/>
  <c r="V230" i="24"/>
  <c r="O83" i="24"/>
  <c r="CB83" i="24" s="1"/>
  <c r="J83" i="24"/>
  <c r="AP281" i="24"/>
  <c r="O50" i="24"/>
  <c r="CB50" i="24" s="1"/>
  <c r="J50" i="24"/>
  <c r="AH147" i="25"/>
  <c r="AI147" i="25" s="1"/>
  <c r="AS147" i="25" s="1"/>
  <c r="CD147" i="25"/>
  <c r="AO147" i="25"/>
  <c r="V167" i="24"/>
  <c r="J221" i="24"/>
  <c r="W221" i="24" s="1"/>
  <c r="O221" i="24"/>
  <c r="J272" i="24"/>
  <c r="W272" i="24" s="1"/>
  <c r="O272" i="24"/>
  <c r="AP138" i="24"/>
  <c r="AP94" i="24"/>
  <c r="AH112" i="25"/>
  <c r="AI112" i="25" s="1"/>
  <c r="AS112" i="25" s="1"/>
  <c r="AO112" i="25"/>
  <c r="O298" i="24"/>
  <c r="J298" i="24"/>
  <c r="AP233" i="24"/>
  <c r="O34" i="24"/>
  <c r="CB34" i="24" s="1"/>
  <c r="J34" i="24"/>
  <c r="W34" i="24" s="1"/>
  <c r="AP52" i="24"/>
  <c r="V77" i="24"/>
  <c r="V73" i="24"/>
  <c r="AP156" i="24"/>
  <c r="O313" i="24"/>
  <c r="J313" i="24"/>
  <c r="W313" i="24" s="1"/>
  <c r="V82" i="24"/>
  <c r="V100" i="24"/>
  <c r="V207" i="24"/>
  <c r="V307" i="24"/>
  <c r="J309" i="24"/>
  <c r="W309" i="24" s="1"/>
  <c r="O309" i="24"/>
  <c r="O143" i="24"/>
  <c r="CB143" i="24" s="1"/>
  <c r="J143" i="24"/>
  <c r="W143" i="24" s="1"/>
  <c r="V310" i="24"/>
  <c r="AH199" i="25"/>
  <c r="AI199" i="25" s="1"/>
  <c r="AS199" i="25" s="1"/>
  <c r="AO161" i="25"/>
  <c r="AH161" i="25"/>
  <c r="O200" i="24"/>
  <c r="CB200" i="24" s="1"/>
  <c r="J200" i="24"/>
  <c r="AH46" i="25"/>
  <c r="CD46" i="25"/>
  <c r="V165" i="24"/>
  <c r="J241" i="24"/>
  <c r="W241" i="24" s="1"/>
  <c r="O241" i="24"/>
  <c r="AP28" i="24"/>
  <c r="AH143" i="25"/>
  <c r="AO143" i="25"/>
  <c r="J188" i="24"/>
  <c r="W188" i="24" s="1"/>
  <c r="O188" i="24"/>
  <c r="CB188" i="24" s="1"/>
  <c r="AH137" i="25"/>
  <c r="AO137" i="25"/>
  <c r="V223" i="24"/>
  <c r="V243" i="24"/>
  <c r="AP120" i="24"/>
  <c r="J251" i="24"/>
  <c r="O251" i="24"/>
  <c r="AP90" i="24"/>
  <c r="AH310" i="25"/>
  <c r="AI310" i="25" s="1"/>
  <c r="AS310" i="25" s="1"/>
  <c r="AO310" i="25"/>
  <c r="AO146" i="25"/>
  <c r="J140" i="24"/>
  <c r="W140" i="24" s="1"/>
  <c r="O140" i="24"/>
  <c r="CB140" i="24" s="1"/>
  <c r="V98" i="24"/>
  <c r="O17" i="24"/>
  <c r="CB17" i="24" s="1"/>
  <c r="J17" i="24"/>
  <c r="AH30" i="25"/>
  <c r="CD30" i="25"/>
  <c r="AO30" i="25"/>
  <c r="V119" i="24"/>
  <c r="AP179" i="24"/>
  <c r="J303" i="24"/>
  <c r="O303" i="24"/>
  <c r="J122" i="24"/>
  <c r="O122" i="24"/>
  <c r="CB122" i="24" s="1"/>
  <c r="O27" i="24"/>
  <c r="CB27" i="24" s="1"/>
  <c r="J27" i="24"/>
  <c r="W27" i="24" s="1"/>
  <c r="J112" i="24"/>
  <c r="O112" i="24"/>
  <c r="CB112" i="24" s="1"/>
  <c r="AP206" i="24"/>
  <c r="J315" i="24"/>
  <c r="W315" i="24" s="1"/>
  <c r="O315" i="24"/>
  <c r="V282" i="24"/>
  <c r="AO129" i="25"/>
  <c r="AH129" i="25"/>
  <c r="AI129" i="25" s="1"/>
  <c r="AS129" i="25" s="1"/>
  <c r="AP190" i="24"/>
  <c r="O147" i="24"/>
  <c r="CB147" i="24" s="1"/>
  <c r="J147" i="24"/>
  <c r="O71" i="24"/>
  <c r="CB71" i="24" s="1"/>
  <c r="J71" i="24"/>
  <c r="V222" i="24"/>
  <c r="V139" i="24"/>
  <c r="O203" i="24"/>
  <c r="CB203" i="24" s="1"/>
  <c r="J203" i="24"/>
  <c r="O61" i="24"/>
  <c r="CB61" i="24" s="1"/>
  <c r="J61" i="24"/>
  <c r="V74" i="24"/>
  <c r="AO136" i="25"/>
  <c r="CD136" i="25"/>
  <c r="AH136" i="25"/>
  <c r="V59" i="24"/>
  <c r="O87" i="24"/>
  <c r="CB87" i="24" s="1"/>
  <c r="J87" i="24"/>
  <c r="AP54" i="24"/>
  <c r="O58" i="24"/>
  <c r="CB58" i="24" s="1"/>
  <c r="J58" i="24"/>
  <c r="V35" i="24"/>
  <c r="V195" i="24"/>
  <c r="O103" i="24"/>
  <c r="CB103" i="24" s="1"/>
  <c r="J103" i="24"/>
  <c r="W103" i="24" s="1"/>
  <c r="O174" i="24"/>
  <c r="CB174" i="24" s="1"/>
  <c r="J174" i="24"/>
  <c r="W174" i="24" s="1"/>
  <c r="V291" i="24"/>
  <c r="AP159" i="24"/>
  <c r="V261" i="24"/>
  <c r="V30" i="24"/>
  <c r="O198" i="24"/>
  <c r="CB198" i="24" s="1"/>
  <c r="J198" i="24"/>
  <c r="W198" i="24" s="1"/>
  <c r="V144" i="24"/>
  <c r="V70" i="24"/>
  <c r="O88" i="24"/>
  <c r="CB88" i="24" s="1"/>
  <c r="J88" i="24"/>
  <c r="W88" i="24" s="1"/>
  <c r="AP177" i="24"/>
  <c r="AP173" i="24"/>
  <c r="O51" i="24"/>
  <c r="CB51" i="24" s="1"/>
  <c r="J51" i="24"/>
  <c r="W51" i="24" s="1"/>
  <c r="V249" i="24"/>
  <c r="AP18" i="24"/>
  <c r="AP257" i="24"/>
  <c r="V72" i="24"/>
  <c r="AP209" i="24"/>
  <c r="O217" i="24"/>
  <c r="J217" i="24"/>
  <c r="V161" i="25"/>
  <c r="X161" i="25" s="1"/>
  <c r="CD66" i="25"/>
  <c r="CD204" i="25"/>
  <c r="O24" i="24"/>
  <c r="CB24" i="24" s="1"/>
  <c r="J24" i="24"/>
  <c r="W24" i="24" s="1"/>
  <c r="J150" i="24"/>
  <c r="W150" i="24" s="1"/>
  <c r="O150" i="24"/>
  <c r="CB150" i="24" s="1"/>
  <c r="O25" i="24"/>
  <c r="CB25" i="24" s="1"/>
  <c r="J25" i="24"/>
  <c r="W25" i="24" s="1"/>
  <c r="V254" i="24"/>
  <c r="AP91" i="24"/>
  <c r="AH289" i="25"/>
  <c r="AO289" i="25"/>
  <c r="O31" i="24"/>
  <c r="CB31" i="24" s="1"/>
  <c r="J31" i="24"/>
  <c r="W31" i="24" s="1"/>
  <c r="AH149" i="25"/>
  <c r="AO149" i="25"/>
  <c r="CD132" i="25"/>
  <c r="CD32" i="25"/>
  <c r="CD138" i="25"/>
  <c r="CD197" i="25"/>
  <c r="V161" i="24"/>
  <c r="V38" i="24"/>
  <c r="O56" i="24"/>
  <c r="CB56" i="24" s="1"/>
  <c r="J56" i="24"/>
  <c r="W56" i="24" s="1"/>
  <c r="AH156" i="25"/>
  <c r="AO156" i="25"/>
  <c r="J316" i="24"/>
  <c r="W316" i="24" s="1"/>
  <c r="O316" i="24"/>
  <c r="V247" i="24"/>
  <c r="J183" i="24"/>
  <c r="W183" i="24" s="1"/>
  <c r="O183" i="24"/>
  <c r="CB183" i="24" s="1"/>
  <c r="AO242" i="25"/>
  <c r="AH242" i="25"/>
  <c r="AI242" i="25" s="1"/>
  <c r="AS242" i="25" s="1"/>
  <c r="O45" i="24"/>
  <c r="CB45" i="24" s="1"/>
  <c r="J45" i="24"/>
  <c r="W45" i="24" s="1"/>
  <c r="J266" i="24"/>
  <c r="W266" i="24" s="1"/>
  <c r="O266" i="24"/>
  <c r="V49" i="24"/>
  <c r="O89" i="24"/>
  <c r="CB89" i="24" s="1"/>
  <c r="J89" i="24"/>
  <c r="V256" i="24"/>
  <c r="O9" i="24"/>
  <c r="CB9" i="24" s="1"/>
  <c r="J9" i="24"/>
  <c r="W9" i="24" s="1"/>
  <c r="V76" i="24"/>
  <c r="J264" i="24"/>
  <c r="O264" i="24"/>
  <c r="CD192" i="25"/>
  <c r="AP136" i="24"/>
  <c r="O231" i="24"/>
  <c r="J231" i="24"/>
  <c r="AP311" i="24"/>
  <c r="V97" i="24"/>
  <c r="V272" i="24"/>
  <c r="AP34" i="24"/>
  <c r="AO278" i="25"/>
  <c r="AH278" i="25"/>
  <c r="AI278" i="25" s="1"/>
  <c r="AS278" i="25" s="1"/>
  <c r="J199" i="24"/>
  <c r="W199" i="24" s="1"/>
  <c r="O199" i="24"/>
  <c r="CB199" i="24" s="1"/>
  <c r="AO39" i="25"/>
  <c r="AO51" i="25"/>
  <c r="AO56" i="25"/>
  <c r="AO43" i="25"/>
  <c r="AH233" i="25"/>
  <c r="AI233" i="25" s="1"/>
  <c r="AS233" i="25" s="1"/>
  <c r="AO233" i="25"/>
  <c r="AH128" i="25"/>
  <c r="AO128" i="25"/>
  <c r="AP176" i="24"/>
  <c r="V280" i="24"/>
  <c r="V146" i="24"/>
  <c r="V21" i="24"/>
  <c r="J230" i="24"/>
  <c r="W230" i="24" s="1"/>
  <c r="O230" i="24"/>
  <c r="AO302" i="25"/>
  <c r="V281" i="24"/>
  <c r="V50" i="24"/>
  <c r="O68" i="24"/>
  <c r="CB68" i="24" s="1"/>
  <c r="J68" i="24"/>
  <c r="AO186" i="25"/>
  <c r="AH186" i="25"/>
  <c r="AI186" i="25" s="1"/>
  <c r="AS186" i="25" s="1"/>
  <c r="AP219" i="24"/>
  <c r="AP166" i="24"/>
  <c r="J167" i="24"/>
  <c r="O167" i="24"/>
  <c r="CB167" i="24" s="1"/>
  <c r="V221" i="24"/>
  <c r="O94" i="24"/>
  <c r="CB94" i="24" s="1"/>
  <c r="J94" i="24"/>
  <c r="AP13" i="24"/>
  <c r="AH225" i="25"/>
  <c r="AI225" i="25" s="1"/>
  <c r="AS225" i="25" s="1"/>
  <c r="AO225" i="25"/>
  <c r="AP263" i="24"/>
  <c r="V233" i="24"/>
  <c r="V34" i="24"/>
  <c r="O52" i="24"/>
  <c r="CB52" i="24" s="1"/>
  <c r="J52" i="24"/>
  <c r="V208" i="24"/>
  <c r="J234" i="24"/>
  <c r="O234" i="24"/>
  <c r="AH48" i="25"/>
  <c r="CD48" i="25"/>
  <c r="AP287" i="24"/>
  <c r="V129" i="24"/>
  <c r="AH248" i="25"/>
  <c r="AI248" i="25" s="1"/>
  <c r="AS248" i="25" s="1"/>
  <c r="AO248" i="25"/>
  <c r="O289" i="24"/>
  <c r="J289" i="24"/>
  <c r="J184" i="24"/>
  <c r="O184" i="24"/>
  <c r="CB184" i="24" s="1"/>
  <c r="CD60" i="25"/>
  <c r="J304" i="24"/>
  <c r="W304" i="24" s="1"/>
  <c r="O304" i="24"/>
  <c r="AP170" i="24"/>
  <c r="AP57" i="24"/>
  <c r="V265" i="24"/>
  <c r="AO261" i="25"/>
  <c r="AH261" i="25"/>
  <c r="AP169" i="24"/>
  <c r="AP250" i="24"/>
  <c r="AP47" i="24"/>
  <c r="V271" i="24"/>
  <c r="V241" i="24"/>
  <c r="AH185" i="25"/>
  <c r="AO185" i="25"/>
  <c r="AP192" i="24"/>
  <c r="AP196" i="24"/>
  <c r="V46" i="24"/>
  <c r="V186" i="24"/>
  <c r="J243" i="24"/>
  <c r="W243" i="24" s="1"/>
  <c r="O243" i="24"/>
  <c r="V111" i="24"/>
  <c r="AP123" i="24"/>
  <c r="V283" i="24"/>
  <c r="AH263" i="25"/>
  <c r="AI263" i="25" s="1"/>
  <c r="AS263" i="25" s="1"/>
  <c r="AO263" i="25"/>
  <c r="AP157" i="24"/>
  <c r="AH127" i="25"/>
  <c r="AO127" i="25"/>
  <c r="J119" i="24"/>
  <c r="O119" i="24"/>
  <c r="CB119" i="24" s="1"/>
  <c r="AP116" i="24"/>
  <c r="J179" i="24"/>
  <c r="O179" i="24"/>
  <c r="CB179" i="24" s="1"/>
  <c r="AP79" i="24"/>
  <c r="V220" i="24"/>
  <c r="AP137" i="24"/>
  <c r="V27" i="24"/>
  <c r="V105" i="24"/>
  <c r="V81" i="24"/>
  <c r="V206" i="24"/>
  <c r="V315" i="24"/>
  <c r="O282" i="24"/>
  <c r="J282" i="24"/>
  <c r="W282" i="24" s="1"/>
  <c r="AP40" i="24"/>
  <c r="AP193" i="24"/>
  <c r="V53" i="24"/>
  <c r="AO237" i="25"/>
  <c r="AH237" i="25"/>
  <c r="AI237" i="25" s="1"/>
  <c r="AS237" i="25" s="1"/>
  <c r="V276" i="24"/>
  <c r="AP142" i="24"/>
  <c r="AP65" i="24"/>
  <c r="V61" i="24"/>
  <c r="AO188" i="25"/>
  <c r="O92" i="24"/>
  <c r="CB92" i="24" s="1"/>
  <c r="J92" i="24"/>
  <c r="V197" i="24"/>
  <c r="AO296" i="25"/>
  <c r="V87" i="24"/>
  <c r="V224" i="24"/>
  <c r="O95" i="24"/>
  <c r="CB95" i="24" s="1"/>
  <c r="J95" i="24"/>
  <c r="W95" i="24" s="1"/>
  <c r="V126" i="24"/>
  <c r="V58" i="24"/>
  <c r="J160" i="24"/>
  <c r="W160" i="24" s="1"/>
  <c r="O160" i="24"/>
  <c r="CB160" i="24" s="1"/>
  <c r="O86" i="24"/>
  <c r="CB86" i="24" s="1"/>
  <c r="J86" i="24"/>
  <c r="J245" i="24"/>
  <c r="O245" i="24"/>
  <c r="V131" i="24"/>
  <c r="AP63" i="24"/>
  <c r="AP227" i="24"/>
  <c r="V124" i="24"/>
  <c r="O195" i="24"/>
  <c r="CB195" i="24" s="1"/>
  <c r="J195" i="24"/>
  <c r="W195" i="24" s="1"/>
  <c r="V103" i="24"/>
  <c r="O308" i="24"/>
  <c r="J308" i="24"/>
  <c r="W308" i="24" s="1"/>
  <c r="AP43" i="24"/>
  <c r="AH174" i="25"/>
  <c r="AO174" i="25"/>
  <c r="AH150" i="25"/>
  <c r="AO150" i="25"/>
  <c r="CD150" i="25"/>
  <c r="O291" i="24"/>
  <c r="J291" i="24"/>
  <c r="W291" i="24" s="1"/>
  <c r="O48" i="24"/>
  <c r="CB48" i="24" s="1"/>
  <c r="J48" i="24"/>
  <c r="J163" i="24"/>
  <c r="O163" i="24"/>
  <c r="CB163" i="24" s="1"/>
  <c r="AP37" i="24"/>
  <c r="AP248" i="24"/>
  <c r="V88" i="24"/>
  <c r="V51" i="24"/>
  <c r="AH282" i="25"/>
  <c r="AO282" i="25"/>
  <c r="O249" i="24"/>
  <c r="J249" i="24"/>
  <c r="W249" i="24" s="1"/>
  <c r="AP36" i="24"/>
  <c r="O257" i="24"/>
  <c r="J257" i="24"/>
  <c r="AP277" i="24"/>
  <c r="AO167" i="25"/>
  <c r="AH167" i="25"/>
  <c r="AI167" i="25" s="1"/>
  <c r="AS167" i="25" s="1"/>
  <c r="CD167" i="25"/>
  <c r="AP133" i="24"/>
  <c r="U135" i="25"/>
  <c r="V135" i="25"/>
  <c r="O185" i="24"/>
  <c r="CB185" i="24" s="1"/>
  <c r="J185" i="24"/>
  <c r="V217" i="24"/>
  <c r="AH125" i="25"/>
  <c r="CD81" i="25"/>
  <c r="CD151" i="25"/>
  <c r="CD195" i="25"/>
  <c r="CD203" i="25"/>
  <c r="V24" i="24"/>
  <c r="V180" i="24"/>
  <c r="V284" i="24"/>
  <c r="O41" i="24"/>
  <c r="CB41" i="24" s="1"/>
  <c r="J41" i="24"/>
  <c r="V25" i="24"/>
  <c r="AH115" i="25"/>
  <c r="AI115" i="25" s="1"/>
  <c r="AS115" i="25" s="1"/>
  <c r="AO115" i="25"/>
  <c r="CD115" i="25"/>
  <c r="AP125" i="24"/>
  <c r="AH245" i="25"/>
  <c r="AI245" i="25" s="1"/>
  <c r="AS245" i="25" s="1"/>
  <c r="AO245" i="25"/>
  <c r="J210" i="24"/>
  <c r="O210" i="24"/>
  <c r="CB210" i="24" s="1"/>
  <c r="AP23" i="24"/>
  <c r="O270" i="24"/>
  <c r="J270" i="24"/>
  <c r="V8" i="24"/>
  <c r="AP181" i="24"/>
  <c r="CD187" i="25"/>
  <c r="CD83" i="25"/>
  <c r="CD144" i="25"/>
  <c r="CD172" i="25"/>
  <c r="J229" i="24"/>
  <c r="O229" i="24"/>
  <c r="V56" i="24"/>
  <c r="AP114" i="24"/>
  <c r="AP182" i="24"/>
  <c r="AP19" i="24"/>
  <c r="AP85" i="24"/>
  <c r="J247" i="24"/>
  <c r="W247" i="24" s="1"/>
  <c r="O247" i="24"/>
  <c r="AP187" i="24"/>
  <c r="AP99" i="24"/>
  <c r="AP274" i="24"/>
  <c r="V253" i="24"/>
  <c r="AO201" i="25"/>
  <c r="AH201" i="25"/>
  <c r="AP12" i="24"/>
  <c r="O253" i="24"/>
  <c r="J253" i="24"/>
  <c r="W253" i="24" s="1"/>
  <c r="CD162" i="25"/>
  <c r="AP141" i="24"/>
  <c r="AP145" i="24"/>
  <c r="AE111" i="25"/>
  <c r="AE161" i="25"/>
  <c r="W44" i="25"/>
  <c r="Z44" i="25" s="1"/>
  <c r="AA44" i="25" s="1"/>
  <c r="AB44" i="25" s="1"/>
  <c r="AI44" i="25" s="1"/>
  <c r="AD44" i="25"/>
  <c r="V44" i="25"/>
  <c r="X44" i="25" s="1"/>
  <c r="W66" i="25"/>
  <c r="Z66" i="25" s="1"/>
  <c r="AA66" i="25" s="1"/>
  <c r="AB66" i="25" s="1"/>
  <c r="AI66" i="25" s="1"/>
  <c r="AD66" i="25"/>
  <c r="V66" i="25"/>
  <c r="X66" i="25" s="1"/>
  <c r="AD15" i="25"/>
  <c r="W15" i="25"/>
  <c r="Z15" i="25" s="1"/>
  <c r="AA15" i="25" s="1"/>
  <c r="AB15" i="25" s="1"/>
  <c r="V15" i="25"/>
  <c r="X15" i="25" s="1"/>
  <c r="AD92" i="25"/>
  <c r="V92" i="25"/>
  <c r="X92" i="25" s="1"/>
  <c r="W92" i="25"/>
  <c r="Z92" i="25" s="1"/>
  <c r="AA92" i="25" s="1"/>
  <c r="AB92" i="25" s="1"/>
  <c r="AI92" i="25" s="1"/>
  <c r="AD91" i="25"/>
  <c r="W91" i="25"/>
  <c r="Z91" i="25" s="1"/>
  <c r="AA91" i="25" s="1"/>
  <c r="AB91" i="25" s="1"/>
  <c r="V91" i="25"/>
  <c r="X91" i="25" s="1"/>
  <c r="AE276" i="25"/>
  <c r="AE198" i="25"/>
  <c r="V22" i="25"/>
  <c r="X22" i="25" s="1"/>
  <c r="W22" i="25"/>
  <c r="Z22" i="25" s="1"/>
  <c r="AA22" i="25" s="1"/>
  <c r="AB22" i="25" s="1"/>
  <c r="AI22" i="25" s="1"/>
  <c r="AD22" i="25"/>
  <c r="W9" i="25"/>
  <c r="Z9" i="25" s="1"/>
  <c r="AA9" i="25" s="1"/>
  <c r="AB9" i="25" s="1"/>
  <c r="AI9" i="25" s="1"/>
  <c r="AD9" i="25"/>
  <c r="V9" i="25"/>
  <c r="X9" i="25" s="1"/>
  <c r="V83" i="25"/>
  <c r="X83" i="25" s="1"/>
  <c r="W83" i="25"/>
  <c r="Z83" i="25" s="1"/>
  <c r="AA83" i="25" s="1"/>
  <c r="AB83" i="25" s="1"/>
  <c r="AD83" i="25"/>
  <c r="AD90" i="25"/>
  <c r="W90" i="25"/>
  <c r="Z90" i="25" s="1"/>
  <c r="AA90" i="25" s="1"/>
  <c r="AB90" i="25" s="1"/>
  <c r="V90" i="25"/>
  <c r="X90" i="25" s="1"/>
  <c r="V71" i="25"/>
  <c r="X71" i="25" s="1"/>
  <c r="AD71" i="25"/>
  <c r="W71" i="25"/>
  <c r="Z71" i="25" s="1"/>
  <c r="AA71" i="25" s="1"/>
  <c r="AB71" i="25" s="1"/>
  <c r="AI71" i="25" s="1"/>
  <c r="AE192" i="25"/>
  <c r="V315" i="25"/>
  <c r="X315" i="25" s="1"/>
  <c r="AD315" i="25"/>
  <c r="W315" i="25"/>
  <c r="Z315" i="25" s="1"/>
  <c r="AA315" i="25" s="1"/>
  <c r="AB315" i="25" s="1"/>
  <c r="AI315" i="25" s="1"/>
  <c r="AS315" i="25" s="1"/>
  <c r="V82" i="25"/>
  <c r="X82" i="25" s="1"/>
  <c r="W82" i="25"/>
  <c r="Z82" i="25" s="1"/>
  <c r="AA82" i="25" s="1"/>
  <c r="AB82" i="25" s="1"/>
  <c r="AI82" i="25" s="1"/>
  <c r="AD82" i="25"/>
  <c r="W221" i="25"/>
  <c r="Z221" i="25" s="1"/>
  <c r="AA221" i="25" s="1"/>
  <c r="AB221" i="25" s="1"/>
  <c r="AI221" i="25" s="1"/>
  <c r="AS221" i="25" s="1"/>
  <c r="V221" i="25"/>
  <c r="X221" i="25" s="1"/>
  <c r="AD221" i="25"/>
  <c r="W93" i="25"/>
  <c r="Z93" i="25" s="1"/>
  <c r="AA93" i="25" s="1"/>
  <c r="AB93" i="25" s="1"/>
  <c r="AI93" i="25" s="1"/>
  <c r="V93" i="25"/>
  <c r="X93" i="25" s="1"/>
  <c r="AD93" i="25"/>
  <c r="V42" i="25"/>
  <c r="X42" i="25" s="1"/>
  <c r="AD42" i="25"/>
  <c r="W42" i="25"/>
  <c r="Z42" i="25" s="1"/>
  <c r="AA42" i="25" s="1"/>
  <c r="AB42" i="25" s="1"/>
  <c r="AI42" i="25" s="1"/>
  <c r="W72" i="25"/>
  <c r="Z72" i="25" s="1"/>
  <c r="AA72" i="25" s="1"/>
  <c r="AB72" i="25" s="1"/>
  <c r="V72" i="25"/>
  <c r="X72" i="25" s="1"/>
  <c r="AD72" i="25"/>
  <c r="V53" i="25"/>
  <c r="X53" i="25" s="1"/>
  <c r="W53" i="25"/>
  <c r="Z53" i="25" s="1"/>
  <c r="AA53" i="25" s="1"/>
  <c r="AB53" i="25" s="1"/>
  <c r="AD53" i="25"/>
  <c r="AE302" i="25"/>
  <c r="AD17" i="25"/>
  <c r="W17" i="25"/>
  <c r="Z17" i="25" s="1"/>
  <c r="AA17" i="25" s="1"/>
  <c r="AB17" i="25" s="1"/>
  <c r="AI17" i="25" s="1"/>
  <c r="V17" i="25"/>
  <c r="X17" i="25" s="1"/>
  <c r="V313" i="25"/>
  <c r="X313" i="25" s="1"/>
  <c r="W313" i="25"/>
  <c r="Z313" i="25" s="1"/>
  <c r="AA313" i="25" s="1"/>
  <c r="AB313" i="25" s="1"/>
  <c r="AI313" i="25" s="1"/>
  <c r="AS313" i="25" s="1"/>
  <c r="AD313" i="25"/>
  <c r="W235" i="25"/>
  <c r="Z235" i="25" s="1"/>
  <c r="AA235" i="25" s="1"/>
  <c r="AB235" i="25" s="1"/>
  <c r="V235" i="25"/>
  <c r="X235" i="25" s="1"/>
  <c r="AD235" i="25"/>
  <c r="V51" i="25"/>
  <c r="X51" i="25" s="1"/>
  <c r="AD51" i="25"/>
  <c r="W51" i="25"/>
  <c r="Z51" i="25" s="1"/>
  <c r="AA51" i="25" s="1"/>
  <c r="AB51" i="25" s="1"/>
  <c r="AI51" i="25" s="1"/>
  <c r="W89" i="25"/>
  <c r="Z89" i="25" s="1"/>
  <c r="AA89" i="25" s="1"/>
  <c r="AB89" i="25" s="1"/>
  <c r="AD89" i="25"/>
  <c r="V89" i="25"/>
  <c r="X89" i="25" s="1"/>
  <c r="AE265" i="25"/>
  <c r="AE138" i="25"/>
  <c r="AE289" i="25"/>
  <c r="AE171" i="25"/>
  <c r="W153" i="25"/>
  <c r="Z153" i="25" s="1"/>
  <c r="AA153" i="25" s="1"/>
  <c r="AB153" i="25" s="1"/>
  <c r="AI153" i="25" s="1"/>
  <c r="AD153" i="25"/>
  <c r="V153" i="25"/>
  <c r="X153" i="25" s="1"/>
  <c r="W33" i="25"/>
  <c r="Z33" i="25" s="1"/>
  <c r="AA33" i="25" s="1"/>
  <c r="AB33" i="25" s="1"/>
  <c r="V33" i="25"/>
  <c r="X33" i="25" s="1"/>
  <c r="AD33" i="25"/>
  <c r="V226" i="25"/>
  <c r="X226" i="25" s="1"/>
  <c r="AD226" i="25"/>
  <c r="W226" i="25"/>
  <c r="Z226" i="25" s="1"/>
  <c r="AA226" i="25" s="1"/>
  <c r="AB226" i="25" s="1"/>
  <c r="AE307" i="25"/>
  <c r="AE143" i="25"/>
  <c r="W40" i="25"/>
  <c r="Z40" i="25" s="1"/>
  <c r="AA40" i="25" s="1"/>
  <c r="AB40" i="25" s="1"/>
  <c r="AD40" i="25"/>
  <c r="V40" i="25"/>
  <c r="X40" i="25" s="1"/>
  <c r="D45" i="2"/>
  <c r="AD303" i="25"/>
  <c r="W303" i="25"/>
  <c r="Z303" i="25" s="1"/>
  <c r="AA303" i="25" s="1"/>
  <c r="AB303" i="25" s="1"/>
  <c r="AI303" i="25" s="1"/>
  <c r="AS303" i="25" s="1"/>
  <c r="V303" i="25"/>
  <c r="X303" i="25" s="1"/>
  <c r="V280" i="25"/>
  <c r="X280" i="25" s="1"/>
  <c r="AD280" i="25"/>
  <c r="W280" i="25"/>
  <c r="Z280" i="25" s="1"/>
  <c r="AA280" i="25" s="1"/>
  <c r="AB280" i="25" s="1"/>
  <c r="AI280" i="25" s="1"/>
  <c r="AS280" i="25" s="1"/>
  <c r="AE187" i="25"/>
  <c r="W41" i="25"/>
  <c r="Z41" i="25" s="1"/>
  <c r="AA41" i="25" s="1"/>
  <c r="AB41" i="25" s="1"/>
  <c r="AI41" i="25" s="1"/>
  <c r="V41" i="25"/>
  <c r="X41" i="25" s="1"/>
  <c r="AD41" i="25"/>
  <c r="AD57" i="25"/>
  <c r="W57" i="25"/>
  <c r="Z57" i="25" s="1"/>
  <c r="AA57" i="25" s="1"/>
  <c r="AB57" i="25" s="1"/>
  <c r="AI57" i="25" s="1"/>
  <c r="V57" i="25"/>
  <c r="X57" i="25" s="1"/>
  <c r="AD118" i="25"/>
  <c r="W118" i="25"/>
  <c r="Z118" i="25" s="1"/>
  <c r="AA118" i="25" s="1"/>
  <c r="AB118" i="25" s="1"/>
  <c r="AI118" i="25" s="1"/>
  <c r="V118" i="25"/>
  <c r="X118" i="25" s="1"/>
  <c r="AE301" i="25"/>
  <c r="AE217" i="25"/>
  <c r="AE298" i="25"/>
  <c r="V70" i="25"/>
  <c r="X70" i="25" s="1"/>
  <c r="W70" i="25"/>
  <c r="Z70" i="25" s="1"/>
  <c r="AA70" i="25" s="1"/>
  <c r="AB70" i="25" s="1"/>
  <c r="AI70" i="25" s="1"/>
  <c r="AD70" i="25"/>
  <c r="W78" i="25"/>
  <c r="Z78" i="25" s="1"/>
  <c r="AA78" i="25" s="1"/>
  <c r="AB78" i="25" s="1"/>
  <c r="AD78" i="25"/>
  <c r="V78" i="25"/>
  <c r="X78" i="25" s="1"/>
  <c r="V85" i="25"/>
  <c r="X85" i="25" s="1"/>
  <c r="AD85" i="25"/>
  <c r="W85" i="25"/>
  <c r="Z85" i="25" s="1"/>
  <c r="AA85" i="25" s="1"/>
  <c r="AB85" i="25" s="1"/>
  <c r="AI85" i="25" s="1"/>
  <c r="AE274" i="25"/>
  <c r="W275" i="25"/>
  <c r="Z275" i="25" s="1"/>
  <c r="AA275" i="25" s="1"/>
  <c r="AB275" i="25" s="1"/>
  <c r="AI275" i="25" s="1"/>
  <c r="AS275" i="25" s="1"/>
  <c r="AD275" i="25"/>
  <c r="V275" i="25"/>
  <c r="X275" i="25" s="1"/>
  <c r="AD61" i="25"/>
  <c r="W61" i="25"/>
  <c r="Z61" i="25" s="1"/>
  <c r="AA61" i="25" s="1"/>
  <c r="AB61" i="25" s="1"/>
  <c r="V61" i="25"/>
  <c r="X61" i="25" s="1"/>
  <c r="AE249" i="25"/>
  <c r="AE177" i="25"/>
  <c r="AE196" i="25"/>
  <c r="V268" i="25"/>
  <c r="X268" i="25" s="1"/>
  <c r="AD268" i="25"/>
  <c r="W268" i="25"/>
  <c r="Z268" i="25" s="1"/>
  <c r="AA268" i="25" s="1"/>
  <c r="AB268" i="25" s="1"/>
  <c r="AI268" i="25" s="1"/>
  <c r="AS268" i="25" s="1"/>
  <c r="V102" i="25"/>
  <c r="X102" i="25" s="1"/>
  <c r="AD102" i="25"/>
  <c r="W102" i="25"/>
  <c r="Z102" i="25" s="1"/>
  <c r="AA102" i="25" s="1"/>
  <c r="AB102" i="25" s="1"/>
  <c r="AI102" i="25" s="1"/>
  <c r="AE316" i="25"/>
  <c r="AE155" i="25"/>
  <c r="AD247" i="25"/>
  <c r="V247" i="25"/>
  <c r="X247" i="25" s="1"/>
  <c r="W247" i="25"/>
  <c r="Z247" i="25" s="1"/>
  <c r="AA247" i="25" s="1"/>
  <c r="AB247" i="25" s="1"/>
  <c r="AI247" i="25" s="1"/>
  <c r="AS247" i="25" s="1"/>
  <c r="W60" i="25"/>
  <c r="Z60" i="25" s="1"/>
  <c r="AA60" i="25" s="1"/>
  <c r="AB60" i="25" s="1"/>
  <c r="AI60" i="25" s="1"/>
  <c r="V60" i="25"/>
  <c r="X60" i="25" s="1"/>
  <c r="AD60" i="25"/>
  <c r="AD208" i="25"/>
  <c r="W208" i="25"/>
  <c r="Z208" i="25" s="1"/>
  <c r="AA208" i="25" s="1"/>
  <c r="AB208" i="25" s="1"/>
  <c r="V208" i="25"/>
  <c r="X208" i="25" s="1"/>
  <c r="AD200" i="25"/>
  <c r="W200" i="25"/>
  <c r="Z200" i="25" s="1"/>
  <c r="AA200" i="25" s="1"/>
  <c r="AB200" i="25" s="1"/>
  <c r="AI200" i="25" s="1"/>
  <c r="V200" i="25"/>
  <c r="X200" i="25" s="1"/>
  <c r="AD97" i="25"/>
  <c r="W97" i="25"/>
  <c r="Z97" i="25" s="1"/>
  <c r="AA97" i="25" s="1"/>
  <c r="AB97" i="25" s="1"/>
  <c r="AI97" i="25" s="1"/>
  <c r="V97" i="25"/>
  <c r="X97" i="25" s="1"/>
  <c r="AE234" i="25"/>
  <c r="AD246" i="25"/>
  <c r="W246" i="25"/>
  <c r="Z246" i="25" s="1"/>
  <c r="AA246" i="25" s="1"/>
  <c r="AB246" i="25" s="1"/>
  <c r="AI246" i="25" s="1"/>
  <c r="AS246" i="25" s="1"/>
  <c r="V246" i="25"/>
  <c r="X246" i="25" s="1"/>
  <c r="W59" i="25"/>
  <c r="Z59" i="25" s="1"/>
  <c r="AA59" i="25" s="1"/>
  <c r="AB59" i="25" s="1"/>
  <c r="AI59" i="25" s="1"/>
  <c r="AS59" i="25" s="1"/>
  <c r="AD59" i="25"/>
  <c r="V59" i="25"/>
  <c r="X59" i="25" s="1"/>
  <c r="AE127" i="25"/>
  <c r="AD105" i="25"/>
  <c r="W105" i="25"/>
  <c r="Z105" i="25" s="1"/>
  <c r="AA105" i="25" s="1"/>
  <c r="AB105" i="25" s="1"/>
  <c r="AI105" i="25" s="1"/>
  <c r="V105" i="25"/>
  <c r="X105" i="25" s="1"/>
  <c r="CJ123" i="25"/>
  <c r="CI113" i="25"/>
  <c r="CJ114" i="25"/>
  <c r="CJ113" i="25"/>
  <c r="CI114" i="25"/>
  <c r="CJ115" i="25"/>
  <c r="CI117" i="25"/>
  <c r="CI116" i="25"/>
  <c r="CI118" i="25"/>
  <c r="CI124" i="25"/>
  <c r="CI123" i="25"/>
  <c r="CI204" i="25"/>
  <c r="CI115" i="25"/>
  <c r="CI191" i="25"/>
  <c r="CI129" i="25"/>
  <c r="CJ204" i="25"/>
  <c r="CJ118" i="25"/>
  <c r="CJ124" i="25"/>
  <c r="CJ116" i="25"/>
  <c r="CJ117" i="25"/>
  <c r="CJ128" i="25"/>
  <c r="CI128" i="25"/>
  <c r="CJ191" i="25"/>
  <c r="CJ129" i="25"/>
  <c r="W133" i="25"/>
  <c r="Z133" i="25" s="1"/>
  <c r="AA133" i="25" s="1"/>
  <c r="AB133" i="25" s="1"/>
  <c r="V133" i="25"/>
  <c r="X133" i="25" s="1"/>
  <c r="AD133" i="25"/>
  <c r="AE188" i="25"/>
  <c r="V189" i="25"/>
  <c r="X189" i="25" s="1"/>
  <c r="W189" i="25"/>
  <c r="Z189" i="25" s="1"/>
  <c r="AA189" i="25" s="1"/>
  <c r="AB189" i="25" s="1"/>
  <c r="AD189" i="25"/>
  <c r="W238" i="25"/>
  <c r="Z238" i="25" s="1"/>
  <c r="AA238" i="25" s="1"/>
  <c r="AB238" i="25" s="1"/>
  <c r="AI238" i="25" s="1"/>
  <c r="AS238" i="25" s="1"/>
  <c r="V238" i="25"/>
  <c r="X238" i="25" s="1"/>
  <c r="AD238" i="25"/>
  <c r="W173" i="25"/>
  <c r="Z173" i="25" s="1"/>
  <c r="AA173" i="25" s="1"/>
  <c r="AB173" i="25" s="1"/>
  <c r="AD173" i="25"/>
  <c r="V173" i="25"/>
  <c r="X173" i="25" s="1"/>
  <c r="AD25" i="25"/>
  <c r="W25" i="25"/>
  <c r="Z25" i="25" s="1"/>
  <c r="AA25" i="25" s="1"/>
  <c r="AB25" i="25" s="1"/>
  <c r="AI25" i="25" s="1"/>
  <c r="V25" i="25"/>
  <c r="X25" i="25" s="1"/>
  <c r="W28" i="25"/>
  <c r="Z28" i="25" s="1"/>
  <c r="AA28" i="25" s="1"/>
  <c r="AB28" i="25" s="1"/>
  <c r="AI28" i="25" s="1"/>
  <c r="AD28" i="25"/>
  <c r="V28" i="25"/>
  <c r="X28" i="25" s="1"/>
  <c r="AD74" i="25"/>
  <c r="V74" i="25"/>
  <c r="X74" i="25" s="1"/>
  <c r="W74" i="25"/>
  <c r="Z74" i="25" s="1"/>
  <c r="AA74" i="25" s="1"/>
  <c r="AB74" i="25" s="1"/>
  <c r="AI74" i="25" s="1"/>
  <c r="AD314" i="25"/>
  <c r="W314" i="25"/>
  <c r="Z314" i="25" s="1"/>
  <c r="AA314" i="25" s="1"/>
  <c r="AB314" i="25" s="1"/>
  <c r="V314" i="25"/>
  <c r="X314" i="25" s="1"/>
  <c r="W140" i="25"/>
  <c r="Z140" i="25" s="1"/>
  <c r="AA140" i="25" s="1"/>
  <c r="AB140" i="25" s="1"/>
  <c r="AI140" i="25" s="1"/>
  <c r="V140" i="25"/>
  <c r="X140" i="25" s="1"/>
  <c r="AD140" i="25"/>
  <c r="V139" i="25"/>
  <c r="X139" i="25" s="1"/>
  <c r="AD139" i="25"/>
  <c r="W139" i="25"/>
  <c r="Z139" i="25" s="1"/>
  <c r="AA139" i="25" s="1"/>
  <c r="AB139" i="25" s="1"/>
  <c r="W63" i="25"/>
  <c r="Z63" i="25" s="1"/>
  <c r="AA63" i="25" s="1"/>
  <c r="AB63" i="25" s="1"/>
  <c r="V63" i="25"/>
  <c r="X63" i="25" s="1"/>
  <c r="AD63" i="25"/>
  <c r="V23" i="25"/>
  <c r="X23" i="25" s="1"/>
  <c r="W23" i="25"/>
  <c r="Z23" i="25" s="1"/>
  <c r="AA23" i="25" s="1"/>
  <c r="AB23" i="25" s="1"/>
  <c r="AI23" i="25" s="1"/>
  <c r="AD23" i="25"/>
  <c r="AD104" i="25"/>
  <c r="W104" i="25"/>
  <c r="Z104" i="25" s="1"/>
  <c r="AA104" i="25" s="1"/>
  <c r="AB104" i="25" s="1"/>
  <c r="AI104" i="25" s="1"/>
  <c r="V104" i="25"/>
  <c r="X104" i="25" s="1"/>
  <c r="AD24" i="25"/>
  <c r="V24" i="25"/>
  <c r="X24" i="25" s="1"/>
  <c r="W24" i="25"/>
  <c r="Z24" i="25" s="1"/>
  <c r="AA24" i="25" s="1"/>
  <c r="AB24" i="25" s="1"/>
  <c r="W45" i="25"/>
  <c r="Z45" i="25" s="1"/>
  <c r="AA45" i="25" s="1"/>
  <c r="AB45" i="25" s="1"/>
  <c r="AD45" i="25"/>
  <c r="V45" i="25"/>
  <c r="X45" i="25" s="1"/>
  <c r="AD50" i="25"/>
  <c r="W50" i="25"/>
  <c r="Z50" i="25" s="1"/>
  <c r="AA50" i="25" s="1"/>
  <c r="AB50" i="25" s="1"/>
  <c r="V50" i="25"/>
  <c r="X50" i="25" s="1"/>
  <c r="AE240" i="25"/>
  <c r="AE149" i="25"/>
  <c r="W293" i="25"/>
  <c r="Z293" i="25" s="1"/>
  <c r="AA293" i="25" s="1"/>
  <c r="AB293" i="25" s="1"/>
  <c r="AI293" i="25" s="1"/>
  <c r="AS293" i="25" s="1"/>
  <c r="V293" i="25"/>
  <c r="X293" i="25" s="1"/>
  <c r="AD293" i="25"/>
  <c r="AD21" i="25"/>
  <c r="V21" i="25"/>
  <c r="X21" i="25" s="1"/>
  <c r="W21" i="25"/>
  <c r="Z21" i="25" s="1"/>
  <c r="AA21" i="25" s="1"/>
  <c r="AB21" i="25" s="1"/>
  <c r="AI21" i="25" s="1"/>
  <c r="V18" i="25"/>
  <c r="X18" i="25" s="1"/>
  <c r="AD18" i="25"/>
  <c r="W18" i="25"/>
  <c r="Z18" i="25" s="1"/>
  <c r="AA18" i="25" s="1"/>
  <c r="AB18" i="25" s="1"/>
  <c r="AD56" i="25"/>
  <c r="W56" i="25"/>
  <c r="Z56" i="25" s="1"/>
  <c r="AA56" i="25" s="1"/>
  <c r="AB56" i="25" s="1"/>
  <c r="AI56" i="25" s="1"/>
  <c r="V56" i="25"/>
  <c r="X56" i="25" s="1"/>
  <c r="AD80" i="25"/>
  <c r="V80" i="25"/>
  <c r="X80" i="25" s="1"/>
  <c r="W80" i="25"/>
  <c r="Z80" i="25" s="1"/>
  <c r="AA80" i="25" s="1"/>
  <c r="AB80" i="25" s="1"/>
  <c r="AI80" i="25" s="1"/>
  <c r="W272" i="25"/>
  <c r="Z272" i="25" s="1"/>
  <c r="AA272" i="25" s="1"/>
  <c r="AB272" i="25" s="1"/>
  <c r="AI272" i="25" s="1"/>
  <c r="AS272" i="25" s="1"/>
  <c r="V272" i="25"/>
  <c r="X272" i="25" s="1"/>
  <c r="AD272" i="25"/>
  <c r="AE193" i="25"/>
  <c r="AE308" i="25"/>
  <c r="AE203" i="25"/>
  <c r="V62" i="25"/>
  <c r="X62" i="25" s="1"/>
  <c r="W62" i="25"/>
  <c r="Z62" i="25" s="1"/>
  <c r="AA62" i="25" s="1"/>
  <c r="AB62" i="25" s="1"/>
  <c r="AD62" i="25"/>
  <c r="W190" i="25"/>
  <c r="Z190" i="25" s="1"/>
  <c r="AA190" i="25" s="1"/>
  <c r="AB190" i="25" s="1"/>
  <c r="AI190" i="25" s="1"/>
  <c r="V190" i="25"/>
  <c r="X190" i="25" s="1"/>
  <c r="AD190" i="25"/>
  <c r="AE295" i="25"/>
  <c r="AE150" i="25"/>
  <c r="V267" i="25"/>
  <c r="X267" i="25" s="1"/>
  <c r="AD267" i="25"/>
  <c r="W267" i="25"/>
  <c r="Z267" i="25" s="1"/>
  <c r="AA267" i="25" s="1"/>
  <c r="AB267" i="25" s="1"/>
  <c r="AI267" i="25" s="1"/>
  <c r="AS267" i="25" s="1"/>
  <c r="W179" i="25"/>
  <c r="Z179" i="25" s="1"/>
  <c r="AA179" i="25" s="1"/>
  <c r="AB179" i="25" s="1"/>
  <c r="AI179" i="25" s="1"/>
  <c r="AD179" i="25"/>
  <c r="V179" i="25"/>
  <c r="X179" i="25" s="1"/>
  <c r="AD283" i="25"/>
  <c r="W283" i="25"/>
  <c r="Z283" i="25" s="1"/>
  <c r="AA283" i="25" s="1"/>
  <c r="AB283" i="25" s="1"/>
  <c r="AI283" i="25" s="1"/>
  <c r="AS283" i="25" s="1"/>
  <c r="V283" i="25"/>
  <c r="X283" i="25" s="1"/>
  <c r="V29" i="25"/>
  <c r="X29" i="25" s="1"/>
  <c r="W29" i="25"/>
  <c r="Z29" i="25" s="1"/>
  <c r="AA29" i="25" s="1"/>
  <c r="AB29" i="25" s="1"/>
  <c r="AI29" i="25" s="1"/>
  <c r="AD29" i="25"/>
  <c r="AD38" i="25"/>
  <c r="W38" i="25"/>
  <c r="Z38" i="25" s="1"/>
  <c r="AA38" i="25" s="1"/>
  <c r="AB38" i="25" s="1"/>
  <c r="V38" i="25"/>
  <c r="X38" i="25" s="1"/>
  <c r="W101" i="25"/>
  <c r="Z101" i="25" s="1"/>
  <c r="AA101" i="25" s="1"/>
  <c r="AB101" i="25" s="1"/>
  <c r="V101" i="25"/>
  <c r="X101" i="25" s="1"/>
  <c r="AD101" i="25"/>
  <c r="AD95" i="25"/>
  <c r="W95" i="25"/>
  <c r="Z95" i="25" s="1"/>
  <c r="AA95" i="25" s="1"/>
  <c r="AB95" i="25" s="1"/>
  <c r="AI95" i="25" s="1"/>
  <c r="V95" i="25"/>
  <c r="X95" i="25" s="1"/>
  <c r="AD26" i="25"/>
  <c r="V26" i="25"/>
  <c r="X26" i="25" s="1"/>
  <c r="W26" i="25"/>
  <c r="Z26" i="25" s="1"/>
  <c r="AA26" i="25" s="1"/>
  <c r="AB26" i="25" s="1"/>
  <c r="AI26" i="25" s="1"/>
  <c r="AD120" i="25"/>
  <c r="V120" i="25"/>
  <c r="X120" i="25" s="1"/>
  <c r="W120" i="25"/>
  <c r="Z120" i="25" s="1"/>
  <c r="AA120" i="25" s="1"/>
  <c r="AB120" i="25" s="1"/>
  <c r="AI120" i="25" s="1"/>
  <c r="AE279" i="25"/>
  <c r="V31" i="25"/>
  <c r="X31" i="25" s="1"/>
  <c r="W31" i="25"/>
  <c r="Z31" i="25" s="1"/>
  <c r="AA31" i="25" s="1"/>
  <c r="AB31" i="25" s="1"/>
  <c r="AI31" i="25" s="1"/>
  <c r="AD31" i="25"/>
  <c r="W48" i="25"/>
  <c r="Z48" i="25" s="1"/>
  <c r="AA48" i="25" s="1"/>
  <c r="AB48" i="25" s="1"/>
  <c r="AD48" i="25"/>
  <c r="V48" i="25"/>
  <c r="X48" i="25" s="1"/>
  <c r="AD87" i="25"/>
  <c r="W87" i="25"/>
  <c r="Z87" i="25" s="1"/>
  <c r="AA87" i="25" s="1"/>
  <c r="AB87" i="25" s="1"/>
  <c r="AI87" i="25" s="1"/>
  <c r="V87" i="25"/>
  <c r="X87" i="25" s="1"/>
  <c r="AD84" i="25"/>
  <c r="W84" i="25"/>
  <c r="Z84" i="25" s="1"/>
  <c r="AA84" i="25" s="1"/>
  <c r="AB84" i="25" s="1"/>
  <c r="AI84" i="25" s="1"/>
  <c r="V84" i="25"/>
  <c r="X84" i="25" s="1"/>
  <c r="CJ18" i="25"/>
  <c r="CJ9" i="25"/>
  <c r="CI18" i="25"/>
  <c r="CJ12" i="25"/>
  <c r="CJ24" i="25"/>
  <c r="CJ8" i="25"/>
  <c r="CI23" i="25"/>
  <c r="CJ43" i="25"/>
  <c r="CJ11" i="25"/>
  <c r="CJ23" i="25"/>
  <c r="CI8" i="25"/>
  <c r="CJ5" i="25"/>
  <c r="CJ33" i="25"/>
  <c r="CI27" i="25"/>
  <c r="CJ38" i="25"/>
  <c r="CI9" i="25"/>
  <c r="CI20" i="25"/>
  <c r="CI38" i="25"/>
  <c r="CI24" i="25"/>
  <c r="CI5" i="25"/>
  <c r="CJ27" i="25"/>
  <c r="CI10" i="25"/>
  <c r="CI93" i="25"/>
  <c r="CI54" i="25"/>
  <c r="CJ72" i="25"/>
  <c r="CI12" i="25"/>
  <c r="CI73" i="25"/>
  <c r="CI52" i="25"/>
  <c r="CI29" i="25"/>
  <c r="CI35" i="25"/>
  <c r="CI66" i="25"/>
  <c r="CI59" i="25"/>
  <c r="CI83" i="25"/>
  <c r="CI62" i="25"/>
  <c r="CI41" i="25"/>
  <c r="CI84" i="25"/>
  <c r="CI43" i="25"/>
  <c r="CI11" i="25"/>
  <c r="CI80" i="25"/>
  <c r="CI15" i="25"/>
  <c r="CI33" i="25"/>
  <c r="CJ10" i="25"/>
  <c r="CI13" i="25"/>
  <c r="CI72" i="25"/>
  <c r="CJ15" i="25"/>
  <c r="CJ41" i="25"/>
  <c r="CJ20" i="25"/>
  <c r="CJ80" i="25"/>
  <c r="CJ54" i="25"/>
  <c r="CJ66" i="25"/>
  <c r="CJ59" i="25"/>
  <c r="CJ62" i="25"/>
  <c r="CJ52" i="25"/>
  <c r="CJ35" i="25"/>
  <c r="CJ73" i="25"/>
  <c r="CJ83" i="25"/>
  <c r="CJ93" i="25"/>
  <c r="CJ13" i="25"/>
  <c r="CJ84" i="25"/>
  <c r="CJ29" i="25"/>
  <c r="W12" i="25"/>
  <c r="Z12" i="25" s="1"/>
  <c r="AA12" i="25" s="1"/>
  <c r="AB12" i="25" s="1"/>
  <c r="AI12" i="25" s="1"/>
  <c r="V12" i="25"/>
  <c r="X12" i="25" s="1"/>
  <c r="AD12" i="25"/>
  <c r="AD291" i="25"/>
  <c r="W291" i="25"/>
  <c r="Z291" i="25" s="1"/>
  <c r="AA291" i="25" s="1"/>
  <c r="AB291" i="25" s="1"/>
  <c r="AI291" i="25" s="1"/>
  <c r="AS291" i="25" s="1"/>
  <c r="V291" i="25"/>
  <c r="X291" i="25" s="1"/>
  <c r="W98" i="25"/>
  <c r="Z98" i="25" s="1"/>
  <c r="AA98" i="25" s="1"/>
  <c r="AB98" i="25" s="1"/>
  <c r="AI98" i="25" s="1"/>
  <c r="AD98" i="25"/>
  <c r="V98" i="25"/>
  <c r="X98" i="25" s="1"/>
  <c r="W11" i="25"/>
  <c r="Z11" i="25" s="1"/>
  <c r="AA11" i="25" s="1"/>
  <c r="AB11" i="25" s="1"/>
  <c r="AI11" i="25" s="1"/>
  <c r="V11" i="25"/>
  <c r="X11" i="25" s="1"/>
  <c r="AD11" i="25"/>
  <c r="V94" i="25"/>
  <c r="X94" i="25" s="1"/>
  <c r="W94" i="25"/>
  <c r="Z94" i="25" s="1"/>
  <c r="AA94" i="25" s="1"/>
  <c r="AB94" i="25" s="1"/>
  <c r="AI94" i="25" s="1"/>
  <c r="AD94" i="25"/>
  <c r="AD58" i="25"/>
  <c r="W58" i="25"/>
  <c r="Z58" i="25" s="1"/>
  <c r="AA58" i="25" s="1"/>
  <c r="AB58" i="25" s="1"/>
  <c r="AI58" i="25" s="1"/>
  <c r="V58" i="25"/>
  <c r="X58" i="25" s="1"/>
  <c r="W20" i="25"/>
  <c r="Z20" i="25" s="1"/>
  <c r="AA20" i="25" s="1"/>
  <c r="AB20" i="25" s="1"/>
  <c r="AI20" i="25" s="1"/>
  <c r="AD20" i="25"/>
  <c r="V20" i="25"/>
  <c r="X20" i="25" s="1"/>
  <c r="W13" i="25"/>
  <c r="Z13" i="25" s="1"/>
  <c r="AA13" i="25" s="1"/>
  <c r="AB13" i="25" s="1"/>
  <c r="AI13" i="25" s="1"/>
  <c r="AD13" i="25"/>
  <c r="V13" i="25"/>
  <c r="X13" i="25" s="1"/>
  <c r="W8" i="25"/>
  <c r="Z8" i="25" s="1"/>
  <c r="AA8" i="25" s="1"/>
  <c r="AB8" i="25" s="1"/>
  <c r="AI8" i="25" s="1"/>
  <c r="AD8" i="25"/>
  <c r="V8" i="25"/>
  <c r="X8" i="25" s="1"/>
  <c r="AD46" i="25"/>
  <c r="W46" i="25"/>
  <c r="Z46" i="25" s="1"/>
  <c r="AA46" i="25" s="1"/>
  <c r="AB46" i="25" s="1"/>
  <c r="V46" i="25"/>
  <c r="X46" i="25" s="1"/>
  <c r="AE222" i="25"/>
  <c r="AD68" i="25"/>
  <c r="W68" i="25"/>
  <c r="Z68" i="25" s="1"/>
  <c r="AA68" i="25" s="1"/>
  <c r="AB68" i="25" s="1"/>
  <c r="AI68" i="25" s="1"/>
  <c r="V68" i="25"/>
  <c r="X68" i="25" s="1"/>
  <c r="AD287" i="25"/>
  <c r="W287" i="25"/>
  <c r="Z287" i="25" s="1"/>
  <c r="AA287" i="25" s="1"/>
  <c r="AB287" i="25" s="1"/>
  <c r="AI287" i="25" s="1"/>
  <c r="AS287" i="25" s="1"/>
  <c r="V287" i="25"/>
  <c r="X287" i="25" s="1"/>
  <c r="W290" i="25"/>
  <c r="Z290" i="25" s="1"/>
  <c r="AA290" i="25" s="1"/>
  <c r="AB290" i="25" s="1"/>
  <c r="AI290" i="25" s="1"/>
  <c r="AS290" i="25" s="1"/>
  <c r="AD290" i="25"/>
  <c r="V290" i="25"/>
  <c r="X290" i="25" s="1"/>
  <c r="AE163" i="25"/>
  <c r="AE256" i="25"/>
  <c r="W141" i="25"/>
  <c r="Z141" i="25" s="1"/>
  <c r="AA141" i="25" s="1"/>
  <c r="AB141" i="25" s="1"/>
  <c r="AI141" i="25" s="1"/>
  <c r="V141" i="25"/>
  <c r="X141" i="25" s="1"/>
  <c r="AD141" i="25"/>
  <c r="AD96" i="25"/>
  <c r="W96" i="25"/>
  <c r="Z96" i="25" s="1"/>
  <c r="AA96" i="25" s="1"/>
  <c r="AB96" i="25" s="1"/>
  <c r="AI96" i="25" s="1"/>
  <c r="V96" i="25"/>
  <c r="X96" i="25" s="1"/>
  <c r="AD154" i="25"/>
  <c r="W154" i="25"/>
  <c r="Z154" i="25" s="1"/>
  <c r="AA154" i="25" s="1"/>
  <c r="AB154" i="25" s="1"/>
  <c r="AI154" i="25" s="1"/>
  <c r="V154" i="25"/>
  <c r="X154" i="25" s="1"/>
  <c r="V34" i="25"/>
  <c r="X34" i="25" s="1"/>
  <c r="W34" i="25"/>
  <c r="Z34" i="25" s="1"/>
  <c r="AA34" i="25" s="1"/>
  <c r="AB34" i="25" s="1"/>
  <c r="AD34" i="25"/>
  <c r="W75" i="25"/>
  <c r="Z75" i="25" s="1"/>
  <c r="AA75" i="25" s="1"/>
  <c r="AB75" i="25" s="1"/>
  <c r="AI75" i="25" s="1"/>
  <c r="AD75" i="25"/>
  <c r="V75" i="25"/>
  <c r="X75" i="25" s="1"/>
  <c r="AE305" i="25"/>
  <c r="AE136" i="25"/>
  <c r="AD262" i="25"/>
  <c r="V262" i="25"/>
  <c r="X262" i="25" s="1"/>
  <c r="W262" i="25"/>
  <c r="Z262" i="25" s="1"/>
  <c r="AA262" i="25" s="1"/>
  <c r="AB262" i="25" s="1"/>
  <c r="AI262" i="25" s="1"/>
  <c r="AS262" i="25" s="1"/>
  <c r="AE270" i="25"/>
  <c r="W69" i="25"/>
  <c r="Z69" i="25" s="1"/>
  <c r="AA69" i="25" s="1"/>
  <c r="AB69" i="25" s="1"/>
  <c r="V69" i="25"/>
  <c r="X69" i="25" s="1"/>
  <c r="AD69" i="25"/>
  <c r="AE172" i="25"/>
  <c r="AE282" i="25"/>
  <c r="AD123" i="25"/>
  <c r="W123" i="25"/>
  <c r="Z123" i="25" s="1"/>
  <c r="AA123" i="25" s="1"/>
  <c r="AB123" i="25" s="1"/>
  <c r="AI123" i="25" s="1"/>
  <c r="V123" i="25"/>
  <c r="X123" i="25" s="1"/>
  <c r="W27" i="25"/>
  <c r="Z27" i="25" s="1"/>
  <c r="AA27" i="25" s="1"/>
  <c r="AB27" i="25" s="1"/>
  <c r="AI27" i="25" s="1"/>
  <c r="AD27" i="25"/>
  <c r="V27" i="25"/>
  <c r="X27" i="25" s="1"/>
  <c r="AD130" i="25"/>
  <c r="W130" i="25"/>
  <c r="Z130" i="25" s="1"/>
  <c r="AA130" i="25" s="1"/>
  <c r="AB130" i="25" s="1"/>
  <c r="AI130" i="25" s="1"/>
  <c r="V130" i="25"/>
  <c r="X130" i="25" s="1"/>
  <c r="W73" i="25"/>
  <c r="Z73" i="25" s="1"/>
  <c r="AA73" i="25" s="1"/>
  <c r="AB73" i="25" s="1"/>
  <c r="AI73" i="25" s="1"/>
  <c r="AD73" i="25"/>
  <c r="V73" i="25"/>
  <c r="X73" i="25" s="1"/>
  <c r="AD19" i="25"/>
  <c r="W19" i="25"/>
  <c r="Z19" i="25" s="1"/>
  <c r="AA19" i="25" s="1"/>
  <c r="AB19" i="25" s="1"/>
  <c r="V19" i="25"/>
  <c r="X19" i="25" s="1"/>
  <c r="AD6" i="25"/>
  <c r="W6" i="25"/>
  <c r="Z6" i="25" s="1"/>
  <c r="AA6" i="25" s="1"/>
  <c r="AB6" i="25" s="1"/>
  <c r="AI6" i="25" s="1"/>
  <c r="V6" i="25"/>
  <c r="X6" i="25" s="1"/>
  <c r="AE253" i="25"/>
  <c r="V216" i="25"/>
  <c r="X216" i="25" s="1"/>
  <c r="AD216" i="25"/>
  <c r="W216" i="25"/>
  <c r="Z216" i="25" s="1"/>
  <c r="AA216" i="25" s="1"/>
  <c r="AB216" i="25" s="1"/>
  <c r="AI216" i="25" s="1"/>
  <c r="AS216" i="25" s="1"/>
  <c r="AE197" i="25"/>
  <c r="AE209" i="25"/>
  <c r="AE297" i="25"/>
  <c r="W244" i="25"/>
  <c r="Z244" i="25" s="1"/>
  <c r="AA244" i="25" s="1"/>
  <c r="AB244" i="25" s="1"/>
  <c r="AD244" i="25"/>
  <c r="V244" i="25"/>
  <c r="X244" i="25" s="1"/>
  <c r="W100" i="25"/>
  <c r="Z100" i="25" s="1"/>
  <c r="AA100" i="25" s="1"/>
  <c r="AB100" i="25" s="1"/>
  <c r="V100" i="25"/>
  <c r="X100" i="25" s="1"/>
  <c r="AD100" i="25"/>
  <c r="AE201" i="25"/>
  <c r="AE176" i="25"/>
  <c r="AE146" i="25"/>
  <c r="V32" i="25"/>
  <c r="X32" i="25" s="1"/>
  <c r="W32" i="25"/>
  <c r="Z32" i="25" s="1"/>
  <c r="AA32" i="25" s="1"/>
  <c r="AB32" i="25" s="1"/>
  <c r="AD32" i="25"/>
  <c r="W309" i="25"/>
  <c r="Z309" i="25" s="1"/>
  <c r="AA309" i="25" s="1"/>
  <c r="AB309" i="25" s="1"/>
  <c r="AI309" i="25" s="1"/>
  <c r="AS309" i="25" s="1"/>
  <c r="AD309" i="25"/>
  <c r="V309" i="25"/>
  <c r="X309" i="25" s="1"/>
  <c r="AD79" i="25"/>
  <c r="W79" i="25"/>
  <c r="Z79" i="25" s="1"/>
  <c r="AA79" i="25" s="1"/>
  <c r="AB79" i="25" s="1"/>
  <c r="V79" i="25"/>
  <c r="X79" i="25" s="1"/>
  <c r="V116" i="25"/>
  <c r="X116" i="25" s="1"/>
  <c r="AD116" i="25"/>
  <c r="W116" i="25"/>
  <c r="Z116" i="25" s="1"/>
  <c r="AA116" i="25" s="1"/>
  <c r="AB116" i="25" s="1"/>
  <c r="AI116" i="25" s="1"/>
  <c r="AE158" i="25"/>
  <c r="W36" i="25"/>
  <c r="Z36" i="25" s="1"/>
  <c r="AA36" i="25" s="1"/>
  <c r="AB36" i="25" s="1"/>
  <c r="AI36" i="25" s="1"/>
  <c r="AD36" i="25"/>
  <c r="V36" i="25"/>
  <c r="X36" i="25" s="1"/>
  <c r="AD152" i="25"/>
  <c r="V152" i="25"/>
  <c r="X152" i="25" s="1"/>
  <c r="W152" i="25"/>
  <c r="Z152" i="25" s="1"/>
  <c r="AA152" i="25" s="1"/>
  <c r="AB152" i="25" s="1"/>
  <c r="AI152" i="25" s="1"/>
  <c r="V269" i="25"/>
  <c r="X269" i="25" s="1"/>
  <c r="AD269" i="25"/>
  <c r="W269" i="25"/>
  <c r="Z269" i="25" s="1"/>
  <c r="AA269" i="25" s="1"/>
  <c r="AB269" i="25" s="1"/>
  <c r="AI269" i="25" s="1"/>
  <c r="AS269" i="25" s="1"/>
  <c r="AE218" i="25"/>
  <c r="V184" i="25"/>
  <c r="X184" i="25" s="1"/>
  <c r="AD184" i="25"/>
  <c r="W184" i="25"/>
  <c r="Z184" i="25" s="1"/>
  <c r="AA184" i="25" s="1"/>
  <c r="AB184" i="25" s="1"/>
  <c r="AI184" i="25" s="1"/>
  <c r="AD285" i="25"/>
  <c r="W285" i="25"/>
  <c r="Z285" i="25" s="1"/>
  <c r="AA285" i="25" s="1"/>
  <c r="AB285" i="25" s="1"/>
  <c r="AI285" i="25" s="1"/>
  <c r="AS285" i="25" s="1"/>
  <c r="V285" i="25"/>
  <c r="X285" i="25" s="1"/>
  <c r="W7" i="25"/>
  <c r="Z7" i="25" s="1"/>
  <c r="AA7" i="25" s="1"/>
  <c r="AB7" i="25" s="1"/>
  <c r="AI7" i="25" s="1"/>
  <c r="AD7" i="25"/>
  <c r="V7" i="25"/>
  <c r="X7" i="25" s="1"/>
  <c r="AD88" i="25"/>
  <c r="W88" i="25"/>
  <c r="Z88" i="25" s="1"/>
  <c r="AA88" i="25" s="1"/>
  <c r="AB88" i="25" s="1"/>
  <c r="V88" i="25"/>
  <c r="X88" i="25" s="1"/>
  <c r="W37" i="25"/>
  <c r="Z37" i="25" s="1"/>
  <c r="AA37" i="25" s="1"/>
  <c r="AB37" i="25" s="1"/>
  <c r="AD37" i="25"/>
  <c r="V37" i="25"/>
  <c r="X37" i="25" s="1"/>
  <c r="V113" i="25"/>
  <c r="X113" i="25" s="1"/>
  <c r="AD113" i="25"/>
  <c r="W113" i="25"/>
  <c r="Z113" i="25" s="1"/>
  <c r="AA113" i="25" s="1"/>
  <c r="AB113" i="25" s="1"/>
  <c r="AI113" i="25" s="1"/>
  <c r="V81" i="25"/>
  <c r="X81" i="25" s="1"/>
  <c r="AD81" i="25"/>
  <c r="W81" i="25"/>
  <c r="Z81" i="25" s="1"/>
  <c r="AA81" i="25" s="1"/>
  <c r="AB81" i="25" s="1"/>
  <c r="AI81" i="25" s="1"/>
  <c r="AS81" i="25" s="1"/>
  <c r="AD43" i="25"/>
  <c r="V43" i="25"/>
  <c r="X43" i="25" s="1"/>
  <c r="W43" i="25"/>
  <c r="Z43" i="25" s="1"/>
  <c r="AA43" i="25" s="1"/>
  <c r="AB43" i="25" s="1"/>
  <c r="AI43" i="25" s="1"/>
  <c r="AE148" i="25"/>
  <c r="AD223" i="25"/>
  <c r="W223" i="25"/>
  <c r="Z223" i="25" s="1"/>
  <c r="AA223" i="25" s="1"/>
  <c r="AB223" i="25" s="1"/>
  <c r="AI223" i="25" s="1"/>
  <c r="AS223" i="25" s="1"/>
  <c r="V223" i="25"/>
  <c r="X223" i="25" s="1"/>
  <c r="V77" i="25"/>
  <c r="X77" i="25" s="1"/>
  <c r="W77" i="25"/>
  <c r="Z77" i="25" s="1"/>
  <c r="AA77" i="25" s="1"/>
  <c r="AB77" i="25" s="1"/>
  <c r="AI77" i="25" s="1"/>
  <c r="AD77" i="25"/>
  <c r="AE181" i="25"/>
  <c r="W67" i="25"/>
  <c r="Z67" i="25" s="1"/>
  <c r="AA67" i="25" s="1"/>
  <c r="AB67" i="25" s="1"/>
  <c r="AD67" i="25"/>
  <c r="V67" i="25"/>
  <c r="X67" i="25" s="1"/>
  <c r="W159" i="25"/>
  <c r="Z159" i="25" s="1"/>
  <c r="AA159" i="25" s="1"/>
  <c r="AB159" i="25" s="1"/>
  <c r="AI159" i="25" s="1"/>
  <c r="AD159" i="25"/>
  <c r="V159" i="25"/>
  <c r="X159" i="25" s="1"/>
  <c r="W47" i="25"/>
  <c r="Z47" i="25" s="1"/>
  <c r="AA47" i="25" s="1"/>
  <c r="AB47" i="25" s="1"/>
  <c r="AD47" i="25"/>
  <c r="V47" i="25"/>
  <c r="X47" i="25" s="1"/>
  <c r="W30" i="25"/>
  <c r="Z30" i="25" s="1"/>
  <c r="AA30" i="25" s="1"/>
  <c r="AB30" i="25" s="1"/>
  <c r="AD30" i="25"/>
  <c r="V30" i="25"/>
  <c r="X30" i="25" s="1"/>
  <c r="AD255" i="25"/>
  <c r="W255" i="25"/>
  <c r="Z255" i="25" s="1"/>
  <c r="AA255" i="25" s="1"/>
  <c r="AB255" i="25" s="1"/>
  <c r="AI255" i="25" s="1"/>
  <c r="AS255" i="25" s="1"/>
  <c r="V255" i="25"/>
  <c r="X255" i="25" s="1"/>
  <c r="AE241" i="25"/>
  <c r="AE299" i="25"/>
  <c r="W76" i="25"/>
  <c r="Z76" i="25" s="1"/>
  <c r="AA76" i="25" s="1"/>
  <c r="AB76" i="25" s="1"/>
  <c r="AI76" i="25" s="1"/>
  <c r="AD76" i="25"/>
  <c r="V76" i="25"/>
  <c r="X76" i="25" s="1"/>
  <c r="W16" i="25"/>
  <c r="Z16" i="25" s="1"/>
  <c r="AA16" i="25" s="1"/>
  <c r="AB16" i="25" s="1"/>
  <c r="AI16" i="25" s="1"/>
  <c r="AS16" i="25" s="1"/>
  <c r="AD16" i="25"/>
  <c r="V16" i="25"/>
  <c r="X16" i="25" s="1"/>
  <c r="W10" i="25"/>
  <c r="Z10" i="25" s="1"/>
  <c r="AA10" i="25" s="1"/>
  <c r="AB10" i="25" s="1"/>
  <c r="AD10" i="25"/>
  <c r="V10" i="25"/>
  <c r="X10" i="25" s="1"/>
  <c r="AD86" i="25"/>
  <c r="W86" i="25"/>
  <c r="Z86" i="25" s="1"/>
  <c r="AA86" i="25" s="1"/>
  <c r="AB86" i="25" s="1"/>
  <c r="AI86" i="25" s="1"/>
  <c r="V86" i="25"/>
  <c r="X86" i="25" s="1"/>
  <c r="AE185" i="25"/>
  <c r="AE169" i="25"/>
  <c r="AD121" i="25"/>
  <c r="V121" i="25"/>
  <c r="X121" i="25" s="1"/>
  <c r="W121" i="25"/>
  <c r="Z121" i="25" s="1"/>
  <c r="AA121" i="25" s="1"/>
  <c r="AB121" i="25" s="1"/>
  <c r="AE304" i="25"/>
  <c r="V65" i="25"/>
  <c r="X65" i="25" s="1"/>
  <c r="W65" i="25"/>
  <c r="Z65" i="25" s="1"/>
  <c r="AA65" i="25" s="1"/>
  <c r="AB65" i="25" s="1"/>
  <c r="AI65" i="25" s="1"/>
  <c r="AD65" i="25"/>
  <c r="W134" i="25"/>
  <c r="Z134" i="25" s="1"/>
  <c r="AA134" i="25" s="1"/>
  <c r="AB134" i="25" s="1"/>
  <c r="AI134" i="25" s="1"/>
  <c r="AD134" i="25"/>
  <c r="V134" i="25"/>
  <c r="X134" i="25" s="1"/>
  <c r="AE128" i="25"/>
  <c r="V39" i="25"/>
  <c r="X39" i="25" s="1"/>
  <c r="W39" i="25"/>
  <c r="Z39" i="25" s="1"/>
  <c r="AA39" i="25" s="1"/>
  <c r="AB39" i="25" s="1"/>
  <c r="AI39" i="25" s="1"/>
  <c r="AD39" i="25"/>
  <c r="W49" i="25"/>
  <c r="Z49" i="25" s="1"/>
  <c r="AA49" i="25" s="1"/>
  <c r="AB49" i="25" s="1"/>
  <c r="AD49" i="25"/>
  <c r="V49" i="25"/>
  <c r="X49" i="25" s="1"/>
  <c r="AD55" i="25"/>
  <c r="V55" i="25"/>
  <c r="X55" i="25" s="1"/>
  <c r="W55" i="25"/>
  <c r="Z55" i="25" s="1"/>
  <c r="AA55" i="25" s="1"/>
  <c r="AB55" i="25" s="1"/>
  <c r="AD103" i="25"/>
  <c r="W103" i="25"/>
  <c r="Z103" i="25" s="1"/>
  <c r="AA103" i="25" s="1"/>
  <c r="AB103" i="25" s="1"/>
  <c r="V103" i="25"/>
  <c r="X103" i="25" s="1"/>
  <c r="AD183" i="25"/>
  <c r="W183" i="25"/>
  <c r="Z183" i="25" s="1"/>
  <c r="AA183" i="25" s="1"/>
  <c r="AB183" i="25" s="1"/>
  <c r="AI183" i="25" s="1"/>
  <c r="V183" i="25"/>
  <c r="X183" i="25" s="1"/>
  <c r="W266" i="25"/>
  <c r="Z266" i="25" s="1"/>
  <c r="AA266" i="25" s="1"/>
  <c r="AB266" i="25" s="1"/>
  <c r="V266" i="25"/>
  <c r="X266" i="25" s="1"/>
  <c r="AD266" i="25"/>
  <c r="AD110" i="25"/>
  <c r="V110" i="25"/>
  <c r="X110" i="25" s="1"/>
  <c r="W110" i="25"/>
  <c r="Z110" i="25" s="1"/>
  <c r="AA110" i="25" s="1"/>
  <c r="AB110" i="25" s="1"/>
  <c r="AI110" i="25" s="1"/>
  <c r="AE288" i="25"/>
  <c r="AD131" i="25"/>
  <c r="W131" i="25"/>
  <c r="Z131" i="25" s="1"/>
  <c r="AA131" i="25" s="1"/>
  <c r="AB131" i="25" s="1"/>
  <c r="AI131" i="25" s="1"/>
  <c r="V131" i="25"/>
  <c r="X131" i="25" s="1"/>
  <c r="AE137" i="25"/>
  <c r="AD99" i="25"/>
  <c r="V99" i="25"/>
  <c r="X99" i="25" s="1"/>
  <c r="W99" i="25"/>
  <c r="Z99" i="25" s="1"/>
  <c r="AA99" i="25" s="1"/>
  <c r="AB99" i="25" s="1"/>
  <c r="AI99" i="25" s="1"/>
  <c r="W64" i="25"/>
  <c r="Z64" i="25" s="1"/>
  <c r="AA64" i="25" s="1"/>
  <c r="AB64" i="25" s="1"/>
  <c r="AD64" i="25"/>
  <c r="V64" i="25"/>
  <c r="X64" i="25" s="1"/>
  <c r="AD182" i="25"/>
  <c r="W182" i="25"/>
  <c r="Z182" i="25" s="1"/>
  <c r="AA182" i="25" s="1"/>
  <c r="AB182" i="25" s="1"/>
  <c r="AI182" i="25" s="1"/>
  <c r="V182" i="25"/>
  <c r="X182" i="25" s="1"/>
  <c r="AE271" i="25"/>
  <c r="V236" i="25"/>
  <c r="X236" i="25" s="1"/>
  <c r="AD236" i="25"/>
  <c r="W236" i="25"/>
  <c r="Z236" i="25" s="1"/>
  <c r="AA236" i="25" s="1"/>
  <c r="AB236" i="25" s="1"/>
  <c r="AI236" i="25" s="1"/>
  <c r="AS236" i="25" s="1"/>
  <c r="AD194" i="25"/>
  <c r="W194" i="25"/>
  <c r="Z194" i="25" s="1"/>
  <c r="AA194" i="25" s="1"/>
  <c r="AB194" i="25" s="1"/>
  <c r="V194" i="25"/>
  <c r="X194" i="25" s="1"/>
  <c r="V229" i="25"/>
  <c r="X229" i="25" s="1"/>
  <c r="AD229" i="25"/>
  <c r="W229" i="25"/>
  <c r="Z229" i="25" s="1"/>
  <c r="AA229" i="25" s="1"/>
  <c r="AB229" i="25" s="1"/>
  <c r="W52" i="25"/>
  <c r="Z52" i="25" s="1"/>
  <c r="AA52" i="25" s="1"/>
  <c r="AB52" i="25" s="1"/>
  <c r="AD52" i="25"/>
  <c r="V52" i="25"/>
  <c r="X52" i="25" s="1"/>
  <c r="W54" i="25"/>
  <c r="Z54" i="25" s="1"/>
  <c r="AA54" i="25" s="1"/>
  <c r="AB54" i="25" s="1"/>
  <c r="AI54" i="25" s="1"/>
  <c r="V54" i="25"/>
  <c r="X54" i="25" s="1"/>
  <c r="AD54" i="25"/>
  <c r="W35" i="25"/>
  <c r="Z35" i="25" s="1"/>
  <c r="AA35" i="25" s="1"/>
  <c r="AB35" i="25" s="1"/>
  <c r="AI35" i="25" s="1"/>
  <c r="V35" i="25"/>
  <c r="X35" i="25" s="1"/>
  <c r="AD35" i="25"/>
  <c r="W14" i="25"/>
  <c r="Z14" i="25" s="1"/>
  <c r="AA14" i="25" s="1"/>
  <c r="AB14" i="25" s="1"/>
  <c r="AI14" i="25" s="1"/>
  <c r="AD14" i="25"/>
  <c r="V14" i="25"/>
  <c r="X14" i="25" s="1"/>
  <c r="AE230" i="25"/>
  <c r="AE191" i="25"/>
  <c r="BN110" i="24" l="1"/>
  <c r="CG110" i="24"/>
  <c r="AJ60" i="29"/>
  <c r="AK60" i="29" s="1"/>
  <c r="AJ338" i="29"/>
  <c r="AK338" i="29" s="1"/>
  <c r="AA42" i="29"/>
  <c r="AJ215" i="29"/>
  <c r="AK215" i="29" s="1"/>
  <c r="AJ337" i="29"/>
  <c r="AK337" i="29" s="1"/>
  <c r="AJ230" i="29"/>
  <c r="AK230" i="29" s="1"/>
  <c r="AJ41" i="29"/>
  <c r="AK41" i="29" s="1"/>
  <c r="AJ231" i="29"/>
  <c r="AK231" i="29" s="1"/>
  <c r="AJ493" i="29"/>
  <c r="AK493" i="29" s="1"/>
  <c r="AJ494" i="29"/>
  <c r="AK494" i="29" s="1"/>
  <c r="AJ112" i="29"/>
  <c r="AK112" i="29" s="1"/>
  <c r="AJ197" i="29"/>
  <c r="AK197" i="29" s="1"/>
  <c r="AA31" i="29"/>
  <c r="AJ30" i="29"/>
  <c r="AK30" i="29" s="1"/>
  <c r="AJ305" i="29"/>
  <c r="AK305" i="29" s="1"/>
  <c r="AA306" i="29"/>
  <c r="AA361" i="29"/>
  <c r="AJ361" i="29"/>
  <c r="AK361" i="29" s="1"/>
  <c r="AJ314" i="29"/>
  <c r="AK314" i="29" s="1"/>
  <c r="AA314" i="29"/>
  <c r="AJ313" i="29"/>
  <c r="AK313" i="29" s="1"/>
  <c r="AJ386" i="29"/>
  <c r="AK386" i="29" s="1"/>
  <c r="AJ385" i="29"/>
  <c r="AK385" i="29" s="1"/>
  <c r="AA386" i="29"/>
  <c r="AJ214" i="29"/>
  <c r="AK214" i="29" s="1"/>
  <c r="AA66" i="29"/>
  <c r="AJ66" i="29"/>
  <c r="AK66" i="29" s="1"/>
  <c r="AJ59" i="29"/>
  <c r="AK59" i="29" s="1"/>
  <c r="AJ153" i="29"/>
  <c r="AK153" i="29" s="1"/>
  <c r="AJ307" i="29"/>
  <c r="AK307" i="29" s="1"/>
  <c r="AJ308" i="29"/>
  <c r="AK308" i="29" s="1"/>
  <c r="AJ198" i="29"/>
  <c r="AK198" i="29" s="1"/>
  <c r="AJ154" i="29"/>
  <c r="AK154" i="29" s="1"/>
  <c r="AJ291" i="29"/>
  <c r="AK291" i="29" s="1"/>
  <c r="AJ290" i="29"/>
  <c r="AK290" i="29" s="1"/>
  <c r="AA291" i="29"/>
  <c r="AJ587" i="29"/>
  <c r="AK587" i="29" s="1"/>
  <c r="AA588" i="29"/>
  <c r="AJ609" i="29"/>
  <c r="AK609" i="29" s="1"/>
  <c r="AA610" i="29"/>
  <c r="AJ111" i="29"/>
  <c r="AK111" i="29" s="1"/>
  <c r="AJ588" i="29"/>
  <c r="AK588" i="29" s="1"/>
  <c r="AJ181" i="29"/>
  <c r="AK181" i="29" s="1"/>
  <c r="AJ31" i="29"/>
  <c r="AK31" i="29" s="1"/>
  <c r="AJ182" i="29"/>
  <c r="AK182" i="29" s="1"/>
  <c r="AA227" i="29"/>
  <c r="AJ226" i="29"/>
  <c r="AK226" i="29" s="1"/>
  <c r="AJ515" i="29"/>
  <c r="AK515" i="29" s="1"/>
  <c r="AA515" i="29"/>
  <c r="AF136" i="25"/>
  <c r="AI136" i="25"/>
  <c r="AS136" i="25" s="1"/>
  <c r="AY136" i="25" s="1"/>
  <c r="AF232" i="25"/>
  <c r="AI194" i="25"/>
  <c r="AS194" i="25" s="1"/>
  <c r="BK110" i="24"/>
  <c r="AS110" i="24"/>
  <c r="AU110" i="24" s="1"/>
  <c r="BJ110" i="24"/>
  <c r="CG249" i="24"/>
  <c r="AX110" i="24"/>
  <c r="BW110" i="24"/>
  <c r="BY110" i="24"/>
  <c r="CG303" i="24"/>
  <c r="BL110" i="24"/>
  <c r="AQ110" i="24"/>
  <c r="AF143" i="25"/>
  <c r="AM143" i="25" s="1"/>
  <c r="CG254" i="24"/>
  <c r="CG280" i="24"/>
  <c r="CG225" i="24"/>
  <c r="CG258" i="24"/>
  <c r="CG217" i="24"/>
  <c r="AK110" i="24"/>
  <c r="AI143" i="25"/>
  <c r="AS143" i="25" s="1"/>
  <c r="AY143" i="25" s="1"/>
  <c r="AE132" i="25"/>
  <c r="AJ132" i="25" s="1"/>
  <c r="AF209" i="25"/>
  <c r="AM209" i="25" s="1"/>
  <c r="AE160" i="25"/>
  <c r="AM160" i="25" s="1"/>
  <c r="AI208" i="25"/>
  <c r="AS208" i="25" s="1"/>
  <c r="CG229" i="24"/>
  <c r="CG284" i="24"/>
  <c r="CG248" i="24"/>
  <c r="CG257" i="24"/>
  <c r="CG313" i="24"/>
  <c r="CG218" i="24"/>
  <c r="CG220" i="24"/>
  <c r="CG291" i="24"/>
  <c r="CG312" i="24"/>
  <c r="CG275" i="24"/>
  <c r="CG270" i="24"/>
  <c r="CG290" i="24"/>
  <c r="CG263" i="24"/>
  <c r="CG251" i="24"/>
  <c r="CG221" i="24"/>
  <c r="CG252" i="24"/>
  <c r="CG240" i="24"/>
  <c r="CG226" i="24"/>
  <c r="CG287" i="24"/>
  <c r="CG250" i="24"/>
  <c r="CG222" i="24"/>
  <c r="CG273" i="24"/>
  <c r="CG302" i="24"/>
  <c r="CG304" i="24"/>
  <c r="CG231" i="24"/>
  <c r="CG236" i="24"/>
  <c r="CG301" i="24"/>
  <c r="CG228" i="24"/>
  <c r="CG224" i="24"/>
  <c r="CG242" i="24"/>
  <c r="CG230" i="24"/>
  <c r="CG223" i="24"/>
  <c r="CG219" i="24"/>
  <c r="AI189" i="25"/>
  <c r="AS189" i="25" s="1"/>
  <c r="AE178" i="25"/>
  <c r="AJ178" i="25" s="1"/>
  <c r="AI100" i="25"/>
  <c r="AS100" i="25" s="1"/>
  <c r="AI197" i="25"/>
  <c r="AS197" i="25" s="1"/>
  <c r="AW197" i="25" s="1"/>
  <c r="AI191" i="25"/>
  <c r="AS191" i="25" s="1"/>
  <c r="AW191" i="25" s="1"/>
  <c r="AI187" i="25"/>
  <c r="AS187" i="25" s="1"/>
  <c r="AY187" i="25" s="1"/>
  <c r="AI206" i="25"/>
  <c r="AS206" i="25" s="1"/>
  <c r="AW206" i="25" s="1"/>
  <c r="AE119" i="25"/>
  <c r="AM119" i="25" s="1"/>
  <c r="AI203" i="25"/>
  <c r="AS203" i="25" s="1"/>
  <c r="AW203" i="25" s="1"/>
  <c r="AI195" i="25"/>
  <c r="AS195" i="25" s="1"/>
  <c r="AW195" i="25" s="1"/>
  <c r="AI205" i="25"/>
  <c r="AS205" i="25" s="1"/>
  <c r="AW205" i="25" s="1"/>
  <c r="AI196" i="25"/>
  <c r="AS196" i="25" s="1"/>
  <c r="AY196" i="25" s="1"/>
  <c r="AI209" i="25"/>
  <c r="AS209" i="25" s="1"/>
  <c r="AW209" i="25" s="1"/>
  <c r="AI210" i="25"/>
  <c r="AS210" i="25" s="1"/>
  <c r="AY210" i="25" s="1"/>
  <c r="AI198" i="25"/>
  <c r="AS198" i="25" s="1"/>
  <c r="AW198" i="25" s="1"/>
  <c r="AI201" i="25"/>
  <c r="AS201" i="25" s="1"/>
  <c r="AY201" i="25" s="1"/>
  <c r="AI193" i="25"/>
  <c r="AS193" i="25" s="1"/>
  <c r="AW193" i="25" s="1"/>
  <c r="AI185" i="25"/>
  <c r="AS185" i="25" s="1"/>
  <c r="AW185" i="25" s="1"/>
  <c r="AI103" i="25"/>
  <c r="AS103" i="25" s="1"/>
  <c r="AI314" i="25"/>
  <c r="AS314" i="25" s="1"/>
  <c r="AE117" i="25"/>
  <c r="AJ117" i="25" s="1"/>
  <c r="AF128" i="25"/>
  <c r="AI173" i="25"/>
  <c r="AS173" i="25" s="1"/>
  <c r="AF155" i="25"/>
  <c r="AM155" i="25" s="1"/>
  <c r="AF196" i="25"/>
  <c r="AM196" i="25" s="1"/>
  <c r="AE167" i="25"/>
  <c r="AJ167" i="25" s="1"/>
  <c r="AF186" i="25"/>
  <c r="AJ186" i="25" s="1"/>
  <c r="AI128" i="25"/>
  <c r="AS128" i="25" s="1"/>
  <c r="AW128" i="25" s="1"/>
  <c r="AF302" i="25"/>
  <c r="AM302" i="25" s="1"/>
  <c r="AF127" i="25"/>
  <c r="AM127" i="25" s="1"/>
  <c r="AI127" i="25"/>
  <c r="AS127" i="25" s="1"/>
  <c r="AY127" i="25" s="1"/>
  <c r="AF265" i="25"/>
  <c r="AM265" i="25" s="1"/>
  <c r="AI265" i="25"/>
  <c r="AS265" i="25" s="1"/>
  <c r="AF126" i="25"/>
  <c r="AM126" i="25" s="1"/>
  <c r="AE162" i="25"/>
  <c r="AM162" i="25" s="1"/>
  <c r="AI155" i="25"/>
  <c r="AS155" i="25" s="1"/>
  <c r="AY155" i="25" s="1"/>
  <c r="AI49" i="25"/>
  <c r="AS49" i="25" s="1"/>
  <c r="AF142" i="25"/>
  <c r="AJ142" i="25" s="1"/>
  <c r="AI19" i="25"/>
  <c r="AS19" i="25" s="1"/>
  <c r="AI181" i="25"/>
  <c r="AS181" i="25" s="1"/>
  <c r="AW181" i="25" s="1"/>
  <c r="AF145" i="25"/>
  <c r="AJ145" i="25" s="1"/>
  <c r="AI176" i="25"/>
  <c r="AS176" i="25" s="1"/>
  <c r="AY176" i="25" s="1"/>
  <c r="AI177" i="25"/>
  <c r="AS177" i="25" s="1"/>
  <c r="AY177" i="25" s="1"/>
  <c r="AF311" i="25"/>
  <c r="AJ311" i="25" s="1"/>
  <c r="AI101" i="25"/>
  <c r="AS101" i="25" s="1"/>
  <c r="AI91" i="25"/>
  <c r="AS91" i="25" s="1"/>
  <c r="AI172" i="25"/>
  <c r="AS172" i="25" s="1"/>
  <c r="AY172" i="25" s="1"/>
  <c r="AF169" i="25"/>
  <c r="AM169" i="25" s="1"/>
  <c r="AI61" i="25"/>
  <c r="AS61" i="25" s="1"/>
  <c r="AI83" i="25"/>
  <c r="AS83" i="25" s="1"/>
  <c r="AF193" i="25"/>
  <c r="AI165" i="25"/>
  <c r="AS165" i="25" s="1"/>
  <c r="AY165" i="25" s="1"/>
  <c r="AF165" i="25"/>
  <c r="AE165" i="25"/>
  <c r="AF185" i="25"/>
  <c r="AM185" i="25" s="1"/>
  <c r="AF164" i="25"/>
  <c r="AJ164" i="25" s="1"/>
  <c r="AF199" i="25"/>
  <c r="AJ199" i="25" s="1"/>
  <c r="AE278" i="25"/>
  <c r="AM278" i="25" s="1"/>
  <c r="CI278" i="25" s="1"/>
  <c r="AF149" i="25"/>
  <c r="AM149" i="25" s="1"/>
  <c r="Y199" i="24"/>
  <c r="AF170" i="25"/>
  <c r="AM170" i="25" s="1"/>
  <c r="AI149" i="25"/>
  <c r="AS149" i="25" s="1"/>
  <c r="AY149" i="25" s="1"/>
  <c r="AI46" i="25"/>
  <c r="AS46" i="25" s="1"/>
  <c r="AF177" i="25"/>
  <c r="AM177" i="25" s="1"/>
  <c r="AE257" i="25"/>
  <c r="AJ257" i="25" s="1"/>
  <c r="AE231" i="25"/>
  <c r="AM231" i="25" s="1"/>
  <c r="AF305" i="25"/>
  <c r="AM305" i="25" s="1"/>
  <c r="CI305" i="25" s="1"/>
  <c r="AE312" i="25"/>
  <c r="AM312" i="25" s="1"/>
  <c r="CI312" i="25" s="1"/>
  <c r="AI158" i="25"/>
  <c r="AS158" i="25" s="1"/>
  <c r="AY158" i="25" s="1"/>
  <c r="AF188" i="25"/>
  <c r="AJ188" i="25" s="1"/>
  <c r="AF166" i="25"/>
  <c r="AM166" i="25" s="1"/>
  <c r="AE147" i="25"/>
  <c r="AM147" i="25" s="1"/>
  <c r="AF181" i="25"/>
  <c r="AM181" i="25" s="1"/>
  <c r="AI240" i="25"/>
  <c r="AS240" i="25" s="1"/>
  <c r="AE250" i="25"/>
  <c r="AM250" i="25" s="1"/>
  <c r="CI250" i="25" s="1"/>
  <c r="AF240" i="25"/>
  <c r="AI222" i="25"/>
  <c r="AS222" i="25" s="1"/>
  <c r="AF222" i="25"/>
  <c r="W5" i="25"/>
  <c r="Z5" i="25" s="1"/>
  <c r="AA5" i="25" s="1"/>
  <c r="AB5" i="25" s="1"/>
  <c r="AI5" i="25" s="1"/>
  <c r="AS5" i="25" s="1"/>
  <c r="AF146" i="25"/>
  <c r="AJ146" i="25" s="1"/>
  <c r="AF157" i="25"/>
  <c r="AM157" i="25" s="1"/>
  <c r="AF122" i="25"/>
  <c r="AM122" i="25" s="1"/>
  <c r="AF288" i="25"/>
  <c r="AM288" i="25" s="1"/>
  <c r="AF248" i="25"/>
  <c r="AJ248" i="25" s="1"/>
  <c r="AI171" i="25"/>
  <c r="AS171" i="25" s="1"/>
  <c r="AW171" i="25" s="1"/>
  <c r="AI169" i="25"/>
  <c r="AS169" i="25" s="1"/>
  <c r="AY169" i="25" s="1"/>
  <c r="AF171" i="25"/>
  <c r="AM171" i="25" s="1"/>
  <c r="AI138" i="25"/>
  <c r="AS138" i="25" s="1"/>
  <c r="AY138" i="25" s="1"/>
  <c r="AF138" i="25"/>
  <c r="AM138" i="25" s="1"/>
  <c r="CI257" i="25"/>
  <c r="AF292" i="25"/>
  <c r="AM292" i="25" s="1"/>
  <c r="CI255" i="25"/>
  <c r="AE264" i="25"/>
  <c r="AM264" i="25" s="1"/>
  <c r="CI264" i="25" s="1"/>
  <c r="AI62" i="25"/>
  <c r="AS62" i="25" s="1"/>
  <c r="AI79" i="25"/>
  <c r="AS79" i="25" s="1"/>
  <c r="AI45" i="25"/>
  <c r="AS45" i="25" s="1"/>
  <c r="AI64" i="25"/>
  <c r="AS64" i="25" s="1"/>
  <c r="AI90" i="25"/>
  <c r="AS90" i="25" s="1"/>
  <c r="Y14" i="24"/>
  <c r="AF163" i="25"/>
  <c r="AM163" i="25" s="1"/>
  <c r="AI148" i="25"/>
  <c r="AS148" i="25" s="1"/>
  <c r="AW148" i="25" s="1"/>
  <c r="AF202" i="25"/>
  <c r="AM202" i="25" s="1"/>
  <c r="AF112" i="25"/>
  <c r="AJ112" i="25" s="1"/>
  <c r="AF158" i="25"/>
  <c r="AI111" i="25"/>
  <c r="AS111" i="25" s="1"/>
  <c r="AY111" i="25" s="1"/>
  <c r="AI163" i="25"/>
  <c r="AS163" i="25" s="1"/>
  <c r="AW163" i="25" s="1"/>
  <c r="AF205" i="25"/>
  <c r="AM205" i="25" s="1"/>
  <c r="AE207" i="25"/>
  <c r="AM207" i="25" s="1"/>
  <c r="AY132" i="25"/>
  <c r="AF111" i="25"/>
  <c r="Y29" i="24"/>
  <c r="AV5" i="24"/>
  <c r="AD5" i="25"/>
  <c r="AE5" i="25" s="1"/>
  <c r="AI18" i="25"/>
  <c r="AS18" i="25" s="1"/>
  <c r="AI305" i="25"/>
  <c r="AS305" i="25" s="1"/>
  <c r="AI300" i="25"/>
  <c r="AS300" i="25" s="1"/>
  <c r="AF254" i="25"/>
  <c r="AM254" i="25" s="1"/>
  <c r="AF228" i="25"/>
  <c r="AM228" i="25" s="1"/>
  <c r="AF300" i="25"/>
  <c r="AF219" i="25"/>
  <c r="AM219" i="25" s="1"/>
  <c r="CI288" i="25"/>
  <c r="CI230" i="25"/>
  <c r="CI272" i="25"/>
  <c r="CI219" i="25"/>
  <c r="CI251" i="25"/>
  <c r="CI302" i="25"/>
  <c r="CI249" i="25"/>
  <c r="CI292" i="25"/>
  <c r="CI284" i="25"/>
  <c r="CI224" i="25"/>
  <c r="CI228" i="25"/>
  <c r="CI252" i="25"/>
  <c r="CI222" i="25"/>
  <c r="CI216" i="25"/>
  <c r="CI236" i="25"/>
  <c r="CI293" i="25"/>
  <c r="CI220" i="25"/>
  <c r="CI265" i="25"/>
  <c r="CI227" i="25"/>
  <c r="CI273" i="25"/>
  <c r="CI231" i="25"/>
  <c r="CI247" i="25"/>
  <c r="CI245" i="25"/>
  <c r="CI223" i="25"/>
  <c r="CI254" i="25"/>
  <c r="CI235" i="25"/>
  <c r="AF296" i="25"/>
  <c r="AM296" i="25" s="1"/>
  <c r="CI296" i="25" s="1"/>
  <c r="CI298" i="25"/>
  <c r="CI226" i="25"/>
  <c r="CI239" i="25"/>
  <c r="CI289" i="25"/>
  <c r="CI274" i="25"/>
  <c r="CI221" i="25"/>
  <c r="AF256" i="25"/>
  <c r="Y293" i="24"/>
  <c r="AI234" i="25"/>
  <c r="AS234" i="25" s="1"/>
  <c r="AI256" i="25"/>
  <c r="AS256" i="25" s="1"/>
  <c r="AF234" i="25"/>
  <c r="AM234" i="25" s="1"/>
  <c r="CI234" i="25" s="1"/>
  <c r="AE300" i="25"/>
  <c r="AE237" i="25"/>
  <c r="AM237" i="25" s="1"/>
  <c r="CI237" i="25" s="1"/>
  <c r="AE232" i="25"/>
  <c r="AE258" i="25"/>
  <c r="AM258" i="25" s="1"/>
  <c r="CI258" i="25" s="1"/>
  <c r="AF270" i="25"/>
  <c r="AM270" i="25" s="1"/>
  <c r="CI270" i="25" s="1"/>
  <c r="AI274" i="25"/>
  <c r="AS274" i="25" s="1"/>
  <c r="AF274" i="25"/>
  <c r="AM274" i="25" s="1"/>
  <c r="AI270" i="25"/>
  <c r="AS270" i="25" s="1"/>
  <c r="AF187" i="25"/>
  <c r="AE124" i="25"/>
  <c r="AJ124" i="25" s="1"/>
  <c r="AF172" i="25"/>
  <c r="AM172" i="25" s="1"/>
  <c r="Y114" i="24"/>
  <c r="AF148" i="25"/>
  <c r="AM148" i="25" s="1"/>
  <c r="AF175" i="25"/>
  <c r="AM175" i="25" s="1"/>
  <c r="AF201" i="25"/>
  <c r="AM201" i="25" s="1"/>
  <c r="AF151" i="25"/>
  <c r="AM151" i="25" s="1"/>
  <c r="AI151" i="25"/>
  <c r="AS151" i="25" s="1"/>
  <c r="AY151" i="25" s="1"/>
  <c r="AE129" i="25"/>
  <c r="AM129" i="25" s="1"/>
  <c r="BM129" i="25" s="1"/>
  <c r="AF197" i="25"/>
  <c r="AI150" i="25"/>
  <c r="AS150" i="25" s="1"/>
  <c r="AY150" i="25" s="1"/>
  <c r="Y117" i="24"/>
  <c r="AF191" i="25"/>
  <c r="AM191" i="25" s="1"/>
  <c r="BM191" i="25" s="1"/>
  <c r="AF150" i="25"/>
  <c r="Y205" i="24"/>
  <c r="AF203" i="25"/>
  <c r="AM203" i="25" s="1"/>
  <c r="AF176" i="25"/>
  <c r="AF114" i="25"/>
  <c r="AJ114" i="25" s="1"/>
  <c r="AF195" i="25"/>
  <c r="AM195" i="25" s="1"/>
  <c r="AW145" i="25"/>
  <c r="AI174" i="25"/>
  <c r="AS174" i="25" s="1"/>
  <c r="AY174" i="25" s="1"/>
  <c r="AI168" i="25"/>
  <c r="AS168" i="25" s="1"/>
  <c r="AW168" i="25" s="1"/>
  <c r="AF168" i="25"/>
  <c r="AM168" i="25" s="1"/>
  <c r="AF204" i="25"/>
  <c r="AM204" i="25" s="1"/>
  <c r="BM204" i="25" s="1"/>
  <c r="AF161" i="25"/>
  <c r="AM161" i="25" s="1"/>
  <c r="AI15" i="25"/>
  <c r="AS15" i="25" s="1"/>
  <c r="Y198" i="24"/>
  <c r="AI88" i="25"/>
  <c r="AS88" i="25" s="1"/>
  <c r="AI89" i="25"/>
  <c r="AS89" i="25" s="1"/>
  <c r="AI67" i="25"/>
  <c r="AS67" i="25" s="1"/>
  <c r="AF144" i="25"/>
  <c r="AM144" i="25" s="1"/>
  <c r="AF273" i="25"/>
  <c r="AJ273" i="25" s="1"/>
  <c r="AI78" i="25"/>
  <c r="AS78" i="25" s="1"/>
  <c r="AF206" i="25"/>
  <c r="Y42" i="24"/>
  <c r="AI288" i="25"/>
  <c r="AS288" i="25" s="1"/>
  <c r="Y196" i="24"/>
  <c r="AI144" i="25"/>
  <c r="AS144" i="25" s="1"/>
  <c r="AW144" i="25" s="1"/>
  <c r="AI218" i="25"/>
  <c r="AS218" i="25" s="1"/>
  <c r="AI161" i="25"/>
  <c r="AS161" i="25" s="1"/>
  <c r="AW161" i="25" s="1"/>
  <c r="AI156" i="25"/>
  <c r="AS156" i="25" s="1"/>
  <c r="AY156" i="25" s="1"/>
  <c r="AF225" i="25"/>
  <c r="AJ225" i="25" s="1"/>
  <c r="AI232" i="25"/>
  <c r="AS232" i="25" s="1"/>
  <c r="AI277" i="25"/>
  <c r="AS277" i="25" s="1"/>
  <c r="AF299" i="25"/>
  <c r="AF281" i="25"/>
  <c r="AM281" i="25" s="1"/>
  <c r="CI281" i="25" s="1"/>
  <c r="AF316" i="25"/>
  <c r="AI299" i="25"/>
  <c r="AS299" i="25" s="1"/>
  <c r="AI276" i="25"/>
  <c r="AS276" i="25" s="1"/>
  <c r="AF276" i="25"/>
  <c r="AM276" i="25" s="1"/>
  <c r="CI276" i="25" s="1"/>
  <c r="M38" i="23"/>
  <c r="AF227" i="25"/>
  <c r="AJ227" i="25" s="1"/>
  <c r="AI230" i="25"/>
  <c r="AS230" i="25" s="1"/>
  <c r="AF277" i="25"/>
  <c r="AM277" i="25" s="1"/>
  <c r="CI277" i="25" s="1"/>
  <c r="AF230" i="25"/>
  <c r="AM230" i="25" s="1"/>
  <c r="Y250" i="24"/>
  <c r="AF271" i="25"/>
  <c r="AM271" i="25" s="1"/>
  <c r="CI271" i="25" s="1"/>
  <c r="AF242" i="25"/>
  <c r="AM242" i="25" s="1"/>
  <c r="CI242" i="25" s="1"/>
  <c r="AF307" i="25"/>
  <c r="AJ307" i="25" s="1"/>
  <c r="AF295" i="25"/>
  <c r="AI295" i="25"/>
  <c r="AS295" i="25" s="1"/>
  <c r="AE294" i="25"/>
  <c r="AJ294" i="25" s="1"/>
  <c r="AF218" i="25"/>
  <c r="AM218" i="25" s="1"/>
  <c r="CI218" i="25" s="1"/>
  <c r="AE245" i="25"/>
  <c r="AJ245" i="25" s="1"/>
  <c r="AI253" i="25"/>
  <c r="AS253" i="25" s="1"/>
  <c r="AI266" i="25"/>
  <c r="AS266" i="25" s="1"/>
  <c r="AF260" i="25"/>
  <c r="AM260" i="25" s="1"/>
  <c r="CI260" i="25" s="1"/>
  <c r="AF289" i="25"/>
  <c r="Y308" i="24"/>
  <c r="M12" i="23"/>
  <c r="AI279" i="25"/>
  <c r="AS279" i="25" s="1"/>
  <c r="AF220" i="25"/>
  <c r="AJ220" i="25" s="1"/>
  <c r="AF279" i="25"/>
  <c r="AM279" i="25" s="1"/>
  <c r="CI279" i="25" s="1"/>
  <c r="M60" i="23"/>
  <c r="AI297" i="25"/>
  <c r="AS297" i="25" s="1"/>
  <c r="AF297" i="25"/>
  <c r="AM297" i="25" s="1"/>
  <c r="CI297" i="25" s="1"/>
  <c r="AI316" i="25"/>
  <c r="AS316" i="25" s="1"/>
  <c r="M94" i="23"/>
  <c r="AF304" i="25"/>
  <c r="AM304" i="25" s="1"/>
  <c r="CI304" i="25" s="1"/>
  <c r="AI271" i="25"/>
  <c r="AS271" i="25" s="1"/>
  <c r="Y273" i="24"/>
  <c r="AI249" i="25"/>
  <c r="AS249" i="25" s="1"/>
  <c r="AF252" i="25"/>
  <c r="M26" i="23"/>
  <c r="M47" i="23"/>
  <c r="AE233" i="25"/>
  <c r="AM233" i="25" s="1"/>
  <c r="CI233" i="25" s="1"/>
  <c r="AI289" i="25"/>
  <c r="AS289" i="25" s="1"/>
  <c r="AI252" i="25"/>
  <c r="AS252" i="25" s="1"/>
  <c r="AF310" i="25"/>
  <c r="AM310" i="25" s="1"/>
  <c r="CI310" i="25" s="1"/>
  <c r="AF249" i="25"/>
  <c r="AM249" i="25" s="1"/>
  <c r="M68" i="23"/>
  <c r="M19" i="23"/>
  <c r="M103" i="23"/>
  <c r="Y136" i="24"/>
  <c r="M29" i="23"/>
  <c r="M58" i="23"/>
  <c r="M22" i="23"/>
  <c r="M64" i="23"/>
  <c r="AF243" i="25"/>
  <c r="AJ243" i="25" s="1"/>
  <c r="AI261" i="25"/>
  <c r="AS261" i="25" s="1"/>
  <c r="M55" i="23"/>
  <c r="AF241" i="25"/>
  <c r="AJ241" i="25" s="1"/>
  <c r="AI304" i="25"/>
  <c r="AS304" i="25" s="1"/>
  <c r="AI217" i="25"/>
  <c r="AS217" i="25" s="1"/>
  <c r="M79" i="23"/>
  <c r="M20" i="23"/>
  <c r="AF261" i="25"/>
  <c r="AM261" i="25" s="1"/>
  <c r="CI261" i="25" s="1"/>
  <c r="M74" i="23"/>
  <c r="M77" i="23"/>
  <c r="M49" i="23"/>
  <c r="AF217" i="25"/>
  <c r="AJ216" i="24"/>
  <c r="AT216" i="24" s="1"/>
  <c r="AF253" i="25"/>
  <c r="AM253" i="25" s="1"/>
  <c r="CI253" i="25" s="1"/>
  <c r="AF282" i="25"/>
  <c r="AE252" i="25"/>
  <c r="AF286" i="25"/>
  <c r="AM286" i="25" s="1"/>
  <c r="CI286" i="25" s="1"/>
  <c r="AI298" i="25"/>
  <c r="AS298" i="25" s="1"/>
  <c r="AF298" i="25"/>
  <c r="AM298" i="25" s="1"/>
  <c r="AI282" i="25"/>
  <c r="AS282" i="25" s="1"/>
  <c r="Y285" i="24"/>
  <c r="AF306" i="25"/>
  <c r="AJ306" i="25" s="1"/>
  <c r="Y260" i="24"/>
  <c r="AI284" i="25"/>
  <c r="AS284" i="25" s="1"/>
  <c r="AF284" i="25"/>
  <c r="AM284" i="25" s="1"/>
  <c r="AI24" i="25"/>
  <c r="AS24" i="25" s="1"/>
  <c r="Z180" i="25"/>
  <c r="AA180" i="25" s="1"/>
  <c r="AB180" i="25" s="1"/>
  <c r="AI180" i="25" s="1"/>
  <c r="AS180" i="25" s="1"/>
  <c r="AF180" i="25"/>
  <c r="AI33" i="25"/>
  <c r="AS33" i="25" s="1"/>
  <c r="AF156" i="25"/>
  <c r="AM156" i="25" s="1"/>
  <c r="AF198" i="25"/>
  <c r="Y154" i="24"/>
  <c r="F66" i="19"/>
  <c r="BZ106" i="19"/>
  <c r="AF137" i="25"/>
  <c r="AF224" i="25"/>
  <c r="AJ224" i="25" s="1"/>
  <c r="AI137" i="25"/>
  <c r="AS137" i="25" s="1"/>
  <c r="AW137" i="25" s="1"/>
  <c r="Y182" i="24"/>
  <c r="AE263" i="25"/>
  <c r="AJ263" i="25" s="1"/>
  <c r="M86" i="23"/>
  <c r="C245" i="2"/>
  <c r="F245" i="2"/>
  <c r="H245" i="2"/>
  <c r="C42" i="16" s="1"/>
  <c r="Y31" i="24"/>
  <c r="A246" i="2"/>
  <c r="D43" i="16"/>
  <c r="B205" i="2"/>
  <c r="M76" i="23"/>
  <c r="AF210" i="25"/>
  <c r="Y189" i="24"/>
  <c r="Y194" i="24"/>
  <c r="M52" i="23"/>
  <c r="J212" i="24"/>
  <c r="O212" i="24"/>
  <c r="CB212" i="24" s="1"/>
  <c r="Y74" i="24"/>
  <c r="Y288" i="24"/>
  <c r="Y169" i="24"/>
  <c r="Y57" i="24"/>
  <c r="Y216" i="24"/>
  <c r="AK13" i="29"/>
  <c r="AJ185" i="29"/>
  <c r="AK185" i="29" s="1"/>
  <c r="AA186" i="29"/>
  <c r="M72" i="23"/>
  <c r="A151" i="8"/>
  <c r="AF125" i="25"/>
  <c r="AA116" i="29"/>
  <c r="AJ116" i="29"/>
  <c r="AK116" i="29" s="1"/>
  <c r="AJ115" i="29"/>
  <c r="AK115" i="29" s="1"/>
  <c r="A128" i="8"/>
  <c r="AA74" i="29"/>
  <c r="AJ73" i="29"/>
  <c r="AK73" i="29" s="1"/>
  <c r="AI121" i="25"/>
  <c r="AS121" i="25" s="1"/>
  <c r="Y158" i="24"/>
  <c r="AI301" i="25"/>
  <c r="AS301" i="25" s="1"/>
  <c r="AJ162" i="29"/>
  <c r="AK162" i="29" s="1"/>
  <c r="AA162" i="29"/>
  <c r="AJ161" i="29"/>
  <c r="AK161" i="29" s="1"/>
  <c r="AF216" i="24"/>
  <c r="AG216" i="24"/>
  <c r="AJ79" i="29"/>
  <c r="AK79" i="29" s="1"/>
  <c r="AJ80" i="29"/>
  <c r="AK80" i="29" s="1"/>
  <c r="AA80" i="29"/>
  <c r="AK5" i="24"/>
  <c r="AN5" i="24"/>
  <c r="BN5" i="24" s="1"/>
  <c r="AJ132" i="29"/>
  <c r="AK132" i="29" s="1"/>
  <c r="AA133" i="29"/>
  <c r="AA219" i="29"/>
  <c r="AJ218" i="29"/>
  <c r="AK218" i="29" s="1"/>
  <c r="AJ219" i="29"/>
  <c r="AK219" i="29" s="1"/>
  <c r="AJ186" i="29"/>
  <c r="AK186" i="29" s="1"/>
  <c r="AF301" i="25"/>
  <c r="Y127" i="24"/>
  <c r="X180" i="25"/>
  <c r="Y204" i="24"/>
  <c r="B245" i="2"/>
  <c r="A204" i="2"/>
  <c r="AA224" i="29"/>
  <c r="AJ223" i="29"/>
  <c r="AK223" i="29" s="1"/>
  <c r="AJ224" i="29"/>
  <c r="AK224" i="29" s="1"/>
  <c r="M24" i="23"/>
  <c r="AA35" i="29"/>
  <c r="AJ34" i="29"/>
  <c r="AK34" i="29" s="1"/>
  <c r="AJ35" i="29"/>
  <c r="AK35" i="29" s="1"/>
  <c r="AJ74" i="29"/>
  <c r="AK74" i="29" s="1"/>
  <c r="A156" i="8"/>
  <c r="Y27" i="24"/>
  <c r="AF308" i="25"/>
  <c r="Y39" i="24"/>
  <c r="Y95" i="24"/>
  <c r="Y202" i="24"/>
  <c r="AI133" i="25"/>
  <c r="AS133" i="25" s="1"/>
  <c r="AI308" i="25"/>
  <c r="AS308" i="25" s="1"/>
  <c r="AI30" i="25"/>
  <c r="AS30" i="25" s="1"/>
  <c r="AI239" i="25"/>
  <c r="AS239" i="25" s="1"/>
  <c r="AI229" i="25"/>
  <c r="AS229" i="25" s="1"/>
  <c r="AI139" i="25"/>
  <c r="AS139" i="25" s="1"/>
  <c r="AI226" i="25"/>
  <c r="AS226" i="25" s="1"/>
  <c r="AI37" i="25"/>
  <c r="AS37" i="25" s="1"/>
  <c r="AI38" i="25"/>
  <c r="AS38" i="25" s="1"/>
  <c r="AI40" i="25"/>
  <c r="AS40" i="25" s="1"/>
  <c r="AF192" i="25"/>
  <c r="AJ192" i="25" s="1"/>
  <c r="AI47" i="25"/>
  <c r="AS47" i="25" s="1"/>
  <c r="AF174" i="25"/>
  <c r="AM174" i="25" s="1"/>
  <c r="AE251" i="25"/>
  <c r="AJ251" i="25" s="1"/>
  <c r="AI53" i="25"/>
  <c r="AS53" i="25" s="1"/>
  <c r="AI125" i="25"/>
  <c r="AS125" i="25" s="1"/>
  <c r="AY125" i="25" s="1"/>
  <c r="Y34" i="24"/>
  <c r="Y72" i="24"/>
  <c r="Y149" i="24"/>
  <c r="Y292" i="24"/>
  <c r="AI52" i="25"/>
  <c r="AS52" i="25" s="1"/>
  <c r="AI10" i="25"/>
  <c r="AS10" i="25" s="1"/>
  <c r="Y178" i="24"/>
  <c r="Y133" i="24"/>
  <c r="AI48" i="25"/>
  <c r="AS48" i="25" s="1"/>
  <c r="Y177" i="24"/>
  <c r="X164" i="25"/>
  <c r="Y225" i="24"/>
  <c r="Y84" i="24"/>
  <c r="Y295" i="24"/>
  <c r="Y254" i="24"/>
  <c r="Y59" i="24"/>
  <c r="Y85" i="24"/>
  <c r="Y15" i="24"/>
  <c r="X192" i="25"/>
  <c r="AF115" i="25"/>
  <c r="AJ115" i="25" s="1"/>
  <c r="Y24" i="24"/>
  <c r="Y115" i="24"/>
  <c r="Y75" i="24"/>
  <c r="AI32" i="25"/>
  <c r="AS32" i="25" s="1"/>
  <c r="Y126" i="24"/>
  <c r="Y105" i="24"/>
  <c r="Y150" i="24"/>
  <c r="Y174" i="24"/>
  <c r="Y140" i="24"/>
  <c r="Y143" i="24"/>
  <c r="X199" i="25"/>
  <c r="Y142" i="24"/>
  <c r="Y28" i="24"/>
  <c r="AI34" i="25"/>
  <c r="AS34" i="25" s="1"/>
  <c r="Y291" i="24"/>
  <c r="Y315" i="24"/>
  <c r="Y230" i="24"/>
  <c r="Y313" i="24"/>
  <c r="Y6" i="24"/>
  <c r="Y101" i="24"/>
  <c r="X198" i="25"/>
  <c r="Y56" i="24"/>
  <c r="Y272" i="24"/>
  <c r="Y144" i="24"/>
  <c r="Y165" i="24"/>
  <c r="Y221" i="24"/>
  <c r="X259" i="25"/>
  <c r="Y255" i="24"/>
  <c r="Y139" i="24"/>
  <c r="Y21" i="24"/>
  <c r="Y99" i="24"/>
  <c r="Y37" i="24"/>
  <c r="Y157" i="24"/>
  <c r="Y38" i="24"/>
  <c r="Y284" i="24"/>
  <c r="Y36" i="24"/>
  <c r="Y77" i="24"/>
  <c r="Y35" i="24"/>
  <c r="Y131" i="24"/>
  <c r="Y197" i="24"/>
  <c r="Y129" i="24"/>
  <c r="Y281" i="24"/>
  <c r="Y280" i="24"/>
  <c r="Y98" i="24"/>
  <c r="Y10" i="24"/>
  <c r="Y22" i="24"/>
  <c r="Y237" i="24"/>
  <c r="Y78" i="24"/>
  <c r="Y32" i="24"/>
  <c r="Y132" i="24"/>
  <c r="X146" i="25"/>
  <c r="Y102" i="24"/>
  <c r="Y7" i="24"/>
  <c r="X142" i="25"/>
  <c r="AI244" i="25"/>
  <c r="AS244" i="25" s="1"/>
  <c r="X263" i="25"/>
  <c r="Y300" i="24"/>
  <c r="Y238" i="24"/>
  <c r="X299" i="25"/>
  <c r="Y311" i="24"/>
  <c r="Y241" i="24"/>
  <c r="Y271" i="24"/>
  <c r="Y223" i="24"/>
  <c r="Y316" i="24"/>
  <c r="Y239" i="24"/>
  <c r="Y248" i="24"/>
  <c r="Y306" i="24"/>
  <c r="X316" i="25"/>
  <c r="AF239" i="25"/>
  <c r="AM239" i="25" s="1"/>
  <c r="Y276" i="24"/>
  <c r="X282" i="25"/>
  <c r="AW119" i="25"/>
  <c r="AY119" i="25"/>
  <c r="W71" i="24"/>
  <c r="Y71" i="24" s="1"/>
  <c r="AE71" i="24"/>
  <c r="X71" i="24"/>
  <c r="AA71" i="24" s="1"/>
  <c r="AB71" i="24" s="1"/>
  <c r="AC71" i="24" s="1"/>
  <c r="AI71" i="24"/>
  <c r="X73" i="24"/>
  <c r="AA73" i="24" s="1"/>
  <c r="AB73" i="24" s="1"/>
  <c r="AC73" i="24" s="1"/>
  <c r="AE73" i="24"/>
  <c r="AI73" i="24"/>
  <c r="AI206" i="24"/>
  <c r="AE206" i="24"/>
  <c r="X206" i="24"/>
  <c r="AA206" i="24" s="1"/>
  <c r="AB206" i="24" s="1"/>
  <c r="AC206" i="24" s="1"/>
  <c r="Y247" i="24"/>
  <c r="Y249" i="24"/>
  <c r="Y243" i="24"/>
  <c r="AE272" i="24"/>
  <c r="X272" i="24"/>
  <c r="AA272" i="24" s="1"/>
  <c r="AB272" i="24" s="1"/>
  <c r="AC272" i="24" s="1"/>
  <c r="AI272" i="24"/>
  <c r="Y266" i="24"/>
  <c r="Y135" i="24"/>
  <c r="X209" i="24"/>
  <c r="AA209" i="24" s="1"/>
  <c r="AB209" i="24" s="1"/>
  <c r="AC209" i="24" s="1"/>
  <c r="AE209" i="24"/>
  <c r="AI209" i="24"/>
  <c r="AE20" i="24"/>
  <c r="X20" i="24"/>
  <c r="AA20" i="24" s="1"/>
  <c r="AB20" i="24" s="1"/>
  <c r="AC20" i="24" s="1"/>
  <c r="AI20" i="24"/>
  <c r="AE63" i="24"/>
  <c r="X63" i="24"/>
  <c r="AA63" i="24" s="1"/>
  <c r="AB63" i="24" s="1"/>
  <c r="AC63" i="24" s="1"/>
  <c r="AI63" i="24"/>
  <c r="Y53" i="24"/>
  <c r="AE282" i="24"/>
  <c r="X282" i="24"/>
  <c r="AA282" i="24" s="1"/>
  <c r="AB282" i="24" s="1"/>
  <c r="AC282" i="24" s="1"/>
  <c r="AI282" i="24"/>
  <c r="Y283" i="24"/>
  <c r="AE243" i="24"/>
  <c r="X243" i="24"/>
  <c r="AA243" i="24" s="1"/>
  <c r="AB243" i="24" s="1"/>
  <c r="AC243" i="24" s="1"/>
  <c r="AI243" i="24"/>
  <c r="AI167" i="24"/>
  <c r="AE167" i="24"/>
  <c r="X167" i="24"/>
  <c r="AA167" i="24" s="1"/>
  <c r="AB167" i="24" s="1"/>
  <c r="AC167" i="24" s="1"/>
  <c r="AE68" i="24"/>
  <c r="X68" i="24"/>
  <c r="AA68" i="24" s="1"/>
  <c r="AB68" i="24" s="1"/>
  <c r="AC68" i="24" s="1"/>
  <c r="AI68" i="24"/>
  <c r="AE230" i="24"/>
  <c r="X230" i="24"/>
  <c r="AA230" i="24" s="1"/>
  <c r="AB230" i="24" s="1"/>
  <c r="AC230" i="24" s="1"/>
  <c r="AI230" i="24"/>
  <c r="AE316" i="24"/>
  <c r="X316" i="24"/>
  <c r="AI316" i="24"/>
  <c r="AE315" i="24"/>
  <c r="X315" i="24"/>
  <c r="AA315" i="24" s="1"/>
  <c r="AB315" i="24" s="1"/>
  <c r="AC315" i="24" s="1"/>
  <c r="AI315" i="24"/>
  <c r="AI140" i="24"/>
  <c r="X140" i="24"/>
  <c r="AA140" i="24" s="1"/>
  <c r="AB140" i="24" s="1"/>
  <c r="AC140" i="24" s="1"/>
  <c r="AE140" i="24"/>
  <c r="AI251" i="24"/>
  <c r="AE251" i="24"/>
  <c r="X251" i="24"/>
  <c r="AA251" i="24" s="1"/>
  <c r="AB251" i="24" s="1"/>
  <c r="AC251" i="24" s="1"/>
  <c r="AE200" i="24"/>
  <c r="AI200" i="24"/>
  <c r="X200" i="24"/>
  <c r="AA200" i="24" s="1"/>
  <c r="AB200" i="24" s="1"/>
  <c r="AC200" i="24" s="1"/>
  <c r="W167" i="24"/>
  <c r="Y167" i="24" s="1"/>
  <c r="X83" i="24"/>
  <c r="AA83" i="24" s="1"/>
  <c r="AB83" i="24" s="1"/>
  <c r="AC83" i="24" s="1"/>
  <c r="AE83" i="24"/>
  <c r="AI83" i="24"/>
  <c r="X105" i="24"/>
  <c r="AA105" i="24" s="1"/>
  <c r="AB105" i="24" s="1"/>
  <c r="AC105" i="24" s="1"/>
  <c r="AE105" i="24"/>
  <c r="AI105" i="24"/>
  <c r="AE98" i="24"/>
  <c r="X98" i="24"/>
  <c r="AA98" i="24" s="1"/>
  <c r="AB98" i="24" s="1"/>
  <c r="AC98" i="24" s="1"/>
  <c r="AI98" i="24"/>
  <c r="AI113" i="24"/>
  <c r="X113" i="24"/>
  <c r="AA113" i="24" s="1"/>
  <c r="AB113" i="24" s="1"/>
  <c r="AC113" i="24" s="1"/>
  <c r="AE113" i="24"/>
  <c r="AI269" i="24"/>
  <c r="X269" i="24"/>
  <c r="AA269" i="24" s="1"/>
  <c r="AB269" i="24" s="1"/>
  <c r="AC269" i="24" s="1"/>
  <c r="AE269" i="24"/>
  <c r="AI242" i="24"/>
  <c r="X242" i="24"/>
  <c r="AA242" i="24" s="1"/>
  <c r="AB242" i="24" s="1"/>
  <c r="AC242" i="24" s="1"/>
  <c r="AE242" i="24"/>
  <c r="AE72" i="24"/>
  <c r="X72" i="24"/>
  <c r="AA72" i="24" s="1"/>
  <c r="AB72" i="24" s="1"/>
  <c r="AC72" i="24" s="1"/>
  <c r="AI72" i="24"/>
  <c r="AE302" i="24"/>
  <c r="X302" i="24"/>
  <c r="AA302" i="24" s="1"/>
  <c r="AB302" i="24" s="1"/>
  <c r="AC302" i="24" s="1"/>
  <c r="AI302" i="24"/>
  <c r="AI151" i="24"/>
  <c r="AE151" i="24"/>
  <c r="X151" i="24"/>
  <c r="AA151" i="24" s="1"/>
  <c r="AB151" i="24" s="1"/>
  <c r="AC151" i="24" s="1"/>
  <c r="X128" i="24"/>
  <c r="AA128" i="24" s="1"/>
  <c r="AB128" i="24" s="1"/>
  <c r="AC128" i="24" s="1"/>
  <c r="AE128" i="24"/>
  <c r="AI128" i="24"/>
  <c r="W269" i="24"/>
  <c r="Y269" i="24" s="1"/>
  <c r="AE64" i="24"/>
  <c r="X64" i="24"/>
  <c r="AA64" i="24" s="1"/>
  <c r="AB64" i="24" s="1"/>
  <c r="AC64" i="24" s="1"/>
  <c r="AI64" i="24"/>
  <c r="AI296" i="24"/>
  <c r="X296" i="24"/>
  <c r="AA296" i="24" s="1"/>
  <c r="AB296" i="24" s="1"/>
  <c r="AC296" i="24" s="1"/>
  <c r="AE296" i="24"/>
  <c r="X235" i="24"/>
  <c r="AA235" i="24" s="1"/>
  <c r="AB235" i="24" s="1"/>
  <c r="AC235" i="24" s="1"/>
  <c r="AE235" i="24"/>
  <c r="AI235" i="24"/>
  <c r="Y226" i="24"/>
  <c r="Y120" i="24"/>
  <c r="AE155" i="24"/>
  <c r="X155" i="24"/>
  <c r="AA155" i="24" s="1"/>
  <c r="AB155" i="24" s="1"/>
  <c r="AC155" i="24" s="1"/>
  <c r="AI155" i="24"/>
  <c r="AI162" i="24"/>
  <c r="X162" i="24"/>
  <c r="AA162" i="24" s="1"/>
  <c r="AB162" i="24" s="1"/>
  <c r="AC162" i="24" s="1"/>
  <c r="AE162" i="24"/>
  <c r="Y258" i="24"/>
  <c r="AE300" i="24"/>
  <c r="X300" i="24"/>
  <c r="AA300" i="24" s="1"/>
  <c r="AB300" i="24" s="1"/>
  <c r="AC300" i="24" s="1"/>
  <c r="AI300" i="24"/>
  <c r="AI126" i="24"/>
  <c r="X126" i="24"/>
  <c r="AA126" i="24" s="1"/>
  <c r="AB126" i="24" s="1"/>
  <c r="AC126" i="24" s="1"/>
  <c r="AE126" i="24"/>
  <c r="X124" i="25"/>
  <c r="AI252" i="24"/>
  <c r="X252" i="24"/>
  <c r="AA252" i="24" s="1"/>
  <c r="AB252" i="24" s="1"/>
  <c r="AC252" i="24" s="1"/>
  <c r="AE252" i="24"/>
  <c r="AI60" i="24"/>
  <c r="X60" i="24"/>
  <c r="AA60" i="24" s="1"/>
  <c r="AB60" i="24" s="1"/>
  <c r="AC60" i="24" s="1"/>
  <c r="AE60" i="24"/>
  <c r="W155" i="24"/>
  <c r="Y155" i="24" s="1"/>
  <c r="AI263" i="24"/>
  <c r="X263" i="24"/>
  <c r="AA263" i="24" s="1"/>
  <c r="AB263" i="24" s="1"/>
  <c r="AC263" i="24" s="1"/>
  <c r="AE263" i="24"/>
  <c r="X137" i="25"/>
  <c r="W263" i="24"/>
  <c r="Y263" i="24" s="1"/>
  <c r="AE171" i="24"/>
  <c r="X171" i="24"/>
  <c r="AA171" i="24" s="1"/>
  <c r="AB171" i="24" s="1"/>
  <c r="AC171" i="24" s="1"/>
  <c r="AI171" i="24"/>
  <c r="X91" i="24"/>
  <c r="AA91" i="24" s="1"/>
  <c r="AB91" i="24" s="1"/>
  <c r="AC91" i="24" s="1"/>
  <c r="AE91" i="24"/>
  <c r="AI91" i="24"/>
  <c r="AE115" i="24"/>
  <c r="X115" i="24"/>
  <c r="AA115" i="24" s="1"/>
  <c r="AB115" i="24" s="1"/>
  <c r="AC115" i="24" s="1"/>
  <c r="AI115" i="24"/>
  <c r="X224" i="24"/>
  <c r="AA224" i="24" s="1"/>
  <c r="AB224" i="24" s="1"/>
  <c r="AC224" i="24" s="1"/>
  <c r="AE224" i="24"/>
  <c r="AI224" i="24"/>
  <c r="AF259" i="25"/>
  <c r="AE259" i="25"/>
  <c r="X128" i="25"/>
  <c r="AE258" i="24"/>
  <c r="X258" i="24"/>
  <c r="AA258" i="24" s="1"/>
  <c r="AB258" i="24" s="1"/>
  <c r="AC258" i="24" s="1"/>
  <c r="AI258" i="24"/>
  <c r="AE116" i="24"/>
  <c r="X116" i="24"/>
  <c r="AA116" i="24" s="1"/>
  <c r="AB116" i="24" s="1"/>
  <c r="AC116" i="24" s="1"/>
  <c r="AI116" i="24"/>
  <c r="X46" i="24"/>
  <c r="AA46" i="24" s="1"/>
  <c r="AB46" i="24" s="1"/>
  <c r="AC46" i="24" s="1"/>
  <c r="AE46" i="24"/>
  <c r="AI46" i="24"/>
  <c r="AI265" i="24"/>
  <c r="AE265" i="24"/>
  <c r="X265" i="24"/>
  <c r="AA265" i="24" s="1"/>
  <c r="AB265" i="24" s="1"/>
  <c r="AC265" i="24" s="1"/>
  <c r="AI186" i="24"/>
  <c r="X186" i="24"/>
  <c r="AA186" i="24" s="1"/>
  <c r="AB186" i="24" s="1"/>
  <c r="AC186" i="24" s="1"/>
  <c r="AE186" i="24"/>
  <c r="Y13" i="24"/>
  <c r="Y55" i="24"/>
  <c r="Y54" i="24"/>
  <c r="AE40" i="24"/>
  <c r="X40" i="24"/>
  <c r="AA40" i="24" s="1"/>
  <c r="AB40" i="24" s="1"/>
  <c r="AC40" i="24" s="1"/>
  <c r="AI40" i="24"/>
  <c r="X100" i="24"/>
  <c r="AA100" i="24" s="1"/>
  <c r="AB100" i="24" s="1"/>
  <c r="AC100" i="24" s="1"/>
  <c r="AE100" i="24"/>
  <c r="AI100" i="24"/>
  <c r="AI176" i="24"/>
  <c r="AE176" i="24"/>
  <c r="X176" i="24"/>
  <c r="AA176" i="24" s="1"/>
  <c r="AB176" i="24" s="1"/>
  <c r="AC176" i="24" s="1"/>
  <c r="AI135" i="24"/>
  <c r="AE135" i="24"/>
  <c r="X135" i="24"/>
  <c r="AA135" i="24" s="1"/>
  <c r="AB135" i="24" s="1"/>
  <c r="AC135" i="24" s="1"/>
  <c r="X197" i="24"/>
  <c r="AA197" i="24" s="1"/>
  <c r="AB197" i="24" s="1"/>
  <c r="AC197" i="24" s="1"/>
  <c r="AE197" i="24"/>
  <c r="AI197" i="24"/>
  <c r="X229" i="24"/>
  <c r="AA229" i="24" s="1"/>
  <c r="AB229" i="24" s="1"/>
  <c r="AC229" i="24" s="1"/>
  <c r="AE229" i="24"/>
  <c r="AI229" i="24"/>
  <c r="AE79" i="24"/>
  <c r="X79" i="24"/>
  <c r="AA79" i="24" s="1"/>
  <c r="AB79" i="24" s="1"/>
  <c r="AC79" i="24" s="1"/>
  <c r="AI79" i="24"/>
  <c r="X240" i="24"/>
  <c r="AA240" i="24" s="1"/>
  <c r="AB240" i="24" s="1"/>
  <c r="AC240" i="24" s="1"/>
  <c r="AE240" i="24"/>
  <c r="AI240" i="24"/>
  <c r="Y8" i="24"/>
  <c r="Y88" i="24"/>
  <c r="Y224" i="24"/>
  <c r="W112" i="24"/>
  <c r="Y112" i="24" s="1"/>
  <c r="X112" i="24"/>
  <c r="AA112" i="24" s="1"/>
  <c r="AB112" i="24" s="1"/>
  <c r="AC112" i="24" s="1"/>
  <c r="AE112" i="24"/>
  <c r="AI112" i="24"/>
  <c r="AE280" i="24"/>
  <c r="X280" i="24"/>
  <c r="AA280" i="24" s="1"/>
  <c r="AB280" i="24" s="1"/>
  <c r="AC280" i="24" s="1"/>
  <c r="AI280" i="24"/>
  <c r="Y9" i="24"/>
  <c r="AE274" i="24"/>
  <c r="X274" i="24"/>
  <c r="AA274" i="24" s="1"/>
  <c r="AB274" i="24" s="1"/>
  <c r="AC274" i="24" s="1"/>
  <c r="AI274" i="24"/>
  <c r="X117" i="25"/>
  <c r="AI55" i="25"/>
  <c r="AS55" i="25" s="1"/>
  <c r="X257" i="24"/>
  <c r="AA257" i="24" s="1"/>
  <c r="AB257" i="24" s="1"/>
  <c r="AC257" i="24" s="1"/>
  <c r="AE257" i="24"/>
  <c r="AI257" i="24"/>
  <c r="Y124" i="24"/>
  <c r="X245" i="24"/>
  <c r="AA245" i="24" s="1"/>
  <c r="AB245" i="24" s="1"/>
  <c r="AC245" i="24" s="1"/>
  <c r="AE245" i="24"/>
  <c r="AI245" i="24"/>
  <c r="AI119" i="24"/>
  <c r="AE119" i="24"/>
  <c r="X119" i="24"/>
  <c r="AA119" i="24" s="1"/>
  <c r="AB119" i="24" s="1"/>
  <c r="AC119" i="24" s="1"/>
  <c r="X184" i="24"/>
  <c r="AA184" i="24" s="1"/>
  <c r="AB184" i="24" s="1"/>
  <c r="AC184" i="24" s="1"/>
  <c r="AE184" i="24"/>
  <c r="AI184" i="24"/>
  <c r="AE89" i="24"/>
  <c r="X89" i="24"/>
  <c r="AA89" i="24" s="1"/>
  <c r="AB89" i="24" s="1"/>
  <c r="AC89" i="24" s="1"/>
  <c r="AI89" i="24"/>
  <c r="AI25" i="24"/>
  <c r="X25" i="24"/>
  <c r="AA25" i="24" s="1"/>
  <c r="AB25" i="24" s="1"/>
  <c r="AC25" i="24" s="1"/>
  <c r="AE25" i="24"/>
  <c r="AE122" i="24"/>
  <c r="X122" i="24"/>
  <c r="AA122" i="24" s="1"/>
  <c r="AB122" i="24" s="1"/>
  <c r="AC122" i="24" s="1"/>
  <c r="AI122" i="24"/>
  <c r="W73" i="24"/>
  <c r="Y73" i="24" s="1"/>
  <c r="X305" i="24"/>
  <c r="AA305" i="24" s="1"/>
  <c r="AB305" i="24" s="1"/>
  <c r="AC305" i="24" s="1"/>
  <c r="AE305" i="24"/>
  <c r="AI305" i="24"/>
  <c r="AI139" i="24"/>
  <c r="X139" i="24"/>
  <c r="AA139" i="24" s="1"/>
  <c r="AB139" i="24" s="1"/>
  <c r="AC139" i="24" s="1"/>
  <c r="AE139" i="24"/>
  <c r="AE82" i="24"/>
  <c r="X82" i="24"/>
  <c r="AA82" i="24" s="1"/>
  <c r="AB82" i="24" s="1"/>
  <c r="AC82" i="24" s="1"/>
  <c r="AI82" i="24"/>
  <c r="AE256" i="24"/>
  <c r="X256" i="24"/>
  <c r="AA256" i="24" s="1"/>
  <c r="AB256" i="24" s="1"/>
  <c r="AC256" i="24" s="1"/>
  <c r="AI256" i="24"/>
  <c r="Y183" i="24"/>
  <c r="W229" i="24"/>
  <c r="Y229" i="24" s="1"/>
  <c r="AI202" i="24"/>
  <c r="X202" i="24"/>
  <c r="AA202" i="24" s="1"/>
  <c r="AB202" i="24" s="1"/>
  <c r="AC202" i="24" s="1"/>
  <c r="AE202" i="24"/>
  <c r="X297" i="24"/>
  <c r="AA297" i="24" s="1"/>
  <c r="AB297" i="24" s="1"/>
  <c r="AC297" i="24" s="1"/>
  <c r="AE297" i="24"/>
  <c r="AI297" i="24"/>
  <c r="X307" i="24"/>
  <c r="AA307" i="24" s="1"/>
  <c r="AB307" i="24" s="1"/>
  <c r="AC307" i="24" s="1"/>
  <c r="AE307" i="24"/>
  <c r="AI307" i="24"/>
  <c r="AE236" i="24"/>
  <c r="X236" i="24"/>
  <c r="AA236" i="24" s="1"/>
  <c r="AB236" i="24" s="1"/>
  <c r="AC236" i="24" s="1"/>
  <c r="AI236" i="24"/>
  <c r="Y305" i="24"/>
  <c r="X314" i="24"/>
  <c r="AA314" i="24" s="1"/>
  <c r="AB314" i="24" s="1"/>
  <c r="AC314" i="24" s="1"/>
  <c r="AE314" i="24"/>
  <c r="AI314" i="24"/>
  <c r="AI156" i="24"/>
  <c r="AE156" i="24"/>
  <c r="X156" i="24"/>
  <c r="AA156" i="24" s="1"/>
  <c r="AB156" i="24" s="1"/>
  <c r="AC156" i="24" s="1"/>
  <c r="AE44" i="24"/>
  <c r="X44" i="24"/>
  <c r="AA44" i="24" s="1"/>
  <c r="AB44" i="24" s="1"/>
  <c r="AC44" i="24" s="1"/>
  <c r="AI44" i="24"/>
  <c r="W63" i="24"/>
  <c r="Y63" i="24" s="1"/>
  <c r="AI65" i="24"/>
  <c r="AE65" i="24"/>
  <c r="X65" i="24"/>
  <c r="AA65" i="24" s="1"/>
  <c r="AB65" i="24" s="1"/>
  <c r="AC65" i="24" s="1"/>
  <c r="X161" i="24"/>
  <c r="AA161" i="24" s="1"/>
  <c r="AB161" i="24" s="1"/>
  <c r="AC161" i="24" s="1"/>
  <c r="AE161" i="24"/>
  <c r="AI161" i="24"/>
  <c r="AE111" i="24"/>
  <c r="X111" i="24"/>
  <c r="AA111" i="24" s="1"/>
  <c r="AB111" i="24" s="1"/>
  <c r="AC111" i="24" s="1"/>
  <c r="AI111" i="24"/>
  <c r="AE228" i="24"/>
  <c r="X228" i="24"/>
  <c r="AA228" i="24" s="1"/>
  <c r="AB228" i="24" s="1"/>
  <c r="AC228" i="24" s="1"/>
  <c r="AI228" i="24"/>
  <c r="AE232" i="24"/>
  <c r="X232" i="24"/>
  <c r="AA232" i="24" s="1"/>
  <c r="AB232" i="24" s="1"/>
  <c r="AC232" i="24" s="1"/>
  <c r="AI232" i="24"/>
  <c r="AI177" i="24"/>
  <c r="X177" i="24"/>
  <c r="AA177" i="24" s="1"/>
  <c r="AB177" i="24" s="1"/>
  <c r="AC177" i="24" s="1"/>
  <c r="AE177" i="24"/>
  <c r="AI259" i="25"/>
  <c r="AS259" i="25" s="1"/>
  <c r="W274" i="24"/>
  <c r="Y274" i="24" s="1"/>
  <c r="X19" i="24"/>
  <c r="AA19" i="24" s="1"/>
  <c r="AB19" i="24" s="1"/>
  <c r="AC19" i="24" s="1"/>
  <c r="AI19" i="24"/>
  <c r="AE19" i="24"/>
  <c r="AE277" i="24"/>
  <c r="X277" i="24"/>
  <c r="AA277" i="24" s="1"/>
  <c r="AB277" i="24" s="1"/>
  <c r="AC277" i="24" s="1"/>
  <c r="AI277" i="24"/>
  <c r="AE159" i="24"/>
  <c r="X159" i="24"/>
  <c r="AA159" i="24" s="1"/>
  <c r="AB159" i="24" s="1"/>
  <c r="AC159" i="24" s="1"/>
  <c r="AI159" i="24"/>
  <c r="AI190" i="24"/>
  <c r="X190" i="24"/>
  <c r="AA190" i="24" s="1"/>
  <c r="AB190" i="24" s="1"/>
  <c r="AC190" i="24" s="1"/>
  <c r="AE190" i="24"/>
  <c r="Y314" i="24"/>
  <c r="X142" i="24"/>
  <c r="AA142" i="24" s="1"/>
  <c r="AB142" i="24" s="1"/>
  <c r="AC142" i="24" s="1"/>
  <c r="AE142" i="24"/>
  <c r="AI142" i="24"/>
  <c r="AE84" i="24"/>
  <c r="X84" i="24"/>
  <c r="AA84" i="24" s="1"/>
  <c r="AB84" i="24" s="1"/>
  <c r="AC84" i="24" s="1"/>
  <c r="AI84" i="24"/>
  <c r="AE204" i="24"/>
  <c r="X204" i="24"/>
  <c r="AA204" i="24" s="1"/>
  <c r="AB204" i="24" s="1"/>
  <c r="AC204" i="24" s="1"/>
  <c r="AI204" i="24"/>
  <c r="AE276" i="24"/>
  <c r="X276" i="24"/>
  <c r="AA276" i="24" s="1"/>
  <c r="AB276" i="24" s="1"/>
  <c r="AC276" i="24" s="1"/>
  <c r="AI276" i="24"/>
  <c r="AE268" i="24"/>
  <c r="X268" i="24"/>
  <c r="AA268" i="24" s="1"/>
  <c r="AB268" i="24" s="1"/>
  <c r="AC268" i="24" s="1"/>
  <c r="AI268" i="24"/>
  <c r="Y156" i="24"/>
  <c r="AI226" i="24"/>
  <c r="AE226" i="24"/>
  <c r="X226" i="24"/>
  <c r="AA226" i="24" s="1"/>
  <c r="AB226" i="24" s="1"/>
  <c r="AC226" i="24" s="1"/>
  <c r="X234" i="24"/>
  <c r="AA234" i="24" s="1"/>
  <c r="AB234" i="24" s="1"/>
  <c r="AC234" i="24" s="1"/>
  <c r="AE234" i="24"/>
  <c r="AI234" i="24"/>
  <c r="X182" i="24"/>
  <c r="AA182" i="24" s="1"/>
  <c r="AB182" i="24" s="1"/>
  <c r="AC182" i="24" s="1"/>
  <c r="AE182" i="24"/>
  <c r="AI182" i="24"/>
  <c r="X246" i="24"/>
  <c r="AA246" i="24" s="1"/>
  <c r="AB246" i="24" s="1"/>
  <c r="AC246" i="24" s="1"/>
  <c r="AE246" i="24"/>
  <c r="AI246" i="24"/>
  <c r="AI185" i="24"/>
  <c r="AE185" i="24"/>
  <c r="X185" i="24"/>
  <c r="AA185" i="24" s="1"/>
  <c r="AB185" i="24" s="1"/>
  <c r="AC185" i="24" s="1"/>
  <c r="AI160" i="24"/>
  <c r="AE160" i="24"/>
  <c r="X160" i="24"/>
  <c r="AA160" i="24" s="1"/>
  <c r="AB160" i="24" s="1"/>
  <c r="AC160" i="24" s="1"/>
  <c r="X179" i="24"/>
  <c r="AA179" i="24" s="1"/>
  <c r="AB179" i="24" s="1"/>
  <c r="AC179" i="24" s="1"/>
  <c r="AE179" i="24"/>
  <c r="AI179" i="24"/>
  <c r="AI58" i="24"/>
  <c r="X58" i="24"/>
  <c r="AA58" i="24" s="1"/>
  <c r="AB58" i="24" s="1"/>
  <c r="AC58" i="24" s="1"/>
  <c r="AE58" i="24"/>
  <c r="AI50" i="24"/>
  <c r="X50" i="24"/>
  <c r="AA50" i="24" s="1"/>
  <c r="AB50" i="24" s="1"/>
  <c r="AC50" i="24" s="1"/>
  <c r="AE50" i="24"/>
  <c r="AE261" i="24"/>
  <c r="X261" i="24"/>
  <c r="AA261" i="24" s="1"/>
  <c r="AB261" i="24" s="1"/>
  <c r="AC261" i="24" s="1"/>
  <c r="AI261" i="24"/>
  <c r="Y301" i="24"/>
  <c r="AI69" i="25"/>
  <c r="AS69" i="25" s="1"/>
  <c r="AI50" i="25"/>
  <c r="AS50" i="25" s="1"/>
  <c r="X308" i="24"/>
  <c r="AA308" i="24" s="1"/>
  <c r="AB308" i="24" s="1"/>
  <c r="AC308" i="24" s="1"/>
  <c r="AE308" i="24"/>
  <c r="AI308" i="24"/>
  <c r="X86" i="24"/>
  <c r="AA86" i="24" s="1"/>
  <c r="AB86" i="24" s="1"/>
  <c r="AC86" i="24" s="1"/>
  <c r="AE86" i="24"/>
  <c r="AI86" i="24"/>
  <c r="AI95" i="24"/>
  <c r="X95" i="24"/>
  <c r="AA95" i="24" s="1"/>
  <c r="AB95" i="24" s="1"/>
  <c r="AC95" i="24" s="1"/>
  <c r="AE95" i="24"/>
  <c r="Y186" i="24"/>
  <c r="W289" i="24"/>
  <c r="Y289" i="24" s="1"/>
  <c r="X289" i="24"/>
  <c r="AA289" i="24" s="1"/>
  <c r="AB289" i="24" s="1"/>
  <c r="AC289" i="24" s="1"/>
  <c r="AE289" i="24"/>
  <c r="AI289" i="24"/>
  <c r="W50" i="24"/>
  <c r="Y50" i="24" s="1"/>
  <c r="X231" i="24"/>
  <c r="AA231" i="24" s="1"/>
  <c r="AB231" i="24" s="1"/>
  <c r="AC231" i="24" s="1"/>
  <c r="AE231" i="24"/>
  <c r="AI231" i="24"/>
  <c r="AE264" i="24"/>
  <c r="X264" i="24"/>
  <c r="AA264" i="24" s="1"/>
  <c r="AB264" i="24" s="1"/>
  <c r="AC264" i="24" s="1"/>
  <c r="AI264" i="24"/>
  <c r="X217" i="24"/>
  <c r="AA217" i="24" s="1"/>
  <c r="AB217" i="24" s="1"/>
  <c r="AC217" i="24" s="1"/>
  <c r="AE217" i="24"/>
  <c r="AI217" i="24"/>
  <c r="Y195" i="24"/>
  <c r="AE87" i="24"/>
  <c r="X87" i="24"/>
  <c r="AA87" i="24" s="1"/>
  <c r="AB87" i="24" s="1"/>
  <c r="AC87" i="24" s="1"/>
  <c r="AI87" i="24"/>
  <c r="AE309" i="24"/>
  <c r="X309" i="24"/>
  <c r="AA309" i="24" s="1"/>
  <c r="AB309" i="24" s="1"/>
  <c r="AC309" i="24" s="1"/>
  <c r="AI309" i="24"/>
  <c r="Y82" i="24"/>
  <c r="Y128" i="24"/>
  <c r="W122" i="24"/>
  <c r="Y122" i="24" s="1"/>
  <c r="X141" i="24"/>
  <c r="AA141" i="24" s="1"/>
  <c r="AB141" i="24" s="1"/>
  <c r="AC141" i="24" s="1"/>
  <c r="AE141" i="24"/>
  <c r="AI141" i="24"/>
  <c r="W89" i="24"/>
  <c r="Y89" i="24" s="1"/>
  <c r="AI299" i="24"/>
  <c r="X299" i="24"/>
  <c r="AA299" i="24" s="1"/>
  <c r="AB299" i="24" s="1"/>
  <c r="AC299" i="24" s="1"/>
  <c r="AE299" i="24"/>
  <c r="AE153" i="24"/>
  <c r="X153" i="24"/>
  <c r="AA153" i="24" s="1"/>
  <c r="AB153" i="24" s="1"/>
  <c r="AC153" i="24" s="1"/>
  <c r="AI153" i="24"/>
  <c r="X74" i="24"/>
  <c r="AA74" i="24" s="1"/>
  <c r="AB74" i="24" s="1"/>
  <c r="AC74" i="24" s="1"/>
  <c r="AE74" i="24"/>
  <c r="AI74" i="24"/>
  <c r="W141" i="24"/>
  <c r="Y141" i="24" s="1"/>
  <c r="AE12" i="24"/>
  <c r="X12" i="24"/>
  <c r="AA12" i="24" s="1"/>
  <c r="AB12" i="24" s="1"/>
  <c r="AC12" i="24" s="1"/>
  <c r="AI12" i="24"/>
  <c r="AE181" i="24"/>
  <c r="X181" i="24"/>
  <c r="AA181" i="24" s="1"/>
  <c r="AB181" i="24" s="1"/>
  <c r="AC181" i="24" s="1"/>
  <c r="AI181" i="24"/>
  <c r="AI194" i="24"/>
  <c r="X194" i="24"/>
  <c r="AA194" i="24" s="1"/>
  <c r="AB194" i="24" s="1"/>
  <c r="AC194" i="24" s="1"/>
  <c r="AE194" i="24"/>
  <c r="AI267" i="24"/>
  <c r="X267" i="24"/>
  <c r="AA267" i="24" s="1"/>
  <c r="AB267" i="24" s="1"/>
  <c r="AC267" i="24" s="1"/>
  <c r="AE267" i="24"/>
  <c r="Y294" i="24"/>
  <c r="AE288" i="24"/>
  <c r="X288" i="24"/>
  <c r="AA288" i="24" s="1"/>
  <c r="AB288" i="24" s="1"/>
  <c r="AC288" i="24" s="1"/>
  <c r="AI288" i="24"/>
  <c r="X137" i="24"/>
  <c r="AA137" i="24" s="1"/>
  <c r="AB137" i="24" s="1"/>
  <c r="AC137" i="24" s="1"/>
  <c r="AE137" i="24"/>
  <c r="AI137" i="24"/>
  <c r="AE273" i="24"/>
  <c r="X273" i="24"/>
  <c r="AA273" i="24" s="1"/>
  <c r="AB273" i="24" s="1"/>
  <c r="AC273" i="24" s="1"/>
  <c r="AI273" i="24"/>
  <c r="AE32" i="24"/>
  <c r="X32" i="24"/>
  <c r="AA32" i="24" s="1"/>
  <c r="AB32" i="24" s="1"/>
  <c r="AC32" i="24" s="1"/>
  <c r="AI32" i="24"/>
  <c r="X80" i="24"/>
  <c r="AA80" i="24" s="1"/>
  <c r="AB80" i="24" s="1"/>
  <c r="AC80" i="24" s="1"/>
  <c r="AE80" i="24"/>
  <c r="AI80" i="24"/>
  <c r="W153" i="24"/>
  <c r="Y153" i="24" s="1"/>
  <c r="Y275" i="24"/>
  <c r="W302" i="24"/>
  <c r="Y302" i="24" s="1"/>
  <c r="X121" i="24"/>
  <c r="AA121" i="24" s="1"/>
  <c r="AB121" i="24" s="1"/>
  <c r="AC121" i="24" s="1"/>
  <c r="AE121" i="24"/>
  <c r="AI121" i="24"/>
  <c r="X254" i="24"/>
  <c r="AA254" i="24" s="1"/>
  <c r="AB254" i="24" s="1"/>
  <c r="AC254" i="24" s="1"/>
  <c r="AE254" i="24"/>
  <c r="AI254" i="24"/>
  <c r="AI131" i="24"/>
  <c r="AE131" i="24"/>
  <c r="X131" i="24"/>
  <c r="AA131" i="24" s="1"/>
  <c r="AB131" i="24" s="1"/>
  <c r="AC131" i="24" s="1"/>
  <c r="AE59" i="24"/>
  <c r="X59" i="24"/>
  <c r="AA59" i="24" s="1"/>
  <c r="AB59" i="24" s="1"/>
  <c r="AC59" i="24" s="1"/>
  <c r="AI59" i="24"/>
  <c r="W172" i="24"/>
  <c r="Y172" i="24" s="1"/>
  <c r="AE172" i="24"/>
  <c r="X172" i="24"/>
  <c r="AA172" i="24" s="1"/>
  <c r="AB172" i="24" s="1"/>
  <c r="AC172" i="24" s="1"/>
  <c r="AI172" i="24"/>
  <c r="AI149" i="24"/>
  <c r="X149" i="24"/>
  <c r="AA149" i="24" s="1"/>
  <c r="AB149" i="24" s="1"/>
  <c r="AC149" i="24" s="1"/>
  <c r="AE149" i="24"/>
  <c r="X292" i="24"/>
  <c r="AA292" i="24" s="1"/>
  <c r="AB292" i="24" s="1"/>
  <c r="AC292" i="24" s="1"/>
  <c r="AE292" i="24"/>
  <c r="AI292" i="24"/>
  <c r="X311" i="24"/>
  <c r="AA311" i="24" s="1"/>
  <c r="AB311" i="24" s="1"/>
  <c r="AC311" i="24" s="1"/>
  <c r="AE311" i="24"/>
  <c r="AI311" i="24"/>
  <c r="W179" i="24"/>
  <c r="Y179" i="24" s="1"/>
  <c r="AI168" i="24"/>
  <c r="AE168" i="24"/>
  <c r="X168" i="24"/>
  <c r="AA168" i="24" s="1"/>
  <c r="AB168" i="24" s="1"/>
  <c r="AC168" i="24" s="1"/>
  <c r="X8" i="24"/>
  <c r="AA8" i="24" s="1"/>
  <c r="AB8" i="24" s="1"/>
  <c r="AC8" i="24" s="1"/>
  <c r="AE8" i="24"/>
  <c r="AI8" i="24"/>
  <c r="X301" i="24"/>
  <c r="AA301" i="24" s="1"/>
  <c r="AB301" i="24" s="1"/>
  <c r="AC301" i="24" s="1"/>
  <c r="AE301" i="24"/>
  <c r="AI301" i="24"/>
  <c r="Y91" i="24"/>
  <c r="Y304" i="24"/>
  <c r="W80" i="24"/>
  <c r="Y80" i="24" s="1"/>
  <c r="W121" i="24"/>
  <c r="Y121" i="24" s="1"/>
  <c r="AE287" i="24"/>
  <c r="X287" i="24"/>
  <c r="AA287" i="24" s="1"/>
  <c r="AB287" i="24" s="1"/>
  <c r="AC287" i="24" s="1"/>
  <c r="AI287" i="24"/>
  <c r="Y192" i="24"/>
  <c r="W116" i="24"/>
  <c r="Y116" i="24" s="1"/>
  <c r="AE283" i="24"/>
  <c r="X283" i="24"/>
  <c r="AA283" i="24" s="1"/>
  <c r="AB283" i="24" s="1"/>
  <c r="AC283" i="24" s="1"/>
  <c r="AI283" i="24"/>
  <c r="AE233" i="24"/>
  <c r="X233" i="24"/>
  <c r="AA233" i="24" s="1"/>
  <c r="AB233" i="24" s="1"/>
  <c r="AC233" i="24" s="1"/>
  <c r="AI233" i="24"/>
  <c r="AE55" i="24"/>
  <c r="X55" i="24"/>
  <c r="AA55" i="24" s="1"/>
  <c r="AB55" i="24" s="1"/>
  <c r="AC55" i="24" s="1"/>
  <c r="AI55" i="24"/>
  <c r="Y193" i="24"/>
  <c r="X150" i="24"/>
  <c r="AA150" i="24" s="1"/>
  <c r="AB150" i="24" s="1"/>
  <c r="AC150" i="24" s="1"/>
  <c r="AE150" i="24"/>
  <c r="AI150" i="24"/>
  <c r="AI146" i="24"/>
  <c r="AE146" i="24"/>
  <c r="X146" i="24"/>
  <c r="AA146" i="24" s="1"/>
  <c r="AB146" i="24" s="1"/>
  <c r="AC146" i="24" s="1"/>
  <c r="X77" i="24"/>
  <c r="AE77" i="24"/>
  <c r="AF77" i="24" s="1"/>
  <c r="AI77" i="24"/>
  <c r="Y253" i="24"/>
  <c r="W48" i="24"/>
  <c r="Y48" i="24" s="1"/>
  <c r="X48" i="24"/>
  <c r="AA48" i="24" s="1"/>
  <c r="AB48" i="24" s="1"/>
  <c r="AC48" i="24" s="1"/>
  <c r="AE48" i="24"/>
  <c r="AI48" i="24"/>
  <c r="X24" i="24"/>
  <c r="AA24" i="24" s="1"/>
  <c r="AB24" i="24" s="1"/>
  <c r="AC24" i="24" s="1"/>
  <c r="AE24" i="24"/>
  <c r="AI24" i="24"/>
  <c r="Y67" i="24"/>
  <c r="Y66" i="24"/>
  <c r="AE104" i="24"/>
  <c r="X104" i="24"/>
  <c r="AA104" i="24" s="1"/>
  <c r="AB104" i="24" s="1"/>
  <c r="AC104" i="24" s="1"/>
  <c r="AI104" i="24"/>
  <c r="Y235" i="24"/>
  <c r="AI37" i="24"/>
  <c r="AE37" i="24"/>
  <c r="X37" i="24"/>
  <c r="AA37" i="24" s="1"/>
  <c r="AB37" i="24" s="1"/>
  <c r="AC37" i="24" s="1"/>
  <c r="AE81" i="24"/>
  <c r="X81" i="24"/>
  <c r="AA81" i="24" s="1"/>
  <c r="AB81" i="24" s="1"/>
  <c r="AC81" i="24" s="1"/>
  <c r="AI81" i="24"/>
  <c r="AE47" i="24"/>
  <c r="X47" i="24"/>
  <c r="AA47" i="24" s="1"/>
  <c r="AB47" i="24" s="1"/>
  <c r="AC47" i="24" s="1"/>
  <c r="AI47" i="24"/>
  <c r="Y180" i="24"/>
  <c r="W217" i="24"/>
  <c r="Y217" i="24" s="1"/>
  <c r="Y51" i="24"/>
  <c r="AE92" i="24"/>
  <c r="X92" i="24"/>
  <c r="AA92" i="24" s="1"/>
  <c r="AB92" i="24" s="1"/>
  <c r="AC92" i="24" s="1"/>
  <c r="AI92" i="24"/>
  <c r="Y46" i="24"/>
  <c r="Y233" i="24"/>
  <c r="AE94" i="24"/>
  <c r="X94" i="24"/>
  <c r="AA94" i="24" s="1"/>
  <c r="AB94" i="24" s="1"/>
  <c r="AC94" i="24" s="1"/>
  <c r="AI94" i="24"/>
  <c r="W146" i="24"/>
  <c r="Y146" i="24" s="1"/>
  <c r="Y76" i="24"/>
  <c r="Y49" i="24"/>
  <c r="X56" i="24"/>
  <c r="AA56" i="24" s="1"/>
  <c r="AB56" i="24" s="1"/>
  <c r="AC56" i="24" s="1"/>
  <c r="AE56" i="24"/>
  <c r="AI56" i="24"/>
  <c r="AI198" i="24"/>
  <c r="AE198" i="24"/>
  <c r="X198" i="24"/>
  <c r="AA198" i="24" s="1"/>
  <c r="AB198" i="24" s="1"/>
  <c r="AC198" i="24" s="1"/>
  <c r="Y222" i="24"/>
  <c r="AE303" i="24"/>
  <c r="X303" i="24"/>
  <c r="AA303" i="24" s="1"/>
  <c r="AB303" i="24" s="1"/>
  <c r="AC303" i="24" s="1"/>
  <c r="AI303" i="24"/>
  <c r="X17" i="24"/>
  <c r="AA17" i="24" s="1"/>
  <c r="AB17" i="24" s="1"/>
  <c r="AC17" i="24" s="1"/>
  <c r="AE17" i="24"/>
  <c r="AI17" i="24"/>
  <c r="AI188" i="24"/>
  <c r="X188" i="24"/>
  <c r="AA188" i="24" s="1"/>
  <c r="AB188" i="24" s="1"/>
  <c r="AC188" i="24" s="1"/>
  <c r="AE188" i="24"/>
  <c r="AE241" i="24"/>
  <c r="X241" i="24"/>
  <c r="AA241" i="24" s="1"/>
  <c r="AB241" i="24" s="1"/>
  <c r="AC241" i="24" s="1"/>
  <c r="AI241" i="24"/>
  <c r="W307" i="24"/>
  <c r="Y307" i="24" s="1"/>
  <c r="X313" i="24"/>
  <c r="AA313" i="24" s="1"/>
  <c r="AB313" i="24" s="1"/>
  <c r="AC313" i="24" s="1"/>
  <c r="AE313" i="24"/>
  <c r="AI313" i="24"/>
  <c r="AE298" i="24"/>
  <c r="X298" i="24"/>
  <c r="AA298" i="24" s="1"/>
  <c r="AB298" i="24" s="1"/>
  <c r="AC298" i="24" s="1"/>
  <c r="AI298" i="24"/>
  <c r="AI158" i="24"/>
  <c r="AE158" i="24"/>
  <c r="X158" i="24"/>
  <c r="AA158" i="24" s="1"/>
  <c r="AB158" i="24" s="1"/>
  <c r="AC158" i="24" s="1"/>
  <c r="W234" i="24"/>
  <c r="Y234" i="24" s="1"/>
  <c r="Y62" i="24"/>
  <c r="X279" i="24"/>
  <c r="AA279" i="24" s="1"/>
  <c r="AB279" i="24" s="1"/>
  <c r="AC279" i="24" s="1"/>
  <c r="AE279" i="24"/>
  <c r="AI279" i="24"/>
  <c r="AE30" i="24"/>
  <c r="X30" i="24"/>
  <c r="AA30" i="24" s="1"/>
  <c r="AB30" i="24" s="1"/>
  <c r="AC30" i="24" s="1"/>
  <c r="AI30" i="24"/>
  <c r="Y118" i="24"/>
  <c r="W200" i="24"/>
  <c r="Y200" i="24" s="1"/>
  <c r="Y309" i="24"/>
  <c r="X145" i="24"/>
  <c r="AA145" i="24" s="1"/>
  <c r="AB145" i="24" s="1"/>
  <c r="AC145" i="24" s="1"/>
  <c r="AE145" i="24"/>
  <c r="AI145" i="24"/>
  <c r="X175" i="24"/>
  <c r="AA175" i="24" s="1"/>
  <c r="AB175" i="24" s="1"/>
  <c r="AC175" i="24" s="1"/>
  <c r="AE175" i="24"/>
  <c r="AI175" i="24"/>
  <c r="AE259" i="24"/>
  <c r="X259" i="24"/>
  <c r="AA259" i="24" s="1"/>
  <c r="AB259" i="24" s="1"/>
  <c r="AC259" i="24" s="1"/>
  <c r="AI259" i="24"/>
  <c r="AI130" i="24"/>
  <c r="X130" i="24"/>
  <c r="AA130" i="24" s="1"/>
  <c r="AB130" i="24" s="1"/>
  <c r="AC130" i="24" s="1"/>
  <c r="AE130" i="24"/>
  <c r="W297" i="24"/>
  <c r="Y297" i="24" s="1"/>
  <c r="X97" i="24"/>
  <c r="AA97" i="24" s="1"/>
  <c r="AB97" i="24" s="1"/>
  <c r="AC97" i="24" s="1"/>
  <c r="AE97" i="24"/>
  <c r="AI97" i="24"/>
  <c r="X191" i="24"/>
  <c r="AA191" i="24" s="1"/>
  <c r="AB191" i="24" s="1"/>
  <c r="AC191" i="24" s="1"/>
  <c r="AE191" i="24"/>
  <c r="AI191" i="24"/>
  <c r="W181" i="24"/>
  <c r="Y181" i="24" s="1"/>
  <c r="W296" i="24"/>
  <c r="Y296" i="24" s="1"/>
  <c r="W209" i="24"/>
  <c r="Y209" i="24" s="1"/>
  <c r="AI173" i="24"/>
  <c r="AE173" i="24"/>
  <c r="X173" i="24"/>
  <c r="AA173" i="24" s="1"/>
  <c r="AB173" i="24" s="1"/>
  <c r="AC173" i="24" s="1"/>
  <c r="Y43" i="24"/>
  <c r="AE187" i="24"/>
  <c r="X187" i="24"/>
  <c r="AA187" i="24" s="1"/>
  <c r="AB187" i="24" s="1"/>
  <c r="AC187" i="24" s="1"/>
  <c r="AI187" i="24"/>
  <c r="W16" i="24"/>
  <c r="Y16" i="24" s="1"/>
  <c r="AE16" i="24"/>
  <c r="X16" i="24"/>
  <c r="AA16" i="24" s="1"/>
  <c r="AB16" i="24" s="1"/>
  <c r="AC16" i="24" s="1"/>
  <c r="AI16" i="24"/>
  <c r="AI11" i="24"/>
  <c r="X11" i="24"/>
  <c r="AA11" i="24" s="1"/>
  <c r="AB11" i="24" s="1"/>
  <c r="AC11" i="24" s="1"/>
  <c r="AE11" i="24"/>
  <c r="AE286" i="24"/>
  <c r="X286" i="24"/>
  <c r="AA286" i="24" s="1"/>
  <c r="AB286" i="24" s="1"/>
  <c r="AC286" i="24" s="1"/>
  <c r="AI286" i="24"/>
  <c r="W245" i="24"/>
  <c r="Y245" i="24" s="1"/>
  <c r="X187" i="25"/>
  <c r="W312" i="24"/>
  <c r="Y312" i="24" s="1"/>
  <c r="AE312" i="24"/>
  <c r="X312" i="24"/>
  <c r="AA312" i="24" s="1"/>
  <c r="AB312" i="24" s="1"/>
  <c r="AC312" i="24" s="1"/>
  <c r="AI312" i="24"/>
  <c r="W93" i="24"/>
  <c r="Y93" i="24" s="1"/>
  <c r="AE93" i="24"/>
  <c r="X93" i="24"/>
  <c r="AA93" i="24" s="1"/>
  <c r="AB93" i="24" s="1"/>
  <c r="AC93" i="24" s="1"/>
  <c r="AI93" i="24"/>
  <c r="Y218" i="24"/>
  <c r="AE196" i="24"/>
  <c r="X196" i="24"/>
  <c r="AA196" i="24" s="1"/>
  <c r="AB196" i="24" s="1"/>
  <c r="AC196" i="24" s="1"/>
  <c r="AI196" i="24"/>
  <c r="X62" i="24"/>
  <c r="AA62" i="24" s="1"/>
  <c r="AB62" i="24" s="1"/>
  <c r="AC62" i="24" s="1"/>
  <c r="AE62" i="24"/>
  <c r="AI62" i="24"/>
  <c r="AE250" i="24"/>
  <c r="X250" i="24"/>
  <c r="AA250" i="24" s="1"/>
  <c r="AB250" i="24" s="1"/>
  <c r="AC250" i="24" s="1"/>
  <c r="AI250" i="24"/>
  <c r="AI134" i="24"/>
  <c r="AE134" i="24"/>
  <c r="X134" i="24"/>
  <c r="AA134" i="24" s="1"/>
  <c r="AB134" i="24" s="1"/>
  <c r="AC134" i="24" s="1"/>
  <c r="AI144" i="24"/>
  <c r="X144" i="24"/>
  <c r="AA144" i="24" s="1"/>
  <c r="AB144" i="24" s="1"/>
  <c r="AC144" i="24" s="1"/>
  <c r="AE144" i="24"/>
  <c r="X78" i="24"/>
  <c r="AA78" i="24" s="1"/>
  <c r="AB78" i="24" s="1"/>
  <c r="AC78" i="24" s="1"/>
  <c r="AE78" i="24"/>
  <c r="AI78" i="24"/>
  <c r="AI193" i="24"/>
  <c r="X193" i="24"/>
  <c r="AA193" i="24" s="1"/>
  <c r="AB193" i="24" s="1"/>
  <c r="AC193" i="24" s="1"/>
  <c r="AE193" i="24"/>
  <c r="X165" i="24"/>
  <c r="AA165" i="24" s="1"/>
  <c r="AB165" i="24" s="1"/>
  <c r="AC165" i="24" s="1"/>
  <c r="AE165" i="24"/>
  <c r="AI165" i="24"/>
  <c r="W228" i="24"/>
  <c r="Y228" i="24" s="1"/>
  <c r="W236" i="24"/>
  <c r="Y236" i="24" s="1"/>
  <c r="W175" i="24"/>
  <c r="Y175" i="24" s="1"/>
  <c r="W257" i="24"/>
  <c r="Y257" i="24" s="1"/>
  <c r="AI118" i="24"/>
  <c r="AE118" i="24"/>
  <c r="X118" i="24"/>
  <c r="AA118" i="24" s="1"/>
  <c r="AB118" i="24" s="1"/>
  <c r="AC118" i="24" s="1"/>
  <c r="AI69" i="24"/>
  <c r="X69" i="24"/>
  <c r="AA69" i="24" s="1"/>
  <c r="AB69" i="24" s="1"/>
  <c r="AC69" i="24" s="1"/>
  <c r="AE69" i="24"/>
  <c r="AE271" i="24"/>
  <c r="X271" i="24"/>
  <c r="AA271" i="24" s="1"/>
  <c r="AB271" i="24" s="1"/>
  <c r="AC271" i="24" s="1"/>
  <c r="AI271" i="24"/>
  <c r="X281" i="24"/>
  <c r="AA281" i="24" s="1"/>
  <c r="AB281" i="24" s="1"/>
  <c r="AC281" i="24" s="1"/>
  <c r="AE281" i="24"/>
  <c r="AI281" i="24"/>
  <c r="AI49" i="24"/>
  <c r="AE49" i="24"/>
  <c r="X49" i="24"/>
  <c r="AA49" i="24" s="1"/>
  <c r="AB49" i="24" s="1"/>
  <c r="AC49" i="24" s="1"/>
  <c r="AE18" i="24"/>
  <c r="X18" i="24"/>
  <c r="AA18" i="24" s="1"/>
  <c r="AB18" i="24" s="1"/>
  <c r="AC18" i="24" s="1"/>
  <c r="AI18" i="24"/>
  <c r="W94" i="24"/>
  <c r="Y94" i="24" s="1"/>
  <c r="X145" i="25"/>
  <c r="W298" i="24"/>
  <c r="Y298" i="24" s="1"/>
  <c r="W240" i="24"/>
  <c r="Y240" i="24" s="1"/>
  <c r="X294" i="24"/>
  <c r="AA294" i="24" s="1"/>
  <c r="AB294" i="24" s="1"/>
  <c r="AC294" i="24" s="1"/>
  <c r="AE294" i="24"/>
  <c r="AI294" i="24"/>
  <c r="AE239" i="24"/>
  <c r="X239" i="24"/>
  <c r="AA239" i="24" s="1"/>
  <c r="AB239" i="24" s="1"/>
  <c r="AC239" i="24" s="1"/>
  <c r="AI239" i="24"/>
  <c r="X13" i="24"/>
  <c r="AA13" i="24" s="1"/>
  <c r="AB13" i="24" s="1"/>
  <c r="AC13" i="24" s="1"/>
  <c r="AE13" i="24"/>
  <c r="AI13" i="24"/>
  <c r="X225" i="25"/>
  <c r="Y219" i="24"/>
  <c r="X43" i="24"/>
  <c r="AA43" i="24" s="1"/>
  <c r="AB43" i="24" s="1"/>
  <c r="AC43" i="24" s="1"/>
  <c r="AE43" i="24"/>
  <c r="AI43" i="24"/>
  <c r="W268" i="24"/>
  <c r="Y268" i="24" s="1"/>
  <c r="X7" i="24"/>
  <c r="AA7" i="24" s="1"/>
  <c r="AB7" i="24" s="1"/>
  <c r="AC7" i="24" s="1"/>
  <c r="AE7" i="24"/>
  <c r="AI7" i="24"/>
  <c r="Y278" i="24"/>
  <c r="W64" i="24"/>
  <c r="Y64" i="24" s="1"/>
  <c r="W130" i="24"/>
  <c r="Y130" i="24" s="1"/>
  <c r="W68" i="24"/>
  <c r="Y68" i="24" s="1"/>
  <c r="W168" i="24"/>
  <c r="Y168" i="24" s="1"/>
  <c r="W279" i="24"/>
  <c r="Y279" i="24" s="1"/>
  <c r="AI166" i="24"/>
  <c r="AE166" i="24"/>
  <c r="X166" i="24"/>
  <c r="AA166" i="24" s="1"/>
  <c r="AB166" i="24" s="1"/>
  <c r="AC166" i="24" s="1"/>
  <c r="W251" i="24"/>
  <c r="Y251" i="24" s="1"/>
  <c r="W96" i="24"/>
  <c r="Y96" i="24" s="1"/>
  <c r="X96" i="24"/>
  <c r="AA96" i="24" s="1"/>
  <c r="AB96" i="24" s="1"/>
  <c r="AC96" i="24" s="1"/>
  <c r="AE96" i="24"/>
  <c r="AI96" i="24"/>
  <c r="W277" i="24"/>
  <c r="Y277" i="24" s="1"/>
  <c r="W159" i="24"/>
  <c r="Y159" i="24" s="1"/>
  <c r="W33" i="24"/>
  <c r="Y33" i="24" s="1"/>
  <c r="X33" i="24"/>
  <c r="AA33" i="24" s="1"/>
  <c r="AB33" i="24" s="1"/>
  <c r="AC33" i="24" s="1"/>
  <c r="AE33" i="24"/>
  <c r="AI33" i="24"/>
  <c r="X219" i="24"/>
  <c r="AA219" i="24" s="1"/>
  <c r="AB219" i="24" s="1"/>
  <c r="AC219" i="24" s="1"/>
  <c r="AE219" i="24"/>
  <c r="AI219" i="24"/>
  <c r="X183" i="24"/>
  <c r="AA183" i="24" s="1"/>
  <c r="AB183" i="24" s="1"/>
  <c r="AC183" i="24" s="1"/>
  <c r="AE183" i="24"/>
  <c r="AI183" i="24"/>
  <c r="X61" i="24"/>
  <c r="AA61" i="24" s="1"/>
  <c r="AB61" i="24" s="1"/>
  <c r="AC61" i="24" s="1"/>
  <c r="AE61" i="24"/>
  <c r="AI61" i="24"/>
  <c r="AI164" i="24"/>
  <c r="X164" i="24"/>
  <c r="AA164" i="24" s="1"/>
  <c r="AB164" i="24" s="1"/>
  <c r="AC164" i="24" s="1"/>
  <c r="AE164" i="24"/>
  <c r="AI124" i="24"/>
  <c r="AE124" i="24"/>
  <c r="X124" i="24"/>
  <c r="AA124" i="24" s="1"/>
  <c r="AB124" i="24" s="1"/>
  <c r="AC124" i="24" s="1"/>
  <c r="Y103" i="24"/>
  <c r="X88" i="24"/>
  <c r="AA88" i="24" s="1"/>
  <c r="AB88" i="24" s="1"/>
  <c r="AC88" i="24" s="1"/>
  <c r="AE88" i="24"/>
  <c r="AI88" i="24"/>
  <c r="W148" i="24"/>
  <c r="Y148" i="24" s="1"/>
  <c r="X148" i="24"/>
  <c r="AA148" i="24" s="1"/>
  <c r="AB148" i="24" s="1"/>
  <c r="AC148" i="24" s="1"/>
  <c r="AE148" i="24"/>
  <c r="AI148" i="24"/>
  <c r="X238" i="24"/>
  <c r="AA238" i="24" s="1"/>
  <c r="AB238" i="24" s="1"/>
  <c r="AC238" i="24" s="1"/>
  <c r="AE238" i="24"/>
  <c r="AI238" i="24"/>
  <c r="X227" i="24"/>
  <c r="AA227" i="24" s="1"/>
  <c r="AB227" i="24" s="1"/>
  <c r="AC227" i="24" s="1"/>
  <c r="AI227" i="24"/>
  <c r="AE227" i="24"/>
  <c r="X170" i="24"/>
  <c r="AA170" i="24" s="1"/>
  <c r="AB170" i="24" s="1"/>
  <c r="AC170" i="24" s="1"/>
  <c r="AE170" i="24"/>
  <c r="AI170" i="24"/>
  <c r="AI63" i="25"/>
  <c r="AS63" i="25" s="1"/>
  <c r="AI235" i="25"/>
  <c r="AS235" i="25" s="1"/>
  <c r="AE270" i="24"/>
  <c r="X270" i="24"/>
  <c r="AA270" i="24" s="1"/>
  <c r="AB270" i="24" s="1"/>
  <c r="AC270" i="24" s="1"/>
  <c r="AI270" i="24"/>
  <c r="AE41" i="24"/>
  <c r="X41" i="24"/>
  <c r="AA41" i="24" s="1"/>
  <c r="AB41" i="24" s="1"/>
  <c r="AC41" i="24" s="1"/>
  <c r="AI41" i="24"/>
  <c r="X249" i="24"/>
  <c r="AA249" i="24" s="1"/>
  <c r="AB249" i="24" s="1"/>
  <c r="AC249" i="24" s="1"/>
  <c r="AE249" i="24"/>
  <c r="AI249" i="24"/>
  <c r="AE195" i="24"/>
  <c r="X195" i="24"/>
  <c r="AA195" i="24" s="1"/>
  <c r="AB195" i="24" s="1"/>
  <c r="AC195" i="24" s="1"/>
  <c r="AI195" i="24"/>
  <c r="W58" i="24"/>
  <c r="Y58" i="24" s="1"/>
  <c r="W61" i="24"/>
  <c r="Y61" i="24" s="1"/>
  <c r="W81" i="24"/>
  <c r="Y81" i="24" s="1"/>
  <c r="Y111" i="24"/>
  <c r="X304" i="24"/>
  <c r="AA304" i="24" s="1"/>
  <c r="AB304" i="24" s="1"/>
  <c r="AC304" i="24" s="1"/>
  <c r="AE304" i="24"/>
  <c r="AI304" i="24"/>
  <c r="Y208" i="24"/>
  <c r="X266" i="24"/>
  <c r="AA266" i="24" s="1"/>
  <c r="AB266" i="24" s="1"/>
  <c r="AC266" i="24" s="1"/>
  <c r="AE266" i="24"/>
  <c r="AI266" i="24"/>
  <c r="AE51" i="24"/>
  <c r="X51" i="24"/>
  <c r="AA51" i="24" s="1"/>
  <c r="AB51" i="24" s="1"/>
  <c r="AC51" i="24" s="1"/>
  <c r="AI51" i="24"/>
  <c r="Y30" i="24"/>
  <c r="X203" i="24"/>
  <c r="AA203" i="24" s="1"/>
  <c r="AB203" i="24" s="1"/>
  <c r="AC203" i="24" s="1"/>
  <c r="AE203" i="24"/>
  <c r="AI203" i="24"/>
  <c r="AI147" i="24"/>
  <c r="X147" i="24"/>
  <c r="AA147" i="24" s="1"/>
  <c r="AB147" i="24" s="1"/>
  <c r="AC147" i="24" s="1"/>
  <c r="AE147" i="24"/>
  <c r="Y282" i="24"/>
  <c r="AI27" i="24"/>
  <c r="X27" i="24"/>
  <c r="AA27" i="24" s="1"/>
  <c r="AB27" i="24" s="1"/>
  <c r="AC27" i="24" s="1"/>
  <c r="AE27" i="24"/>
  <c r="W119" i="24"/>
  <c r="Y119" i="24" s="1"/>
  <c r="Y310" i="24"/>
  <c r="Y207" i="24"/>
  <c r="AI34" i="24"/>
  <c r="AE34" i="24"/>
  <c r="X34" i="24"/>
  <c r="AA34" i="24" s="1"/>
  <c r="AB34" i="24" s="1"/>
  <c r="AC34" i="24" s="1"/>
  <c r="X21" i="24"/>
  <c r="AA21" i="24" s="1"/>
  <c r="AB21" i="24" s="1"/>
  <c r="AC21" i="24" s="1"/>
  <c r="AI21" i="24"/>
  <c r="AE21" i="24"/>
  <c r="W147" i="24"/>
  <c r="Y147" i="24" s="1"/>
  <c r="W303" i="24"/>
  <c r="Y303" i="24" s="1"/>
  <c r="AE285" i="24"/>
  <c r="X285" i="24"/>
  <c r="AA285" i="24" s="1"/>
  <c r="AB285" i="24" s="1"/>
  <c r="AC285" i="24" s="1"/>
  <c r="AI285" i="24"/>
  <c r="AI178" i="24"/>
  <c r="X178" i="24"/>
  <c r="AA178" i="24" s="1"/>
  <c r="AB178" i="24" s="1"/>
  <c r="AC178" i="24" s="1"/>
  <c r="AE178" i="24"/>
  <c r="W264" i="24"/>
  <c r="Y264" i="24" s="1"/>
  <c r="AE38" i="24"/>
  <c r="X38" i="24"/>
  <c r="AA38" i="24" s="1"/>
  <c r="AB38" i="24" s="1"/>
  <c r="AC38" i="24" s="1"/>
  <c r="AI38" i="24"/>
  <c r="AE75" i="24"/>
  <c r="X75" i="24"/>
  <c r="AA75" i="24" s="1"/>
  <c r="AB75" i="24" s="1"/>
  <c r="AC75" i="24" s="1"/>
  <c r="AI75" i="24"/>
  <c r="AI135" i="25"/>
  <c r="AS135" i="25" s="1"/>
  <c r="W17" i="24"/>
  <c r="Y17" i="24" s="1"/>
  <c r="Y188" i="24"/>
  <c r="AE208" i="24"/>
  <c r="X208" i="24"/>
  <c r="AA208" i="24" s="1"/>
  <c r="AB208" i="24" s="1"/>
  <c r="AC208" i="24" s="1"/>
  <c r="AI208" i="24"/>
  <c r="AE22" i="24"/>
  <c r="X22" i="24"/>
  <c r="AA22" i="24" s="1"/>
  <c r="AB22" i="24" s="1"/>
  <c r="AC22" i="24" s="1"/>
  <c r="AI22" i="24"/>
  <c r="W104" i="24"/>
  <c r="Y104" i="24" s="1"/>
  <c r="X85" i="24"/>
  <c r="AA85" i="24" s="1"/>
  <c r="AB85" i="24" s="1"/>
  <c r="AC85" i="24" s="1"/>
  <c r="AE85" i="24"/>
  <c r="AI85" i="24"/>
  <c r="W246" i="24"/>
  <c r="Y246" i="24" s="1"/>
  <c r="W44" i="24"/>
  <c r="Y44" i="24" s="1"/>
  <c r="X6" i="24"/>
  <c r="AA6" i="24" s="1"/>
  <c r="AB6" i="24" s="1"/>
  <c r="AC6" i="24" s="1"/>
  <c r="AE6" i="24"/>
  <c r="AI6" i="24"/>
  <c r="AE275" i="24"/>
  <c r="X275" i="24"/>
  <c r="AA275" i="24" s="1"/>
  <c r="AB275" i="24" s="1"/>
  <c r="AC275" i="24" s="1"/>
  <c r="AI275" i="24"/>
  <c r="Y290" i="24"/>
  <c r="Y60" i="24"/>
  <c r="AE39" i="24"/>
  <c r="X39" i="24"/>
  <c r="AA39" i="24" s="1"/>
  <c r="AB39" i="24" s="1"/>
  <c r="AC39" i="24" s="1"/>
  <c r="AI39" i="24"/>
  <c r="X295" i="24"/>
  <c r="AA295" i="24" s="1"/>
  <c r="AB295" i="24" s="1"/>
  <c r="AC295" i="24" s="1"/>
  <c r="AE295" i="24"/>
  <c r="AI295" i="24"/>
  <c r="X127" i="24"/>
  <c r="AA127" i="24" s="1"/>
  <c r="AB127" i="24" s="1"/>
  <c r="AC127" i="24" s="1"/>
  <c r="AE127" i="24"/>
  <c r="AI127" i="24"/>
  <c r="X101" i="24"/>
  <c r="AA101" i="24" s="1"/>
  <c r="AB101" i="24" s="1"/>
  <c r="AC101" i="24" s="1"/>
  <c r="AE101" i="24"/>
  <c r="AI101" i="24"/>
  <c r="AI114" i="24"/>
  <c r="AE114" i="24"/>
  <c r="X114" i="24"/>
  <c r="AA114" i="24" s="1"/>
  <c r="AB114" i="24" s="1"/>
  <c r="AC114" i="24" s="1"/>
  <c r="W259" i="24"/>
  <c r="Y259" i="24" s="1"/>
  <c r="Y23" i="24"/>
  <c r="Y11" i="24"/>
  <c r="Y145" i="24"/>
  <c r="AI23" i="24"/>
  <c r="AE23" i="24"/>
  <c r="X23" i="24"/>
  <c r="AA23" i="24" s="1"/>
  <c r="AB23" i="24" s="1"/>
  <c r="AC23" i="24" s="1"/>
  <c r="W242" i="24"/>
  <c r="Y242" i="24" s="1"/>
  <c r="W185" i="24"/>
  <c r="Y185" i="24" s="1"/>
  <c r="Y160" i="24"/>
  <c r="W65" i="24"/>
  <c r="Y65" i="24" s="1"/>
  <c r="X53" i="24"/>
  <c r="AA53" i="24" s="1"/>
  <c r="AB53" i="24" s="1"/>
  <c r="AC53" i="24" s="1"/>
  <c r="AE53" i="24"/>
  <c r="AI53" i="24"/>
  <c r="X136" i="24"/>
  <c r="AA136" i="24" s="1"/>
  <c r="AB136" i="24" s="1"/>
  <c r="AC136" i="24" s="1"/>
  <c r="AE136" i="24"/>
  <c r="AI136" i="24"/>
  <c r="W270" i="24"/>
  <c r="Y270" i="24" s="1"/>
  <c r="W92" i="24"/>
  <c r="Y92" i="24" s="1"/>
  <c r="AE90" i="24"/>
  <c r="X90" i="24"/>
  <c r="AA90" i="24" s="1"/>
  <c r="AB90" i="24" s="1"/>
  <c r="AC90" i="24" s="1"/>
  <c r="AI90" i="24"/>
  <c r="W47" i="24"/>
  <c r="Y47" i="24" s="1"/>
  <c r="AE120" i="24"/>
  <c r="X120" i="24"/>
  <c r="AA120" i="24" s="1"/>
  <c r="AB120" i="24" s="1"/>
  <c r="AC120" i="24" s="1"/>
  <c r="AI120" i="24"/>
  <c r="W90" i="24"/>
  <c r="Y90" i="24" s="1"/>
  <c r="W166" i="24"/>
  <c r="Y166" i="24" s="1"/>
  <c r="W41" i="24"/>
  <c r="Y41" i="24" s="1"/>
  <c r="X152" i="24"/>
  <c r="AA152" i="24" s="1"/>
  <c r="AB152" i="24" s="1"/>
  <c r="AC152" i="24" s="1"/>
  <c r="AE152" i="24"/>
  <c r="AI152" i="24"/>
  <c r="W19" i="24"/>
  <c r="Y19" i="24" s="1"/>
  <c r="AI180" i="24"/>
  <c r="AE180" i="24"/>
  <c r="X180" i="24"/>
  <c r="AA180" i="24" s="1"/>
  <c r="AB180" i="24" s="1"/>
  <c r="AC180" i="24" s="1"/>
  <c r="Y262" i="24"/>
  <c r="X220" i="24"/>
  <c r="AA220" i="24" s="1"/>
  <c r="AB220" i="24" s="1"/>
  <c r="AC220" i="24" s="1"/>
  <c r="AE220" i="24"/>
  <c r="AI220" i="24"/>
  <c r="AI10" i="24"/>
  <c r="AE10" i="24"/>
  <c r="X10" i="24"/>
  <c r="AA10" i="24" s="1"/>
  <c r="AB10" i="24" s="1"/>
  <c r="AC10" i="24" s="1"/>
  <c r="AI15" i="24"/>
  <c r="AE15" i="24"/>
  <c r="X15" i="24"/>
  <c r="AA15" i="24" s="1"/>
  <c r="AB15" i="24" s="1"/>
  <c r="AC15" i="24" s="1"/>
  <c r="Y299" i="24"/>
  <c r="Y40" i="24"/>
  <c r="X66" i="24"/>
  <c r="AA66" i="24" s="1"/>
  <c r="AB66" i="24" s="1"/>
  <c r="AC66" i="24" s="1"/>
  <c r="AE66" i="24"/>
  <c r="AI66" i="24"/>
  <c r="X225" i="24"/>
  <c r="AA225" i="24" s="1"/>
  <c r="AB225" i="24" s="1"/>
  <c r="AC225" i="24" s="1"/>
  <c r="AE225" i="24"/>
  <c r="AI225" i="24"/>
  <c r="W162" i="24"/>
  <c r="Y162" i="24" s="1"/>
  <c r="W191" i="24"/>
  <c r="Y191" i="24" s="1"/>
  <c r="AE54" i="24"/>
  <c r="X54" i="24"/>
  <c r="AA54" i="24" s="1"/>
  <c r="AB54" i="24" s="1"/>
  <c r="AC54" i="24" s="1"/>
  <c r="AI54" i="24"/>
  <c r="W287" i="24"/>
  <c r="Y287" i="24" s="1"/>
  <c r="X193" i="25"/>
  <c r="W86" i="24"/>
  <c r="Y86" i="24" s="1"/>
  <c r="W190" i="24"/>
  <c r="Y190" i="24" s="1"/>
  <c r="W137" i="24"/>
  <c r="Y137" i="24" s="1"/>
  <c r="AI138" i="24"/>
  <c r="AE138" i="24"/>
  <c r="X138" i="24"/>
  <c r="AA138" i="24" s="1"/>
  <c r="AB138" i="24" s="1"/>
  <c r="AC138" i="24" s="1"/>
  <c r="W83" i="24"/>
  <c r="Y83" i="24" s="1"/>
  <c r="AE306" i="24"/>
  <c r="X306" i="24"/>
  <c r="AA306" i="24" s="1"/>
  <c r="AB306" i="24" s="1"/>
  <c r="AC306" i="24" s="1"/>
  <c r="AI306" i="24"/>
  <c r="W210" i="24"/>
  <c r="Y210" i="24" s="1"/>
  <c r="AE210" i="24"/>
  <c r="X210" i="24"/>
  <c r="AA210" i="24" s="1"/>
  <c r="AB210" i="24" s="1"/>
  <c r="AC210" i="24" s="1"/>
  <c r="AI210" i="24"/>
  <c r="X163" i="24"/>
  <c r="AA163" i="24" s="1"/>
  <c r="AB163" i="24" s="1"/>
  <c r="AC163" i="24" s="1"/>
  <c r="AE163" i="24"/>
  <c r="AI163" i="24"/>
  <c r="AE310" i="24"/>
  <c r="X310" i="24"/>
  <c r="AA310" i="24" s="1"/>
  <c r="AB310" i="24" s="1"/>
  <c r="AC310" i="24" s="1"/>
  <c r="AI310" i="24"/>
  <c r="W164" i="24"/>
  <c r="Y164" i="24" s="1"/>
  <c r="X284" i="24"/>
  <c r="AA284" i="24" s="1"/>
  <c r="AB284" i="24" s="1"/>
  <c r="AC284" i="24" s="1"/>
  <c r="AE284" i="24"/>
  <c r="AI284" i="24"/>
  <c r="X192" i="24"/>
  <c r="AA192" i="24" s="1"/>
  <c r="AB192" i="24" s="1"/>
  <c r="AC192" i="24" s="1"/>
  <c r="AE192" i="24"/>
  <c r="AI192" i="24"/>
  <c r="AE28" i="24"/>
  <c r="X28" i="24"/>
  <c r="AA28" i="24" s="1"/>
  <c r="AB28" i="24" s="1"/>
  <c r="AC28" i="24" s="1"/>
  <c r="AI28" i="24"/>
  <c r="Y25" i="24"/>
  <c r="Y206" i="24"/>
  <c r="X9" i="24"/>
  <c r="AA9" i="24" s="1"/>
  <c r="AB9" i="24" s="1"/>
  <c r="AC9" i="24" s="1"/>
  <c r="AE9" i="24"/>
  <c r="AI9" i="24"/>
  <c r="AI174" i="24"/>
  <c r="X174" i="24"/>
  <c r="AA174" i="24" s="1"/>
  <c r="AB174" i="24" s="1"/>
  <c r="AC174" i="24" s="1"/>
  <c r="AE174" i="24"/>
  <c r="AE293" i="24"/>
  <c r="X293" i="24"/>
  <c r="AA293" i="24" s="1"/>
  <c r="AB293" i="24" s="1"/>
  <c r="AC293" i="24" s="1"/>
  <c r="AI293" i="24"/>
  <c r="X154" i="24"/>
  <c r="AA154" i="24" s="1"/>
  <c r="AB154" i="24" s="1"/>
  <c r="AC154" i="24" s="1"/>
  <c r="AE154" i="24"/>
  <c r="AI154" i="24"/>
  <c r="X278" i="24"/>
  <c r="AA278" i="24" s="1"/>
  <c r="AB278" i="24" s="1"/>
  <c r="AC278" i="24" s="1"/>
  <c r="AE278" i="24"/>
  <c r="AI278" i="24"/>
  <c r="X67" i="24"/>
  <c r="AA67" i="24" s="1"/>
  <c r="AB67" i="24" s="1"/>
  <c r="AC67" i="24" s="1"/>
  <c r="AE67" i="24"/>
  <c r="AI67" i="24"/>
  <c r="AI35" i="24"/>
  <c r="X35" i="24"/>
  <c r="AA35" i="24" s="1"/>
  <c r="AB35" i="24" s="1"/>
  <c r="AC35" i="24" s="1"/>
  <c r="AE35" i="24"/>
  <c r="X205" i="24"/>
  <c r="AA205" i="24" s="1"/>
  <c r="AB205" i="24" s="1"/>
  <c r="AC205" i="24" s="1"/>
  <c r="AE205" i="24"/>
  <c r="AI205" i="24"/>
  <c r="W26" i="24"/>
  <c r="Y26" i="24" s="1"/>
  <c r="X26" i="24"/>
  <c r="AA26" i="24" s="1"/>
  <c r="AB26" i="24" s="1"/>
  <c r="AC26" i="24" s="1"/>
  <c r="AE26" i="24"/>
  <c r="AI26" i="24"/>
  <c r="AE169" i="24"/>
  <c r="X169" i="24"/>
  <c r="AA169" i="24" s="1"/>
  <c r="AB169" i="24" s="1"/>
  <c r="AC169" i="24" s="1"/>
  <c r="AI169" i="24"/>
  <c r="AI72" i="25"/>
  <c r="AS72" i="25" s="1"/>
  <c r="X253" i="24"/>
  <c r="AA253" i="24" s="1"/>
  <c r="AB253" i="24" s="1"/>
  <c r="AC253" i="24" s="1"/>
  <c r="AE253" i="24"/>
  <c r="AI253" i="24"/>
  <c r="AE247" i="24"/>
  <c r="X247" i="24"/>
  <c r="AA247" i="24" s="1"/>
  <c r="AB247" i="24" s="1"/>
  <c r="AC247" i="24" s="1"/>
  <c r="AI247" i="24"/>
  <c r="X135" i="25"/>
  <c r="AI291" i="24"/>
  <c r="AE291" i="24"/>
  <c r="X291" i="24"/>
  <c r="AA291" i="24" s="1"/>
  <c r="AB291" i="24" s="1"/>
  <c r="AC291" i="24" s="1"/>
  <c r="W87" i="24"/>
  <c r="Y87" i="24" s="1"/>
  <c r="Y220" i="24"/>
  <c r="Y265" i="24"/>
  <c r="X52" i="24"/>
  <c r="AA52" i="24" s="1"/>
  <c r="AB52" i="24" s="1"/>
  <c r="AC52" i="24" s="1"/>
  <c r="AE52" i="24"/>
  <c r="AI52" i="24"/>
  <c r="AI199" i="24"/>
  <c r="X199" i="24"/>
  <c r="AA199" i="24" s="1"/>
  <c r="AB199" i="24" s="1"/>
  <c r="AC199" i="24" s="1"/>
  <c r="AE199" i="24"/>
  <c r="Y97" i="24"/>
  <c r="W256" i="24"/>
  <c r="Y256" i="24" s="1"/>
  <c r="AE45" i="24"/>
  <c r="X45" i="24"/>
  <c r="AA45" i="24" s="1"/>
  <c r="AB45" i="24" s="1"/>
  <c r="AC45" i="24" s="1"/>
  <c r="AI45" i="24"/>
  <c r="W161" i="24"/>
  <c r="Y161" i="24" s="1"/>
  <c r="AE31" i="24"/>
  <c r="X31" i="24"/>
  <c r="AA31" i="24" s="1"/>
  <c r="AB31" i="24" s="1"/>
  <c r="AC31" i="24" s="1"/>
  <c r="AI31" i="24"/>
  <c r="Y70" i="24"/>
  <c r="Y261" i="24"/>
  <c r="AE103" i="24"/>
  <c r="X103" i="24"/>
  <c r="AA103" i="24" s="1"/>
  <c r="AB103" i="24" s="1"/>
  <c r="AC103" i="24" s="1"/>
  <c r="AI103" i="24"/>
  <c r="AI143" i="24"/>
  <c r="X143" i="24"/>
  <c r="AA143" i="24" s="1"/>
  <c r="AB143" i="24" s="1"/>
  <c r="AC143" i="24" s="1"/>
  <c r="AE143" i="24"/>
  <c r="Y100" i="24"/>
  <c r="AE221" i="24"/>
  <c r="X221" i="24"/>
  <c r="AA221" i="24" s="1"/>
  <c r="AB221" i="24" s="1"/>
  <c r="AC221" i="24" s="1"/>
  <c r="AI221" i="24"/>
  <c r="W20" i="24"/>
  <c r="Y20" i="24" s="1"/>
  <c r="W203" i="24"/>
  <c r="Y203" i="24" s="1"/>
  <c r="AE207" i="24"/>
  <c r="X207" i="24"/>
  <c r="AA207" i="24" s="1"/>
  <c r="AB207" i="24" s="1"/>
  <c r="AC207" i="24" s="1"/>
  <c r="AI207" i="24"/>
  <c r="Y138" i="24"/>
  <c r="X76" i="24"/>
  <c r="AA76" i="24" s="1"/>
  <c r="AB76" i="24" s="1"/>
  <c r="AC76" i="24" s="1"/>
  <c r="AE76" i="24"/>
  <c r="AI76" i="24"/>
  <c r="Y45" i="24"/>
  <c r="W201" i="24"/>
  <c r="Y201" i="24" s="1"/>
  <c r="AE201" i="24"/>
  <c r="X201" i="24"/>
  <c r="AA201" i="24" s="1"/>
  <c r="AB201" i="24" s="1"/>
  <c r="AC201" i="24" s="1"/>
  <c r="AI201" i="24"/>
  <c r="AE135" i="25"/>
  <c r="AF135" i="25"/>
  <c r="AE262" i="24"/>
  <c r="X262" i="24"/>
  <c r="AA262" i="24" s="1"/>
  <c r="AB262" i="24" s="1"/>
  <c r="AC262" i="24" s="1"/>
  <c r="AI262" i="24"/>
  <c r="AE222" i="24"/>
  <c r="X222" i="24"/>
  <c r="AA222" i="24" s="1"/>
  <c r="AB222" i="24" s="1"/>
  <c r="AC222" i="24" s="1"/>
  <c r="AI222" i="24"/>
  <c r="Y171" i="24"/>
  <c r="W184" i="24"/>
  <c r="Y184" i="24" s="1"/>
  <c r="AE29" i="24"/>
  <c r="X29" i="24"/>
  <c r="AA29" i="24" s="1"/>
  <c r="AB29" i="24" s="1"/>
  <c r="AC29" i="24" s="1"/>
  <c r="AI29" i="24"/>
  <c r="W151" i="24"/>
  <c r="Y151" i="24" s="1"/>
  <c r="AI117" i="24"/>
  <c r="AE117" i="24"/>
  <c r="X117" i="24"/>
  <c r="AA117" i="24" s="1"/>
  <c r="AB117" i="24" s="1"/>
  <c r="AC117" i="24" s="1"/>
  <c r="AI42" i="24"/>
  <c r="X42" i="24"/>
  <c r="AA42" i="24" s="1"/>
  <c r="AB42" i="24" s="1"/>
  <c r="AC42" i="24" s="1"/>
  <c r="AE42" i="24"/>
  <c r="W79" i="24"/>
  <c r="Y79" i="24" s="1"/>
  <c r="AE218" i="24"/>
  <c r="X218" i="24"/>
  <c r="AA218" i="24" s="1"/>
  <c r="AB218" i="24" s="1"/>
  <c r="AC218" i="24" s="1"/>
  <c r="AI218" i="24"/>
  <c r="X260" i="24"/>
  <c r="AA260" i="24" s="1"/>
  <c r="AB260" i="24" s="1"/>
  <c r="AC260" i="24" s="1"/>
  <c r="AE260" i="24"/>
  <c r="AI260" i="24"/>
  <c r="Y176" i="24"/>
  <c r="W12" i="24"/>
  <c r="Y12" i="24" s="1"/>
  <c r="W232" i="24"/>
  <c r="Y232" i="24" s="1"/>
  <c r="X14" i="24"/>
  <c r="AA14" i="24" s="1"/>
  <c r="AB14" i="24" s="1"/>
  <c r="AC14" i="24" s="1"/>
  <c r="AE14" i="24"/>
  <c r="AI14" i="24"/>
  <c r="AE248" i="24"/>
  <c r="X248" i="24"/>
  <c r="AA248" i="24" s="1"/>
  <c r="AB248" i="24" s="1"/>
  <c r="AC248" i="24" s="1"/>
  <c r="AI248" i="24"/>
  <c r="X290" i="24"/>
  <c r="AA290" i="24" s="1"/>
  <c r="AB290" i="24" s="1"/>
  <c r="AC290" i="24" s="1"/>
  <c r="AE290" i="24"/>
  <c r="AI290" i="24"/>
  <c r="AI189" i="24"/>
  <c r="X189" i="24"/>
  <c r="AA189" i="24" s="1"/>
  <c r="AB189" i="24" s="1"/>
  <c r="AC189" i="24" s="1"/>
  <c r="AE189" i="24"/>
  <c r="AI36" i="24"/>
  <c r="AE36" i="24"/>
  <c r="X36" i="24"/>
  <c r="AA36" i="24" s="1"/>
  <c r="AB36" i="24" s="1"/>
  <c r="AC36" i="24" s="1"/>
  <c r="AE132" i="24"/>
  <c r="X132" i="24"/>
  <c r="AA132" i="24" s="1"/>
  <c r="AB132" i="24" s="1"/>
  <c r="AC132" i="24" s="1"/>
  <c r="AI132" i="24"/>
  <c r="W187" i="24"/>
  <c r="Y187" i="24" s="1"/>
  <c r="AI125" i="24"/>
  <c r="X125" i="24"/>
  <c r="AA125" i="24" s="1"/>
  <c r="AB125" i="24" s="1"/>
  <c r="AC125" i="24" s="1"/>
  <c r="AE125" i="24"/>
  <c r="Y125" i="24"/>
  <c r="AE133" i="24"/>
  <c r="X133" i="24"/>
  <c r="AA133" i="24" s="1"/>
  <c r="AB133" i="24" s="1"/>
  <c r="AC133" i="24" s="1"/>
  <c r="AI133" i="24"/>
  <c r="W227" i="24"/>
  <c r="Y227" i="24" s="1"/>
  <c r="Y152" i="24"/>
  <c r="Y134" i="24"/>
  <c r="W113" i="24"/>
  <c r="Y113" i="24" s="1"/>
  <c r="Y69" i="24"/>
  <c r="AI102" i="24"/>
  <c r="X102" i="24"/>
  <c r="AA102" i="24" s="1"/>
  <c r="AB102" i="24" s="1"/>
  <c r="AC102" i="24" s="1"/>
  <c r="AE102" i="24"/>
  <c r="W123" i="24"/>
  <c r="Y123" i="24" s="1"/>
  <c r="AE123" i="24"/>
  <c r="X123" i="24"/>
  <c r="AA123" i="24" s="1"/>
  <c r="AB123" i="24" s="1"/>
  <c r="AC123" i="24" s="1"/>
  <c r="AI123" i="24"/>
  <c r="W252" i="24"/>
  <c r="Y252" i="24" s="1"/>
  <c r="X237" i="24"/>
  <c r="AA237" i="24" s="1"/>
  <c r="AB237" i="24" s="1"/>
  <c r="AC237" i="24" s="1"/>
  <c r="AE237" i="24"/>
  <c r="AI237" i="24"/>
  <c r="W173" i="24"/>
  <c r="Y173" i="24" s="1"/>
  <c r="W244" i="24"/>
  <c r="Y244" i="24" s="1"/>
  <c r="X244" i="24"/>
  <c r="AA244" i="24" s="1"/>
  <c r="AB244" i="24" s="1"/>
  <c r="AC244" i="24" s="1"/>
  <c r="AE244" i="24"/>
  <c r="AI244" i="24"/>
  <c r="W286" i="24"/>
  <c r="Y286" i="24" s="1"/>
  <c r="X70" i="24"/>
  <c r="AA70" i="24" s="1"/>
  <c r="AB70" i="24" s="1"/>
  <c r="AC70" i="24" s="1"/>
  <c r="AE70" i="24"/>
  <c r="AI70" i="24"/>
  <c r="X255" i="24"/>
  <c r="AA255" i="24" s="1"/>
  <c r="AB255" i="24" s="1"/>
  <c r="AC255" i="24" s="1"/>
  <c r="AE255" i="24"/>
  <c r="AI255" i="24"/>
  <c r="W231" i="24"/>
  <c r="Y231" i="24" s="1"/>
  <c r="W163" i="24"/>
  <c r="Y163" i="24" s="1"/>
  <c r="X223" i="24"/>
  <c r="AA223" i="24" s="1"/>
  <c r="AB223" i="24" s="1"/>
  <c r="AC223" i="24" s="1"/>
  <c r="AE223" i="24"/>
  <c r="AI223" i="24"/>
  <c r="AE157" i="24"/>
  <c r="X157" i="24"/>
  <c r="AA157" i="24" s="1"/>
  <c r="AB157" i="24" s="1"/>
  <c r="AC157" i="24" s="1"/>
  <c r="AI157" i="24"/>
  <c r="X57" i="24"/>
  <c r="AA57" i="24" s="1"/>
  <c r="AB57" i="24" s="1"/>
  <c r="AC57" i="24" s="1"/>
  <c r="AE57" i="24"/>
  <c r="AI57" i="24"/>
  <c r="AI99" i="24"/>
  <c r="X99" i="24"/>
  <c r="AA99" i="24" s="1"/>
  <c r="AB99" i="24" s="1"/>
  <c r="AC99" i="24" s="1"/>
  <c r="AE99" i="24"/>
  <c r="W18" i="24"/>
  <c r="Y18" i="24" s="1"/>
  <c r="W267" i="24"/>
  <c r="Y267" i="24" s="1"/>
  <c r="W170" i="24"/>
  <c r="Y170" i="24" s="1"/>
  <c r="AI129" i="24"/>
  <c r="AE129" i="24"/>
  <c r="X129" i="24"/>
  <c r="AA129" i="24" s="1"/>
  <c r="AB129" i="24" s="1"/>
  <c r="AC129" i="24" s="1"/>
  <c r="W52" i="24"/>
  <c r="Y52" i="24" s="1"/>
  <c r="AS14" i="25"/>
  <c r="AE7" i="25"/>
  <c r="AF7" i="25"/>
  <c r="AE116" i="25"/>
  <c r="AF116" i="25"/>
  <c r="AE216" i="25"/>
  <c r="AF216" i="25"/>
  <c r="AE35" i="25"/>
  <c r="AF35" i="25"/>
  <c r="AS54" i="25"/>
  <c r="AY124" i="25"/>
  <c r="AW124" i="25"/>
  <c r="AE65" i="25"/>
  <c r="AF65" i="25"/>
  <c r="AS86" i="25"/>
  <c r="AE159" i="25"/>
  <c r="AF159" i="25"/>
  <c r="AS7" i="25"/>
  <c r="AE36" i="25"/>
  <c r="AF36" i="25"/>
  <c r="AE100" i="25"/>
  <c r="AF100" i="25"/>
  <c r="AF19" i="25"/>
  <c r="AE19" i="25"/>
  <c r="AS123" i="25"/>
  <c r="AW178" i="25"/>
  <c r="AY178" i="25"/>
  <c r="AS75" i="25"/>
  <c r="AE46" i="25"/>
  <c r="AF46" i="25"/>
  <c r="AS20" i="25"/>
  <c r="AS11" i="25"/>
  <c r="AY202" i="25"/>
  <c r="AW202" i="25"/>
  <c r="AS87" i="25"/>
  <c r="AS56" i="25"/>
  <c r="AE23" i="25"/>
  <c r="AF23" i="25"/>
  <c r="AE139" i="25"/>
  <c r="AF139" i="25"/>
  <c r="AE238" i="25"/>
  <c r="AF238" i="25"/>
  <c r="AE208" i="25"/>
  <c r="AF208" i="25"/>
  <c r="AS60" i="25"/>
  <c r="AS102" i="25"/>
  <c r="AE61" i="25"/>
  <c r="AF61" i="25"/>
  <c r="AS85" i="25"/>
  <c r="AS57" i="25"/>
  <c r="AE280" i="25"/>
  <c r="AF280" i="25"/>
  <c r="AE40" i="25"/>
  <c r="AF40" i="25"/>
  <c r="AE51" i="25"/>
  <c r="AF51" i="25"/>
  <c r="AS42" i="25"/>
  <c r="AE315" i="25"/>
  <c r="AF315" i="25"/>
  <c r="AE91" i="25"/>
  <c r="AF91" i="25"/>
  <c r="AE15" i="25"/>
  <c r="AF15" i="25"/>
  <c r="AS131" i="25"/>
  <c r="AS110" i="25"/>
  <c r="AE103" i="25"/>
  <c r="AF103" i="25"/>
  <c r="AE121" i="25"/>
  <c r="AF121" i="25"/>
  <c r="AE75" i="25"/>
  <c r="AF75" i="25"/>
  <c r="AE154" i="25"/>
  <c r="AF154" i="25"/>
  <c r="AS182" i="25"/>
  <c r="AE64" i="25"/>
  <c r="AF64" i="25"/>
  <c r="AE110" i="25"/>
  <c r="AF110" i="25"/>
  <c r="AS65" i="25"/>
  <c r="AE86" i="25"/>
  <c r="AF86" i="25"/>
  <c r="AF76" i="25"/>
  <c r="AE76" i="25"/>
  <c r="AE47" i="25"/>
  <c r="AF47" i="25"/>
  <c r="AS159" i="25"/>
  <c r="AE77" i="25"/>
  <c r="AF77" i="25"/>
  <c r="AY204" i="25"/>
  <c r="AW204" i="25"/>
  <c r="AE37" i="25"/>
  <c r="AF37" i="25"/>
  <c r="AS36" i="25"/>
  <c r="AF123" i="25"/>
  <c r="AE123" i="25"/>
  <c r="AE34" i="25"/>
  <c r="AF34" i="25"/>
  <c r="AE8" i="25"/>
  <c r="AF8" i="25"/>
  <c r="AS12" i="25"/>
  <c r="AE87" i="25"/>
  <c r="AF87" i="25"/>
  <c r="AY114" i="25"/>
  <c r="AW114" i="25"/>
  <c r="AE26" i="25"/>
  <c r="AF26" i="25"/>
  <c r="AY160" i="25"/>
  <c r="AW160" i="25"/>
  <c r="AE272" i="25"/>
  <c r="AF272" i="25"/>
  <c r="AE56" i="25"/>
  <c r="AF56" i="25"/>
  <c r="AE50" i="25"/>
  <c r="AF50" i="25"/>
  <c r="AS23" i="25"/>
  <c r="AS140" i="25"/>
  <c r="AE74" i="25"/>
  <c r="AF74" i="25"/>
  <c r="AY199" i="25"/>
  <c r="AW199" i="25"/>
  <c r="AS97" i="25"/>
  <c r="AE102" i="25"/>
  <c r="AF102" i="25"/>
  <c r="AE85" i="25"/>
  <c r="AF85" i="25"/>
  <c r="AE57" i="25"/>
  <c r="AF57" i="25"/>
  <c r="AE33" i="25"/>
  <c r="AF33" i="25"/>
  <c r="AE42" i="25"/>
  <c r="AF42" i="25"/>
  <c r="AY147" i="25"/>
  <c r="AW147" i="25"/>
  <c r="AE82" i="25"/>
  <c r="AF82" i="25"/>
  <c r="AE44" i="25"/>
  <c r="AF44" i="25"/>
  <c r="AS39" i="25"/>
  <c r="AE81" i="25"/>
  <c r="AF81" i="25"/>
  <c r="AS141" i="25"/>
  <c r="AS35" i="25"/>
  <c r="AE52" i="25"/>
  <c r="AF52" i="25"/>
  <c r="AE194" i="25"/>
  <c r="AF194" i="25"/>
  <c r="AE182" i="25"/>
  <c r="AF182" i="25"/>
  <c r="AW115" i="25"/>
  <c r="AY115" i="25"/>
  <c r="AE266" i="25"/>
  <c r="AF266" i="25"/>
  <c r="AE55" i="25"/>
  <c r="AF55" i="25"/>
  <c r="AS76" i="25"/>
  <c r="AS77" i="25"/>
  <c r="AE269" i="25"/>
  <c r="AF269" i="25"/>
  <c r="AE73" i="25"/>
  <c r="AF73" i="25"/>
  <c r="AS130" i="25"/>
  <c r="AE287" i="25"/>
  <c r="AF287" i="25"/>
  <c r="AS8" i="25"/>
  <c r="AS58" i="25"/>
  <c r="AE98" i="25"/>
  <c r="AF98" i="25"/>
  <c r="AE283" i="25"/>
  <c r="AF283" i="25"/>
  <c r="AY188" i="25"/>
  <c r="AW188" i="25"/>
  <c r="AY167" i="25"/>
  <c r="AW167" i="25"/>
  <c r="AE59" i="25"/>
  <c r="AF59" i="25"/>
  <c r="AE97" i="25"/>
  <c r="AF97" i="25"/>
  <c r="AE275" i="25"/>
  <c r="AF275" i="25"/>
  <c r="AE41" i="25"/>
  <c r="AF41" i="25"/>
  <c r="AS17" i="25"/>
  <c r="AE53" i="25"/>
  <c r="AF53" i="25"/>
  <c r="AE93" i="25"/>
  <c r="AF93" i="25"/>
  <c r="AS82" i="25"/>
  <c r="AE66" i="25"/>
  <c r="AF66" i="25"/>
  <c r="AS44" i="25"/>
  <c r="AS118" i="25"/>
  <c r="AE235" i="25"/>
  <c r="AF235" i="25"/>
  <c r="AE17" i="25"/>
  <c r="AF17" i="25"/>
  <c r="AS92" i="25"/>
  <c r="AS66" i="25"/>
  <c r="AS183" i="25"/>
  <c r="AS43" i="25"/>
  <c r="AE79" i="25"/>
  <c r="AF79" i="25"/>
  <c r="AE32" i="25"/>
  <c r="AF32" i="25"/>
  <c r="AE291" i="25"/>
  <c r="AF291" i="25"/>
  <c r="AE229" i="25"/>
  <c r="AF229" i="25"/>
  <c r="AE236" i="25"/>
  <c r="AF236" i="25"/>
  <c r="AE131" i="25"/>
  <c r="AF131" i="25"/>
  <c r="AE183" i="25"/>
  <c r="AF183" i="25"/>
  <c r="AE49" i="25"/>
  <c r="AF49" i="25"/>
  <c r="AE134" i="25"/>
  <c r="AF134" i="25"/>
  <c r="AE255" i="25"/>
  <c r="AF255" i="25"/>
  <c r="AS184" i="25"/>
  <c r="AS152" i="25"/>
  <c r="AE244" i="25"/>
  <c r="AF244" i="25"/>
  <c r="AW122" i="25"/>
  <c r="AY122" i="25"/>
  <c r="AS6" i="25"/>
  <c r="AE96" i="25"/>
  <c r="AF96" i="25"/>
  <c r="AS68" i="25"/>
  <c r="AE13" i="25"/>
  <c r="AF13" i="25"/>
  <c r="AE94" i="25"/>
  <c r="AF94" i="25"/>
  <c r="AS120" i="25"/>
  <c r="AS95" i="25"/>
  <c r="AE38" i="25"/>
  <c r="AF38" i="25"/>
  <c r="AE179" i="25"/>
  <c r="AF179" i="25"/>
  <c r="AE190" i="25"/>
  <c r="AF190" i="25"/>
  <c r="AS80" i="25"/>
  <c r="AE24" i="25"/>
  <c r="AF24" i="25"/>
  <c r="AE314" i="25"/>
  <c r="AF314" i="25"/>
  <c r="AS28" i="25"/>
  <c r="AE105" i="25"/>
  <c r="AF105" i="25"/>
  <c r="AS200" i="25"/>
  <c r="AW129" i="25"/>
  <c r="AY129" i="25"/>
  <c r="AE268" i="25"/>
  <c r="AF268" i="25"/>
  <c r="AE78" i="25"/>
  <c r="AF78" i="25"/>
  <c r="AE118" i="25"/>
  <c r="AF118" i="25"/>
  <c r="AS41" i="25"/>
  <c r="AE303" i="25"/>
  <c r="AF303" i="25"/>
  <c r="AY192" i="25"/>
  <c r="AW192" i="25"/>
  <c r="AS93" i="25"/>
  <c r="AY117" i="25"/>
  <c r="AW117" i="25"/>
  <c r="AE9" i="25"/>
  <c r="AF9" i="25"/>
  <c r="AY186" i="25"/>
  <c r="AW186" i="25"/>
  <c r="AY162" i="25"/>
  <c r="AW162" i="25"/>
  <c r="AE10" i="25"/>
  <c r="AF10" i="25"/>
  <c r="AS73" i="25"/>
  <c r="AE130" i="25"/>
  <c r="AF130" i="25"/>
  <c r="AS96" i="25"/>
  <c r="AE48" i="25"/>
  <c r="AF48" i="25"/>
  <c r="AE18" i="25"/>
  <c r="AF18" i="25"/>
  <c r="AE63" i="25"/>
  <c r="AF63" i="25"/>
  <c r="AW126" i="25"/>
  <c r="AY126" i="25"/>
  <c r="AS105" i="25"/>
  <c r="B116" i="2" s="1"/>
  <c r="AE247" i="25"/>
  <c r="AF247" i="25"/>
  <c r="AE99" i="25"/>
  <c r="AF99" i="25"/>
  <c r="AS134" i="25"/>
  <c r="AW112" i="25"/>
  <c r="AY112" i="25"/>
  <c r="AE43" i="25"/>
  <c r="AF43" i="25"/>
  <c r="AS113" i="25"/>
  <c r="AE88" i="25"/>
  <c r="AF88" i="25"/>
  <c r="AE184" i="25"/>
  <c r="AF184" i="25"/>
  <c r="AF309" i="25"/>
  <c r="AE309" i="25"/>
  <c r="AE6" i="25"/>
  <c r="AF6" i="25"/>
  <c r="AE27" i="25"/>
  <c r="AF27" i="25"/>
  <c r="AE262" i="25"/>
  <c r="AF262" i="25"/>
  <c r="AE141" i="25"/>
  <c r="AF141" i="25"/>
  <c r="AE68" i="25"/>
  <c r="AF68" i="25"/>
  <c r="AS13" i="25"/>
  <c r="AS94" i="25"/>
  <c r="AS84" i="25"/>
  <c r="AE95" i="25"/>
  <c r="AF95" i="25"/>
  <c r="AE29" i="25"/>
  <c r="AF29" i="25"/>
  <c r="AS179" i="25"/>
  <c r="AE21" i="25"/>
  <c r="AF21" i="25"/>
  <c r="AW164" i="25"/>
  <c r="AY164" i="25"/>
  <c r="AE133" i="25"/>
  <c r="AF133" i="25"/>
  <c r="AE200" i="25"/>
  <c r="AF200" i="25"/>
  <c r="AE153" i="25"/>
  <c r="AF153" i="25"/>
  <c r="AE89" i="25"/>
  <c r="AF89" i="25"/>
  <c r="AE72" i="25"/>
  <c r="AF72" i="25"/>
  <c r="AS71" i="25"/>
  <c r="AS9" i="25"/>
  <c r="AY170" i="25"/>
  <c r="AW170" i="25"/>
  <c r="AE92" i="25"/>
  <c r="AF92" i="25"/>
  <c r="AS99" i="25"/>
  <c r="AE67" i="25"/>
  <c r="AF67" i="25"/>
  <c r="AE285" i="25"/>
  <c r="AF285" i="25"/>
  <c r="AY142" i="25"/>
  <c r="AW142" i="25"/>
  <c r="AF58" i="25"/>
  <c r="AE58" i="25"/>
  <c r="AS98" i="25"/>
  <c r="AS21" i="25"/>
  <c r="AF45" i="25"/>
  <c r="AE45" i="25"/>
  <c r="AE28" i="25"/>
  <c r="AF28" i="25"/>
  <c r="AE189" i="25"/>
  <c r="AF189" i="25"/>
  <c r="AE14" i="25"/>
  <c r="AF14" i="25"/>
  <c r="AE54" i="25"/>
  <c r="AF54" i="25"/>
  <c r="AE39" i="25"/>
  <c r="AF39" i="25"/>
  <c r="AY175" i="25"/>
  <c r="AW175" i="25"/>
  <c r="AF16" i="25"/>
  <c r="AE16" i="25"/>
  <c r="AE30" i="25"/>
  <c r="AF30" i="25"/>
  <c r="AE223" i="25"/>
  <c r="AF223" i="25"/>
  <c r="AE113" i="25"/>
  <c r="AF113" i="25"/>
  <c r="AE152" i="25"/>
  <c r="AF152" i="25"/>
  <c r="AS116" i="25"/>
  <c r="AS27" i="25"/>
  <c r="AE69" i="25"/>
  <c r="AF69" i="25"/>
  <c r="AS154" i="25"/>
  <c r="AE290" i="25"/>
  <c r="AF290" i="25"/>
  <c r="AW146" i="25"/>
  <c r="AY146" i="25"/>
  <c r="AJ312" i="25"/>
  <c r="AE11" i="25"/>
  <c r="AF11" i="25"/>
  <c r="AE84" i="25"/>
  <c r="AF84" i="25"/>
  <c r="AE31" i="25"/>
  <c r="AF31" i="25"/>
  <c r="AE120" i="25"/>
  <c r="AF120" i="25"/>
  <c r="AE101" i="25"/>
  <c r="AF101" i="25"/>
  <c r="AS29" i="25"/>
  <c r="AS190" i="25"/>
  <c r="AE80" i="25"/>
  <c r="AF80" i="25"/>
  <c r="AS104" i="25"/>
  <c r="AW166" i="25"/>
  <c r="AY166" i="25"/>
  <c r="AS25" i="25"/>
  <c r="AE173" i="25"/>
  <c r="AF173" i="25"/>
  <c r="AE246" i="25"/>
  <c r="AF246" i="25"/>
  <c r="AE60" i="25"/>
  <c r="AF60" i="25"/>
  <c r="AE70" i="25"/>
  <c r="AF70" i="25"/>
  <c r="AS153" i="25"/>
  <c r="AE313" i="25"/>
  <c r="AF313" i="25"/>
  <c r="AE221" i="25"/>
  <c r="AF221" i="25"/>
  <c r="AE71" i="25"/>
  <c r="AF71" i="25"/>
  <c r="AE22" i="25"/>
  <c r="AF22" i="25"/>
  <c r="AF20" i="25"/>
  <c r="AE20" i="25"/>
  <c r="AE12" i="25"/>
  <c r="AF12" i="25"/>
  <c r="AS31" i="25"/>
  <c r="AS26" i="25"/>
  <c r="AE267" i="25"/>
  <c r="AF267" i="25"/>
  <c r="AE62" i="25"/>
  <c r="AF62" i="25"/>
  <c r="AE293" i="25"/>
  <c r="AF293" i="25"/>
  <c r="AE104" i="25"/>
  <c r="AF104" i="25"/>
  <c r="AE140" i="25"/>
  <c r="AF140" i="25"/>
  <c r="AS74" i="25"/>
  <c r="AE25" i="25"/>
  <c r="AF25" i="25"/>
  <c r="AW207" i="25"/>
  <c r="AY207" i="25"/>
  <c r="AS70" i="25"/>
  <c r="AE226" i="25"/>
  <c r="AF226" i="25"/>
  <c r="AS51" i="25"/>
  <c r="AE90" i="25"/>
  <c r="AF90" i="25"/>
  <c r="AE83" i="25"/>
  <c r="AF83" i="25"/>
  <c r="AS22" i="25"/>
  <c r="AY157" i="25"/>
  <c r="AW157" i="25"/>
  <c r="AW136" i="25" l="1"/>
  <c r="AM251" i="25"/>
  <c r="AR251" i="25" s="1"/>
  <c r="BM144" i="25"/>
  <c r="CI144" i="25"/>
  <c r="AM132" i="25"/>
  <c r="BM132" i="25" s="1"/>
  <c r="BM177" i="25"/>
  <c r="CI177" i="25"/>
  <c r="BM172" i="25"/>
  <c r="CI172" i="25"/>
  <c r="BM168" i="25"/>
  <c r="CI168" i="25"/>
  <c r="BM127" i="25"/>
  <c r="CI127" i="25"/>
  <c r="BM163" i="25"/>
  <c r="CI163" i="25"/>
  <c r="AM294" i="25"/>
  <c r="CI294" i="25" s="1"/>
  <c r="CI132" i="25"/>
  <c r="AM245" i="25"/>
  <c r="AP245" i="25" s="1"/>
  <c r="AJ160" i="25"/>
  <c r="BM170" i="25"/>
  <c r="CI170" i="25"/>
  <c r="BM160" i="25"/>
  <c r="CI160" i="25"/>
  <c r="BM147" i="25"/>
  <c r="CI147" i="25"/>
  <c r="AJ136" i="25"/>
  <c r="AM136" i="25"/>
  <c r="BM136" i="25" s="1"/>
  <c r="AA316" i="24"/>
  <c r="AB316" i="24" s="1"/>
  <c r="AC316" i="24" s="1"/>
  <c r="AJ316" i="24" s="1"/>
  <c r="AT316" i="24" s="1"/>
  <c r="AJ162" i="25"/>
  <c r="AJ258" i="25"/>
  <c r="AJ313" i="25"/>
  <c r="AM167" i="25"/>
  <c r="BM167" i="25" s="1"/>
  <c r="AJ129" i="25"/>
  <c r="AJ237" i="25"/>
  <c r="AM178" i="25"/>
  <c r="BM178" i="25" s="1"/>
  <c r="AJ264" i="25"/>
  <c r="AW110" i="24"/>
  <c r="BF110" i="24" s="1"/>
  <c r="BM119" i="25"/>
  <c r="CI119" i="25"/>
  <c r="BM122" i="25"/>
  <c r="CI122" i="25"/>
  <c r="AM232" i="25"/>
  <c r="AR232" i="25" s="1"/>
  <c r="BM162" i="25"/>
  <c r="CI162" i="25"/>
  <c r="BM126" i="25"/>
  <c r="CI126" i="25"/>
  <c r="BM171" i="25"/>
  <c r="CI171" i="25"/>
  <c r="AJ207" i="25"/>
  <c r="AJ278" i="25"/>
  <c r="AJ102" i="25"/>
  <c r="AJ92" i="25"/>
  <c r="AJ303" i="25"/>
  <c r="AJ97" i="25"/>
  <c r="AJ182" i="25"/>
  <c r="AJ111" i="25"/>
  <c r="BM143" i="25"/>
  <c r="CI143" i="25"/>
  <c r="AJ217" i="25"/>
  <c r="AW143" i="25"/>
  <c r="BM185" i="25"/>
  <c r="CI185" i="25"/>
  <c r="AJ143" i="25"/>
  <c r="AJ54" i="25"/>
  <c r="AJ119" i="25"/>
  <c r="BM148" i="25"/>
  <c r="CI148" i="25"/>
  <c r="AJ147" i="25"/>
  <c r="BM205" i="25"/>
  <c r="CI205" i="25"/>
  <c r="BM209" i="25"/>
  <c r="CI209" i="25"/>
  <c r="BM169" i="25"/>
  <c r="CI169" i="25"/>
  <c r="BM157" i="25"/>
  <c r="CI157" i="25"/>
  <c r="AM124" i="25"/>
  <c r="BM124" i="25" s="1"/>
  <c r="BM195" i="25"/>
  <c r="CI195" i="25"/>
  <c r="BM161" i="25"/>
  <c r="CI161" i="25"/>
  <c r="BM151" i="25"/>
  <c r="CI151" i="25"/>
  <c r="AM257" i="25"/>
  <c r="AR257" i="25" s="1"/>
  <c r="BM181" i="25"/>
  <c r="CI181" i="25"/>
  <c r="AY195" i="25"/>
  <c r="AY185" i="25"/>
  <c r="AM145" i="25"/>
  <c r="AR145" i="25" s="1"/>
  <c r="BM156" i="25"/>
  <c r="CI156" i="25"/>
  <c r="BM149" i="25"/>
  <c r="CI149" i="25"/>
  <c r="AJ206" i="25"/>
  <c r="AY206" i="25"/>
  <c r="AY193" i="25"/>
  <c r="AY203" i="25"/>
  <c r="AY128" i="25"/>
  <c r="AY197" i="25"/>
  <c r="AW196" i="25"/>
  <c r="AJ197" i="25"/>
  <c r="AJ209" i="25"/>
  <c r="AY209" i="25"/>
  <c r="AY191" i="25"/>
  <c r="AM117" i="25"/>
  <c r="BM117" i="25" s="1"/>
  <c r="AJ187" i="25"/>
  <c r="AW187" i="25"/>
  <c r="AJ210" i="25"/>
  <c r="AJ128" i="25"/>
  <c r="AM128" i="25"/>
  <c r="BM128" i="25" s="1"/>
  <c r="AY198" i="25"/>
  <c r="AW201" i="25"/>
  <c r="AW127" i="25"/>
  <c r="AJ193" i="25"/>
  <c r="AW210" i="25"/>
  <c r="AJ126" i="25"/>
  <c r="AY205" i="25"/>
  <c r="AJ198" i="25"/>
  <c r="AM300" i="25"/>
  <c r="CI300" i="25" s="1"/>
  <c r="AJ196" i="25"/>
  <c r="AM186" i="25"/>
  <c r="AM165" i="25"/>
  <c r="BM165" i="25" s="1"/>
  <c r="AM263" i="25"/>
  <c r="AJ302" i="25"/>
  <c r="AW155" i="25"/>
  <c r="AJ155" i="25"/>
  <c r="AM187" i="25"/>
  <c r="BM187" i="25" s="1"/>
  <c r="AM142" i="25"/>
  <c r="AJ127" i="25"/>
  <c r="AJ265" i="25"/>
  <c r="AJ181" i="25"/>
  <c r="AY181" i="25"/>
  <c r="BM201" i="25"/>
  <c r="CI201" i="25"/>
  <c r="BM155" i="25"/>
  <c r="CI155" i="25"/>
  <c r="AJ250" i="25"/>
  <c r="AM252" i="25"/>
  <c r="AR252" i="25" s="1"/>
  <c r="BC110" i="24"/>
  <c r="BD110" i="24"/>
  <c r="AJ233" i="25"/>
  <c r="AY171" i="25"/>
  <c r="AW165" i="25"/>
  <c r="AW172" i="25"/>
  <c r="AJ254" i="25"/>
  <c r="AJ165" i="25"/>
  <c r="AY161" i="25"/>
  <c r="BM203" i="25"/>
  <c r="CI203" i="25"/>
  <c r="AW176" i="25"/>
  <c r="AM164" i="25"/>
  <c r="AJ231" i="25"/>
  <c r="AW177" i="25"/>
  <c r="AF5" i="25"/>
  <c r="AJ5" i="25" s="1"/>
  <c r="AJ176" i="25"/>
  <c r="AM146" i="25"/>
  <c r="BM146" i="25" s="1"/>
  <c r="AM311" i="25"/>
  <c r="AJ122" i="25"/>
  <c r="AM199" i="25"/>
  <c r="BM175" i="25"/>
  <c r="CI175" i="25"/>
  <c r="AJ240" i="25"/>
  <c r="AM193" i="25"/>
  <c r="AJ210" i="24"/>
  <c r="AT210" i="24" s="1"/>
  <c r="AJ208" i="24"/>
  <c r="AT208" i="24" s="1"/>
  <c r="AJ193" i="24"/>
  <c r="AT193" i="24" s="1"/>
  <c r="AJ202" i="24"/>
  <c r="AT202" i="24" s="1"/>
  <c r="AM188" i="25"/>
  <c r="AJ148" i="25"/>
  <c r="AJ195" i="25"/>
  <c r="AW149" i="25"/>
  <c r="AJ149" i="25"/>
  <c r="AY148" i="25"/>
  <c r="AJ222" i="25"/>
  <c r="AJ185" i="25"/>
  <c r="AJ166" i="25"/>
  <c r="AJ169" i="25"/>
  <c r="AM111" i="25"/>
  <c r="AJ202" i="25"/>
  <c r="AM222" i="25"/>
  <c r="AR222" i="25" s="1"/>
  <c r="AW169" i="25"/>
  <c r="AM240" i="25"/>
  <c r="AW158" i="25"/>
  <c r="CI174" i="25"/>
  <c r="BM174" i="25"/>
  <c r="CI138" i="25"/>
  <c r="BM138" i="25"/>
  <c r="CI167" i="25"/>
  <c r="AJ158" i="25"/>
  <c r="CI196" i="25"/>
  <c r="BM196" i="25"/>
  <c r="AM248" i="25"/>
  <c r="AJ170" i="25"/>
  <c r="CI207" i="25"/>
  <c r="BM207" i="25"/>
  <c r="CI136" i="25"/>
  <c r="CI202" i="25"/>
  <c r="BM202" i="25"/>
  <c r="CI166" i="25"/>
  <c r="BM166" i="25"/>
  <c r="AJ177" i="25"/>
  <c r="AJ103" i="24"/>
  <c r="AV103" i="24" s="1"/>
  <c r="AJ292" i="25"/>
  <c r="AM299" i="25"/>
  <c r="AW151" i="25"/>
  <c r="AW111" i="25"/>
  <c r="AJ157" i="25"/>
  <c r="AJ203" i="25"/>
  <c r="AJ171" i="25"/>
  <c r="AJ195" i="24"/>
  <c r="AT195" i="24" s="1"/>
  <c r="AJ199" i="24"/>
  <c r="AT199" i="24" s="1"/>
  <c r="AJ198" i="24"/>
  <c r="AT198" i="24" s="1"/>
  <c r="AM158" i="25"/>
  <c r="AJ194" i="24"/>
  <c r="AT194" i="24" s="1"/>
  <c r="AW138" i="25"/>
  <c r="AM112" i="25"/>
  <c r="CI112" i="25" s="1"/>
  <c r="AJ138" i="25"/>
  <c r="AJ200" i="24"/>
  <c r="AT200" i="24" s="1"/>
  <c r="AJ296" i="25"/>
  <c r="AJ218" i="25"/>
  <c r="AJ305" i="25"/>
  <c r="AJ300" i="25"/>
  <c r="AM176" i="25"/>
  <c r="AJ205" i="25"/>
  <c r="AY137" i="25"/>
  <c r="AJ172" i="25"/>
  <c r="AJ161" i="25"/>
  <c r="AW150" i="25"/>
  <c r="AJ204" i="25"/>
  <c r="AW156" i="25"/>
  <c r="AY163" i="25"/>
  <c r="AJ163" i="25"/>
  <c r="AM114" i="25"/>
  <c r="AM197" i="25"/>
  <c r="AJ150" i="25"/>
  <c r="AJ201" i="25"/>
  <c r="AJ228" i="25"/>
  <c r="AJ256" i="25"/>
  <c r="AJ232" i="25"/>
  <c r="AJ219" i="25"/>
  <c r="AM256" i="25"/>
  <c r="AM307" i="25"/>
  <c r="AR307" i="25" s="1"/>
  <c r="AT307" i="25" s="1"/>
  <c r="AJ234" i="25"/>
  <c r="AJ281" i="25"/>
  <c r="AJ288" i="25"/>
  <c r="AJ274" i="25"/>
  <c r="AJ270" i="25"/>
  <c r="AJ277" i="25"/>
  <c r="AM241" i="25"/>
  <c r="AJ230" i="25"/>
  <c r="AJ279" i="25"/>
  <c r="AM316" i="25"/>
  <c r="AJ299" i="25"/>
  <c r="AM273" i="25"/>
  <c r="AR273" i="25" s="1"/>
  <c r="AM225" i="25"/>
  <c r="AJ242" i="25"/>
  <c r="AJ175" i="25"/>
  <c r="AJ191" i="25"/>
  <c r="AM137" i="25"/>
  <c r="CI137" i="25" s="1"/>
  <c r="AJ151" i="25"/>
  <c r="AJ177" i="24"/>
  <c r="AT177" i="24" s="1"/>
  <c r="AJ155" i="24"/>
  <c r="AT155" i="24" s="1"/>
  <c r="AJ173" i="24"/>
  <c r="AT173" i="24" s="1"/>
  <c r="AM192" i="25"/>
  <c r="CI192" i="25" s="1"/>
  <c r="AM150" i="25"/>
  <c r="CI150" i="25" s="1"/>
  <c r="AJ174" i="25"/>
  <c r="AW125" i="25"/>
  <c r="AJ181" i="24"/>
  <c r="AT181" i="24" s="1"/>
  <c r="AY144" i="25"/>
  <c r="AJ191" i="24"/>
  <c r="AT191" i="24" s="1"/>
  <c r="AJ144" i="25"/>
  <c r="AW174" i="25"/>
  <c r="AM198" i="25"/>
  <c r="CI198" i="25" s="1"/>
  <c r="AJ125" i="25"/>
  <c r="AJ201" i="24"/>
  <c r="AT201" i="24" s="1"/>
  <c r="AM125" i="25"/>
  <c r="CI125" i="25" s="1"/>
  <c r="AJ207" i="24"/>
  <c r="AT207" i="24" s="1"/>
  <c r="AJ203" i="24"/>
  <c r="AT203" i="24" s="1"/>
  <c r="AJ206" i="24"/>
  <c r="AT206" i="24" s="1"/>
  <c r="AY168" i="25"/>
  <c r="AJ168" i="25"/>
  <c r="AJ196" i="24"/>
  <c r="AT196" i="24" s="1"/>
  <c r="AJ187" i="24"/>
  <c r="AT187" i="24" s="1"/>
  <c r="AJ204" i="24"/>
  <c r="AT204" i="24" s="1"/>
  <c r="AJ197" i="24"/>
  <c r="AT197" i="24" s="1"/>
  <c r="AM206" i="25"/>
  <c r="AJ189" i="24"/>
  <c r="AT189" i="24" s="1"/>
  <c r="AJ182" i="24"/>
  <c r="AT182" i="24" s="1"/>
  <c r="AJ153" i="24"/>
  <c r="AT153" i="24" s="1"/>
  <c r="AJ87" i="24"/>
  <c r="AV87" i="24" s="1"/>
  <c r="AJ171" i="24"/>
  <c r="AT171" i="24" s="1"/>
  <c r="AJ156" i="25"/>
  <c r="AJ137" i="25"/>
  <c r="AJ166" i="24"/>
  <c r="AT166" i="24" s="1"/>
  <c r="AJ161" i="24"/>
  <c r="AT161" i="24" s="1"/>
  <c r="AJ97" i="24"/>
  <c r="AV97" i="24" s="1"/>
  <c r="AJ188" i="24"/>
  <c r="AT188" i="24" s="1"/>
  <c r="AJ59" i="24"/>
  <c r="AV59" i="24" s="1"/>
  <c r="AJ192" i="24"/>
  <c r="AT192" i="24" s="1"/>
  <c r="AJ175" i="24"/>
  <c r="AT175" i="24" s="1"/>
  <c r="AJ180" i="24"/>
  <c r="AT180" i="24" s="1"/>
  <c r="AJ309" i="24"/>
  <c r="AT309" i="24" s="1"/>
  <c r="AJ185" i="24"/>
  <c r="AT185" i="24" s="1"/>
  <c r="AJ79" i="24"/>
  <c r="AT79" i="24" s="1"/>
  <c r="AJ186" i="24"/>
  <c r="AT186" i="24" s="1"/>
  <c r="AM180" i="25"/>
  <c r="AJ96" i="24"/>
  <c r="AV96" i="24" s="1"/>
  <c r="AJ190" i="24"/>
  <c r="AT190" i="24" s="1"/>
  <c r="AJ176" i="24"/>
  <c r="AT176" i="24" s="1"/>
  <c r="AJ180" i="25"/>
  <c r="AJ276" i="25"/>
  <c r="AJ310" i="25"/>
  <c r="AM227" i="25"/>
  <c r="AR227" i="25" s="1"/>
  <c r="AJ271" i="25"/>
  <c r="AJ289" i="25"/>
  <c r="AJ295" i="25"/>
  <c r="AM295" i="25"/>
  <c r="AM289" i="25"/>
  <c r="AP289" i="25" s="1"/>
  <c r="AM224" i="25"/>
  <c r="AP224" i="25" s="1"/>
  <c r="AM220" i="25"/>
  <c r="AR220" i="25" s="1"/>
  <c r="AM282" i="25"/>
  <c r="AM217" i="25"/>
  <c r="AJ260" i="25"/>
  <c r="AJ297" i="25"/>
  <c r="AJ286" i="25"/>
  <c r="AJ284" i="25"/>
  <c r="AJ316" i="25"/>
  <c r="AJ261" i="25"/>
  <c r="AM306" i="25"/>
  <c r="AJ249" i="25"/>
  <c r="AJ298" i="25"/>
  <c r="AJ304" i="25"/>
  <c r="AJ252" i="25"/>
  <c r="AJ282" i="25"/>
  <c r="AJ20" i="24"/>
  <c r="AV20" i="24" s="1"/>
  <c r="AM243" i="25"/>
  <c r="AJ126" i="24"/>
  <c r="AT126" i="24" s="1"/>
  <c r="AJ253" i="25"/>
  <c r="AJ308" i="25"/>
  <c r="AJ301" i="25"/>
  <c r="AJ306" i="24"/>
  <c r="AT306" i="24" s="1"/>
  <c r="AJ269" i="24"/>
  <c r="AT269" i="24" s="1"/>
  <c r="AM301" i="25"/>
  <c r="CI301" i="25" s="1"/>
  <c r="AJ272" i="24"/>
  <c r="AT272" i="24" s="1"/>
  <c r="A245" i="2"/>
  <c r="B204" i="2"/>
  <c r="D42" i="16"/>
  <c r="AJ11" i="24"/>
  <c r="AV11" i="24" s="1"/>
  <c r="AY180" i="25"/>
  <c r="AW180" i="25"/>
  <c r="AM308" i="25"/>
  <c r="CI308" i="25" s="1"/>
  <c r="AM210" i="25"/>
  <c r="CI210" i="25" s="1"/>
  <c r="AJ130" i="24"/>
  <c r="AT130" i="24" s="1"/>
  <c r="AM115" i="25"/>
  <c r="AJ136" i="24"/>
  <c r="AT136" i="24" s="1"/>
  <c r="W212" i="24"/>
  <c r="Y212" i="24" s="1"/>
  <c r="X212" i="24"/>
  <c r="AA212" i="24" s="1"/>
  <c r="AB212" i="24" s="1"/>
  <c r="AC212" i="24" s="1"/>
  <c r="AE212" i="24"/>
  <c r="AI212" i="24"/>
  <c r="AJ131" i="24"/>
  <c r="AT131" i="24" s="1"/>
  <c r="AJ115" i="24"/>
  <c r="AT115" i="24" s="1"/>
  <c r="AJ262" i="24"/>
  <c r="AT262" i="24" s="1"/>
  <c r="AJ265" i="24"/>
  <c r="AT265" i="24" s="1"/>
  <c r="AJ285" i="24"/>
  <c r="AT285" i="24" s="1"/>
  <c r="AJ270" i="24"/>
  <c r="AT270" i="24" s="1"/>
  <c r="AJ140" i="24"/>
  <c r="AT140" i="24" s="1"/>
  <c r="AJ15" i="24"/>
  <c r="AT15" i="24" s="1"/>
  <c r="AK216" i="24"/>
  <c r="AN216" i="24"/>
  <c r="AK7" i="29"/>
  <c r="W4" i="29" s="1"/>
  <c r="AJ286" i="24"/>
  <c r="AT286" i="24" s="1"/>
  <c r="AK9" i="29"/>
  <c r="W5" i="29" s="1"/>
  <c r="A140" i="8"/>
  <c r="AQ5" i="24"/>
  <c r="BK5" i="24"/>
  <c r="AS5" i="24"/>
  <c r="BL5" i="24"/>
  <c r="BY5" i="24"/>
  <c r="AX5" i="24"/>
  <c r="BW5" i="24"/>
  <c r="BJ5" i="24"/>
  <c r="AJ32" i="24"/>
  <c r="AT32" i="24" s="1"/>
  <c r="B156" i="8"/>
  <c r="B155" i="8" s="1"/>
  <c r="B154" i="8" s="1"/>
  <c r="B153" i="8" s="1"/>
  <c r="D156" i="8"/>
  <c r="D155" i="8" s="1"/>
  <c r="D154" i="8" s="1"/>
  <c r="D153" i="8" s="1"/>
  <c r="E156" i="8"/>
  <c r="E155" i="8" s="1"/>
  <c r="E154" i="8" s="1"/>
  <c r="E153" i="8" s="1"/>
  <c r="C156" i="8"/>
  <c r="C155" i="8" s="1"/>
  <c r="C154" i="8" s="1"/>
  <c r="C153" i="8" s="1"/>
  <c r="AJ27" i="24"/>
  <c r="AV27" i="24" s="1"/>
  <c r="AJ132" i="24"/>
  <c r="AT132" i="24" s="1"/>
  <c r="AJ218" i="24"/>
  <c r="AT218" i="24" s="1"/>
  <c r="AJ137" i="24"/>
  <c r="AT137" i="24" s="1"/>
  <c r="AJ19" i="24"/>
  <c r="AV19" i="24" s="1"/>
  <c r="AJ48" i="24"/>
  <c r="AV48" i="24" s="1"/>
  <c r="AJ50" i="25"/>
  <c r="AJ143" i="24"/>
  <c r="AT143" i="24" s="1"/>
  <c r="AJ144" i="24"/>
  <c r="AT144" i="24" s="1"/>
  <c r="AJ157" i="24"/>
  <c r="AT157" i="24" s="1"/>
  <c r="AJ123" i="24"/>
  <c r="AT123" i="24" s="1"/>
  <c r="AJ271" i="24"/>
  <c r="AT271" i="24" s="1"/>
  <c r="AJ55" i="24"/>
  <c r="AT55" i="24" s="1"/>
  <c r="AJ292" i="24"/>
  <c r="AT292" i="24" s="1"/>
  <c r="AJ254" i="24"/>
  <c r="AT254" i="24" s="1"/>
  <c r="AJ289" i="24"/>
  <c r="AT289" i="24" s="1"/>
  <c r="AJ7" i="24"/>
  <c r="AV7" i="24" s="1"/>
  <c r="AJ294" i="24"/>
  <c r="AT294" i="24" s="1"/>
  <c r="AJ62" i="24"/>
  <c r="AV62" i="24" s="1"/>
  <c r="AJ297" i="24"/>
  <c r="AT297" i="24" s="1"/>
  <c r="AJ257" i="24"/>
  <c r="AT257" i="24" s="1"/>
  <c r="AJ81" i="24"/>
  <c r="AV81" i="24" s="1"/>
  <c r="AJ156" i="24"/>
  <c r="AT156" i="24" s="1"/>
  <c r="AJ22" i="24"/>
  <c r="AV22" i="24" s="1"/>
  <c r="AJ41" i="24"/>
  <c r="AT41" i="24" s="1"/>
  <c r="AJ65" i="24"/>
  <c r="AV65" i="24" s="1"/>
  <c r="AJ72" i="24"/>
  <c r="AT72" i="24" s="1"/>
  <c r="AM102" i="25"/>
  <c r="AJ133" i="24"/>
  <c r="AT133" i="24" s="1"/>
  <c r="AJ183" i="24"/>
  <c r="AT183" i="24" s="1"/>
  <c r="AJ118" i="24"/>
  <c r="AT118" i="24" s="1"/>
  <c r="AJ277" i="24"/>
  <c r="AT277" i="24" s="1"/>
  <c r="AJ252" i="24"/>
  <c r="AT252" i="24" s="1"/>
  <c r="AJ290" i="24"/>
  <c r="AT290" i="24" s="1"/>
  <c r="AJ163" i="24"/>
  <c r="AT163" i="24" s="1"/>
  <c r="AJ101" i="24"/>
  <c r="AT101" i="24" s="1"/>
  <c r="AJ141" i="24"/>
  <c r="AT141" i="24" s="1"/>
  <c r="AJ255" i="24"/>
  <c r="AT255" i="24" s="1"/>
  <c r="AJ138" i="24"/>
  <c r="AT138" i="24" s="1"/>
  <c r="AJ261" i="24"/>
  <c r="AT261" i="24" s="1"/>
  <c r="AJ84" i="24"/>
  <c r="AT84" i="24" s="1"/>
  <c r="AJ40" i="24"/>
  <c r="AV40" i="24" s="1"/>
  <c r="AJ30" i="24"/>
  <c r="AV30" i="24" s="1"/>
  <c r="AJ159" i="24"/>
  <c r="AT159" i="24" s="1"/>
  <c r="AJ223" i="24"/>
  <c r="AT223" i="24" s="1"/>
  <c r="AJ70" i="24"/>
  <c r="AT70" i="24" s="1"/>
  <c r="AJ14" i="24"/>
  <c r="AV14" i="24" s="1"/>
  <c r="AJ66" i="24"/>
  <c r="AV66" i="24" s="1"/>
  <c r="AJ75" i="24"/>
  <c r="AT75" i="24" s="1"/>
  <c r="AJ61" i="24"/>
  <c r="AV61" i="24" s="1"/>
  <c r="AJ165" i="24"/>
  <c r="AT165" i="24" s="1"/>
  <c r="AJ78" i="24"/>
  <c r="AV78" i="24" s="1"/>
  <c r="AJ145" i="24"/>
  <c r="AT145" i="24" s="1"/>
  <c r="AJ17" i="24"/>
  <c r="AV17" i="24" s="1"/>
  <c r="AJ56" i="24"/>
  <c r="AV56" i="24" s="1"/>
  <c r="AJ37" i="24"/>
  <c r="AV37" i="24" s="1"/>
  <c r="AJ150" i="24"/>
  <c r="AT150" i="24" s="1"/>
  <c r="AJ105" i="24"/>
  <c r="AV105" i="24" s="1"/>
  <c r="AJ251" i="24"/>
  <c r="AT251" i="24" s="1"/>
  <c r="AJ76" i="24"/>
  <c r="AV76" i="24" s="1"/>
  <c r="AJ148" i="24"/>
  <c r="AT148" i="24" s="1"/>
  <c r="AJ33" i="24"/>
  <c r="AT33" i="24" s="1"/>
  <c r="AJ172" i="24"/>
  <c r="AT172" i="24" s="1"/>
  <c r="AJ46" i="24"/>
  <c r="AT46" i="24" s="1"/>
  <c r="AJ167" i="24"/>
  <c r="AT167" i="24" s="1"/>
  <c r="AJ52" i="24"/>
  <c r="AV52" i="24" s="1"/>
  <c r="AJ67" i="24"/>
  <c r="AT67" i="24" s="1"/>
  <c r="AJ152" i="24"/>
  <c r="AT152" i="24" s="1"/>
  <c r="AJ38" i="24"/>
  <c r="AT38" i="24" s="1"/>
  <c r="AJ51" i="24"/>
  <c r="AV51" i="24" s="1"/>
  <c r="AJ304" i="24"/>
  <c r="AT304" i="24" s="1"/>
  <c r="AJ47" i="24"/>
  <c r="AT47" i="24" s="1"/>
  <c r="AJ86" i="24"/>
  <c r="AV86" i="24" s="1"/>
  <c r="AJ58" i="24"/>
  <c r="AV58" i="24" s="1"/>
  <c r="AJ111" i="24"/>
  <c r="AT111" i="24" s="1"/>
  <c r="AJ139" i="24"/>
  <c r="AT139" i="24" s="1"/>
  <c r="AJ100" i="24"/>
  <c r="AT100" i="24" s="1"/>
  <c r="AJ64" i="24"/>
  <c r="AV64" i="24" s="1"/>
  <c r="AJ9" i="24"/>
  <c r="AV9" i="24" s="1"/>
  <c r="AJ73" i="24"/>
  <c r="AV73" i="24" s="1"/>
  <c r="AJ205" i="24"/>
  <c r="AT205" i="24" s="1"/>
  <c r="AJ220" i="24"/>
  <c r="AT220" i="24" s="1"/>
  <c r="AJ53" i="24"/>
  <c r="AV53" i="24" s="1"/>
  <c r="AJ24" i="24"/>
  <c r="AV24" i="24" s="1"/>
  <c r="AJ91" i="24"/>
  <c r="AV91" i="24" s="1"/>
  <c r="AJ29" i="24"/>
  <c r="AT29" i="24" s="1"/>
  <c r="AJ6" i="24"/>
  <c r="AT6" i="24" s="1"/>
  <c r="AJ179" i="24"/>
  <c r="AT179" i="24" s="1"/>
  <c r="AJ125" i="24"/>
  <c r="AT125" i="24" s="1"/>
  <c r="AJ248" i="24"/>
  <c r="AT248" i="24" s="1"/>
  <c r="AJ31" i="24"/>
  <c r="AT31" i="24" s="1"/>
  <c r="AJ247" i="24"/>
  <c r="AT247" i="24" s="1"/>
  <c r="AJ219" i="24"/>
  <c r="AT219" i="24" s="1"/>
  <c r="AJ120" i="24"/>
  <c r="AT120" i="24" s="1"/>
  <c r="AJ21" i="24"/>
  <c r="AV21" i="24" s="1"/>
  <c r="AJ311" i="24"/>
  <c r="AT311" i="24" s="1"/>
  <c r="AJ26" i="24"/>
  <c r="AT26" i="24" s="1"/>
  <c r="AJ127" i="24"/>
  <c r="AT127" i="24" s="1"/>
  <c r="AJ310" i="24"/>
  <c r="AT310" i="24" s="1"/>
  <c r="AJ239" i="24"/>
  <c r="AT239" i="24" s="1"/>
  <c r="AJ233" i="24"/>
  <c r="AT233" i="24" s="1"/>
  <c r="AJ287" i="24"/>
  <c r="AT287" i="24" s="1"/>
  <c r="AJ228" i="24"/>
  <c r="AT228" i="24" s="1"/>
  <c r="AJ236" i="24"/>
  <c r="AT236" i="24" s="1"/>
  <c r="AJ305" i="24"/>
  <c r="AT305" i="24" s="1"/>
  <c r="AJ229" i="24"/>
  <c r="AT229" i="24" s="1"/>
  <c r="AJ224" i="24"/>
  <c r="AT224" i="24" s="1"/>
  <c r="AJ235" i="24"/>
  <c r="AT235" i="24" s="1"/>
  <c r="AJ243" i="24"/>
  <c r="AT243" i="24" s="1"/>
  <c r="AJ276" i="24"/>
  <c r="AT276" i="24" s="1"/>
  <c r="AJ302" i="24"/>
  <c r="AT302" i="24" s="1"/>
  <c r="AJ221" i="24"/>
  <c r="AT221" i="24" s="1"/>
  <c r="AJ241" i="24"/>
  <c r="AT241" i="24" s="1"/>
  <c r="AJ231" i="24"/>
  <c r="AT231" i="24" s="1"/>
  <c r="AJ258" i="24"/>
  <c r="AT258" i="24" s="1"/>
  <c r="AJ315" i="24"/>
  <c r="AT315" i="24" s="1"/>
  <c r="AJ280" i="24"/>
  <c r="AT280" i="24" s="1"/>
  <c r="AJ239" i="25"/>
  <c r="AJ222" i="24"/>
  <c r="AT222" i="24" s="1"/>
  <c r="AJ293" i="24"/>
  <c r="AT293" i="24" s="1"/>
  <c r="AJ275" i="24"/>
  <c r="AT275" i="24" s="1"/>
  <c r="AJ249" i="24"/>
  <c r="AT249" i="24" s="1"/>
  <c r="AJ227" i="24"/>
  <c r="AT227" i="24" s="1"/>
  <c r="AJ283" i="24"/>
  <c r="AT283" i="24" s="1"/>
  <c r="AJ274" i="24"/>
  <c r="AT274" i="24" s="1"/>
  <c r="AJ312" i="24"/>
  <c r="AT312" i="24" s="1"/>
  <c r="AJ230" i="24"/>
  <c r="AT230" i="24" s="1"/>
  <c r="AJ273" i="24"/>
  <c r="AT273" i="24" s="1"/>
  <c r="AJ314" i="24"/>
  <c r="AT314" i="24" s="1"/>
  <c r="AJ242" i="24"/>
  <c r="AT242" i="24" s="1"/>
  <c r="AG23" i="24"/>
  <c r="AF23" i="24"/>
  <c r="AF196" i="24"/>
  <c r="AG196" i="24"/>
  <c r="AF199" i="24"/>
  <c r="AG199" i="24"/>
  <c r="AF169" i="24"/>
  <c r="AG169" i="24"/>
  <c r="AG278" i="24"/>
  <c r="AF278" i="24"/>
  <c r="AF101" i="24"/>
  <c r="AG101" i="24"/>
  <c r="AF56" i="24"/>
  <c r="AG56" i="24"/>
  <c r="AF37" i="24"/>
  <c r="AG37" i="24"/>
  <c r="AJ301" i="24"/>
  <c r="AT301" i="24" s="1"/>
  <c r="AJ121" i="24"/>
  <c r="AJ80" i="24"/>
  <c r="AG137" i="24"/>
  <c r="AF137" i="24"/>
  <c r="AF264" i="24"/>
  <c r="AG264" i="24"/>
  <c r="AF234" i="24"/>
  <c r="AG234" i="24"/>
  <c r="AF268" i="24"/>
  <c r="AG268" i="24"/>
  <c r="AF19" i="24"/>
  <c r="AG19" i="24"/>
  <c r="AF82" i="24"/>
  <c r="AG82" i="24"/>
  <c r="AF89" i="24"/>
  <c r="AG89" i="24"/>
  <c r="AF240" i="24"/>
  <c r="AG240" i="24"/>
  <c r="AF116" i="24"/>
  <c r="AG116" i="24"/>
  <c r="AJ259" i="25"/>
  <c r="AM259" i="25"/>
  <c r="CI259" i="25" s="1"/>
  <c r="AF263" i="24"/>
  <c r="AG263" i="24"/>
  <c r="AF300" i="24"/>
  <c r="AG300" i="24"/>
  <c r="AF113" i="24"/>
  <c r="AG113" i="24"/>
  <c r="AF315" i="24"/>
  <c r="AG315" i="24"/>
  <c r="AF243" i="24"/>
  <c r="AG243" i="24"/>
  <c r="AF63" i="24"/>
  <c r="AG63" i="24"/>
  <c r="AF71" i="24"/>
  <c r="AG71" i="24"/>
  <c r="AF309" i="24"/>
  <c r="AG309" i="24"/>
  <c r="AG289" i="24"/>
  <c r="AF289" i="24"/>
  <c r="AF229" i="24"/>
  <c r="AG229" i="24"/>
  <c r="AF260" i="24"/>
  <c r="AG260" i="24"/>
  <c r="AF90" i="24"/>
  <c r="AG90" i="24"/>
  <c r="AG164" i="24"/>
  <c r="AF164" i="24"/>
  <c r="AF166" i="24"/>
  <c r="AG166" i="24"/>
  <c r="AJ281" i="24"/>
  <c r="AT281" i="24" s="1"/>
  <c r="AF118" i="24"/>
  <c r="AG118" i="24"/>
  <c r="AF94" i="24"/>
  <c r="AG94" i="24"/>
  <c r="AG244" i="24"/>
  <c r="AF244" i="24"/>
  <c r="AF133" i="24"/>
  <c r="AG133" i="24"/>
  <c r="AF14" i="24"/>
  <c r="AG14" i="24"/>
  <c r="AJ260" i="24"/>
  <c r="AT260" i="24" s="1"/>
  <c r="AJ117" i="24"/>
  <c r="AF262" i="24"/>
  <c r="AG262" i="24"/>
  <c r="AF31" i="24"/>
  <c r="AG31" i="24"/>
  <c r="AF247" i="24"/>
  <c r="AG247" i="24"/>
  <c r="AF35" i="24"/>
  <c r="AG35" i="24"/>
  <c r="AJ278" i="24"/>
  <c r="AT278" i="24" s="1"/>
  <c r="AJ174" i="24"/>
  <c r="AJ28" i="24"/>
  <c r="AG138" i="24"/>
  <c r="AF138" i="24"/>
  <c r="AJ54" i="24"/>
  <c r="AJ10" i="24"/>
  <c r="AF180" i="24"/>
  <c r="AG180" i="24"/>
  <c r="AJ39" i="24"/>
  <c r="AF6" i="24"/>
  <c r="AG6" i="24"/>
  <c r="AY135" i="25"/>
  <c r="AW135" i="25"/>
  <c r="AF178" i="24"/>
  <c r="AG178" i="24"/>
  <c r="AG21" i="24"/>
  <c r="AF21" i="24"/>
  <c r="AG266" i="24"/>
  <c r="AF266" i="24"/>
  <c r="AJ170" i="24"/>
  <c r="AJ238" i="24"/>
  <c r="AT238" i="24" s="1"/>
  <c r="AF88" i="24"/>
  <c r="AG88" i="24"/>
  <c r="AJ164" i="24"/>
  <c r="AJ18" i="24"/>
  <c r="AF193" i="24"/>
  <c r="AG193" i="24"/>
  <c r="AJ93" i="24"/>
  <c r="AJ16" i="24"/>
  <c r="AF173" i="24"/>
  <c r="AG173" i="24"/>
  <c r="AJ259" i="24"/>
  <c r="AT259" i="24" s="1"/>
  <c r="AF279" i="24"/>
  <c r="AG279" i="24"/>
  <c r="AJ298" i="24"/>
  <c r="AT298" i="24" s="1"/>
  <c r="AG241" i="24"/>
  <c r="AF241" i="24"/>
  <c r="AJ303" i="24"/>
  <c r="AT303" i="24" s="1"/>
  <c r="AG150" i="24"/>
  <c r="AF150" i="24"/>
  <c r="AF233" i="24"/>
  <c r="AG233" i="24"/>
  <c r="AF287" i="24"/>
  <c r="AG287" i="24"/>
  <c r="AJ8" i="24"/>
  <c r="AF311" i="24"/>
  <c r="AG311" i="24"/>
  <c r="AF131" i="24"/>
  <c r="AG131" i="24"/>
  <c r="AF194" i="24"/>
  <c r="AG194" i="24"/>
  <c r="AJ12" i="24"/>
  <c r="AG153" i="24"/>
  <c r="AF153" i="24"/>
  <c r="AF87" i="24"/>
  <c r="AG87" i="24"/>
  <c r="AJ308" i="24"/>
  <c r="AT308" i="24" s="1"/>
  <c r="AF261" i="24"/>
  <c r="AG261" i="24"/>
  <c r="AG179" i="24"/>
  <c r="AF179" i="24"/>
  <c r="AJ246" i="24"/>
  <c r="AT246" i="24" s="1"/>
  <c r="AJ234" i="24"/>
  <c r="AT234" i="24" s="1"/>
  <c r="AF84" i="24"/>
  <c r="AG84" i="24"/>
  <c r="AJ232" i="24"/>
  <c r="AT232" i="24" s="1"/>
  <c r="AF111" i="24"/>
  <c r="AG111" i="24"/>
  <c r="AF307" i="24"/>
  <c r="AG307" i="24"/>
  <c r="AG139" i="24"/>
  <c r="AF139" i="24"/>
  <c r="AJ122" i="24"/>
  <c r="AJ184" i="24"/>
  <c r="AG245" i="24"/>
  <c r="AF245" i="24"/>
  <c r="AF112" i="24"/>
  <c r="AG112" i="24"/>
  <c r="AJ240" i="24"/>
  <c r="AT240" i="24" s="1"/>
  <c r="AG197" i="24"/>
  <c r="AF197" i="24"/>
  <c r="AG265" i="24"/>
  <c r="AF265" i="24"/>
  <c r="AF91" i="24"/>
  <c r="AG91" i="24"/>
  <c r="AJ263" i="24"/>
  <c r="AT263" i="24" s="1"/>
  <c r="AJ151" i="24"/>
  <c r="AF72" i="24"/>
  <c r="AG72" i="24"/>
  <c r="AJ113" i="24"/>
  <c r="AJ83" i="24"/>
  <c r="AF251" i="24"/>
  <c r="AG251" i="24"/>
  <c r="AJ68" i="24"/>
  <c r="AF206" i="24"/>
  <c r="AG206" i="24"/>
  <c r="AG102" i="24"/>
  <c r="AF102" i="24"/>
  <c r="AG43" i="24"/>
  <c r="AF43" i="24"/>
  <c r="AF149" i="24"/>
  <c r="AG149" i="24"/>
  <c r="AG267" i="24"/>
  <c r="AF267" i="24"/>
  <c r="AJ57" i="24"/>
  <c r="AJ284" i="24"/>
  <c r="AT284" i="24" s="1"/>
  <c r="AJ225" i="24"/>
  <c r="AT225" i="24" s="1"/>
  <c r="AF255" i="24"/>
  <c r="AG255" i="24"/>
  <c r="AJ244" i="24"/>
  <c r="AT244" i="24" s="1"/>
  <c r="AF117" i="24"/>
  <c r="AG117" i="24"/>
  <c r="AJ135" i="25"/>
  <c r="AM135" i="25"/>
  <c r="AF76" i="24"/>
  <c r="AG76" i="24"/>
  <c r="AJ253" i="24"/>
  <c r="AT253" i="24" s="1"/>
  <c r="AJ35" i="24"/>
  <c r="AJ154" i="24"/>
  <c r="AG28" i="24"/>
  <c r="AF28" i="24"/>
  <c r="AF210" i="24"/>
  <c r="AG210" i="24"/>
  <c r="AF54" i="24"/>
  <c r="AG54" i="24"/>
  <c r="AG66" i="24"/>
  <c r="AF66" i="24"/>
  <c r="AF10" i="24"/>
  <c r="AG10" i="24"/>
  <c r="AF39" i="24"/>
  <c r="AG39" i="24"/>
  <c r="AJ178" i="24"/>
  <c r="AF27" i="24"/>
  <c r="AG27" i="24"/>
  <c r="AG203" i="24"/>
  <c r="AF203" i="24"/>
  <c r="AJ266" i="24"/>
  <c r="AT266" i="24" s="1"/>
  <c r="AG170" i="24"/>
  <c r="AF170" i="24"/>
  <c r="AG238" i="24"/>
  <c r="AF238" i="24"/>
  <c r="AJ88" i="24"/>
  <c r="AF219" i="24"/>
  <c r="AG219" i="24"/>
  <c r="AG7" i="24"/>
  <c r="AF7" i="24"/>
  <c r="AJ13" i="24"/>
  <c r="AF294" i="24"/>
  <c r="AG294" i="24"/>
  <c r="AF18" i="24"/>
  <c r="AG18" i="24"/>
  <c r="AJ134" i="24"/>
  <c r="AF62" i="24"/>
  <c r="AG62" i="24"/>
  <c r="AG93" i="24"/>
  <c r="AF93" i="24"/>
  <c r="AF16" i="24"/>
  <c r="AG16" i="24"/>
  <c r="AF97" i="24"/>
  <c r="AG97" i="24"/>
  <c r="AF259" i="24"/>
  <c r="AG259" i="24"/>
  <c r="AJ279" i="24"/>
  <c r="AT279" i="24" s="1"/>
  <c r="AG298" i="24"/>
  <c r="AF298" i="24"/>
  <c r="AG188" i="24"/>
  <c r="AF188" i="24"/>
  <c r="AG303" i="24"/>
  <c r="AF303" i="24"/>
  <c r="AG24" i="24"/>
  <c r="AF24" i="24"/>
  <c r="AF8" i="24"/>
  <c r="AG8" i="24"/>
  <c r="AJ288" i="24"/>
  <c r="AT288" i="24" s="1"/>
  <c r="AF12" i="24"/>
  <c r="AG12" i="24"/>
  <c r="AF299" i="24"/>
  <c r="AG299" i="24"/>
  <c r="AF231" i="24"/>
  <c r="AG231" i="24"/>
  <c r="AF308" i="24"/>
  <c r="AG308" i="24"/>
  <c r="AF50" i="24"/>
  <c r="AG50" i="24"/>
  <c r="AG246" i="24"/>
  <c r="AF246" i="24"/>
  <c r="AJ226" i="24"/>
  <c r="AT226" i="24" s="1"/>
  <c r="AJ142" i="24"/>
  <c r="AG232" i="24"/>
  <c r="AF232" i="24"/>
  <c r="AF314" i="24"/>
  <c r="AG314" i="24"/>
  <c r="AJ307" i="24"/>
  <c r="AT307" i="24" s="1"/>
  <c r="AF122" i="24"/>
  <c r="AG122" i="24"/>
  <c r="AF184" i="24"/>
  <c r="AG184" i="24"/>
  <c r="AJ245" i="24"/>
  <c r="AT245" i="24" s="1"/>
  <c r="AJ112" i="24"/>
  <c r="AF100" i="24"/>
  <c r="AG100" i="24"/>
  <c r="AF162" i="24"/>
  <c r="AG162" i="24"/>
  <c r="AF151" i="24"/>
  <c r="AG151" i="24"/>
  <c r="AF242" i="24"/>
  <c r="AG242" i="24"/>
  <c r="AG83" i="24"/>
  <c r="AF83" i="24"/>
  <c r="AF68" i="24"/>
  <c r="AG68" i="24"/>
  <c r="AF42" i="24"/>
  <c r="AG42" i="24"/>
  <c r="AF201" i="24"/>
  <c r="AG201" i="24"/>
  <c r="AF306" i="24"/>
  <c r="AG306" i="24"/>
  <c r="AF270" i="24"/>
  <c r="AG270" i="24"/>
  <c r="AG17" i="24"/>
  <c r="AF17" i="24"/>
  <c r="AF55" i="24"/>
  <c r="AG55" i="24"/>
  <c r="AF174" i="24"/>
  <c r="AG174" i="24"/>
  <c r="AF99" i="24"/>
  <c r="AG99" i="24"/>
  <c r="AG157" i="24"/>
  <c r="AF157" i="24"/>
  <c r="AG132" i="24"/>
  <c r="AF132" i="24"/>
  <c r="AF290" i="24"/>
  <c r="AG290" i="24"/>
  <c r="AJ291" i="24"/>
  <c r="AT291" i="24" s="1"/>
  <c r="AG253" i="24"/>
  <c r="AF253" i="24"/>
  <c r="AF26" i="24"/>
  <c r="AG26" i="24"/>
  <c r="AG154" i="24"/>
  <c r="AF154" i="24"/>
  <c r="AF127" i="24"/>
  <c r="AG127" i="24"/>
  <c r="AF22" i="24"/>
  <c r="AG22" i="24"/>
  <c r="AF41" i="24"/>
  <c r="AG41" i="24"/>
  <c r="AF96" i="24"/>
  <c r="AG96" i="24"/>
  <c r="AG13" i="24"/>
  <c r="AF13" i="24"/>
  <c r="AJ49" i="24"/>
  <c r="AF271" i="24"/>
  <c r="AG271" i="24"/>
  <c r="AF134" i="24"/>
  <c r="AG134" i="24"/>
  <c r="AJ313" i="24"/>
  <c r="AT313" i="24" s="1"/>
  <c r="AF47" i="24"/>
  <c r="AG47" i="24"/>
  <c r="AG77" i="24"/>
  <c r="AA77" i="24"/>
  <c r="AB77" i="24" s="1"/>
  <c r="AC77" i="24" s="1"/>
  <c r="AJ77" i="24" s="1"/>
  <c r="AF172" i="24"/>
  <c r="AG172" i="24"/>
  <c r="AF32" i="24"/>
  <c r="AG32" i="24"/>
  <c r="AJ299" i="24"/>
  <c r="AT299" i="24" s="1"/>
  <c r="AJ217" i="24"/>
  <c r="AT217" i="24" s="1"/>
  <c r="AF95" i="24"/>
  <c r="AG95" i="24"/>
  <c r="AJ50" i="24"/>
  <c r="AJ160" i="24"/>
  <c r="AF226" i="24"/>
  <c r="AG226" i="24"/>
  <c r="AG276" i="24"/>
  <c r="AF276" i="24"/>
  <c r="AG142" i="24"/>
  <c r="AF142" i="24"/>
  <c r="AF161" i="24"/>
  <c r="AG161" i="24"/>
  <c r="AJ44" i="24"/>
  <c r="AJ256" i="24"/>
  <c r="AT256" i="24" s="1"/>
  <c r="AF25" i="24"/>
  <c r="AG25" i="24"/>
  <c r="AG274" i="24"/>
  <c r="AF274" i="24"/>
  <c r="AJ135" i="24"/>
  <c r="AG224" i="24"/>
  <c r="AF224" i="24"/>
  <c r="AF126" i="24"/>
  <c r="AG126" i="24"/>
  <c r="AJ162" i="24"/>
  <c r="AF64" i="24"/>
  <c r="AG64" i="24"/>
  <c r="AF140" i="24"/>
  <c r="AG140" i="24"/>
  <c r="AF316" i="24"/>
  <c r="AG316" i="24"/>
  <c r="AJ282" i="24"/>
  <c r="AT282" i="24" s="1"/>
  <c r="AG20" i="24"/>
  <c r="AF20" i="24"/>
  <c r="AF272" i="24"/>
  <c r="AG272" i="24"/>
  <c r="AG237" i="24"/>
  <c r="AF237" i="24"/>
  <c r="AF222" i="24"/>
  <c r="AG222" i="24"/>
  <c r="AG147" i="24"/>
  <c r="AF147" i="24"/>
  <c r="AG158" i="24"/>
  <c r="AF158" i="24"/>
  <c r="AF81" i="24"/>
  <c r="AG81" i="24"/>
  <c r="AJ129" i="24"/>
  <c r="AJ99" i="24"/>
  <c r="AG123" i="24"/>
  <c r="AF123" i="24"/>
  <c r="AJ36" i="24"/>
  <c r="AF218" i="24"/>
  <c r="AG218" i="24"/>
  <c r="AF103" i="24"/>
  <c r="AG103" i="24"/>
  <c r="AJ45" i="24"/>
  <c r="AF52" i="24"/>
  <c r="AG52" i="24"/>
  <c r="AF291" i="24"/>
  <c r="AG291" i="24"/>
  <c r="AF9" i="24"/>
  <c r="AG9" i="24"/>
  <c r="AF192" i="24"/>
  <c r="AG192" i="24"/>
  <c r="AF310" i="24"/>
  <c r="AG310" i="24"/>
  <c r="AF120" i="24"/>
  <c r="AG120" i="24"/>
  <c r="AF136" i="24"/>
  <c r="AG136" i="24"/>
  <c r="AJ114" i="24"/>
  <c r="AG75" i="24"/>
  <c r="AF75" i="24"/>
  <c r="AJ34" i="24"/>
  <c r="AJ124" i="24"/>
  <c r="AF61" i="24"/>
  <c r="AG61" i="24"/>
  <c r="AF49" i="24"/>
  <c r="AG49" i="24"/>
  <c r="AF69" i="24"/>
  <c r="AG69" i="24"/>
  <c r="AF286" i="24"/>
  <c r="AG286" i="24"/>
  <c r="AG175" i="24"/>
  <c r="AF175" i="24"/>
  <c r="AG313" i="24"/>
  <c r="AF313" i="24"/>
  <c r="AJ92" i="24"/>
  <c r="AJ104" i="24"/>
  <c r="AJ146" i="24"/>
  <c r="AF283" i="24"/>
  <c r="AG283" i="24"/>
  <c r="AJ168" i="24"/>
  <c r="AF292" i="24"/>
  <c r="AG292" i="24"/>
  <c r="AG254" i="24"/>
  <c r="AF254" i="24"/>
  <c r="AG288" i="24"/>
  <c r="AF288" i="24"/>
  <c r="AJ74" i="24"/>
  <c r="AF217" i="24"/>
  <c r="AG217" i="24"/>
  <c r="AJ95" i="24"/>
  <c r="AF160" i="24"/>
  <c r="AG160" i="24"/>
  <c r="AF159" i="24"/>
  <c r="AG159" i="24"/>
  <c r="AF297" i="24"/>
  <c r="AG297" i="24"/>
  <c r="AJ25" i="24"/>
  <c r="AJ119" i="24"/>
  <c r="AF79" i="24"/>
  <c r="AG79" i="24"/>
  <c r="AF135" i="24"/>
  <c r="AG135" i="24"/>
  <c r="AF186" i="24"/>
  <c r="AG186" i="24"/>
  <c r="AG46" i="24"/>
  <c r="AF46" i="24"/>
  <c r="AG258" i="24"/>
  <c r="AF258" i="24"/>
  <c r="AF60" i="24"/>
  <c r="AG60" i="24"/>
  <c r="AG235" i="24"/>
  <c r="AF235" i="24"/>
  <c r="AJ98" i="24"/>
  <c r="AF167" i="24"/>
  <c r="AG167" i="24"/>
  <c r="AF282" i="24"/>
  <c r="AG282" i="24"/>
  <c r="AJ209" i="24"/>
  <c r="AG73" i="24"/>
  <c r="AF73" i="24"/>
  <c r="AF163" i="24"/>
  <c r="AG163" i="24"/>
  <c r="AF208" i="24"/>
  <c r="AG208" i="24"/>
  <c r="AF227" i="24"/>
  <c r="AG227" i="24"/>
  <c r="AF273" i="24"/>
  <c r="AG273" i="24"/>
  <c r="AG202" i="24"/>
  <c r="AF202" i="24"/>
  <c r="AF296" i="24"/>
  <c r="AG296" i="24"/>
  <c r="AF129" i="24"/>
  <c r="AG129" i="24"/>
  <c r="AG223" i="24"/>
  <c r="AF223" i="24"/>
  <c r="AF70" i="24"/>
  <c r="AG70" i="24"/>
  <c r="AJ237" i="24"/>
  <c r="AT237" i="24" s="1"/>
  <c r="AF125" i="24"/>
  <c r="AG125" i="24"/>
  <c r="AF36" i="24"/>
  <c r="AG36" i="24"/>
  <c r="AG221" i="24"/>
  <c r="AF221" i="24"/>
  <c r="AG45" i="24"/>
  <c r="AF45" i="24"/>
  <c r="AF67" i="24"/>
  <c r="AG67" i="24"/>
  <c r="AF220" i="24"/>
  <c r="AG220" i="24"/>
  <c r="AF152" i="24"/>
  <c r="AG152" i="24"/>
  <c r="AJ23" i="24"/>
  <c r="AF114" i="24"/>
  <c r="AG114" i="24"/>
  <c r="AJ295" i="24"/>
  <c r="AT295" i="24" s="1"/>
  <c r="AJ85" i="24"/>
  <c r="AF34" i="24"/>
  <c r="AG34" i="24"/>
  <c r="AF304" i="24"/>
  <c r="AG304" i="24"/>
  <c r="AF195" i="24"/>
  <c r="AG195" i="24"/>
  <c r="AF148" i="24"/>
  <c r="AG148" i="24"/>
  <c r="AF124" i="24"/>
  <c r="AG124" i="24"/>
  <c r="AF33" i="24"/>
  <c r="AG33" i="24"/>
  <c r="AJ43" i="24"/>
  <c r="AJ69" i="24"/>
  <c r="AG78" i="24"/>
  <c r="AF78" i="24"/>
  <c r="AJ250" i="24"/>
  <c r="AT250" i="24" s="1"/>
  <c r="AG11" i="24"/>
  <c r="AF11" i="24"/>
  <c r="AF130" i="24"/>
  <c r="AG130" i="24"/>
  <c r="AJ158" i="24"/>
  <c r="AF198" i="24"/>
  <c r="AG198" i="24"/>
  <c r="AF92" i="24"/>
  <c r="AG92" i="24"/>
  <c r="AF104" i="24"/>
  <c r="AG104" i="24"/>
  <c r="AF48" i="24"/>
  <c r="AG48" i="24"/>
  <c r="AF146" i="24"/>
  <c r="AG146" i="24"/>
  <c r="AF168" i="24"/>
  <c r="AG168" i="24"/>
  <c r="AG74" i="24"/>
  <c r="AF74" i="24"/>
  <c r="AF58" i="24"/>
  <c r="AG58" i="24"/>
  <c r="AG182" i="24"/>
  <c r="AF182" i="24"/>
  <c r="AF177" i="24"/>
  <c r="AG177" i="24"/>
  <c r="AF44" i="24"/>
  <c r="AG44" i="24"/>
  <c r="AF256" i="24"/>
  <c r="AG256" i="24"/>
  <c r="AG305" i="24"/>
  <c r="AF305" i="24"/>
  <c r="AF119" i="24"/>
  <c r="AG119" i="24"/>
  <c r="AG257" i="24"/>
  <c r="AF257" i="24"/>
  <c r="AF171" i="24"/>
  <c r="AG171" i="24"/>
  <c r="AJ60" i="24"/>
  <c r="AJ128" i="24"/>
  <c r="AF269" i="24"/>
  <c r="AG269" i="24"/>
  <c r="AF98" i="24"/>
  <c r="AG98" i="24"/>
  <c r="AG209" i="24"/>
  <c r="AF209" i="24"/>
  <c r="AG128" i="24"/>
  <c r="AF128" i="24"/>
  <c r="AF302" i="24"/>
  <c r="AG302" i="24"/>
  <c r="AG295" i="24"/>
  <c r="AF295" i="24"/>
  <c r="AG85" i="24"/>
  <c r="AF85" i="24"/>
  <c r="AG285" i="24"/>
  <c r="AF285" i="24"/>
  <c r="AF312" i="24"/>
  <c r="AG312" i="24"/>
  <c r="AF187" i="24"/>
  <c r="AG187" i="24"/>
  <c r="AG204" i="24"/>
  <c r="AF204" i="24"/>
  <c r="AG228" i="24"/>
  <c r="AF228" i="24"/>
  <c r="AF40" i="24"/>
  <c r="AG40" i="24"/>
  <c r="AF57" i="24"/>
  <c r="AG57" i="24"/>
  <c r="AJ102" i="24"/>
  <c r="AF189" i="24"/>
  <c r="AG189" i="24"/>
  <c r="AF248" i="24"/>
  <c r="AG248" i="24"/>
  <c r="AJ42" i="24"/>
  <c r="AF29" i="24"/>
  <c r="AG29" i="24"/>
  <c r="AF207" i="24"/>
  <c r="AG207" i="24"/>
  <c r="AF143" i="24"/>
  <c r="AG143" i="24"/>
  <c r="AJ169" i="24"/>
  <c r="AF205" i="24"/>
  <c r="AG205" i="24"/>
  <c r="AF293" i="24"/>
  <c r="AG293" i="24"/>
  <c r="AF284" i="24"/>
  <c r="AG284" i="24"/>
  <c r="AG225" i="24"/>
  <c r="AF225" i="24"/>
  <c r="AG15" i="24"/>
  <c r="AF15" i="24"/>
  <c r="AJ90" i="24"/>
  <c r="AG53" i="24"/>
  <c r="AF53" i="24"/>
  <c r="AF275" i="24"/>
  <c r="AG275" i="24"/>
  <c r="AF38" i="24"/>
  <c r="AG38" i="24"/>
  <c r="AJ147" i="24"/>
  <c r="AF51" i="24"/>
  <c r="AG51" i="24"/>
  <c r="AG249" i="24"/>
  <c r="AF249" i="24"/>
  <c r="AG183" i="24"/>
  <c r="AF183" i="24"/>
  <c r="AG239" i="24"/>
  <c r="AF239" i="24"/>
  <c r="AG281" i="24"/>
  <c r="AF281" i="24"/>
  <c r="AG165" i="24"/>
  <c r="AF165" i="24"/>
  <c r="AF144" i="24"/>
  <c r="AG144" i="24"/>
  <c r="AG250" i="24"/>
  <c r="AF250" i="24"/>
  <c r="AF191" i="24"/>
  <c r="AG191" i="24"/>
  <c r="AF145" i="24"/>
  <c r="AG145" i="24"/>
  <c r="AG30" i="24"/>
  <c r="AF30" i="24"/>
  <c r="AJ94" i="24"/>
  <c r="AF301" i="24"/>
  <c r="AG301" i="24"/>
  <c r="AJ149" i="24"/>
  <c r="AF59" i="24"/>
  <c r="AG59" i="24"/>
  <c r="AF121" i="24"/>
  <c r="AG121" i="24"/>
  <c r="AF80" i="24"/>
  <c r="AG80" i="24"/>
  <c r="AJ267" i="24"/>
  <c r="AT267" i="24" s="1"/>
  <c r="AF181" i="24"/>
  <c r="AG181" i="24"/>
  <c r="AF141" i="24"/>
  <c r="AG141" i="24"/>
  <c r="AJ264" i="24"/>
  <c r="AT264" i="24" s="1"/>
  <c r="AG86" i="24"/>
  <c r="AF86" i="24"/>
  <c r="AF185" i="24"/>
  <c r="AG185" i="24"/>
  <c r="AJ268" i="24"/>
  <c r="AT268" i="24" s="1"/>
  <c r="AF190" i="24"/>
  <c r="AG190" i="24"/>
  <c r="AF277" i="24"/>
  <c r="AG277" i="24"/>
  <c r="AF65" i="24"/>
  <c r="AG65" i="24"/>
  <c r="AF156" i="24"/>
  <c r="AG156" i="24"/>
  <c r="AF236" i="24"/>
  <c r="AG236" i="24"/>
  <c r="AJ82" i="24"/>
  <c r="AJ89" i="24"/>
  <c r="AF280" i="24"/>
  <c r="AG280" i="24"/>
  <c r="AF176" i="24"/>
  <c r="AG176" i="24"/>
  <c r="AJ116" i="24"/>
  <c r="AF115" i="24"/>
  <c r="AG115" i="24"/>
  <c r="AG252" i="24"/>
  <c r="AF252" i="24"/>
  <c r="AJ300" i="24"/>
  <c r="AT300" i="24" s="1"/>
  <c r="AF155" i="24"/>
  <c r="AG155" i="24"/>
  <c r="AJ296" i="24"/>
  <c r="AT296" i="24" s="1"/>
  <c r="AF105" i="24"/>
  <c r="AG105" i="24"/>
  <c r="AG200" i="24"/>
  <c r="AF200" i="24"/>
  <c r="AF230" i="24"/>
  <c r="AG230" i="24"/>
  <c r="AJ63" i="24"/>
  <c r="AJ71" i="24"/>
  <c r="AM84" i="25"/>
  <c r="BM84" i="25" s="1"/>
  <c r="AJ84" i="25"/>
  <c r="AP201" i="25"/>
  <c r="AR201" i="25"/>
  <c r="BJ201" i="25"/>
  <c r="BK201" i="25"/>
  <c r="CA201" i="25"/>
  <c r="BX201" i="25"/>
  <c r="BI201" i="25"/>
  <c r="AR239" i="25"/>
  <c r="AP239" i="25"/>
  <c r="BK151" i="25"/>
  <c r="BJ151" i="25"/>
  <c r="AR151" i="25"/>
  <c r="AP151" i="25"/>
  <c r="BX151" i="25"/>
  <c r="BI151" i="25"/>
  <c r="CA151" i="25"/>
  <c r="AM152" i="25"/>
  <c r="AJ152" i="25"/>
  <c r="CA127" i="25"/>
  <c r="BJ127" i="25"/>
  <c r="BK127" i="25"/>
  <c r="AR127" i="25"/>
  <c r="AP127" i="25"/>
  <c r="BI127" i="25"/>
  <c r="BX127" i="25"/>
  <c r="AR171" i="25"/>
  <c r="BJ171" i="25"/>
  <c r="BK171" i="25"/>
  <c r="AP171" i="25"/>
  <c r="BX171" i="25"/>
  <c r="CA171" i="25"/>
  <c r="BI171" i="25"/>
  <c r="AJ62" i="25"/>
  <c r="AM62" i="25"/>
  <c r="BM62" i="25" s="1"/>
  <c r="AM63" i="25"/>
  <c r="AJ63" i="25"/>
  <c r="AJ48" i="25"/>
  <c r="AM48" i="25"/>
  <c r="AY139" i="25"/>
  <c r="AW139" i="25"/>
  <c r="AP242" i="25"/>
  <c r="AR242" i="25"/>
  <c r="AJ96" i="25"/>
  <c r="AM96" i="25"/>
  <c r="AM287" i="25"/>
  <c r="CI287" i="25" s="1"/>
  <c r="AJ287" i="25"/>
  <c r="AR253" i="25"/>
  <c r="AP253" i="25"/>
  <c r="AJ64" i="25"/>
  <c r="AM64" i="25"/>
  <c r="AJ280" i="25"/>
  <c r="AM280" i="25"/>
  <c r="CI280" i="25" s="1"/>
  <c r="BK177" i="25"/>
  <c r="BJ177" i="25"/>
  <c r="AR177" i="25"/>
  <c r="AP177" i="25"/>
  <c r="BI177" i="25"/>
  <c r="CA177" i="25"/>
  <c r="BX177" i="25"/>
  <c r="BK160" i="25"/>
  <c r="BJ160" i="25"/>
  <c r="AR160" i="25"/>
  <c r="AP160" i="25"/>
  <c r="BI160" i="25"/>
  <c r="BX160" i="25"/>
  <c r="CA160" i="25"/>
  <c r="AR281" i="25"/>
  <c r="AP281" i="25"/>
  <c r="AJ100" i="25"/>
  <c r="AM100" i="25"/>
  <c r="AJ226" i="25"/>
  <c r="AM226" i="25"/>
  <c r="AW208" i="25"/>
  <c r="AY208" i="25"/>
  <c r="AJ104" i="25"/>
  <c r="AM104" i="25"/>
  <c r="AJ221" i="25"/>
  <c r="AM221" i="25"/>
  <c r="AW153" i="25"/>
  <c r="AY153" i="25"/>
  <c r="CA196" i="25"/>
  <c r="BJ196" i="25"/>
  <c r="AR196" i="25"/>
  <c r="BK196" i="25"/>
  <c r="AP196" i="25"/>
  <c r="BX196" i="25"/>
  <c r="BI196" i="25"/>
  <c r="BJ195" i="25"/>
  <c r="AR195" i="25"/>
  <c r="BK195" i="25"/>
  <c r="AP195" i="25"/>
  <c r="BX195" i="25"/>
  <c r="CA195" i="25"/>
  <c r="BI195" i="25"/>
  <c r="AJ285" i="25"/>
  <c r="AM285" i="25"/>
  <c r="CI285" i="25" s="1"/>
  <c r="AJ72" i="25"/>
  <c r="AM72" i="25"/>
  <c r="BM72" i="25" s="1"/>
  <c r="AJ200" i="25"/>
  <c r="AM200" i="25"/>
  <c r="AM21" i="25"/>
  <c r="AJ21" i="25"/>
  <c r="AJ141" i="25"/>
  <c r="AM141" i="25"/>
  <c r="AJ184" i="25"/>
  <c r="AM184" i="25"/>
  <c r="BJ169" i="25"/>
  <c r="BK169" i="25"/>
  <c r="AR169" i="25"/>
  <c r="AP169" i="25"/>
  <c r="BX169" i="25"/>
  <c r="CA169" i="25"/>
  <c r="BI169" i="25"/>
  <c r="AJ247" i="25"/>
  <c r="AM247" i="25"/>
  <c r="B112" i="2"/>
  <c r="L21" i="1" s="1"/>
  <c r="AR249" i="25"/>
  <c r="AP249" i="25"/>
  <c r="AM105" i="25"/>
  <c r="AJ105" i="25"/>
  <c r="AY152" i="25"/>
  <c r="AW152" i="25"/>
  <c r="AR310" i="25"/>
  <c r="AP310" i="25"/>
  <c r="BJ161" i="25"/>
  <c r="BK161" i="25"/>
  <c r="AR161" i="25"/>
  <c r="AP161" i="25"/>
  <c r="BX161" i="25"/>
  <c r="CA161" i="25"/>
  <c r="BI161" i="25"/>
  <c r="BX126" i="25"/>
  <c r="AR126" i="25"/>
  <c r="BJ126" i="25"/>
  <c r="BK126" i="25"/>
  <c r="AP126" i="25"/>
  <c r="CA126" i="25"/>
  <c r="BI126" i="25"/>
  <c r="AJ59" i="25"/>
  <c r="AM59" i="25"/>
  <c r="BM59" i="25" s="1"/>
  <c r="AP218" i="25"/>
  <c r="AR218" i="25"/>
  <c r="AM82" i="25"/>
  <c r="AJ82" i="25"/>
  <c r="AR129" i="25"/>
  <c r="BJ129" i="25"/>
  <c r="BK129" i="25"/>
  <c r="AP129" i="25"/>
  <c r="CA129" i="25"/>
  <c r="BX129" i="25"/>
  <c r="BI129" i="25"/>
  <c r="AM85" i="25"/>
  <c r="AJ85" i="25"/>
  <c r="AM26" i="25"/>
  <c r="AJ26" i="25"/>
  <c r="AR264" i="25"/>
  <c r="AP264" i="25"/>
  <c r="AJ34" i="25"/>
  <c r="AM34" i="25"/>
  <c r="AP278" i="25"/>
  <c r="AR278" i="25"/>
  <c r="AM76" i="25"/>
  <c r="AJ76" i="25"/>
  <c r="AM91" i="25"/>
  <c r="AJ91" i="25"/>
  <c r="AM313" i="25"/>
  <c r="CI313" i="25" s="1"/>
  <c r="AJ65" i="25"/>
  <c r="AM65" i="25"/>
  <c r="AM116" i="25"/>
  <c r="BM116" i="25" s="1"/>
  <c r="AJ116" i="25"/>
  <c r="BK203" i="25"/>
  <c r="BX203" i="25"/>
  <c r="AR203" i="25"/>
  <c r="AP203" i="25"/>
  <c r="BJ203" i="25"/>
  <c r="CA203" i="25"/>
  <c r="BI203" i="25"/>
  <c r="AW179" i="25"/>
  <c r="AY179" i="25"/>
  <c r="BK149" i="25"/>
  <c r="BJ149" i="25"/>
  <c r="AR149" i="25"/>
  <c r="AP149" i="25"/>
  <c r="BI149" i="25"/>
  <c r="CA149" i="25"/>
  <c r="BX149" i="25"/>
  <c r="CA174" i="25"/>
  <c r="BJ174" i="25"/>
  <c r="AR174" i="25"/>
  <c r="BK174" i="25"/>
  <c r="AP174" i="25"/>
  <c r="BI174" i="25"/>
  <c r="BX174" i="25"/>
  <c r="AJ118" i="25"/>
  <c r="AM118" i="25"/>
  <c r="BM118" i="25" s="1"/>
  <c r="AJ268" i="25"/>
  <c r="AM268" i="25"/>
  <c r="CI268" i="25" s="1"/>
  <c r="AJ179" i="25"/>
  <c r="AM179" i="25"/>
  <c r="AM131" i="25"/>
  <c r="AJ131" i="25"/>
  <c r="AM291" i="25"/>
  <c r="CI291" i="25" s="1"/>
  <c r="AJ291" i="25"/>
  <c r="AJ235" i="25"/>
  <c r="AM235" i="25"/>
  <c r="AY118" i="25"/>
  <c r="AW118" i="25"/>
  <c r="CA170" i="25"/>
  <c r="BJ170" i="25"/>
  <c r="BK170" i="25"/>
  <c r="AR170" i="25"/>
  <c r="AP170" i="25"/>
  <c r="BI170" i="25"/>
  <c r="BX170" i="25"/>
  <c r="BK122" i="25"/>
  <c r="BJ122" i="25"/>
  <c r="AR122" i="25"/>
  <c r="AP122" i="25"/>
  <c r="CA122" i="25"/>
  <c r="BI122" i="25"/>
  <c r="BX122" i="25"/>
  <c r="AM73" i="25"/>
  <c r="BM73" i="25" s="1"/>
  <c r="AJ73" i="25"/>
  <c r="AJ269" i="25"/>
  <c r="AM269" i="25"/>
  <c r="CI269" i="25" s="1"/>
  <c r="AJ194" i="25"/>
  <c r="AM194" i="25"/>
  <c r="AJ81" i="25"/>
  <c r="AM81" i="25"/>
  <c r="AJ56" i="25"/>
  <c r="AM56" i="25"/>
  <c r="AM87" i="25"/>
  <c r="AJ87" i="25"/>
  <c r="AR260" i="25"/>
  <c r="AP260" i="25"/>
  <c r="AM86" i="25"/>
  <c r="AJ86" i="25"/>
  <c r="AR237" i="25"/>
  <c r="AP237" i="25"/>
  <c r="AW110" i="25"/>
  <c r="AY110" i="25"/>
  <c r="CA156" i="25"/>
  <c r="BJ156" i="25"/>
  <c r="AR156" i="25"/>
  <c r="BK156" i="25"/>
  <c r="AP156" i="25"/>
  <c r="BI156" i="25"/>
  <c r="BX156" i="25"/>
  <c r="AJ51" i="25"/>
  <c r="AM51" i="25"/>
  <c r="AJ238" i="25"/>
  <c r="AM238" i="25"/>
  <c r="CI238" i="25" s="1"/>
  <c r="AM79" i="25"/>
  <c r="AJ79" i="25"/>
  <c r="AJ275" i="25"/>
  <c r="AM275" i="25"/>
  <c r="CI275" i="25" s="1"/>
  <c r="AM101" i="25"/>
  <c r="AJ101" i="25"/>
  <c r="AR231" i="25"/>
  <c r="AP231" i="25"/>
  <c r="AR286" i="25"/>
  <c r="AP286" i="25"/>
  <c r="AR277" i="25"/>
  <c r="AP277" i="25"/>
  <c r="AJ22" i="25"/>
  <c r="AM22" i="25"/>
  <c r="AJ30" i="25"/>
  <c r="AM30" i="25"/>
  <c r="AM189" i="25"/>
  <c r="AJ189" i="25"/>
  <c r="AM45" i="25"/>
  <c r="AJ45" i="25"/>
  <c r="AR276" i="25"/>
  <c r="AP276" i="25"/>
  <c r="AJ89" i="25"/>
  <c r="AM89" i="25"/>
  <c r="AJ29" i="25"/>
  <c r="AM29" i="25"/>
  <c r="BM29" i="25" s="1"/>
  <c r="AJ262" i="25"/>
  <c r="AM262" i="25"/>
  <c r="CI262" i="25" s="1"/>
  <c r="AJ309" i="25"/>
  <c r="AM309" i="25"/>
  <c r="CI309" i="25" s="1"/>
  <c r="AY113" i="25"/>
  <c r="AW113" i="25"/>
  <c r="AM10" i="25"/>
  <c r="BM10" i="25" s="1"/>
  <c r="AJ10" i="25"/>
  <c r="AM314" i="25"/>
  <c r="CI314" i="25" s="1"/>
  <c r="AJ314" i="25"/>
  <c r="AW120" i="25"/>
  <c r="AY120" i="25"/>
  <c r="AR292" i="25"/>
  <c r="AP292" i="25"/>
  <c r="AR305" i="25"/>
  <c r="AP305" i="25"/>
  <c r="AR297" i="25"/>
  <c r="AP297" i="25"/>
  <c r="AW184" i="25"/>
  <c r="AY184" i="25"/>
  <c r="AP233" i="25"/>
  <c r="AR233" i="25"/>
  <c r="AR254" i="25"/>
  <c r="AP254" i="25"/>
  <c r="AM93" i="25"/>
  <c r="BM93" i="25" s="1"/>
  <c r="AJ93" i="25"/>
  <c r="AR219" i="25"/>
  <c r="AP219" i="25"/>
  <c r="AJ283" i="25"/>
  <c r="AM283" i="25"/>
  <c r="CI283" i="25" s="1"/>
  <c r="AJ44" i="25"/>
  <c r="AM44" i="25"/>
  <c r="AM8" i="25"/>
  <c r="BM8" i="25" s="1"/>
  <c r="AJ8" i="25"/>
  <c r="AJ37" i="25"/>
  <c r="AM37" i="25"/>
  <c r="BJ148" i="25"/>
  <c r="AR148" i="25"/>
  <c r="BK148" i="25"/>
  <c r="AP148" i="25"/>
  <c r="BI148" i="25"/>
  <c r="CA148" i="25"/>
  <c r="BX148" i="25"/>
  <c r="AY159" i="25"/>
  <c r="AW159" i="25"/>
  <c r="AM154" i="25"/>
  <c r="AJ154" i="25"/>
  <c r="AJ7" i="25"/>
  <c r="AM7" i="25"/>
  <c r="AM49" i="25"/>
  <c r="AJ49" i="25"/>
  <c r="AM74" i="25"/>
  <c r="AJ74" i="25"/>
  <c r="AJ113" i="25"/>
  <c r="AM113" i="25"/>
  <c r="BM113" i="25" s="1"/>
  <c r="AR304" i="25"/>
  <c r="AP304" i="25"/>
  <c r="AM83" i="25"/>
  <c r="BM83" i="25" s="1"/>
  <c r="AJ83" i="25"/>
  <c r="AM12" i="25"/>
  <c r="BM12" i="25" s="1"/>
  <c r="AJ12" i="25"/>
  <c r="AJ80" i="25"/>
  <c r="AM80" i="25"/>
  <c r="BM80" i="25" s="1"/>
  <c r="AM120" i="25"/>
  <c r="AJ120" i="25"/>
  <c r="AM290" i="25"/>
  <c r="CI290" i="25" s="1"/>
  <c r="AJ290" i="25"/>
  <c r="AJ69" i="25"/>
  <c r="AM69" i="25"/>
  <c r="AM39" i="25"/>
  <c r="AJ39" i="25"/>
  <c r="AJ14" i="25"/>
  <c r="AM14" i="25"/>
  <c r="BJ162" i="25"/>
  <c r="BK162" i="25"/>
  <c r="AR162" i="25"/>
  <c r="AP162" i="25"/>
  <c r="CA162" i="25"/>
  <c r="BX162" i="25"/>
  <c r="BI162" i="25"/>
  <c r="AM133" i="25"/>
  <c r="AJ133" i="25"/>
  <c r="AM18" i="25"/>
  <c r="BM18" i="25" s="1"/>
  <c r="AJ18" i="25"/>
  <c r="CA175" i="25"/>
  <c r="BJ175" i="25"/>
  <c r="BK175" i="25"/>
  <c r="AR175" i="25"/>
  <c r="AP175" i="25"/>
  <c r="BI175" i="25"/>
  <c r="BX175" i="25"/>
  <c r="AM92" i="25"/>
  <c r="AR261" i="25"/>
  <c r="AP261" i="25"/>
  <c r="AM78" i="25"/>
  <c r="AJ78" i="25"/>
  <c r="AY189" i="25"/>
  <c r="AW189" i="25"/>
  <c r="AM38" i="25"/>
  <c r="BM38" i="25" s="1"/>
  <c r="AJ38" i="25"/>
  <c r="AM236" i="25"/>
  <c r="AJ236" i="25"/>
  <c r="AR157" i="25"/>
  <c r="BJ157" i="25"/>
  <c r="BK157" i="25"/>
  <c r="AP157" i="25"/>
  <c r="BI157" i="25"/>
  <c r="CA157" i="25"/>
  <c r="BX157" i="25"/>
  <c r="AM98" i="25"/>
  <c r="AJ98" i="25"/>
  <c r="AJ266" i="25"/>
  <c r="AM266" i="25"/>
  <c r="CI266" i="25" s="1"/>
  <c r="AM52" i="25"/>
  <c r="BM52" i="25" s="1"/>
  <c r="AJ52" i="25"/>
  <c r="AJ33" i="25"/>
  <c r="AM33" i="25"/>
  <c r="BM33" i="25" s="1"/>
  <c r="AM272" i="25"/>
  <c r="AJ272" i="25"/>
  <c r="AR270" i="25"/>
  <c r="AP270" i="25"/>
  <c r="AM77" i="25"/>
  <c r="AJ77" i="25"/>
  <c r="BK119" i="25"/>
  <c r="AP119" i="25"/>
  <c r="AR119" i="25"/>
  <c r="BX119" i="25"/>
  <c r="BI119" i="25"/>
  <c r="CA119" i="25"/>
  <c r="BJ119" i="25"/>
  <c r="AR191" i="25"/>
  <c r="BJ191" i="25"/>
  <c r="BK191" i="25"/>
  <c r="AP191" i="25"/>
  <c r="BI191" i="25"/>
  <c r="BX191" i="25"/>
  <c r="CA191" i="25"/>
  <c r="AW131" i="25"/>
  <c r="AY131" i="25"/>
  <c r="AM315" i="25"/>
  <c r="CI315" i="25" s="1"/>
  <c r="AJ315" i="25"/>
  <c r="AP265" i="25"/>
  <c r="AR265" i="25"/>
  <c r="AR228" i="25"/>
  <c r="AP228" i="25"/>
  <c r="AM139" i="25"/>
  <c r="AJ139" i="25"/>
  <c r="AM36" i="25"/>
  <c r="AJ36" i="25"/>
  <c r="AR302" i="25"/>
  <c r="AP302" i="25"/>
  <c r="AY200" i="25"/>
  <c r="AW200" i="25"/>
  <c r="AM53" i="25"/>
  <c r="AJ53" i="25"/>
  <c r="AY130" i="25"/>
  <c r="AW130" i="25"/>
  <c r="AR250" i="25"/>
  <c r="AP250" i="25"/>
  <c r="BJ147" i="25"/>
  <c r="BK147" i="25"/>
  <c r="AR147" i="25"/>
  <c r="AP147" i="25"/>
  <c r="BI147" i="25"/>
  <c r="CA147" i="25"/>
  <c r="BX147" i="25"/>
  <c r="AJ267" i="25"/>
  <c r="AM267" i="25"/>
  <c r="CI267" i="25" s="1"/>
  <c r="AR144" i="25"/>
  <c r="BK144" i="25"/>
  <c r="BJ144" i="25"/>
  <c r="AP144" i="25"/>
  <c r="CA144" i="25"/>
  <c r="BX144" i="25"/>
  <c r="BI144" i="25"/>
  <c r="AJ58" i="25"/>
  <c r="AM58" i="25"/>
  <c r="AR296" i="25"/>
  <c r="AP296" i="25"/>
  <c r="AY133" i="25"/>
  <c r="AW133" i="25"/>
  <c r="AY173" i="25"/>
  <c r="AW173" i="25"/>
  <c r="AM50" i="25"/>
  <c r="AM70" i="25"/>
  <c r="AJ70" i="25"/>
  <c r="AM60" i="25"/>
  <c r="AJ60" i="25"/>
  <c r="AJ11" i="25"/>
  <c r="AM11" i="25"/>
  <c r="BM11" i="25" s="1"/>
  <c r="CA209" i="25"/>
  <c r="AR209" i="25"/>
  <c r="BK209" i="25"/>
  <c r="BJ209" i="25"/>
  <c r="AP209" i="25"/>
  <c r="BX209" i="25"/>
  <c r="BI209" i="25"/>
  <c r="AM28" i="25"/>
  <c r="AJ28" i="25"/>
  <c r="AJ67" i="25"/>
  <c r="AM67" i="25"/>
  <c r="BK138" i="25"/>
  <c r="AR138" i="25"/>
  <c r="AP138" i="25"/>
  <c r="BJ138" i="25"/>
  <c r="BX138" i="25"/>
  <c r="CA138" i="25"/>
  <c r="BI138" i="25"/>
  <c r="AM95" i="25"/>
  <c r="AJ95" i="25"/>
  <c r="AM27" i="25"/>
  <c r="BM27" i="25" s="1"/>
  <c r="AJ27" i="25"/>
  <c r="AM88" i="25"/>
  <c r="AJ88" i="25"/>
  <c r="BJ181" i="25"/>
  <c r="BK181" i="25"/>
  <c r="AR181" i="25"/>
  <c r="AP181" i="25"/>
  <c r="CA181" i="25"/>
  <c r="BX181" i="25"/>
  <c r="BI181" i="25"/>
  <c r="AM130" i="25"/>
  <c r="AJ130" i="25"/>
  <c r="AM9" i="25"/>
  <c r="BM9" i="25" s="1"/>
  <c r="AJ9" i="25"/>
  <c r="CA143" i="25"/>
  <c r="BJ143" i="25"/>
  <c r="BK143" i="25"/>
  <c r="AR143" i="25"/>
  <c r="AP143" i="25"/>
  <c r="BI143" i="25"/>
  <c r="BX143" i="25"/>
  <c r="AR155" i="25"/>
  <c r="BK155" i="25"/>
  <c r="BJ155" i="25"/>
  <c r="AP155" i="25"/>
  <c r="BI155" i="25"/>
  <c r="BX155" i="25"/>
  <c r="CA155" i="25"/>
  <c r="AM24" i="25"/>
  <c r="BM24" i="25" s="1"/>
  <c r="AJ24" i="25"/>
  <c r="AR258" i="25"/>
  <c r="AP258" i="25"/>
  <c r="AJ94" i="25"/>
  <c r="AM94" i="25"/>
  <c r="BJ172" i="25"/>
  <c r="AR172" i="25"/>
  <c r="BK172" i="25"/>
  <c r="AP172" i="25"/>
  <c r="BI172" i="25"/>
  <c r="BX172" i="25"/>
  <c r="CA172" i="25"/>
  <c r="AM244" i="25"/>
  <c r="CI244" i="25" s="1"/>
  <c r="AJ244" i="25"/>
  <c r="AM303" i="25"/>
  <c r="CI303" i="25" s="1"/>
  <c r="AY141" i="25"/>
  <c r="AW141" i="25"/>
  <c r="AM57" i="25"/>
  <c r="AJ57" i="25"/>
  <c r="AM75" i="25"/>
  <c r="AJ75" i="25"/>
  <c r="AJ121" i="25"/>
  <c r="AM121" i="25"/>
  <c r="AM54" i="25"/>
  <c r="BM54" i="25" s="1"/>
  <c r="AM61" i="25"/>
  <c r="AJ61" i="25"/>
  <c r="AM208" i="25"/>
  <c r="AJ208" i="25"/>
  <c r="AM46" i="25"/>
  <c r="AJ46" i="25"/>
  <c r="AW123" i="25"/>
  <c r="AY123" i="25"/>
  <c r="AM19" i="25"/>
  <c r="AJ19" i="25"/>
  <c r="AM159" i="25"/>
  <c r="AJ159" i="25"/>
  <c r="AM17" i="25"/>
  <c r="AJ17" i="25"/>
  <c r="AY140" i="25"/>
  <c r="AW140" i="25"/>
  <c r="AM25" i="25"/>
  <c r="AJ25" i="25"/>
  <c r="AJ140" i="25"/>
  <c r="AM140" i="25"/>
  <c r="AJ293" i="25"/>
  <c r="AM293" i="25"/>
  <c r="AJ173" i="25"/>
  <c r="AM173" i="25"/>
  <c r="AM31" i="25"/>
  <c r="AJ31" i="25"/>
  <c r="AJ223" i="25"/>
  <c r="AM223" i="25"/>
  <c r="AM16" i="25"/>
  <c r="AJ16" i="25"/>
  <c r="AR271" i="25"/>
  <c r="AP271" i="25"/>
  <c r="BJ207" i="25"/>
  <c r="BK207" i="25"/>
  <c r="AR207" i="25"/>
  <c r="AP207" i="25"/>
  <c r="BX207" i="25"/>
  <c r="BI207" i="25"/>
  <c r="CA207" i="25"/>
  <c r="CA168" i="25"/>
  <c r="BJ168" i="25"/>
  <c r="AR168" i="25"/>
  <c r="BK168" i="25"/>
  <c r="AP168" i="25"/>
  <c r="BX168" i="25"/>
  <c r="BI168" i="25"/>
  <c r="AJ43" i="25"/>
  <c r="AM43" i="25"/>
  <c r="BM43" i="25" s="1"/>
  <c r="AW121" i="25"/>
  <c r="AY121" i="25"/>
  <c r="AY134" i="25"/>
  <c r="AW134" i="25"/>
  <c r="AR288" i="25"/>
  <c r="AP288" i="25"/>
  <c r="AM255" i="25"/>
  <c r="AJ255" i="25"/>
  <c r="AJ134" i="25"/>
  <c r="AM134" i="25"/>
  <c r="AM229" i="25"/>
  <c r="CI229" i="25" s="1"/>
  <c r="AJ229" i="25"/>
  <c r="AM32" i="25"/>
  <c r="AJ32" i="25"/>
  <c r="AJ66" i="25"/>
  <c r="AM66" i="25"/>
  <c r="BM66" i="25" s="1"/>
  <c r="AM41" i="25"/>
  <c r="BM41" i="25" s="1"/>
  <c r="AJ41" i="25"/>
  <c r="CA205" i="25"/>
  <c r="BJ205" i="25"/>
  <c r="BK205" i="25"/>
  <c r="AR205" i="25"/>
  <c r="AP205" i="25"/>
  <c r="BI205" i="25"/>
  <c r="BX205" i="25"/>
  <c r="AP185" i="25"/>
  <c r="BJ185" i="25"/>
  <c r="BK185" i="25"/>
  <c r="AR185" i="25"/>
  <c r="CA185" i="25"/>
  <c r="BX185" i="25"/>
  <c r="BI185" i="25"/>
  <c r="AM42" i="25"/>
  <c r="AJ42" i="25"/>
  <c r="AR279" i="25"/>
  <c r="AP279" i="25"/>
  <c r="AJ123" i="25"/>
  <c r="AM123" i="25"/>
  <c r="BM123" i="25" s="1"/>
  <c r="AJ47" i="25"/>
  <c r="AM47" i="25"/>
  <c r="AJ110" i="25"/>
  <c r="AM110" i="25"/>
  <c r="AY182" i="25"/>
  <c r="AW182" i="25"/>
  <c r="AR230" i="25"/>
  <c r="AP230" i="25"/>
  <c r="AJ40" i="25"/>
  <c r="AM40" i="25"/>
  <c r="AM23" i="25"/>
  <c r="BM23" i="25" s="1"/>
  <c r="AJ23" i="25"/>
  <c r="AM190" i="25"/>
  <c r="AJ190" i="25"/>
  <c r="AR298" i="25"/>
  <c r="AP298" i="25"/>
  <c r="AJ246" i="25"/>
  <c r="AM246" i="25"/>
  <c r="CI246" i="25" s="1"/>
  <c r="AM90" i="25"/>
  <c r="AJ90" i="25"/>
  <c r="AJ20" i="25"/>
  <c r="AM20" i="25"/>
  <c r="BM20" i="25" s="1"/>
  <c r="AM71" i="25"/>
  <c r="AJ71" i="25"/>
  <c r="CA166" i="25"/>
  <c r="BJ166" i="25"/>
  <c r="BK166" i="25"/>
  <c r="AR166" i="25"/>
  <c r="AP166" i="25"/>
  <c r="BI166" i="25"/>
  <c r="BX166" i="25"/>
  <c r="AW190" i="25"/>
  <c r="AY190" i="25"/>
  <c r="AR312" i="25"/>
  <c r="AP312" i="25"/>
  <c r="AY154" i="25"/>
  <c r="AW154" i="25"/>
  <c r="AY116" i="25"/>
  <c r="AW116" i="25"/>
  <c r="AJ153" i="25"/>
  <c r="AM153" i="25"/>
  <c r="AM68" i="25"/>
  <c r="AJ68" i="25"/>
  <c r="AJ6" i="25"/>
  <c r="AM6" i="25"/>
  <c r="AM99" i="25"/>
  <c r="AJ99" i="25"/>
  <c r="BK202" i="25"/>
  <c r="AR202" i="25"/>
  <c r="BJ202" i="25"/>
  <c r="AP202" i="25"/>
  <c r="BI202" i="25"/>
  <c r="CA202" i="25"/>
  <c r="BX202" i="25"/>
  <c r="AR274" i="25"/>
  <c r="AP274" i="25"/>
  <c r="AM13" i="25"/>
  <c r="BM13" i="25" s="1"/>
  <c r="AJ13" i="25"/>
  <c r="CA204" i="25"/>
  <c r="BJ204" i="25"/>
  <c r="BK204" i="25"/>
  <c r="AR204" i="25"/>
  <c r="AP204" i="25"/>
  <c r="BX204" i="25"/>
  <c r="BI204" i="25"/>
  <c r="AM183" i="25"/>
  <c r="AJ183" i="25"/>
  <c r="AY183" i="25"/>
  <c r="AW183" i="25"/>
  <c r="AR234" i="25"/>
  <c r="AP234" i="25"/>
  <c r="AP284" i="25"/>
  <c r="AR284" i="25"/>
  <c r="AM55" i="25"/>
  <c r="AJ55" i="25"/>
  <c r="BJ163" i="25"/>
  <c r="AR163" i="25"/>
  <c r="BK163" i="25"/>
  <c r="AP163" i="25"/>
  <c r="BX163" i="25"/>
  <c r="BI163" i="25"/>
  <c r="CA163" i="25"/>
  <c r="AY194" i="25"/>
  <c r="AW194" i="25"/>
  <c r="AM103" i="25"/>
  <c r="AJ103" i="25"/>
  <c r="AM15" i="25"/>
  <c r="BM15" i="25" s="1"/>
  <c r="AJ15" i="25"/>
  <c r="AM97" i="25"/>
  <c r="AM182" i="25"/>
  <c r="AJ35" i="25"/>
  <c r="AM35" i="25"/>
  <c r="BM35" i="25" s="1"/>
  <c r="AM216" i="25"/>
  <c r="AJ216" i="25"/>
  <c r="BM110" i="25" l="1"/>
  <c r="CI110" i="25"/>
  <c r="AR306" i="25"/>
  <c r="CI306" i="25"/>
  <c r="CI187" i="25"/>
  <c r="BM133" i="25"/>
  <c r="CI133" i="25"/>
  <c r="AR132" i="25"/>
  <c r="AT132" i="25" s="1"/>
  <c r="BA132" i="25" s="1"/>
  <c r="BJ132" i="25"/>
  <c r="BI132" i="25"/>
  <c r="BX132" i="25"/>
  <c r="CA132" i="25"/>
  <c r="BK132" i="25"/>
  <c r="AP132" i="25"/>
  <c r="AP251" i="25"/>
  <c r="AR241" i="25"/>
  <c r="AT241" i="25" s="1"/>
  <c r="CI241" i="25"/>
  <c r="BM120" i="25"/>
  <c r="CI120" i="25"/>
  <c r="BM104" i="25"/>
  <c r="CI104" i="25"/>
  <c r="AP294" i="25"/>
  <c r="AR294" i="25"/>
  <c r="AT294" i="25" s="1"/>
  <c r="CI178" i="25"/>
  <c r="AR102" i="25"/>
  <c r="AT102" i="25" s="1"/>
  <c r="BA102" i="25" s="1"/>
  <c r="CI102" i="25"/>
  <c r="BM100" i="25"/>
  <c r="CI100" i="25"/>
  <c r="BM16" i="25"/>
  <c r="CI16" i="25"/>
  <c r="BM31" i="25"/>
  <c r="CI31" i="25"/>
  <c r="BM40" i="25"/>
  <c r="CI40" i="25"/>
  <c r="BM55" i="25"/>
  <c r="CI55" i="25"/>
  <c r="BM182" i="25"/>
  <c r="CI182" i="25"/>
  <c r="BM26" i="25"/>
  <c r="CI26" i="25"/>
  <c r="BM130" i="25"/>
  <c r="CI130" i="25"/>
  <c r="BM32" i="25"/>
  <c r="CI32" i="25"/>
  <c r="AR243" i="25"/>
  <c r="AT243" i="25" s="1"/>
  <c r="CI243" i="25"/>
  <c r="BM78" i="25"/>
  <c r="CI78" i="25"/>
  <c r="BM79" i="25"/>
  <c r="CI79" i="25"/>
  <c r="BM208" i="25"/>
  <c r="CI208" i="25"/>
  <c r="BM200" i="25"/>
  <c r="CI200" i="25"/>
  <c r="BM39" i="25"/>
  <c r="CI39" i="25"/>
  <c r="BM22" i="25"/>
  <c r="CI22" i="25"/>
  <c r="BM25" i="25"/>
  <c r="CI25" i="25"/>
  <c r="BM67" i="25"/>
  <c r="CI67" i="25"/>
  <c r="BM61" i="25"/>
  <c r="CI61" i="25"/>
  <c r="BM74" i="25"/>
  <c r="CI74" i="25"/>
  <c r="BM30" i="25"/>
  <c r="CI30" i="25"/>
  <c r="AR245" i="25"/>
  <c r="AT245" i="25" s="1"/>
  <c r="BM188" i="25"/>
  <c r="CI188" i="25"/>
  <c r="BM152" i="25"/>
  <c r="CI152" i="25"/>
  <c r="BK136" i="25"/>
  <c r="BM184" i="25"/>
  <c r="CI184" i="25"/>
  <c r="AR316" i="25"/>
  <c r="AT316" i="25" s="1"/>
  <c r="CI316" i="25"/>
  <c r="BM76" i="25"/>
  <c r="CI76" i="25"/>
  <c r="BM85" i="25"/>
  <c r="CI85" i="25"/>
  <c r="BM142" i="25"/>
  <c r="CI142" i="25"/>
  <c r="BM53" i="25"/>
  <c r="CI53" i="25"/>
  <c r="BM7" i="25"/>
  <c r="CI7" i="25"/>
  <c r="AP217" i="25"/>
  <c r="CI217" i="25"/>
  <c r="BM111" i="25"/>
  <c r="CI111" i="25"/>
  <c r="BM6" i="25"/>
  <c r="CI6" i="25"/>
  <c r="BM97" i="25"/>
  <c r="CI97" i="25"/>
  <c r="AP197" i="25"/>
  <c r="CI197" i="25"/>
  <c r="BM57" i="25"/>
  <c r="CI57" i="25"/>
  <c r="AP206" i="25"/>
  <c r="CI206" i="25"/>
  <c r="BM36" i="25"/>
  <c r="CI36" i="25"/>
  <c r="BM34" i="25"/>
  <c r="CI34" i="25"/>
  <c r="BM47" i="25"/>
  <c r="CI47" i="25"/>
  <c r="BM50" i="25"/>
  <c r="CI50" i="25"/>
  <c r="BM140" i="25"/>
  <c r="CI140" i="25"/>
  <c r="BM134" i="25"/>
  <c r="CI134" i="25"/>
  <c r="BM42" i="25"/>
  <c r="CI42" i="25"/>
  <c r="BM63" i="25"/>
  <c r="CI63" i="25"/>
  <c r="AP240" i="25"/>
  <c r="CI240" i="25"/>
  <c r="BK167" i="25"/>
  <c r="BM159" i="25"/>
  <c r="CI159" i="25"/>
  <c r="BM90" i="25"/>
  <c r="CI90" i="25"/>
  <c r="AR136" i="25"/>
  <c r="AT136" i="25" s="1"/>
  <c r="BA136" i="25" s="1"/>
  <c r="BM82" i="25"/>
  <c r="CI82" i="25"/>
  <c r="BM99" i="25"/>
  <c r="CI99" i="25"/>
  <c r="BM88" i="25"/>
  <c r="CI88" i="25"/>
  <c r="BJ136" i="25"/>
  <c r="BX136" i="25"/>
  <c r="BI136" i="25"/>
  <c r="CA136" i="25"/>
  <c r="AP136" i="25"/>
  <c r="BM153" i="25"/>
  <c r="CI153" i="25"/>
  <c r="BM60" i="25"/>
  <c r="CI60" i="25"/>
  <c r="BM49" i="25"/>
  <c r="CI49" i="25"/>
  <c r="BM139" i="25"/>
  <c r="CI139" i="25"/>
  <c r="BM98" i="25"/>
  <c r="CI98" i="25"/>
  <c r="CI165" i="25"/>
  <c r="BM65" i="25"/>
  <c r="CI65" i="25"/>
  <c r="BM75" i="25"/>
  <c r="CI75" i="25"/>
  <c r="BM89" i="25"/>
  <c r="CI89" i="25"/>
  <c r="AP167" i="25"/>
  <c r="BJ167" i="25"/>
  <c r="AR167" i="25"/>
  <c r="AT167" i="25" s="1"/>
  <c r="BA167" i="25" s="1"/>
  <c r="BI167" i="25"/>
  <c r="BX167" i="25"/>
  <c r="CA167" i="25"/>
  <c r="AP178" i="25"/>
  <c r="AR178" i="25"/>
  <c r="AU178" i="25" s="1"/>
  <c r="CA178" i="25"/>
  <c r="AN92" i="24"/>
  <c r="AQ92" i="24" s="1"/>
  <c r="BJ178" i="25"/>
  <c r="BK178" i="25"/>
  <c r="BX178" i="25"/>
  <c r="BI178" i="25"/>
  <c r="BJ124" i="25"/>
  <c r="BM154" i="25"/>
  <c r="CI154" i="25"/>
  <c r="BM105" i="25"/>
  <c r="CI105" i="25"/>
  <c r="BM190" i="25"/>
  <c r="CI190" i="25"/>
  <c r="AP158" i="25"/>
  <c r="CI158" i="25"/>
  <c r="BM71" i="25"/>
  <c r="CI71" i="25"/>
  <c r="BM121" i="25"/>
  <c r="CI121" i="25"/>
  <c r="BM19" i="25"/>
  <c r="CI19" i="25"/>
  <c r="BG110" i="24"/>
  <c r="BQ110" i="24" s="1"/>
  <c r="BT110" i="24" s="1"/>
  <c r="AY110" i="24"/>
  <c r="AZ110" i="24" s="1"/>
  <c r="AR225" i="25"/>
  <c r="AT225" i="25" s="1"/>
  <c r="CI225" i="25"/>
  <c r="BM14" i="25"/>
  <c r="CI14" i="25"/>
  <c r="BM17" i="25"/>
  <c r="CI17" i="25"/>
  <c r="BM21" i="25"/>
  <c r="CI21" i="25"/>
  <c r="AP232" i="25"/>
  <c r="CI232" i="25"/>
  <c r="BM44" i="25"/>
  <c r="CI44" i="25"/>
  <c r="BM141" i="25"/>
  <c r="CI141" i="25"/>
  <c r="AR248" i="25"/>
  <c r="AT248" i="25" s="1"/>
  <c r="CI248" i="25"/>
  <c r="BM58" i="25"/>
  <c r="CI58" i="25"/>
  <c r="BM91" i="25"/>
  <c r="CI91" i="25"/>
  <c r="BM56" i="25"/>
  <c r="CI56" i="25"/>
  <c r="BM95" i="25"/>
  <c r="CI95" i="25"/>
  <c r="AP176" i="25"/>
  <c r="CI176" i="25"/>
  <c r="AR295" i="25"/>
  <c r="AT295" i="25" s="1"/>
  <c r="CI295" i="25"/>
  <c r="BM189" i="25"/>
  <c r="CI189" i="25"/>
  <c r="BM28" i="25"/>
  <c r="CI28" i="25"/>
  <c r="BM46" i="25"/>
  <c r="CI46" i="25"/>
  <c r="BM135" i="25"/>
  <c r="CI135" i="25"/>
  <c r="BM87" i="25"/>
  <c r="CI87" i="25"/>
  <c r="AN299" i="24"/>
  <c r="BM173" i="25"/>
  <c r="CI173" i="25"/>
  <c r="BM51" i="25"/>
  <c r="CI51" i="25"/>
  <c r="AR263" i="25"/>
  <c r="AU263" i="25" s="1"/>
  <c r="CI263" i="25"/>
  <c r="BM199" i="25"/>
  <c r="CI199" i="25"/>
  <c r="AP257" i="25"/>
  <c r="AP124" i="25"/>
  <c r="BM69" i="25"/>
  <c r="CI69" i="25"/>
  <c r="AR124" i="25"/>
  <c r="AU124" i="25" s="1"/>
  <c r="BI124" i="25"/>
  <c r="BX124" i="25"/>
  <c r="CA124" i="25"/>
  <c r="BK124" i="25"/>
  <c r="BM64" i="25"/>
  <c r="CI64" i="25"/>
  <c r="BM103" i="25"/>
  <c r="CI103" i="25"/>
  <c r="BM37" i="25"/>
  <c r="CI37" i="25"/>
  <c r="AP256" i="25"/>
  <c r="CI256" i="25"/>
  <c r="BM131" i="25"/>
  <c r="CI131" i="25"/>
  <c r="BM94" i="25"/>
  <c r="CI94" i="25"/>
  <c r="BM186" i="25"/>
  <c r="CI186" i="25"/>
  <c r="BI165" i="25"/>
  <c r="CA165" i="25"/>
  <c r="AR311" i="25"/>
  <c r="AT311" i="25" s="1"/>
  <c r="CI311" i="25"/>
  <c r="BK145" i="25"/>
  <c r="BM193" i="25"/>
  <c r="CI193" i="25"/>
  <c r="BM86" i="25"/>
  <c r="CI86" i="25"/>
  <c r="BM145" i="25"/>
  <c r="CI145" i="25"/>
  <c r="BJ145" i="25"/>
  <c r="BX145" i="25"/>
  <c r="CA145" i="25"/>
  <c r="AP145" i="25"/>
  <c r="BI145" i="25"/>
  <c r="BM180" i="25"/>
  <c r="CI180" i="25"/>
  <c r="BX128" i="25"/>
  <c r="BM164" i="25"/>
  <c r="CI164" i="25"/>
  <c r="AR128" i="25"/>
  <c r="AT128" i="25" s="1"/>
  <c r="BA128" i="25" s="1"/>
  <c r="AP299" i="25"/>
  <c r="CI299" i="25"/>
  <c r="BM92" i="25"/>
  <c r="CI92" i="25"/>
  <c r="CG92" i="24"/>
  <c r="AP165" i="25"/>
  <c r="BJ165" i="25"/>
  <c r="AR165" i="25"/>
  <c r="AT165" i="25" s="1"/>
  <c r="BA165" i="25" s="1"/>
  <c r="BK165" i="25"/>
  <c r="BX165" i="25"/>
  <c r="BM179" i="25"/>
  <c r="CI179" i="25"/>
  <c r="AR117" i="25"/>
  <c r="AT117" i="25" s="1"/>
  <c r="BA117" i="25" s="1"/>
  <c r="BJ142" i="25"/>
  <c r="BJ117" i="25"/>
  <c r="AR158" i="25"/>
  <c r="AT158" i="25" s="1"/>
  <c r="BA158" i="25" s="1"/>
  <c r="BX186" i="25"/>
  <c r="CA117" i="25"/>
  <c r="BX117" i="25"/>
  <c r="BI117" i="25"/>
  <c r="AP117" i="25"/>
  <c r="BK117" i="25"/>
  <c r="BI128" i="25"/>
  <c r="AP128" i="25"/>
  <c r="BJ128" i="25"/>
  <c r="BK128" i="25"/>
  <c r="CA128" i="25"/>
  <c r="BK158" i="25"/>
  <c r="AP193" i="25"/>
  <c r="BJ193" i="25"/>
  <c r="BI193" i="25"/>
  <c r="BI158" i="25"/>
  <c r="BX193" i="25"/>
  <c r="AR193" i="25"/>
  <c r="AU193" i="25" s="1"/>
  <c r="AP263" i="25"/>
  <c r="BK193" i="25"/>
  <c r="CA193" i="25"/>
  <c r="AR300" i="25"/>
  <c r="AU300" i="25" s="1"/>
  <c r="AP300" i="25"/>
  <c r="BI187" i="25"/>
  <c r="AJ212" i="24"/>
  <c r="AT212" i="24" s="1"/>
  <c r="BI186" i="25"/>
  <c r="AP186" i="25"/>
  <c r="BK186" i="25"/>
  <c r="BJ186" i="25"/>
  <c r="AR186" i="25"/>
  <c r="AT186" i="25" s="1"/>
  <c r="BA186" i="25" s="1"/>
  <c r="CA186" i="25"/>
  <c r="AR240" i="25"/>
  <c r="AU240" i="25" s="1"/>
  <c r="AR188" i="25"/>
  <c r="AT188" i="25" s="1"/>
  <c r="BA188" i="25" s="1"/>
  <c r="BK188" i="25"/>
  <c r="BX142" i="25"/>
  <c r="AP142" i="25"/>
  <c r="BK142" i="25"/>
  <c r="CA142" i="25"/>
  <c r="BI142" i="25"/>
  <c r="AR142" i="25"/>
  <c r="AT142" i="25" s="1"/>
  <c r="BA142" i="25" s="1"/>
  <c r="BJ187" i="25"/>
  <c r="CA187" i="25"/>
  <c r="BX187" i="25"/>
  <c r="AP187" i="25"/>
  <c r="AP164" i="25"/>
  <c r="BK187" i="25"/>
  <c r="AP199" i="25"/>
  <c r="BJ164" i="25"/>
  <c r="AR187" i="25"/>
  <c r="AT187" i="25" s="1"/>
  <c r="BA187" i="25" s="1"/>
  <c r="AP146" i="25"/>
  <c r="BK164" i="25"/>
  <c r="AR164" i="25"/>
  <c r="AT164" i="25" s="1"/>
  <c r="BA164" i="25" s="1"/>
  <c r="CA164" i="25"/>
  <c r="AP282" i="25"/>
  <c r="CI282" i="25"/>
  <c r="BI164" i="25"/>
  <c r="BX164" i="25"/>
  <c r="BM77" i="25"/>
  <c r="CI77" i="25"/>
  <c r="AR299" i="25"/>
  <c r="AU299" i="25" s="1"/>
  <c r="AP252" i="25"/>
  <c r="AM5" i="25"/>
  <c r="BM5" i="25" s="1"/>
  <c r="AK208" i="24"/>
  <c r="BI188" i="25"/>
  <c r="AP188" i="25"/>
  <c r="BJ188" i="25"/>
  <c r="AT103" i="24"/>
  <c r="CA188" i="25"/>
  <c r="AP311" i="25"/>
  <c r="BX146" i="25"/>
  <c r="CA146" i="25"/>
  <c r="BJ146" i="25"/>
  <c r="BK146" i="25"/>
  <c r="AR146" i="25"/>
  <c r="AT146" i="25" s="1"/>
  <c r="BA146" i="25" s="1"/>
  <c r="AP102" i="25"/>
  <c r="AR111" i="25"/>
  <c r="AT111" i="25" s="1"/>
  <c r="BA111" i="25" s="1"/>
  <c r="BI146" i="25"/>
  <c r="BX111" i="25"/>
  <c r="BK111" i="25"/>
  <c r="BJ111" i="25"/>
  <c r="BI111" i="25"/>
  <c r="CA111" i="25"/>
  <c r="AP111" i="25"/>
  <c r="CI146" i="25"/>
  <c r="AR199" i="25"/>
  <c r="AT199" i="25" s="1"/>
  <c r="BA199" i="25" s="1"/>
  <c r="BJ199" i="25"/>
  <c r="BK199" i="25"/>
  <c r="AP273" i="25"/>
  <c r="BI199" i="25"/>
  <c r="AP222" i="25"/>
  <c r="BX199" i="25"/>
  <c r="BX188" i="25"/>
  <c r="CA199" i="25"/>
  <c r="AV100" i="24"/>
  <c r="BM96" i="25"/>
  <c r="CI96" i="25"/>
  <c r="AP248" i="25"/>
  <c r="BM183" i="25"/>
  <c r="CI183" i="25"/>
  <c r="BM70" i="25"/>
  <c r="CI70" i="25"/>
  <c r="CI81" i="25"/>
  <c r="BM81" i="25"/>
  <c r="BI176" i="25"/>
  <c r="BM176" i="25"/>
  <c r="CI48" i="25"/>
  <c r="BM48" i="25"/>
  <c r="AV38" i="24"/>
  <c r="BI102" i="25"/>
  <c r="BM102" i="25"/>
  <c r="AR206" i="25"/>
  <c r="AU206" i="25" s="1"/>
  <c r="BM206" i="25"/>
  <c r="CI45" i="25"/>
  <c r="BM45" i="25"/>
  <c r="CI194" i="25"/>
  <c r="BM194" i="25"/>
  <c r="AV55" i="24"/>
  <c r="CA158" i="25"/>
  <c r="BM158" i="25"/>
  <c r="BX125" i="25"/>
  <c r="BM125" i="25"/>
  <c r="CA176" i="25"/>
  <c r="BJ137" i="25"/>
  <c r="BM137" i="25"/>
  <c r="BK115" i="25"/>
  <c r="BM115" i="25"/>
  <c r="BI197" i="25"/>
  <c r="BM197" i="25"/>
  <c r="CI68" i="25"/>
  <c r="BM68" i="25"/>
  <c r="CI101" i="25"/>
  <c r="BM101" i="25"/>
  <c r="BX198" i="25"/>
  <c r="BM198" i="25"/>
  <c r="BI150" i="25"/>
  <c r="BM150" i="25"/>
  <c r="BI114" i="25"/>
  <c r="BM114" i="25"/>
  <c r="AP225" i="25"/>
  <c r="AN238" i="24"/>
  <c r="AP210" i="25"/>
  <c r="BM210" i="25"/>
  <c r="AP192" i="25"/>
  <c r="BM192" i="25"/>
  <c r="AR112" i="25"/>
  <c r="AT112" i="25" s="1"/>
  <c r="BA112" i="25" s="1"/>
  <c r="BM112" i="25"/>
  <c r="AR176" i="25"/>
  <c r="AT176" i="25" s="1"/>
  <c r="BA176" i="25" s="1"/>
  <c r="BK176" i="25"/>
  <c r="BJ176" i="25"/>
  <c r="BX176" i="25"/>
  <c r="BJ158" i="25"/>
  <c r="BX158" i="25"/>
  <c r="BJ112" i="25"/>
  <c r="AT59" i="24"/>
  <c r="AR224" i="25"/>
  <c r="AT224" i="25" s="1"/>
  <c r="CA125" i="25"/>
  <c r="AR125" i="25"/>
  <c r="AT125" i="25" s="1"/>
  <c r="BA125" i="25" s="1"/>
  <c r="AK97" i="24"/>
  <c r="BK112" i="25"/>
  <c r="CA112" i="25"/>
  <c r="BX112" i="25"/>
  <c r="BI112" i="25"/>
  <c r="BX114" i="25"/>
  <c r="AP112" i="25"/>
  <c r="AT22" i="24"/>
  <c r="CI307" i="25"/>
  <c r="AP307" i="25"/>
  <c r="AP137" i="25"/>
  <c r="CA114" i="25"/>
  <c r="AP150" i="25"/>
  <c r="AR256" i="25"/>
  <c r="AT256" i="25" s="1"/>
  <c r="AV15" i="24"/>
  <c r="AV6" i="24"/>
  <c r="AV72" i="24"/>
  <c r="AP125" i="25"/>
  <c r="BK125" i="25"/>
  <c r="BJ125" i="25"/>
  <c r="BI125" i="25"/>
  <c r="BK197" i="25"/>
  <c r="AR197" i="25"/>
  <c r="AT197" i="25" s="1"/>
  <c r="BA197" i="25" s="1"/>
  <c r="BJ197" i="25"/>
  <c r="BJ115" i="25"/>
  <c r="BK114" i="25"/>
  <c r="BJ114" i="25"/>
  <c r="CA197" i="25"/>
  <c r="BX192" i="25"/>
  <c r="AP114" i="25"/>
  <c r="BJ192" i="25"/>
  <c r="AR114" i="25"/>
  <c r="AT114" i="25" s="1"/>
  <c r="BA114" i="25" s="1"/>
  <c r="BX197" i="25"/>
  <c r="BK192" i="25"/>
  <c r="CA137" i="25"/>
  <c r="BI137" i="25"/>
  <c r="BK137" i="25"/>
  <c r="AR137" i="25"/>
  <c r="AT137" i="25" s="1"/>
  <c r="BA137" i="25" s="1"/>
  <c r="BX137" i="25"/>
  <c r="AK73" i="24"/>
  <c r="AT73" i="24"/>
  <c r="AT37" i="24"/>
  <c r="AT96" i="24"/>
  <c r="AV46" i="24"/>
  <c r="AT66" i="24"/>
  <c r="AT20" i="24"/>
  <c r="AT27" i="24"/>
  <c r="AK47" i="24"/>
  <c r="AT87" i="24"/>
  <c r="AT7" i="24"/>
  <c r="AV75" i="24"/>
  <c r="AT86" i="24"/>
  <c r="AT11" i="24"/>
  <c r="AV41" i="24"/>
  <c r="AT65" i="24"/>
  <c r="AV84" i="24"/>
  <c r="AT40" i="24"/>
  <c r="AP295" i="25"/>
  <c r="AP241" i="25"/>
  <c r="AP227" i="25"/>
  <c r="AP316" i="25"/>
  <c r="CA192" i="25"/>
  <c r="BX150" i="25"/>
  <c r="CA150" i="25"/>
  <c r="AR192" i="25"/>
  <c r="AT192" i="25" s="1"/>
  <c r="BA192" i="25" s="1"/>
  <c r="BX206" i="25"/>
  <c r="BK150" i="25"/>
  <c r="BJ150" i="25"/>
  <c r="BI192" i="25"/>
  <c r="B102" i="2"/>
  <c r="E21" i="1" s="1"/>
  <c r="AR150" i="25"/>
  <c r="AT150" i="25" s="1"/>
  <c r="BA150" i="25" s="1"/>
  <c r="BI198" i="25"/>
  <c r="CA206" i="25"/>
  <c r="BK206" i="25"/>
  <c r="BJ206" i="25"/>
  <c r="BI206" i="25"/>
  <c r="AP198" i="25"/>
  <c r="AR198" i="25"/>
  <c r="AU198" i="25" s="1"/>
  <c r="BJ198" i="25"/>
  <c r="BK198" i="25"/>
  <c r="CA198" i="25"/>
  <c r="CA115" i="25"/>
  <c r="BX115" i="25"/>
  <c r="AP115" i="25"/>
  <c r="AR115" i="25"/>
  <c r="AU115" i="25" s="1"/>
  <c r="BI115" i="25"/>
  <c r="BX102" i="25"/>
  <c r="AV79" i="24"/>
  <c r="AV101" i="24"/>
  <c r="AT97" i="24"/>
  <c r="AT24" i="24"/>
  <c r="AP220" i="25"/>
  <c r="BJ102" i="25"/>
  <c r="AP180" i="25"/>
  <c r="BJ180" i="25"/>
  <c r="BX180" i="25"/>
  <c r="BI180" i="25"/>
  <c r="AR180" i="25"/>
  <c r="BK180" i="25"/>
  <c r="CA180" i="25"/>
  <c r="AR289" i="25"/>
  <c r="AT289" i="25" s="1"/>
  <c r="AR308" i="25"/>
  <c r="AT308" i="25" s="1"/>
  <c r="AR301" i="25"/>
  <c r="AU301" i="25" s="1"/>
  <c r="AR282" i="25"/>
  <c r="AU282" i="25" s="1"/>
  <c r="AR217" i="25"/>
  <c r="AT217" i="25" s="1"/>
  <c r="AP306" i="25"/>
  <c r="AP243" i="25"/>
  <c r="AP301" i="25"/>
  <c r="AP308" i="25"/>
  <c r="AT52" i="24"/>
  <c r="AT105" i="24"/>
  <c r="B134" i="2"/>
  <c r="AT61" i="24"/>
  <c r="AV32" i="24"/>
  <c r="AU307" i="25"/>
  <c r="BK210" i="25"/>
  <c r="AR210" i="25"/>
  <c r="BX210" i="25"/>
  <c r="BI210" i="25"/>
  <c r="CA210" i="25"/>
  <c r="BJ210" i="25"/>
  <c r="AT78" i="24"/>
  <c r="AT62" i="24"/>
  <c r="AT21" i="24"/>
  <c r="CA102" i="25"/>
  <c r="AT30" i="24"/>
  <c r="AV67" i="24"/>
  <c r="AT76" i="24"/>
  <c r="AT53" i="24"/>
  <c r="AT58" i="24"/>
  <c r="AF212" i="24"/>
  <c r="AG212" i="24"/>
  <c r="AV31" i="24"/>
  <c r="AV26" i="24"/>
  <c r="BK102" i="25"/>
  <c r="AQ216" i="24"/>
  <c r="AS216" i="24"/>
  <c r="G617" i="29"/>
  <c r="G639" i="29"/>
  <c r="G640" i="29"/>
  <c r="AU5" i="24"/>
  <c r="AW5" i="24"/>
  <c r="AV47" i="24"/>
  <c r="AT48" i="24"/>
  <c r="A152" i="8"/>
  <c r="AN97" i="24"/>
  <c r="AT64" i="24"/>
  <c r="AT17" i="24"/>
  <c r="AT91" i="24"/>
  <c r="AT19" i="24"/>
  <c r="AV29" i="24"/>
  <c r="AT56" i="24"/>
  <c r="AV33" i="24"/>
  <c r="AV70" i="24"/>
  <c r="AT81" i="24"/>
  <c r="AT9" i="24"/>
  <c r="AT14" i="24"/>
  <c r="AT51" i="24"/>
  <c r="BU110" i="24"/>
  <c r="BI110" i="24"/>
  <c r="BO110" i="24" s="1"/>
  <c r="AK238" i="24"/>
  <c r="AN228" i="24"/>
  <c r="AS228" i="24" s="1"/>
  <c r="AK299" i="24"/>
  <c r="AK156" i="24"/>
  <c r="AN156" i="24"/>
  <c r="AK141" i="24"/>
  <c r="AN141" i="24"/>
  <c r="AK165" i="24"/>
  <c r="AN165" i="24"/>
  <c r="AN51" i="24"/>
  <c r="AK51" i="24"/>
  <c r="AK189" i="24"/>
  <c r="AN189" i="24"/>
  <c r="AK58" i="24"/>
  <c r="AN58" i="24"/>
  <c r="BN58" i="24" s="1"/>
  <c r="AN146" i="24"/>
  <c r="CG146" i="24" s="1"/>
  <c r="AK146" i="24"/>
  <c r="AK195" i="24"/>
  <c r="AN195" i="24"/>
  <c r="AV85" i="24"/>
  <c r="AT85" i="24"/>
  <c r="AK221" i="24"/>
  <c r="AN221" i="24"/>
  <c r="AK70" i="24"/>
  <c r="AN70" i="24"/>
  <c r="AN296" i="24"/>
  <c r="CG296" i="24" s="1"/>
  <c r="AK296" i="24"/>
  <c r="AK167" i="24"/>
  <c r="AN167" i="24"/>
  <c r="AN160" i="24"/>
  <c r="CG160" i="24" s="1"/>
  <c r="AK160" i="24"/>
  <c r="AV104" i="24"/>
  <c r="AT104" i="24"/>
  <c r="AN69" i="24"/>
  <c r="CG69" i="24" s="1"/>
  <c r="AK69" i="24"/>
  <c r="AT34" i="24"/>
  <c r="AV34" i="24"/>
  <c r="AK310" i="24"/>
  <c r="AN310" i="24"/>
  <c r="CG310" i="24" s="1"/>
  <c r="AK64" i="24"/>
  <c r="AN64" i="24"/>
  <c r="AN276" i="24"/>
  <c r="CG276" i="24" s="1"/>
  <c r="AK276" i="24"/>
  <c r="AK127" i="24"/>
  <c r="AN127" i="24"/>
  <c r="AK55" i="24"/>
  <c r="AN55" i="24"/>
  <c r="BN55" i="24" s="1"/>
  <c r="AN306" i="24"/>
  <c r="CG306" i="24" s="1"/>
  <c r="AK306" i="24"/>
  <c r="AK308" i="24"/>
  <c r="AN308" i="24"/>
  <c r="CG308" i="24" s="1"/>
  <c r="AN7" i="24"/>
  <c r="BN7" i="24" s="1"/>
  <c r="AK7" i="24"/>
  <c r="AP135" i="25"/>
  <c r="CA135" i="25"/>
  <c r="BI135" i="25"/>
  <c r="BX135" i="25"/>
  <c r="BK135" i="25"/>
  <c r="BJ135" i="25"/>
  <c r="AR135" i="25"/>
  <c r="AV83" i="24"/>
  <c r="AT83" i="24"/>
  <c r="AK245" i="24"/>
  <c r="AN245" i="24"/>
  <c r="CG245" i="24" s="1"/>
  <c r="AK261" i="24"/>
  <c r="AN261" i="24"/>
  <c r="CG261" i="24" s="1"/>
  <c r="AK194" i="24"/>
  <c r="AN194" i="24"/>
  <c r="AK193" i="24"/>
  <c r="AN193" i="24"/>
  <c r="AK6" i="24"/>
  <c r="AN6" i="24"/>
  <c r="BN6" i="24" s="1"/>
  <c r="AK138" i="24"/>
  <c r="AN138" i="24"/>
  <c r="AV28" i="24"/>
  <c r="AT28" i="24"/>
  <c r="AN262" i="24"/>
  <c r="CG262" i="24" s="1"/>
  <c r="AK262" i="24"/>
  <c r="AN71" i="24"/>
  <c r="CG71" i="24" s="1"/>
  <c r="AK71" i="24"/>
  <c r="AN263" i="24"/>
  <c r="AK263" i="24"/>
  <c r="AN137" i="24"/>
  <c r="AK137" i="24"/>
  <c r="AK196" i="24"/>
  <c r="AN196" i="24"/>
  <c r="AV71" i="24"/>
  <c r="AT71" i="24"/>
  <c r="AN185" i="24"/>
  <c r="AK185" i="24"/>
  <c r="AN59" i="24"/>
  <c r="BN59" i="24" s="1"/>
  <c r="AK59" i="24"/>
  <c r="AN191" i="24"/>
  <c r="AK191" i="24"/>
  <c r="AK53" i="24"/>
  <c r="AN53" i="24"/>
  <c r="AK293" i="24"/>
  <c r="AN293" i="24"/>
  <c r="CG293" i="24" s="1"/>
  <c r="AK207" i="24"/>
  <c r="AN207" i="24"/>
  <c r="AK209" i="24"/>
  <c r="AN209" i="24"/>
  <c r="AT128" i="24"/>
  <c r="AK198" i="24"/>
  <c r="AN198" i="24"/>
  <c r="AK79" i="24"/>
  <c r="AN79" i="24"/>
  <c r="AN254" i="24"/>
  <c r="AK254" i="24"/>
  <c r="AT92" i="24"/>
  <c r="AV92" i="24"/>
  <c r="AN52" i="24"/>
  <c r="BN52" i="24" s="1"/>
  <c r="AK52" i="24"/>
  <c r="AN81" i="24"/>
  <c r="AK81" i="24"/>
  <c r="AK222" i="24"/>
  <c r="AN222" i="24"/>
  <c r="AN20" i="24"/>
  <c r="AK20" i="24"/>
  <c r="AK226" i="24"/>
  <c r="AN226" i="24"/>
  <c r="AV77" i="24"/>
  <c r="AT77" i="24"/>
  <c r="AK13" i="24"/>
  <c r="AN13" i="24"/>
  <c r="AN208" i="24"/>
  <c r="AK132" i="24"/>
  <c r="AN132" i="24"/>
  <c r="AN83" i="24"/>
  <c r="AK83" i="24"/>
  <c r="AN100" i="24"/>
  <c r="BN100" i="24" s="1"/>
  <c r="AK100" i="24"/>
  <c r="AN122" i="24"/>
  <c r="AK122" i="24"/>
  <c r="AK8" i="24"/>
  <c r="AN8" i="24"/>
  <c r="AK188" i="24"/>
  <c r="AN188" i="24"/>
  <c r="AK16" i="24"/>
  <c r="AN16" i="24"/>
  <c r="CG16" i="24" s="1"/>
  <c r="AK219" i="24"/>
  <c r="AN219" i="24"/>
  <c r="AK10" i="24"/>
  <c r="AN10" i="24"/>
  <c r="AT113" i="24"/>
  <c r="AK265" i="24"/>
  <c r="AN265" i="24"/>
  <c r="CG265" i="24" s="1"/>
  <c r="AT184" i="24"/>
  <c r="AK233" i="24"/>
  <c r="AN233" i="24"/>
  <c r="CG233" i="24" s="1"/>
  <c r="AK279" i="24"/>
  <c r="AN279" i="24"/>
  <c r="CG279" i="24" s="1"/>
  <c r="AN266" i="24"/>
  <c r="CG266" i="24" s="1"/>
  <c r="AK266" i="24"/>
  <c r="AT174" i="24"/>
  <c r="AK244" i="24"/>
  <c r="AN244" i="24"/>
  <c r="CG244" i="24" s="1"/>
  <c r="AN94" i="24"/>
  <c r="CG94" i="24" s="1"/>
  <c r="AK94" i="24"/>
  <c r="AK164" i="24"/>
  <c r="AN164" i="24"/>
  <c r="AN113" i="24"/>
  <c r="AK113" i="24"/>
  <c r="AR259" i="25"/>
  <c r="AP259" i="25"/>
  <c r="AK89" i="24"/>
  <c r="AN89" i="24"/>
  <c r="CG89" i="24" s="1"/>
  <c r="AK234" i="24"/>
  <c r="AN234" i="24"/>
  <c r="CG234" i="24" s="1"/>
  <c r="AT80" i="24"/>
  <c r="AV80" i="24"/>
  <c r="AN101" i="24"/>
  <c r="BN101" i="24" s="1"/>
  <c r="AK101" i="24"/>
  <c r="AV63" i="24"/>
  <c r="AT63" i="24"/>
  <c r="AK200" i="24"/>
  <c r="AN200" i="24"/>
  <c r="AN252" i="24"/>
  <c r="AK252" i="24"/>
  <c r="AN280" i="24"/>
  <c r="AK280" i="24"/>
  <c r="AN65" i="24"/>
  <c r="BN65" i="24" s="1"/>
  <c r="AK65" i="24"/>
  <c r="AK181" i="24"/>
  <c r="AN181" i="24"/>
  <c r="AN281" i="24"/>
  <c r="CG281" i="24" s="1"/>
  <c r="AK281" i="24"/>
  <c r="AT147" i="24"/>
  <c r="AV90" i="24"/>
  <c r="AT90" i="24"/>
  <c r="AT102" i="24"/>
  <c r="AV102" i="24"/>
  <c r="AK228" i="24"/>
  <c r="AK285" i="24"/>
  <c r="AN285" i="24"/>
  <c r="CG285" i="24" s="1"/>
  <c r="AK98" i="24"/>
  <c r="AN98" i="24"/>
  <c r="CG98" i="24" s="1"/>
  <c r="AN257" i="24"/>
  <c r="AK257" i="24"/>
  <c r="AK48" i="24"/>
  <c r="AN48" i="24"/>
  <c r="AK124" i="24"/>
  <c r="AN124" i="24"/>
  <c r="CG124" i="24" s="1"/>
  <c r="AK304" i="24"/>
  <c r="AN304" i="24"/>
  <c r="AK114" i="24"/>
  <c r="AN114" i="24"/>
  <c r="AN67" i="24"/>
  <c r="AK67" i="24"/>
  <c r="AN36" i="24"/>
  <c r="AK36" i="24"/>
  <c r="AT98" i="24"/>
  <c r="AV98" i="24"/>
  <c r="AN258" i="24"/>
  <c r="AK258" i="24"/>
  <c r="AV95" i="24"/>
  <c r="AT95" i="24"/>
  <c r="AK292" i="24"/>
  <c r="AN292" i="24"/>
  <c r="CG292" i="24" s="1"/>
  <c r="AN49" i="24"/>
  <c r="BN49" i="24" s="1"/>
  <c r="AK49" i="24"/>
  <c r="AK75" i="24"/>
  <c r="AN75" i="24"/>
  <c r="AK192" i="24"/>
  <c r="AN192" i="24"/>
  <c r="AV36" i="24"/>
  <c r="AT36" i="24"/>
  <c r="AK316" i="24"/>
  <c r="AN316" i="24"/>
  <c r="CG316" i="24" s="1"/>
  <c r="AT162" i="24"/>
  <c r="AT135" i="24"/>
  <c r="AV44" i="24"/>
  <c r="AT44" i="24"/>
  <c r="AK77" i="24"/>
  <c r="AN77" i="24"/>
  <c r="CG77" i="24" s="1"/>
  <c r="AK253" i="24"/>
  <c r="AN253" i="24"/>
  <c r="CG253" i="24" s="1"/>
  <c r="AK157" i="24"/>
  <c r="AN157" i="24"/>
  <c r="AN201" i="24"/>
  <c r="AK201" i="24"/>
  <c r="AK242" i="24"/>
  <c r="AN242" i="24"/>
  <c r="AT142" i="24"/>
  <c r="AK231" i="24"/>
  <c r="AN231" i="24"/>
  <c r="AN18" i="24"/>
  <c r="AK18" i="24"/>
  <c r="AK203" i="24"/>
  <c r="AN203" i="24"/>
  <c r="AK28" i="24"/>
  <c r="AN28" i="24"/>
  <c r="CG28" i="24" s="1"/>
  <c r="AK117" i="24"/>
  <c r="AN117" i="24"/>
  <c r="AN267" i="24"/>
  <c r="CG267" i="24" s="1"/>
  <c r="AK267" i="24"/>
  <c r="AN102" i="24"/>
  <c r="CG102" i="24" s="1"/>
  <c r="AK102" i="24"/>
  <c r="AN72" i="24"/>
  <c r="BN72" i="24" s="1"/>
  <c r="AK72" i="24"/>
  <c r="AT122" i="24"/>
  <c r="AK84" i="24"/>
  <c r="AN84" i="24"/>
  <c r="BN84" i="24" s="1"/>
  <c r="AK131" i="24"/>
  <c r="AN131" i="24"/>
  <c r="AV18" i="24"/>
  <c r="AT18" i="24"/>
  <c r="AV39" i="24"/>
  <c r="AT39" i="24"/>
  <c r="AT117" i="24"/>
  <c r="AK63" i="24"/>
  <c r="AN63" i="24"/>
  <c r="AT121" i="24"/>
  <c r="AK105" i="24"/>
  <c r="AN105" i="24"/>
  <c r="AK115" i="24"/>
  <c r="AN115" i="24"/>
  <c r="BN115" i="24" s="1"/>
  <c r="AT149" i="24"/>
  <c r="AN38" i="24"/>
  <c r="BN38" i="24" s="1"/>
  <c r="AK38" i="24"/>
  <c r="AK205" i="24"/>
  <c r="AN205" i="24"/>
  <c r="AN29" i="24"/>
  <c r="AK29" i="24"/>
  <c r="AN57" i="24"/>
  <c r="AK57" i="24"/>
  <c r="AK119" i="24"/>
  <c r="AN119" i="24"/>
  <c r="AK44" i="24"/>
  <c r="AN44" i="24"/>
  <c r="CG44" i="24" s="1"/>
  <c r="AT158" i="24"/>
  <c r="AK223" i="24"/>
  <c r="AN223" i="24"/>
  <c r="AN202" i="24"/>
  <c r="AK202" i="24"/>
  <c r="AN73" i="24"/>
  <c r="BN73" i="24" s="1"/>
  <c r="AT119" i="24"/>
  <c r="AN217" i="24"/>
  <c r="AK217" i="24"/>
  <c r="AN313" i="24"/>
  <c r="AK313" i="24"/>
  <c r="AT114" i="24"/>
  <c r="AV45" i="24"/>
  <c r="AT45" i="24"/>
  <c r="AK126" i="24"/>
  <c r="AN126" i="24"/>
  <c r="AK161" i="24"/>
  <c r="AN161" i="24"/>
  <c r="AT160" i="24"/>
  <c r="AN32" i="24"/>
  <c r="BN32" i="24" s="1"/>
  <c r="AK32" i="24"/>
  <c r="AK134" i="24"/>
  <c r="AN134" i="24"/>
  <c r="CG134" i="24" s="1"/>
  <c r="AK96" i="24"/>
  <c r="AN96" i="24"/>
  <c r="AK99" i="24"/>
  <c r="AN99" i="24"/>
  <c r="CG99" i="24" s="1"/>
  <c r="AK17" i="24"/>
  <c r="AN17" i="24"/>
  <c r="AT112" i="24"/>
  <c r="AN298" i="24"/>
  <c r="CG298" i="24" s="1"/>
  <c r="AK298" i="24"/>
  <c r="AV88" i="24"/>
  <c r="AT88" i="24"/>
  <c r="AN27" i="24"/>
  <c r="BN27" i="24" s="1"/>
  <c r="AK27" i="24"/>
  <c r="AT154" i="24"/>
  <c r="AK149" i="24"/>
  <c r="AN149" i="24"/>
  <c r="AK206" i="24"/>
  <c r="AN206" i="24"/>
  <c r="AN197" i="24"/>
  <c r="AK197" i="24"/>
  <c r="AN87" i="24"/>
  <c r="AK87" i="24"/>
  <c r="AT164" i="24"/>
  <c r="AK21" i="24"/>
  <c r="AN21" i="24"/>
  <c r="BN21" i="24" s="1"/>
  <c r="AK180" i="24"/>
  <c r="AN180" i="24"/>
  <c r="AK35" i="24"/>
  <c r="AN35" i="24"/>
  <c r="AK118" i="24"/>
  <c r="AN118" i="24"/>
  <c r="BN118" i="24" s="1"/>
  <c r="AN90" i="24"/>
  <c r="CG90" i="24" s="1"/>
  <c r="AK90" i="24"/>
  <c r="AN116" i="24"/>
  <c r="AK116" i="24"/>
  <c r="AN82" i="24"/>
  <c r="CG82" i="24" s="1"/>
  <c r="AK82" i="24"/>
  <c r="AK23" i="24"/>
  <c r="AN23" i="24"/>
  <c r="CG23" i="24" s="1"/>
  <c r="AV89" i="24"/>
  <c r="AT89" i="24"/>
  <c r="AK277" i="24"/>
  <c r="AN277" i="24"/>
  <c r="CG277" i="24" s="1"/>
  <c r="AN86" i="24"/>
  <c r="AK86" i="24"/>
  <c r="AK301" i="24"/>
  <c r="AN301" i="24"/>
  <c r="AK250" i="24"/>
  <c r="AN250" i="24"/>
  <c r="AK239" i="24"/>
  <c r="AN239" i="24"/>
  <c r="CG239" i="24" s="1"/>
  <c r="AK15" i="24"/>
  <c r="AN15" i="24"/>
  <c r="BN15" i="24" s="1"/>
  <c r="AN204" i="24"/>
  <c r="AK204" i="24"/>
  <c r="AN85" i="24"/>
  <c r="CG85" i="24" s="1"/>
  <c r="AK85" i="24"/>
  <c r="AK302" i="24"/>
  <c r="AN302" i="24"/>
  <c r="AK269" i="24"/>
  <c r="AN269" i="24"/>
  <c r="CG269" i="24" s="1"/>
  <c r="AV60" i="24"/>
  <c r="AT60" i="24"/>
  <c r="AK168" i="24"/>
  <c r="AN168" i="24"/>
  <c r="CG168" i="24" s="1"/>
  <c r="AK104" i="24"/>
  <c r="AN104" i="24"/>
  <c r="AK130" i="24"/>
  <c r="AN130" i="24"/>
  <c r="AK78" i="24"/>
  <c r="AN78" i="24"/>
  <c r="AK148" i="24"/>
  <c r="AN148" i="24"/>
  <c r="AN34" i="24"/>
  <c r="AK34" i="24"/>
  <c r="AV23" i="24"/>
  <c r="AT23" i="24"/>
  <c r="AN125" i="24"/>
  <c r="AK125" i="24"/>
  <c r="AN129" i="24"/>
  <c r="CG129" i="24" s="1"/>
  <c r="AK129" i="24"/>
  <c r="AN235" i="24"/>
  <c r="CG235" i="24" s="1"/>
  <c r="AK235" i="24"/>
  <c r="AN46" i="24"/>
  <c r="AK46" i="24"/>
  <c r="AV25" i="24"/>
  <c r="AT25" i="24"/>
  <c r="AT168" i="24"/>
  <c r="AN136" i="24"/>
  <c r="BN136" i="24" s="1"/>
  <c r="AK136" i="24"/>
  <c r="AK9" i="24"/>
  <c r="AN9" i="24"/>
  <c r="BN9" i="24" s="1"/>
  <c r="AK103" i="24"/>
  <c r="AN103" i="24"/>
  <c r="AN123" i="24"/>
  <c r="BN123" i="24" s="1"/>
  <c r="AK123" i="24"/>
  <c r="AK158" i="24"/>
  <c r="AN158" i="24"/>
  <c r="CG158" i="24" s="1"/>
  <c r="AK237" i="24"/>
  <c r="AN237" i="24"/>
  <c r="CG237" i="24" s="1"/>
  <c r="AK140" i="24"/>
  <c r="AN140" i="24"/>
  <c r="AK274" i="24"/>
  <c r="AN274" i="24"/>
  <c r="CG274" i="24" s="1"/>
  <c r="AV50" i="24"/>
  <c r="AT50" i="24"/>
  <c r="AK270" i="24"/>
  <c r="AN270" i="24"/>
  <c r="AK42" i="24"/>
  <c r="AN42" i="24"/>
  <c r="CG42" i="24" s="1"/>
  <c r="AN151" i="24"/>
  <c r="CG151" i="24" s="1"/>
  <c r="AK151" i="24"/>
  <c r="AN314" i="24"/>
  <c r="CG314" i="24" s="1"/>
  <c r="AK314" i="24"/>
  <c r="AN24" i="24"/>
  <c r="AK24" i="24"/>
  <c r="AK93" i="24"/>
  <c r="AN93" i="24"/>
  <c r="AK294" i="24"/>
  <c r="AN294" i="24"/>
  <c r="CG294" i="24" s="1"/>
  <c r="AK66" i="24"/>
  <c r="AN66" i="24"/>
  <c r="BN66" i="24" s="1"/>
  <c r="AV35" i="24"/>
  <c r="AT35" i="24"/>
  <c r="AT151" i="24"/>
  <c r="AN139" i="24"/>
  <c r="AK139" i="24"/>
  <c r="AK311" i="24"/>
  <c r="AN311" i="24"/>
  <c r="CG311" i="24" s="1"/>
  <c r="AK150" i="24"/>
  <c r="AN150" i="24"/>
  <c r="AK173" i="24"/>
  <c r="AN173" i="24"/>
  <c r="AN88" i="24"/>
  <c r="CG88" i="24" s="1"/>
  <c r="AK88" i="24"/>
  <c r="AK178" i="24"/>
  <c r="AN178" i="24"/>
  <c r="CG178" i="24" s="1"/>
  <c r="AK14" i="24"/>
  <c r="AN14" i="24"/>
  <c r="BN14" i="24" s="1"/>
  <c r="AN243" i="24"/>
  <c r="CG243" i="24" s="1"/>
  <c r="AK243" i="24"/>
  <c r="AK300" i="24"/>
  <c r="AN300" i="24"/>
  <c r="CG300" i="24" s="1"/>
  <c r="AN37" i="24"/>
  <c r="AK37" i="24"/>
  <c r="AK278" i="24"/>
  <c r="AN278" i="24"/>
  <c r="CG278" i="24" s="1"/>
  <c r="AK230" i="24"/>
  <c r="AN230" i="24"/>
  <c r="AT116" i="24"/>
  <c r="AV82" i="24"/>
  <c r="AT82" i="24"/>
  <c r="AK80" i="24"/>
  <c r="AN80" i="24"/>
  <c r="AN144" i="24"/>
  <c r="BN144" i="24" s="1"/>
  <c r="AK144" i="24"/>
  <c r="AN183" i="24"/>
  <c r="AK183" i="24"/>
  <c r="AK275" i="24"/>
  <c r="AN275" i="24"/>
  <c r="AT169" i="24"/>
  <c r="AV42" i="24"/>
  <c r="AT42" i="24"/>
  <c r="AN40" i="24"/>
  <c r="BN40" i="24" s="1"/>
  <c r="AK40" i="24"/>
  <c r="AN187" i="24"/>
  <c r="AK187" i="24"/>
  <c r="AN171" i="24"/>
  <c r="AK171" i="24"/>
  <c r="AN74" i="24"/>
  <c r="CG74" i="24" s="1"/>
  <c r="AK74" i="24"/>
  <c r="AV69" i="24"/>
  <c r="AT69" i="24"/>
  <c r="AK152" i="24"/>
  <c r="AN152" i="24"/>
  <c r="AT209" i="24"/>
  <c r="AK60" i="24"/>
  <c r="AN60" i="24"/>
  <c r="CG60" i="24" s="1"/>
  <c r="AK186" i="24"/>
  <c r="AN186" i="24"/>
  <c r="AK297" i="24"/>
  <c r="AN297" i="24"/>
  <c r="CG297" i="24" s="1"/>
  <c r="AV74" i="24"/>
  <c r="AT74" i="24"/>
  <c r="AN283" i="24"/>
  <c r="CG283" i="24" s="1"/>
  <c r="AK283" i="24"/>
  <c r="AK175" i="24"/>
  <c r="AN175" i="24"/>
  <c r="AK61" i="24"/>
  <c r="AN61" i="24"/>
  <c r="AT99" i="24"/>
  <c r="AV99" i="24"/>
  <c r="AN147" i="24"/>
  <c r="CG147" i="24" s="1"/>
  <c r="AK147" i="24"/>
  <c r="AK25" i="24"/>
  <c r="AN25" i="24"/>
  <c r="CG25" i="24" s="1"/>
  <c r="AK95" i="24"/>
  <c r="AN95" i="24"/>
  <c r="CG95" i="24" s="1"/>
  <c r="AK172" i="24"/>
  <c r="AN172" i="24"/>
  <c r="AN47" i="24"/>
  <c r="AK271" i="24"/>
  <c r="AN271" i="24"/>
  <c r="CG271" i="24" s="1"/>
  <c r="AN246" i="24"/>
  <c r="CG246" i="24" s="1"/>
  <c r="AK246" i="24"/>
  <c r="AK259" i="24"/>
  <c r="AN259" i="24"/>
  <c r="CG259" i="24" s="1"/>
  <c r="AK62" i="24"/>
  <c r="AN62" i="24"/>
  <c r="BN62" i="24" s="1"/>
  <c r="AT178" i="24"/>
  <c r="AN54" i="24"/>
  <c r="CG54" i="24" s="1"/>
  <c r="AK54" i="24"/>
  <c r="AK255" i="24"/>
  <c r="AN255" i="24"/>
  <c r="CG255" i="24" s="1"/>
  <c r="AT68" i="24"/>
  <c r="AV68" i="24"/>
  <c r="AK112" i="24"/>
  <c r="AN112" i="24"/>
  <c r="AK307" i="24"/>
  <c r="AN307" i="24"/>
  <c r="CG307" i="24" s="1"/>
  <c r="AT10" i="24"/>
  <c r="AV10" i="24"/>
  <c r="AN247" i="24"/>
  <c r="CG247" i="24" s="1"/>
  <c r="AK247" i="24"/>
  <c r="AN260" i="24"/>
  <c r="CG260" i="24" s="1"/>
  <c r="AK260" i="24"/>
  <c r="AK289" i="24"/>
  <c r="AN289" i="24"/>
  <c r="CG289" i="24" s="1"/>
  <c r="AK19" i="24"/>
  <c r="AN19" i="24"/>
  <c r="BN19" i="24" s="1"/>
  <c r="AK264" i="24"/>
  <c r="AN264" i="24"/>
  <c r="CG264" i="24" s="1"/>
  <c r="AK169" i="24"/>
  <c r="AN169" i="24"/>
  <c r="CG169" i="24" s="1"/>
  <c r="AK155" i="24"/>
  <c r="AN155" i="24"/>
  <c r="AK176" i="24"/>
  <c r="AN176" i="24"/>
  <c r="AK236" i="24"/>
  <c r="AN236" i="24"/>
  <c r="AK190" i="24"/>
  <c r="AN190" i="24"/>
  <c r="AN30" i="24"/>
  <c r="AK30" i="24"/>
  <c r="AN225" i="24"/>
  <c r="AK225" i="24"/>
  <c r="AN248" i="24"/>
  <c r="AK248" i="24"/>
  <c r="AK295" i="24"/>
  <c r="AN295" i="24"/>
  <c r="CG295" i="24" s="1"/>
  <c r="AK305" i="24"/>
  <c r="AN305" i="24"/>
  <c r="CG305" i="24" s="1"/>
  <c r="AV43" i="24"/>
  <c r="AT43" i="24"/>
  <c r="AN45" i="24"/>
  <c r="BN45" i="24" s="1"/>
  <c r="AK45" i="24"/>
  <c r="AK273" i="24"/>
  <c r="AN273" i="24"/>
  <c r="AK227" i="24"/>
  <c r="AN227" i="24"/>
  <c r="CG227" i="24" s="1"/>
  <c r="AK163" i="24"/>
  <c r="AN163" i="24"/>
  <c r="AK282" i="24"/>
  <c r="AN282" i="24"/>
  <c r="CG282" i="24" s="1"/>
  <c r="AN159" i="24"/>
  <c r="AK159" i="24"/>
  <c r="AK286" i="24"/>
  <c r="AN286" i="24"/>
  <c r="CG286" i="24" s="1"/>
  <c r="AK120" i="24"/>
  <c r="AN120" i="24"/>
  <c r="BN120" i="24" s="1"/>
  <c r="AN218" i="24"/>
  <c r="AK218" i="24"/>
  <c r="AT129" i="24"/>
  <c r="AN272" i="24"/>
  <c r="CG272" i="24" s="1"/>
  <c r="AK272" i="24"/>
  <c r="AK224" i="24"/>
  <c r="AN224" i="24"/>
  <c r="AK142" i="24"/>
  <c r="AN142" i="24"/>
  <c r="CG142" i="24" s="1"/>
  <c r="AN22" i="24"/>
  <c r="AK22" i="24"/>
  <c r="AN154" i="24"/>
  <c r="BN154" i="24" s="1"/>
  <c r="AK154" i="24"/>
  <c r="AN290" i="24"/>
  <c r="AK290" i="24"/>
  <c r="AK174" i="24"/>
  <c r="AN174" i="24"/>
  <c r="CG174" i="24" s="1"/>
  <c r="AN68" i="24"/>
  <c r="CG68" i="24" s="1"/>
  <c r="AK68" i="24"/>
  <c r="AK50" i="24"/>
  <c r="AN50" i="24"/>
  <c r="CG50" i="24" s="1"/>
  <c r="AN12" i="24"/>
  <c r="AK12" i="24"/>
  <c r="AV13" i="24"/>
  <c r="AT13" i="24"/>
  <c r="AN76" i="24"/>
  <c r="AK76" i="24"/>
  <c r="AN43" i="24"/>
  <c r="AK43" i="24"/>
  <c r="AK251" i="24"/>
  <c r="AN251" i="24"/>
  <c r="AK91" i="24"/>
  <c r="AN91" i="24"/>
  <c r="BN91" i="24" s="1"/>
  <c r="AK153" i="24"/>
  <c r="AN153" i="24"/>
  <c r="AV8" i="24"/>
  <c r="AT8" i="24"/>
  <c r="AV16" i="24"/>
  <c r="AT16" i="24"/>
  <c r="AT54" i="24"/>
  <c r="AV54" i="24"/>
  <c r="AK31" i="24"/>
  <c r="AN31" i="24"/>
  <c r="BN31" i="24" s="1"/>
  <c r="AK133" i="24"/>
  <c r="AN133" i="24"/>
  <c r="AK166" i="24"/>
  <c r="AN166" i="24"/>
  <c r="AK229" i="24"/>
  <c r="AN229" i="24"/>
  <c r="AN309" i="24"/>
  <c r="CG309" i="24" s="1"/>
  <c r="AK309" i="24"/>
  <c r="AK315" i="24"/>
  <c r="AN315" i="24"/>
  <c r="CG315" i="24" s="1"/>
  <c r="AK56" i="24"/>
  <c r="AN56" i="24"/>
  <c r="AK121" i="24"/>
  <c r="AN121" i="24"/>
  <c r="CG121" i="24" s="1"/>
  <c r="AT94" i="24"/>
  <c r="AV94" i="24"/>
  <c r="AN145" i="24"/>
  <c r="AK145" i="24"/>
  <c r="AK249" i="24"/>
  <c r="AN249" i="24"/>
  <c r="AK284" i="24"/>
  <c r="AN284" i="24"/>
  <c r="AN143" i="24"/>
  <c r="BN143" i="24" s="1"/>
  <c r="AK143" i="24"/>
  <c r="AK312" i="24"/>
  <c r="AN312" i="24"/>
  <c r="AK128" i="24"/>
  <c r="AN128" i="24"/>
  <c r="CG128" i="24" s="1"/>
  <c r="AK256" i="24"/>
  <c r="AN256" i="24"/>
  <c r="CG256" i="24" s="1"/>
  <c r="AN177" i="24"/>
  <c r="BN177" i="24" s="1"/>
  <c r="AK177" i="24"/>
  <c r="AN182" i="24"/>
  <c r="AK182" i="24"/>
  <c r="AK92" i="24"/>
  <c r="AK11" i="24"/>
  <c r="AN11" i="24"/>
  <c r="BN11" i="24" s="1"/>
  <c r="AK33" i="24"/>
  <c r="AN33" i="24"/>
  <c r="AK220" i="24"/>
  <c r="AN220" i="24"/>
  <c r="AK135" i="24"/>
  <c r="AN135" i="24"/>
  <c r="AK288" i="24"/>
  <c r="AN288" i="24"/>
  <c r="CG288" i="24" s="1"/>
  <c r="AT146" i="24"/>
  <c r="AT124" i="24"/>
  <c r="AK291" i="24"/>
  <c r="AN291" i="24"/>
  <c r="AV49" i="24"/>
  <c r="AT49" i="24"/>
  <c r="AN41" i="24"/>
  <c r="BN41" i="24" s="1"/>
  <c r="AK41" i="24"/>
  <c r="AK26" i="24"/>
  <c r="AN26" i="24"/>
  <c r="BN26" i="24" s="1"/>
  <c r="AK162" i="24"/>
  <c r="AN162" i="24"/>
  <c r="CG162" i="24" s="1"/>
  <c r="AK184" i="24"/>
  <c r="AN184" i="24"/>
  <c r="CG184" i="24" s="1"/>
  <c r="AK232" i="24"/>
  <c r="AN232" i="24"/>
  <c r="CG232" i="24" s="1"/>
  <c r="AK303" i="24"/>
  <c r="AN303" i="24"/>
  <c r="AT134" i="24"/>
  <c r="AK170" i="24"/>
  <c r="AN170" i="24"/>
  <c r="CG170" i="24" s="1"/>
  <c r="AN39" i="24"/>
  <c r="CG39" i="24" s="1"/>
  <c r="AK39" i="24"/>
  <c r="AK210" i="24"/>
  <c r="AN210" i="24"/>
  <c r="AT57" i="24"/>
  <c r="AV57" i="24"/>
  <c r="AK111" i="24"/>
  <c r="AN111" i="24"/>
  <c r="BN111" i="24" s="1"/>
  <c r="AN179" i="24"/>
  <c r="AK179" i="24"/>
  <c r="AV12" i="24"/>
  <c r="AT12" i="24"/>
  <c r="AK287" i="24"/>
  <c r="AN287" i="24"/>
  <c r="AN241" i="24"/>
  <c r="CG241" i="24" s="1"/>
  <c r="AK241" i="24"/>
  <c r="AV93" i="24"/>
  <c r="AT93" i="24"/>
  <c r="AT170" i="24"/>
  <c r="AK240" i="24"/>
  <c r="AN240" i="24"/>
  <c r="AK268" i="24"/>
  <c r="AN268" i="24"/>
  <c r="CG268" i="24" s="1"/>
  <c r="AN199" i="24"/>
  <c r="AK199" i="24"/>
  <c r="AT298" i="25"/>
  <c r="AU298" i="25"/>
  <c r="AR31" i="25"/>
  <c r="BJ31" i="25"/>
  <c r="BK31" i="25"/>
  <c r="AP31" i="25"/>
  <c r="BI31" i="25"/>
  <c r="CA31" i="25"/>
  <c r="BX31" i="25"/>
  <c r="AU144" i="25"/>
  <c r="AT144" i="25"/>
  <c r="BA144" i="25" s="1"/>
  <c r="BJ38" i="25"/>
  <c r="AR38" i="25"/>
  <c r="BK38" i="25"/>
  <c r="AP38" i="25"/>
  <c r="CA38" i="25"/>
  <c r="BI38" i="25"/>
  <c r="BX38" i="25"/>
  <c r="AT220" i="25"/>
  <c r="AU220" i="25"/>
  <c r="AR309" i="25"/>
  <c r="AP309" i="25"/>
  <c r="BJ91" i="25"/>
  <c r="AR91" i="25"/>
  <c r="BK91" i="25"/>
  <c r="AP91" i="25"/>
  <c r="BX91" i="25"/>
  <c r="BI91" i="25"/>
  <c r="CA91" i="25"/>
  <c r="AT230" i="25"/>
  <c r="AU230" i="25"/>
  <c r="BJ66" i="25"/>
  <c r="AR66" i="25"/>
  <c r="BK66" i="25"/>
  <c r="AP66" i="25"/>
  <c r="CA66" i="25"/>
  <c r="BX66" i="25"/>
  <c r="BI66" i="25"/>
  <c r="BK43" i="25"/>
  <c r="AP43" i="25"/>
  <c r="AR43" i="25"/>
  <c r="BJ43" i="25"/>
  <c r="BI43" i="25"/>
  <c r="BX43" i="25"/>
  <c r="CA43" i="25"/>
  <c r="CA24" i="25"/>
  <c r="BK24" i="25"/>
  <c r="BJ24" i="25"/>
  <c r="AR24" i="25"/>
  <c r="AP24" i="25"/>
  <c r="BI24" i="25"/>
  <c r="BX24" i="25"/>
  <c r="CA88" i="25"/>
  <c r="BK88" i="25"/>
  <c r="BJ88" i="25"/>
  <c r="AR88" i="25"/>
  <c r="AP88" i="25"/>
  <c r="BI88" i="25"/>
  <c r="BX88" i="25"/>
  <c r="AR52" i="25"/>
  <c r="BK52" i="25"/>
  <c r="BJ52" i="25"/>
  <c r="AP52" i="25"/>
  <c r="BX52" i="25"/>
  <c r="BI52" i="25"/>
  <c r="CA52" i="25"/>
  <c r="BK154" i="25"/>
  <c r="BJ154" i="25"/>
  <c r="AR154" i="25"/>
  <c r="AP154" i="25"/>
  <c r="CA154" i="25"/>
  <c r="BI154" i="25"/>
  <c r="BX154" i="25"/>
  <c r="AT292" i="25"/>
  <c r="AU292" i="25"/>
  <c r="AR314" i="25"/>
  <c r="AP314" i="25"/>
  <c r="BK73" i="25"/>
  <c r="BJ73" i="25"/>
  <c r="AR73" i="25"/>
  <c r="AP73" i="25"/>
  <c r="CA73" i="25"/>
  <c r="BX73" i="25"/>
  <c r="BI73" i="25"/>
  <c r="AR235" i="25"/>
  <c r="AP235" i="25"/>
  <c r="BJ55" i="25"/>
  <c r="BK55" i="25"/>
  <c r="AR55" i="25"/>
  <c r="AP55" i="25"/>
  <c r="BI55" i="25"/>
  <c r="BX55" i="25"/>
  <c r="CA55" i="25"/>
  <c r="AT204" i="25"/>
  <c r="BA204" i="25" s="1"/>
  <c r="AU204" i="25"/>
  <c r="BK13" i="25"/>
  <c r="BJ13" i="25"/>
  <c r="AR13" i="25"/>
  <c r="AP13" i="25"/>
  <c r="BX13" i="25"/>
  <c r="BI13" i="25"/>
  <c r="CA13" i="25"/>
  <c r="AT312" i="25"/>
  <c r="AU312" i="25"/>
  <c r="AT251" i="25"/>
  <c r="AU251" i="25"/>
  <c r="AT168" i="25"/>
  <c r="BA168" i="25" s="1"/>
  <c r="AU168" i="25"/>
  <c r="CA46" i="25"/>
  <c r="BK46" i="25"/>
  <c r="BJ46" i="25"/>
  <c r="AR46" i="25"/>
  <c r="AP46" i="25"/>
  <c r="BI46" i="25"/>
  <c r="BX46" i="25"/>
  <c r="AT258" i="25"/>
  <c r="AU258" i="25"/>
  <c r="AR53" i="25"/>
  <c r="BK53" i="25"/>
  <c r="BJ53" i="25"/>
  <c r="AP53" i="25"/>
  <c r="BX53" i="25"/>
  <c r="BI53" i="25"/>
  <c r="CA53" i="25"/>
  <c r="AT157" i="25"/>
  <c r="BA157" i="25" s="1"/>
  <c r="AU157" i="25"/>
  <c r="CA92" i="25"/>
  <c r="BK92" i="25"/>
  <c r="BJ92" i="25"/>
  <c r="AR92" i="25"/>
  <c r="AP92" i="25"/>
  <c r="BI92" i="25"/>
  <c r="BX92" i="25"/>
  <c r="CA74" i="25"/>
  <c r="BJ74" i="25"/>
  <c r="AR74" i="25"/>
  <c r="BK74" i="25"/>
  <c r="AP74" i="25"/>
  <c r="BI74" i="25"/>
  <c r="BX74" i="25"/>
  <c r="AR49" i="25"/>
  <c r="BK49" i="25"/>
  <c r="BJ49" i="25"/>
  <c r="AP49" i="25"/>
  <c r="BI49" i="25"/>
  <c r="CA49" i="25"/>
  <c r="BX49" i="25"/>
  <c r="BK8" i="25"/>
  <c r="BJ8" i="25"/>
  <c r="AR8" i="25"/>
  <c r="AP8" i="25"/>
  <c r="BI8" i="25"/>
  <c r="CA8" i="25"/>
  <c r="BX8" i="25"/>
  <c r="AT233" i="25"/>
  <c r="AU233" i="25"/>
  <c r="AT305" i="25"/>
  <c r="AU305" i="25"/>
  <c r="BJ101" i="25"/>
  <c r="BK101" i="25"/>
  <c r="AR101" i="25"/>
  <c r="AP101" i="25"/>
  <c r="CA101" i="25"/>
  <c r="BX101" i="25"/>
  <c r="BI101" i="25"/>
  <c r="BI34" i="25"/>
  <c r="BJ34" i="25"/>
  <c r="AR34" i="25"/>
  <c r="BK34" i="25"/>
  <c r="AP34" i="25"/>
  <c r="CA34" i="25"/>
  <c r="BX34" i="25"/>
  <c r="AR26" i="25"/>
  <c r="BK26" i="25"/>
  <c r="BJ26" i="25"/>
  <c r="AP26" i="25"/>
  <c r="BI26" i="25"/>
  <c r="CA26" i="25"/>
  <c r="BX26" i="25"/>
  <c r="AT126" i="25"/>
  <c r="BA126" i="25" s="1"/>
  <c r="AU126" i="25"/>
  <c r="AT310" i="25"/>
  <c r="AU310" i="25"/>
  <c r="CA200" i="25"/>
  <c r="BK200" i="25"/>
  <c r="BJ200" i="25"/>
  <c r="AR200" i="25"/>
  <c r="AP200" i="25"/>
  <c r="BI200" i="25"/>
  <c r="BX200" i="25"/>
  <c r="AR63" i="25"/>
  <c r="BK63" i="25"/>
  <c r="BJ63" i="25"/>
  <c r="AP63" i="25"/>
  <c r="CA63" i="25"/>
  <c r="BI63" i="25"/>
  <c r="BX63" i="25"/>
  <c r="AT127" i="25"/>
  <c r="BA127" i="25" s="1"/>
  <c r="AU127" i="25"/>
  <c r="BJ152" i="25"/>
  <c r="BK152" i="25"/>
  <c r="AR152" i="25"/>
  <c r="AP152" i="25"/>
  <c r="BX152" i="25"/>
  <c r="CA152" i="25"/>
  <c r="BI152" i="25"/>
  <c r="AT151" i="25"/>
  <c r="BA151" i="25" s="1"/>
  <c r="AU151" i="25"/>
  <c r="BK123" i="25"/>
  <c r="AR123" i="25"/>
  <c r="BJ123" i="25"/>
  <c r="AP123" i="25"/>
  <c r="BI123" i="25"/>
  <c r="CA123" i="25"/>
  <c r="BX123" i="25"/>
  <c r="AR229" i="25"/>
  <c r="AP229" i="25"/>
  <c r="CA58" i="25"/>
  <c r="BJ58" i="25"/>
  <c r="AR58" i="25"/>
  <c r="BK58" i="25"/>
  <c r="AP58" i="25"/>
  <c r="BI58" i="25"/>
  <c r="BX58" i="25"/>
  <c r="AT228" i="25"/>
  <c r="AU228" i="25"/>
  <c r="CA120" i="25"/>
  <c r="BJ120" i="25"/>
  <c r="BK120" i="25"/>
  <c r="AR120" i="25"/>
  <c r="AP120" i="25"/>
  <c r="BX120" i="25"/>
  <c r="BI120" i="25"/>
  <c r="AP45" i="25"/>
  <c r="BX45" i="25"/>
  <c r="BI45" i="25"/>
  <c r="CA45" i="25"/>
  <c r="BK45" i="25"/>
  <c r="AR45" i="25"/>
  <c r="BJ45" i="25"/>
  <c r="BJ59" i="25"/>
  <c r="BK59" i="25"/>
  <c r="AP59" i="25"/>
  <c r="BI59" i="25"/>
  <c r="AR59" i="25"/>
  <c r="CA59" i="25"/>
  <c r="BX59" i="25"/>
  <c r="AP216" i="25"/>
  <c r="AR216" i="25"/>
  <c r="AT274" i="25"/>
  <c r="AU274" i="25"/>
  <c r="AR293" i="25"/>
  <c r="AP293" i="25"/>
  <c r="BK80" i="25"/>
  <c r="BJ80" i="25"/>
  <c r="AR80" i="25"/>
  <c r="AP80" i="25"/>
  <c r="CA80" i="25"/>
  <c r="BX80" i="25"/>
  <c r="BI80" i="25"/>
  <c r="BK113" i="25"/>
  <c r="BJ113" i="25"/>
  <c r="AR113" i="25"/>
  <c r="AP113" i="25"/>
  <c r="CA113" i="25"/>
  <c r="BX113" i="25"/>
  <c r="BI113" i="25"/>
  <c r="CA22" i="25"/>
  <c r="BJ22" i="25"/>
  <c r="AR22" i="25"/>
  <c r="BK22" i="25"/>
  <c r="AP22" i="25"/>
  <c r="BI22" i="25"/>
  <c r="BX22" i="25"/>
  <c r="AR238" i="25"/>
  <c r="AP238" i="25"/>
  <c r="AT249" i="25"/>
  <c r="AU249" i="25"/>
  <c r="CA184" i="25"/>
  <c r="BJ184" i="25"/>
  <c r="AR184" i="25"/>
  <c r="BK184" i="25"/>
  <c r="AP184" i="25"/>
  <c r="BI184" i="25"/>
  <c r="BX184" i="25"/>
  <c r="AT253" i="25"/>
  <c r="AU253" i="25"/>
  <c r="CA6" i="25"/>
  <c r="BJ6" i="25"/>
  <c r="BK6" i="25"/>
  <c r="AR6" i="25"/>
  <c r="AP6" i="25"/>
  <c r="BI6" i="25"/>
  <c r="BX6" i="25"/>
  <c r="BK190" i="25"/>
  <c r="BJ190" i="25"/>
  <c r="AR190" i="25"/>
  <c r="AP190" i="25"/>
  <c r="CA190" i="25"/>
  <c r="BX190" i="25"/>
  <c r="BI190" i="25"/>
  <c r="AU271" i="25"/>
  <c r="AT271" i="25"/>
  <c r="BJ208" i="25"/>
  <c r="AR208" i="25"/>
  <c r="BK208" i="25"/>
  <c r="AP208" i="25"/>
  <c r="BI208" i="25"/>
  <c r="CA208" i="25"/>
  <c r="BX208" i="25"/>
  <c r="AT252" i="25"/>
  <c r="AU252" i="25"/>
  <c r="AT172" i="25"/>
  <c r="BA172" i="25" s="1"/>
  <c r="AU172" i="25"/>
  <c r="BJ95" i="25"/>
  <c r="AR95" i="25"/>
  <c r="BK95" i="25"/>
  <c r="AP95" i="25"/>
  <c r="CA95" i="25"/>
  <c r="BX95" i="25"/>
  <c r="BI95" i="25"/>
  <c r="BJ67" i="25"/>
  <c r="AR67" i="25"/>
  <c r="BK67" i="25"/>
  <c r="AP67" i="25"/>
  <c r="BI67" i="25"/>
  <c r="CA67" i="25"/>
  <c r="BX67" i="25"/>
  <c r="AT250" i="25"/>
  <c r="AU250" i="25"/>
  <c r="AT265" i="25"/>
  <c r="AU265" i="25"/>
  <c r="CA77" i="25"/>
  <c r="AR77" i="25"/>
  <c r="BJ77" i="25"/>
  <c r="BK77" i="25"/>
  <c r="AP77" i="25"/>
  <c r="BX77" i="25"/>
  <c r="BI77" i="25"/>
  <c r="AU162" i="25"/>
  <c r="AT162" i="25"/>
  <c r="BA162" i="25" s="1"/>
  <c r="BJ39" i="25"/>
  <c r="AR39" i="25"/>
  <c r="BK39" i="25"/>
  <c r="AP39" i="25"/>
  <c r="CA39" i="25"/>
  <c r="BI39" i="25"/>
  <c r="BX39" i="25"/>
  <c r="AT148" i="25"/>
  <c r="BA148" i="25" s="1"/>
  <c r="AU148" i="25"/>
  <c r="AP283" i="25"/>
  <c r="AR283" i="25"/>
  <c r="AT219" i="25"/>
  <c r="AU219" i="25"/>
  <c r="AR262" i="25"/>
  <c r="AP262" i="25"/>
  <c r="BJ189" i="25"/>
  <c r="BK189" i="25"/>
  <c r="AR189" i="25"/>
  <c r="AP189" i="25"/>
  <c r="CA189" i="25"/>
  <c r="BX189" i="25"/>
  <c r="BI189" i="25"/>
  <c r="AT156" i="25"/>
  <c r="BA156" i="25" s="1"/>
  <c r="AU156" i="25"/>
  <c r="BK87" i="25"/>
  <c r="AR87" i="25"/>
  <c r="BJ87" i="25"/>
  <c r="AP87" i="25"/>
  <c r="BX87" i="25"/>
  <c r="BI87" i="25"/>
  <c r="CA87" i="25"/>
  <c r="BJ56" i="25"/>
  <c r="AR56" i="25"/>
  <c r="BK56" i="25"/>
  <c r="AP56" i="25"/>
  <c r="CA56" i="25"/>
  <c r="BX56" i="25"/>
  <c r="BI56" i="25"/>
  <c r="AT278" i="25"/>
  <c r="AU278" i="25"/>
  <c r="AR221" i="25"/>
  <c r="AP221" i="25"/>
  <c r="AR97" i="25"/>
  <c r="BK97" i="25"/>
  <c r="BJ97" i="25"/>
  <c r="AP97" i="25"/>
  <c r="CA97" i="25"/>
  <c r="BI97" i="25"/>
  <c r="BX97" i="25"/>
  <c r="BJ42" i="25"/>
  <c r="AR42" i="25"/>
  <c r="BK42" i="25"/>
  <c r="AP42" i="25"/>
  <c r="CA42" i="25"/>
  <c r="BI42" i="25"/>
  <c r="BX42" i="25"/>
  <c r="AT222" i="25"/>
  <c r="AU222" i="25"/>
  <c r="BJ54" i="25"/>
  <c r="AR54" i="25"/>
  <c r="BK54" i="25"/>
  <c r="AP54" i="25"/>
  <c r="BI54" i="25"/>
  <c r="CA54" i="25"/>
  <c r="BX54" i="25"/>
  <c r="AR267" i="25"/>
  <c r="AP267" i="25"/>
  <c r="BK44" i="25"/>
  <c r="BJ44" i="25"/>
  <c r="AR44" i="25"/>
  <c r="AP44" i="25"/>
  <c r="CA44" i="25"/>
  <c r="BX44" i="25"/>
  <c r="BI44" i="25"/>
  <c r="AT170" i="25"/>
  <c r="BA170" i="25" s="1"/>
  <c r="AU170" i="25"/>
  <c r="AT281" i="25"/>
  <c r="AU281" i="25"/>
  <c r="AR183" i="25"/>
  <c r="BK183" i="25"/>
  <c r="BJ183" i="25"/>
  <c r="AP183" i="25"/>
  <c r="BI183" i="25"/>
  <c r="BX183" i="25"/>
  <c r="CA183" i="25"/>
  <c r="AR99" i="25"/>
  <c r="BK99" i="25"/>
  <c r="BJ99" i="25"/>
  <c r="AP99" i="25"/>
  <c r="CA99" i="25"/>
  <c r="BI99" i="25"/>
  <c r="BX99" i="25"/>
  <c r="CA134" i="25"/>
  <c r="BJ134" i="25"/>
  <c r="BK134" i="25"/>
  <c r="AR134" i="25"/>
  <c r="AP134" i="25"/>
  <c r="BI134" i="25"/>
  <c r="BX134" i="25"/>
  <c r="AT288" i="25"/>
  <c r="AU288" i="25"/>
  <c r="BK36" i="25"/>
  <c r="BJ36" i="25"/>
  <c r="AR36" i="25"/>
  <c r="AP36" i="25"/>
  <c r="BI36" i="25"/>
  <c r="CA36" i="25"/>
  <c r="BX36" i="25"/>
  <c r="AR76" i="25"/>
  <c r="BK76" i="25"/>
  <c r="BJ76" i="25"/>
  <c r="AP76" i="25"/>
  <c r="BI76" i="25"/>
  <c r="BX76" i="25"/>
  <c r="CA76" i="25"/>
  <c r="CA72" i="25"/>
  <c r="AR72" i="25"/>
  <c r="BK72" i="25"/>
  <c r="BJ72" i="25"/>
  <c r="AP72" i="25"/>
  <c r="BX72" i="25"/>
  <c r="BI72" i="25"/>
  <c r="AR285" i="25"/>
  <c r="AP285" i="25"/>
  <c r="AT227" i="25"/>
  <c r="AU227" i="25"/>
  <c r="CA35" i="25"/>
  <c r="AR35" i="25"/>
  <c r="BK35" i="25"/>
  <c r="BJ35" i="25"/>
  <c r="AP35" i="25"/>
  <c r="BX35" i="25"/>
  <c r="BI35" i="25"/>
  <c r="BJ15" i="25"/>
  <c r="AR15" i="25"/>
  <c r="BK15" i="25"/>
  <c r="AP15" i="25"/>
  <c r="BX15" i="25"/>
  <c r="CA15" i="25"/>
  <c r="BI15" i="25"/>
  <c r="AR71" i="25"/>
  <c r="BJ71" i="25"/>
  <c r="BK71" i="25"/>
  <c r="AP71" i="25"/>
  <c r="CA71" i="25"/>
  <c r="BX71" i="25"/>
  <c r="BI71" i="25"/>
  <c r="BJ20" i="25"/>
  <c r="BK20" i="25"/>
  <c r="AR20" i="25"/>
  <c r="AP20" i="25"/>
  <c r="CA20" i="25"/>
  <c r="BI20" i="25"/>
  <c r="BX20" i="25"/>
  <c r="AT279" i="25"/>
  <c r="AU279" i="25"/>
  <c r="AT205" i="25"/>
  <c r="BA205" i="25" s="1"/>
  <c r="AU205" i="25"/>
  <c r="AR140" i="25"/>
  <c r="BJ140" i="25"/>
  <c r="BK140" i="25"/>
  <c r="AP140" i="25"/>
  <c r="BX140" i="25"/>
  <c r="BI140" i="25"/>
  <c r="CA140" i="25"/>
  <c r="AR27" i="25"/>
  <c r="BJ27" i="25"/>
  <c r="BK27" i="25"/>
  <c r="AP27" i="25"/>
  <c r="BX27" i="25"/>
  <c r="BI27" i="25"/>
  <c r="CA27" i="25"/>
  <c r="AT209" i="25"/>
  <c r="BA209" i="25" s="1"/>
  <c r="AU209" i="25"/>
  <c r="CA60" i="25"/>
  <c r="BJ60" i="25"/>
  <c r="BK60" i="25"/>
  <c r="AR60" i="25"/>
  <c r="AP60" i="25"/>
  <c r="BX60" i="25"/>
  <c r="BI60" i="25"/>
  <c r="BI18" i="25"/>
  <c r="AR18" i="25"/>
  <c r="BJ18" i="25"/>
  <c r="BK18" i="25"/>
  <c r="AP18" i="25"/>
  <c r="CA18" i="25"/>
  <c r="BX18" i="25"/>
  <c r="CA69" i="25"/>
  <c r="BJ69" i="25"/>
  <c r="BK69" i="25"/>
  <c r="AR69" i="25"/>
  <c r="AP69" i="25"/>
  <c r="BI69" i="25"/>
  <c r="BX69" i="25"/>
  <c r="BI10" i="25"/>
  <c r="AR10" i="25"/>
  <c r="BK10" i="25"/>
  <c r="BJ10" i="25"/>
  <c r="AP10" i="25"/>
  <c r="BX10" i="25"/>
  <c r="CA10" i="25"/>
  <c r="BK89" i="25"/>
  <c r="AR89" i="25"/>
  <c r="BJ89" i="25"/>
  <c r="AP89" i="25"/>
  <c r="BX89" i="25"/>
  <c r="CA89" i="25"/>
  <c r="BI89" i="25"/>
  <c r="BJ79" i="25"/>
  <c r="AR79" i="25"/>
  <c r="BK79" i="25"/>
  <c r="AP79" i="25"/>
  <c r="CA79" i="25"/>
  <c r="BI79" i="25"/>
  <c r="BX79" i="25"/>
  <c r="AR269" i="25"/>
  <c r="AP269" i="25"/>
  <c r="AR291" i="25"/>
  <c r="AP291" i="25"/>
  <c r="AR268" i="25"/>
  <c r="AP268" i="25"/>
  <c r="AT145" i="25"/>
  <c r="BA145" i="25" s="1"/>
  <c r="AU145" i="25"/>
  <c r="AR313" i="25"/>
  <c r="AP313" i="25"/>
  <c r="AT129" i="25"/>
  <c r="BA129" i="25" s="1"/>
  <c r="AU129" i="25"/>
  <c r="AU232" i="25"/>
  <c r="AT232" i="25"/>
  <c r="AT161" i="25"/>
  <c r="BA161" i="25" s="1"/>
  <c r="AU161" i="25"/>
  <c r="AU306" i="25"/>
  <c r="AT306" i="25"/>
  <c r="AR141" i="25"/>
  <c r="BK141" i="25"/>
  <c r="BJ141" i="25"/>
  <c r="AP141" i="25"/>
  <c r="BX141" i="25"/>
  <c r="CA141" i="25"/>
  <c r="BI141" i="25"/>
  <c r="AT195" i="25"/>
  <c r="BA195" i="25" s="1"/>
  <c r="AU195" i="25"/>
  <c r="CA104" i="25"/>
  <c r="BK104" i="25"/>
  <c r="BJ104" i="25"/>
  <c r="AR104" i="25"/>
  <c r="AP104" i="25"/>
  <c r="BX104" i="25"/>
  <c r="BI104" i="25"/>
  <c r="AR226" i="25"/>
  <c r="AP226" i="25"/>
  <c r="AR287" i="25"/>
  <c r="AP287" i="25"/>
  <c r="AT201" i="25"/>
  <c r="BA201" i="25" s="1"/>
  <c r="AU201" i="25"/>
  <c r="AR275" i="25"/>
  <c r="AP275" i="25"/>
  <c r="AT171" i="25"/>
  <c r="BA171" i="25" s="1"/>
  <c r="AU171" i="25"/>
  <c r="BJ90" i="25"/>
  <c r="BK90" i="25"/>
  <c r="AR90" i="25"/>
  <c r="AP90" i="25"/>
  <c r="BX90" i="25"/>
  <c r="BI90" i="25"/>
  <c r="CA90" i="25"/>
  <c r="AT185" i="25"/>
  <c r="BA185" i="25" s="1"/>
  <c r="AU185" i="25"/>
  <c r="BJ32" i="25"/>
  <c r="BK32" i="25"/>
  <c r="AR32" i="25"/>
  <c r="AP32" i="25"/>
  <c r="BX32" i="25"/>
  <c r="CA32" i="25"/>
  <c r="BI32" i="25"/>
  <c r="AR255" i="25"/>
  <c r="AP255" i="25"/>
  <c r="BK16" i="25"/>
  <c r="AP16" i="25"/>
  <c r="BJ16" i="25"/>
  <c r="AR16" i="25"/>
  <c r="BX16" i="25"/>
  <c r="BI16" i="25"/>
  <c r="CA16" i="25"/>
  <c r="AR173" i="25"/>
  <c r="BJ173" i="25"/>
  <c r="BK173" i="25"/>
  <c r="AP173" i="25"/>
  <c r="CA173" i="25"/>
  <c r="BX173" i="25"/>
  <c r="BI173" i="25"/>
  <c r="AR17" i="25"/>
  <c r="BK17" i="25"/>
  <c r="BJ17" i="25"/>
  <c r="AP17" i="25"/>
  <c r="BI17" i="25"/>
  <c r="BX17" i="25"/>
  <c r="CA17" i="25"/>
  <c r="CA61" i="25"/>
  <c r="AR61" i="25"/>
  <c r="BK61" i="25"/>
  <c r="BJ61" i="25"/>
  <c r="AP61" i="25"/>
  <c r="BI61" i="25"/>
  <c r="BX61" i="25"/>
  <c r="AR75" i="25"/>
  <c r="BJ75" i="25"/>
  <c r="BK75" i="25"/>
  <c r="AP75" i="25"/>
  <c r="CA75" i="25"/>
  <c r="BX75" i="25"/>
  <c r="BI75" i="25"/>
  <c r="AP303" i="25"/>
  <c r="AR303" i="25"/>
  <c r="AR244" i="25"/>
  <c r="AP244" i="25"/>
  <c r="BK94" i="25"/>
  <c r="BJ94" i="25"/>
  <c r="AR94" i="25"/>
  <c r="AP94" i="25"/>
  <c r="CA94" i="25"/>
  <c r="BI94" i="25"/>
  <c r="BX94" i="25"/>
  <c r="AT143" i="25"/>
  <c r="BA143" i="25" s="1"/>
  <c r="AU143" i="25"/>
  <c r="AT302" i="25"/>
  <c r="AU302" i="25"/>
  <c r="AU270" i="25"/>
  <c r="AT270" i="25"/>
  <c r="AR33" i="25"/>
  <c r="BK33" i="25"/>
  <c r="BJ33" i="25"/>
  <c r="AP33" i="25"/>
  <c r="BX33" i="25"/>
  <c r="BI33" i="25"/>
  <c r="CA33" i="25"/>
  <c r="BJ78" i="25"/>
  <c r="BK78" i="25"/>
  <c r="AR78" i="25"/>
  <c r="AP78" i="25"/>
  <c r="CA78" i="25"/>
  <c r="BI78" i="25"/>
  <c r="BX78" i="25"/>
  <c r="AR83" i="25"/>
  <c r="BK83" i="25"/>
  <c r="BJ83" i="25"/>
  <c r="AP83" i="25"/>
  <c r="BX83" i="25"/>
  <c r="BI83" i="25"/>
  <c r="CA83" i="25"/>
  <c r="BK37" i="25"/>
  <c r="AR37" i="25"/>
  <c r="BJ37" i="25"/>
  <c r="AP37" i="25"/>
  <c r="CA37" i="25"/>
  <c r="BX37" i="25"/>
  <c r="BI37" i="25"/>
  <c r="BK93" i="25"/>
  <c r="BJ93" i="25"/>
  <c r="AR93" i="25"/>
  <c r="AP93" i="25"/>
  <c r="BI93" i="25"/>
  <c r="CA93" i="25"/>
  <c r="BX93" i="25"/>
  <c r="BK29" i="25"/>
  <c r="BJ29" i="25"/>
  <c r="AR29" i="25"/>
  <c r="AP29" i="25"/>
  <c r="BI29" i="25"/>
  <c r="BX29" i="25"/>
  <c r="CA29" i="25"/>
  <c r="AU277" i="25"/>
  <c r="AT277" i="25"/>
  <c r="AT286" i="25"/>
  <c r="AU286" i="25"/>
  <c r="AR51" i="25"/>
  <c r="BK51" i="25"/>
  <c r="BJ51" i="25"/>
  <c r="AP51" i="25"/>
  <c r="CA51" i="25"/>
  <c r="BI51" i="25"/>
  <c r="BX51" i="25"/>
  <c r="AT237" i="25"/>
  <c r="AU237" i="25"/>
  <c r="BI81" i="25"/>
  <c r="CA81" i="25"/>
  <c r="BX81" i="25"/>
  <c r="AP81" i="25"/>
  <c r="AR81" i="25"/>
  <c r="BK81" i="25"/>
  <c r="BJ81" i="25"/>
  <c r="AR85" i="25"/>
  <c r="BJ85" i="25"/>
  <c r="BK85" i="25"/>
  <c r="AP85" i="25"/>
  <c r="BX85" i="25"/>
  <c r="BI85" i="25"/>
  <c r="CA85" i="25"/>
  <c r="AT196" i="25"/>
  <c r="BA196" i="25" s="1"/>
  <c r="AU196" i="25"/>
  <c r="AR280" i="25"/>
  <c r="AP280" i="25"/>
  <c r="BJ96" i="25"/>
  <c r="AR96" i="25"/>
  <c r="BK96" i="25"/>
  <c r="AP96" i="25"/>
  <c r="CA96" i="25"/>
  <c r="BX96" i="25"/>
  <c r="BI96" i="25"/>
  <c r="AR48" i="25"/>
  <c r="BK48" i="25"/>
  <c r="BJ48" i="25"/>
  <c r="AP48" i="25"/>
  <c r="BX48" i="25"/>
  <c r="BI48" i="25"/>
  <c r="CA48" i="25"/>
  <c r="AP19" i="25"/>
  <c r="BK19" i="25"/>
  <c r="BJ19" i="25"/>
  <c r="AR19" i="25"/>
  <c r="CA19" i="25"/>
  <c r="BX19" i="25"/>
  <c r="BI19" i="25"/>
  <c r="AT155" i="25"/>
  <c r="BA155" i="25" s="1"/>
  <c r="AU155" i="25"/>
  <c r="BJ105" i="25"/>
  <c r="BK105" i="25"/>
  <c r="AR105" i="25"/>
  <c r="AP105" i="25"/>
  <c r="BX105" i="25"/>
  <c r="CA105" i="25"/>
  <c r="BI105" i="25"/>
  <c r="AU284" i="25"/>
  <c r="AT284" i="25"/>
  <c r="CA9" i="25"/>
  <c r="AR9" i="25"/>
  <c r="BJ9" i="25"/>
  <c r="BK9" i="25"/>
  <c r="AP9" i="25"/>
  <c r="BI9" i="25"/>
  <c r="BX9" i="25"/>
  <c r="AR103" i="25"/>
  <c r="BK103" i="25"/>
  <c r="BJ103" i="25"/>
  <c r="AP103" i="25"/>
  <c r="CA103" i="25"/>
  <c r="BX103" i="25"/>
  <c r="BI103" i="25"/>
  <c r="AR246" i="25"/>
  <c r="AP246" i="25"/>
  <c r="BK23" i="25"/>
  <c r="BJ23" i="25"/>
  <c r="AR23" i="25"/>
  <c r="AP23" i="25"/>
  <c r="BX23" i="25"/>
  <c r="CA23" i="25"/>
  <c r="BI23" i="25"/>
  <c r="AR223" i="25"/>
  <c r="AP223" i="25"/>
  <c r="AT181" i="25"/>
  <c r="BA181" i="25" s="1"/>
  <c r="AU181" i="25"/>
  <c r="AT257" i="25"/>
  <c r="AU257" i="25"/>
  <c r="CA28" i="25"/>
  <c r="BJ28" i="25"/>
  <c r="AR28" i="25"/>
  <c r="BK28" i="25"/>
  <c r="AP28" i="25"/>
  <c r="BX28" i="25"/>
  <c r="BI28" i="25"/>
  <c r="BK11" i="25"/>
  <c r="BJ11" i="25"/>
  <c r="AR11" i="25"/>
  <c r="AP11" i="25"/>
  <c r="CA11" i="25"/>
  <c r="BX11" i="25"/>
  <c r="BI11" i="25"/>
  <c r="AR70" i="25"/>
  <c r="BK70" i="25"/>
  <c r="BJ70" i="25"/>
  <c r="AP70" i="25"/>
  <c r="CA70" i="25"/>
  <c r="BI70" i="25"/>
  <c r="BX70" i="25"/>
  <c r="BK50" i="25"/>
  <c r="AR50" i="25"/>
  <c r="BJ50" i="25"/>
  <c r="AP50" i="25"/>
  <c r="BI50" i="25"/>
  <c r="BX50" i="25"/>
  <c r="CA50" i="25"/>
  <c r="AT296" i="25"/>
  <c r="AU296" i="25"/>
  <c r="AR315" i="25"/>
  <c r="AP315" i="25"/>
  <c r="AR272" i="25"/>
  <c r="AP272" i="25"/>
  <c r="AR266" i="25"/>
  <c r="AP266" i="25"/>
  <c r="CA133" i="25"/>
  <c r="BJ133" i="25"/>
  <c r="AR133" i="25"/>
  <c r="BK133" i="25"/>
  <c r="AP133" i="25"/>
  <c r="BX133" i="25"/>
  <c r="BI133" i="25"/>
  <c r="BJ14" i="25"/>
  <c r="AR14" i="25"/>
  <c r="BK14" i="25"/>
  <c r="AP14" i="25"/>
  <c r="CA14" i="25"/>
  <c r="BX14" i="25"/>
  <c r="BI14" i="25"/>
  <c r="BK12" i="25"/>
  <c r="BJ12" i="25"/>
  <c r="AR12" i="25"/>
  <c r="AP12" i="25"/>
  <c r="BI12" i="25"/>
  <c r="CA12" i="25"/>
  <c r="BX12" i="25"/>
  <c r="BJ7" i="25"/>
  <c r="BK7" i="25"/>
  <c r="AR7" i="25"/>
  <c r="AP7" i="25"/>
  <c r="BI7" i="25"/>
  <c r="CA7" i="25"/>
  <c r="BX7" i="25"/>
  <c r="AT297" i="25"/>
  <c r="AU297" i="25"/>
  <c r="CA30" i="25"/>
  <c r="AR30" i="25"/>
  <c r="BJ30" i="25"/>
  <c r="BK30" i="25"/>
  <c r="AP30" i="25"/>
  <c r="BI30" i="25"/>
  <c r="BX30" i="25"/>
  <c r="AT231" i="25"/>
  <c r="AU231" i="25"/>
  <c r="AR131" i="25"/>
  <c r="BK131" i="25"/>
  <c r="BJ131" i="25"/>
  <c r="AP131" i="25"/>
  <c r="BI131" i="25"/>
  <c r="CA131" i="25"/>
  <c r="BX131" i="25"/>
  <c r="BJ118" i="25"/>
  <c r="BK118" i="25"/>
  <c r="AR118" i="25"/>
  <c r="AP118" i="25"/>
  <c r="BX118" i="25"/>
  <c r="CA118" i="25"/>
  <c r="BI118" i="25"/>
  <c r="AT149" i="25"/>
  <c r="BA149" i="25" s="1"/>
  <c r="AU149" i="25"/>
  <c r="AR116" i="25"/>
  <c r="BJ116" i="25"/>
  <c r="BK116" i="25"/>
  <c r="AP116" i="25"/>
  <c r="BI116" i="25"/>
  <c r="BX116" i="25"/>
  <c r="CA116" i="25"/>
  <c r="AT264" i="25"/>
  <c r="AU264" i="25"/>
  <c r="AR82" i="25"/>
  <c r="BK82" i="25"/>
  <c r="BJ82" i="25"/>
  <c r="AP82" i="25"/>
  <c r="BX82" i="25"/>
  <c r="BI82" i="25"/>
  <c r="CA82" i="25"/>
  <c r="BJ100" i="25"/>
  <c r="BK100" i="25"/>
  <c r="AR100" i="25"/>
  <c r="AP100" i="25"/>
  <c r="BX100" i="25"/>
  <c r="BI100" i="25"/>
  <c r="CA100" i="25"/>
  <c r="AT160" i="25"/>
  <c r="BA160" i="25" s="1"/>
  <c r="AU160" i="25"/>
  <c r="AT239" i="25"/>
  <c r="AU239" i="25"/>
  <c r="BI130" i="25"/>
  <c r="AR130" i="25"/>
  <c r="BK130" i="25"/>
  <c r="BJ130" i="25"/>
  <c r="AP130" i="25"/>
  <c r="CA130" i="25"/>
  <c r="BX130" i="25"/>
  <c r="AT138" i="25"/>
  <c r="BA138" i="25" s="1"/>
  <c r="AU138" i="25"/>
  <c r="AR98" i="25"/>
  <c r="BJ98" i="25"/>
  <c r="BK98" i="25"/>
  <c r="AP98" i="25"/>
  <c r="CA98" i="25"/>
  <c r="BI98" i="25"/>
  <c r="BX98" i="25"/>
  <c r="AT304" i="25"/>
  <c r="AU304" i="25"/>
  <c r="AT273" i="25"/>
  <c r="AU273" i="25"/>
  <c r="AT260" i="25"/>
  <c r="AU260" i="25"/>
  <c r="AR247" i="25"/>
  <c r="AP247" i="25"/>
  <c r="CA62" i="25"/>
  <c r="AR62" i="25"/>
  <c r="BK62" i="25"/>
  <c r="BJ62" i="25"/>
  <c r="AP62" i="25"/>
  <c r="BX62" i="25"/>
  <c r="BI62" i="25"/>
  <c r="AR121" i="25"/>
  <c r="BJ121" i="25"/>
  <c r="BK121" i="25"/>
  <c r="AP121" i="25"/>
  <c r="BX121" i="25"/>
  <c r="CA121" i="25"/>
  <c r="BI121" i="25"/>
  <c r="AU203" i="25"/>
  <c r="AT203" i="25"/>
  <c r="BA203" i="25" s="1"/>
  <c r="AR182" i="25"/>
  <c r="BJ182" i="25"/>
  <c r="BK182" i="25"/>
  <c r="AP182" i="25"/>
  <c r="BX182" i="25"/>
  <c r="BI182" i="25"/>
  <c r="CA182" i="25"/>
  <c r="AT234" i="25"/>
  <c r="AU234" i="25"/>
  <c r="AT163" i="25"/>
  <c r="BA163" i="25" s="1"/>
  <c r="AU163" i="25"/>
  <c r="BK68" i="25"/>
  <c r="BJ68" i="25"/>
  <c r="AR68" i="25"/>
  <c r="AP68" i="25"/>
  <c r="BX68" i="25"/>
  <c r="BI68" i="25"/>
  <c r="CA68" i="25"/>
  <c r="BK110" i="25"/>
  <c r="BJ110" i="25"/>
  <c r="AR110" i="25"/>
  <c r="AP110" i="25"/>
  <c r="CA110" i="25"/>
  <c r="BX110" i="25"/>
  <c r="BI110" i="25"/>
  <c r="BJ41" i="25"/>
  <c r="AR41" i="25"/>
  <c r="BK41" i="25"/>
  <c r="AP41" i="25"/>
  <c r="BX41" i="25"/>
  <c r="BI41" i="25"/>
  <c r="CA41" i="25"/>
  <c r="AT202" i="25"/>
  <c r="BA202" i="25" s="1"/>
  <c r="AU202" i="25"/>
  <c r="CA153" i="25"/>
  <c r="AR153" i="25"/>
  <c r="BJ153" i="25"/>
  <c r="BK153" i="25"/>
  <c r="AP153" i="25"/>
  <c r="BI153" i="25"/>
  <c r="BX153" i="25"/>
  <c r="AT166" i="25"/>
  <c r="BA166" i="25" s="1"/>
  <c r="AU166" i="25"/>
  <c r="AR40" i="25"/>
  <c r="BJ40" i="25"/>
  <c r="BK40" i="25"/>
  <c r="AP40" i="25"/>
  <c r="CA40" i="25"/>
  <c r="BI40" i="25"/>
  <c r="BX40" i="25"/>
  <c r="CA47" i="25"/>
  <c r="BK47" i="25"/>
  <c r="BJ47" i="25"/>
  <c r="AR47" i="25"/>
  <c r="AP47" i="25"/>
  <c r="BI47" i="25"/>
  <c r="BX47" i="25"/>
  <c r="AT207" i="25"/>
  <c r="BA207" i="25" s="1"/>
  <c r="AU207" i="25"/>
  <c r="BX25" i="25"/>
  <c r="BJ25" i="25"/>
  <c r="AR25" i="25"/>
  <c r="BK25" i="25"/>
  <c r="AP25" i="25"/>
  <c r="BI25" i="25"/>
  <c r="CA25" i="25"/>
  <c r="CA159" i="25"/>
  <c r="BK159" i="25"/>
  <c r="BJ159" i="25"/>
  <c r="AR159" i="25"/>
  <c r="AP159" i="25"/>
  <c r="BI159" i="25"/>
  <c r="BX159" i="25"/>
  <c r="BK57" i="25"/>
  <c r="BJ57" i="25"/>
  <c r="AR57" i="25"/>
  <c r="AP57" i="25"/>
  <c r="BX57" i="25"/>
  <c r="BI57" i="25"/>
  <c r="CA57" i="25"/>
  <c r="AT147" i="25"/>
  <c r="BA147" i="25" s="1"/>
  <c r="AU147" i="25"/>
  <c r="CA139" i="25"/>
  <c r="BJ139" i="25"/>
  <c r="AR139" i="25"/>
  <c r="BK139" i="25"/>
  <c r="AP139" i="25"/>
  <c r="BI139" i="25"/>
  <c r="BX139" i="25"/>
  <c r="AT191" i="25"/>
  <c r="BA191" i="25" s="1"/>
  <c r="AU191" i="25"/>
  <c r="AT119" i="25"/>
  <c r="BA119" i="25" s="1"/>
  <c r="AU119" i="25"/>
  <c r="AR236" i="25"/>
  <c r="AP236" i="25"/>
  <c r="AT261" i="25"/>
  <c r="AU261" i="25"/>
  <c r="AT175" i="25"/>
  <c r="BA175" i="25" s="1"/>
  <c r="AU175" i="25"/>
  <c r="AR290" i="25"/>
  <c r="AP290" i="25"/>
  <c r="AT254" i="25"/>
  <c r="AU254" i="25"/>
  <c r="AU276" i="25"/>
  <c r="AT276" i="25"/>
  <c r="BK86" i="25"/>
  <c r="AR86" i="25"/>
  <c r="BJ86" i="25"/>
  <c r="AP86" i="25"/>
  <c r="BX86" i="25"/>
  <c r="BI86" i="25"/>
  <c r="CA86" i="25"/>
  <c r="AR194" i="25"/>
  <c r="BJ194" i="25"/>
  <c r="BK194" i="25"/>
  <c r="AP194" i="25"/>
  <c r="BX194" i="25"/>
  <c r="BI194" i="25"/>
  <c r="CA194" i="25"/>
  <c r="AT122" i="25"/>
  <c r="BA122" i="25" s="1"/>
  <c r="AU122" i="25"/>
  <c r="AR179" i="25"/>
  <c r="BK179" i="25"/>
  <c r="BJ179" i="25"/>
  <c r="AP179" i="25"/>
  <c r="CA179" i="25"/>
  <c r="BI179" i="25"/>
  <c r="BX179" i="25"/>
  <c r="AU174" i="25"/>
  <c r="AT174" i="25"/>
  <c r="BA174" i="25" s="1"/>
  <c r="CA65" i="25"/>
  <c r="AR65" i="25"/>
  <c r="BK65" i="25"/>
  <c r="BJ65" i="25"/>
  <c r="AP65" i="25"/>
  <c r="BX65" i="25"/>
  <c r="BI65" i="25"/>
  <c r="AT218" i="25"/>
  <c r="AU218" i="25"/>
  <c r="AT169" i="25"/>
  <c r="BA169" i="25" s="1"/>
  <c r="AU169" i="25"/>
  <c r="BJ21" i="25"/>
  <c r="AR21" i="25"/>
  <c r="BK21" i="25"/>
  <c r="AP21" i="25"/>
  <c r="BI21" i="25"/>
  <c r="CA21" i="25"/>
  <c r="BX21" i="25"/>
  <c r="AT177" i="25"/>
  <c r="BA177" i="25" s="1"/>
  <c r="AU177" i="25"/>
  <c r="AR64" i="25"/>
  <c r="BJ64" i="25"/>
  <c r="BK64" i="25"/>
  <c r="AP64" i="25"/>
  <c r="BI64" i="25"/>
  <c r="CA64" i="25"/>
  <c r="BX64" i="25"/>
  <c r="AT242" i="25"/>
  <c r="AU242" i="25"/>
  <c r="BJ84" i="25"/>
  <c r="BK84" i="25"/>
  <c r="AR84" i="25"/>
  <c r="AP84" i="25"/>
  <c r="BX84" i="25"/>
  <c r="CA84" i="25"/>
  <c r="BI84" i="25"/>
  <c r="BN141" i="24" l="1"/>
  <c r="CG141" i="24"/>
  <c r="AU132" i="25"/>
  <c r="BN138" i="24"/>
  <c r="CG138" i="24"/>
  <c r="AU241" i="25"/>
  <c r="AU294" i="25"/>
  <c r="BN17" i="24"/>
  <c r="CG17" i="24"/>
  <c r="AU102" i="25"/>
  <c r="BD102" i="25" s="1"/>
  <c r="AX92" i="24"/>
  <c r="AU245" i="25"/>
  <c r="AU243" i="25"/>
  <c r="BB102" i="25"/>
  <c r="BN127" i="24"/>
  <c r="CG127" i="24"/>
  <c r="BN137" i="24"/>
  <c r="CG137" i="24"/>
  <c r="BN33" i="24"/>
  <c r="CG33" i="24"/>
  <c r="BN159" i="24"/>
  <c r="CG159" i="24"/>
  <c r="BN29" i="24"/>
  <c r="CG29" i="24"/>
  <c r="BN34" i="24"/>
  <c r="CG34" i="24"/>
  <c r="BN152" i="24"/>
  <c r="CG152" i="24"/>
  <c r="BN48" i="24"/>
  <c r="CG48" i="24"/>
  <c r="BN78" i="24"/>
  <c r="CG78" i="24"/>
  <c r="BN185" i="24"/>
  <c r="CG185" i="24"/>
  <c r="BN96" i="24"/>
  <c r="CG96" i="24"/>
  <c r="AS299" i="24"/>
  <c r="AU299" i="24" s="1"/>
  <c r="BC299" i="24" s="1"/>
  <c r="CG299" i="24"/>
  <c r="BN176" i="24"/>
  <c r="CG176" i="24"/>
  <c r="BN210" i="24"/>
  <c r="CG210" i="24"/>
  <c r="BN207" i="24"/>
  <c r="CG207" i="24"/>
  <c r="BN192" i="24"/>
  <c r="CG192" i="24"/>
  <c r="BN140" i="24"/>
  <c r="CG140" i="24"/>
  <c r="BN67" i="24"/>
  <c r="CG67" i="24"/>
  <c r="BN61" i="24"/>
  <c r="CG61" i="24"/>
  <c r="BN30" i="24"/>
  <c r="CG30" i="24"/>
  <c r="BN131" i="24"/>
  <c r="CG131" i="24"/>
  <c r="BN145" i="24"/>
  <c r="CG145" i="24"/>
  <c r="BN179" i="24"/>
  <c r="CG179" i="24"/>
  <c r="AU316" i="25"/>
  <c r="BN156" i="24"/>
  <c r="CG156" i="24"/>
  <c r="BN53" i="24"/>
  <c r="CG53" i="24"/>
  <c r="BN193" i="24"/>
  <c r="CG193" i="24"/>
  <c r="BN47" i="24"/>
  <c r="CG47" i="24"/>
  <c r="BN190" i="24"/>
  <c r="CG190" i="24"/>
  <c r="BN167" i="24"/>
  <c r="CG167" i="24"/>
  <c r="BN189" i="24"/>
  <c r="CG189" i="24"/>
  <c r="AU136" i="25"/>
  <c r="BE136" i="25" s="1"/>
  <c r="BV136" i="25" s="1"/>
  <c r="AU167" i="25"/>
  <c r="BE167" i="25" s="1"/>
  <c r="BV167" i="25" s="1"/>
  <c r="BN132" i="24"/>
  <c r="CG132" i="24"/>
  <c r="BN181" i="24"/>
  <c r="CG181" i="24"/>
  <c r="BN75" i="24"/>
  <c r="CG75" i="24"/>
  <c r="BN186" i="24"/>
  <c r="CG186" i="24"/>
  <c r="BN187" i="24"/>
  <c r="CG187" i="24"/>
  <c r="BN166" i="24"/>
  <c r="CG166" i="24"/>
  <c r="BN199" i="24"/>
  <c r="CG199" i="24"/>
  <c r="AT178" i="25"/>
  <c r="BA178" i="25" s="1"/>
  <c r="BV110" i="24"/>
  <c r="BZ110" i="24" s="1"/>
  <c r="AU248" i="25"/>
  <c r="BW92" i="24"/>
  <c r="AS92" i="24"/>
  <c r="AU92" i="24" s="1"/>
  <c r="BJ92" i="24"/>
  <c r="BK92" i="24"/>
  <c r="BY92" i="24"/>
  <c r="BN92" i="24"/>
  <c r="BL92" i="24"/>
  <c r="AU225" i="25"/>
  <c r="BN105" i="24"/>
  <c r="CG105" i="24"/>
  <c r="AQ299" i="24"/>
  <c r="AT124" i="25"/>
  <c r="BA124" i="25" s="1"/>
  <c r="AQ238" i="24"/>
  <c r="CG238" i="24"/>
  <c r="BN22" i="24"/>
  <c r="CG22" i="24"/>
  <c r="BN125" i="24"/>
  <c r="CG125" i="24"/>
  <c r="BN126" i="24"/>
  <c r="CG126" i="24"/>
  <c r="BN20" i="24"/>
  <c r="CG20" i="24"/>
  <c r="BN130" i="24"/>
  <c r="CG130" i="24"/>
  <c r="BN24" i="24"/>
  <c r="CG24" i="24"/>
  <c r="BN175" i="24"/>
  <c r="CG175" i="24"/>
  <c r="AU295" i="25"/>
  <c r="BN56" i="24"/>
  <c r="CG56" i="24"/>
  <c r="BN188" i="24"/>
  <c r="CG188" i="24"/>
  <c r="BN173" i="24"/>
  <c r="CG173" i="24"/>
  <c r="BN200" i="24"/>
  <c r="CG200" i="24"/>
  <c r="BN196" i="24"/>
  <c r="CG196" i="24"/>
  <c r="BN139" i="24"/>
  <c r="CG139" i="24"/>
  <c r="BN46" i="24"/>
  <c r="CG46" i="24"/>
  <c r="AT263" i="25"/>
  <c r="BN202" i="24"/>
  <c r="CG202" i="24"/>
  <c r="BN194" i="24"/>
  <c r="CG194" i="24"/>
  <c r="BN51" i="24"/>
  <c r="CG51" i="24"/>
  <c r="BN148" i="24"/>
  <c r="CG148" i="24"/>
  <c r="BN208" i="24"/>
  <c r="CG208" i="24"/>
  <c r="BN163" i="24"/>
  <c r="CG163" i="24"/>
  <c r="AU311" i="25"/>
  <c r="BN76" i="24"/>
  <c r="CG76" i="24"/>
  <c r="BN153" i="24"/>
  <c r="CG153" i="24"/>
  <c r="BN64" i="24"/>
  <c r="CG64" i="24"/>
  <c r="BN87" i="24"/>
  <c r="CG87" i="24"/>
  <c r="BN161" i="24"/>
  <c r="CG161" i="24"/>
  <c r="AU117" i="25"/>
  <c r="BF117" i="25" s="1"/>
  <c r="BW117" i="25" s="1"/>
  <c r="BN133" i="24"/>
  <c r="CG133" i="24"/>
  <c r="BN37" i="24"/>
  <c r="CG37" i="24"/>
  <c r="BN195" i="24"/>
  <c r="CG195" i="24"/>
  <c r="BN172" i="24"/>
  <c r="CG172" i="24"/>
  <c r="BN86" i="24"/>
  <c r="CG86" i="24"/>
  <c r="BN157" i="24"/>
  <c r="CG157" i="24"/>
  <c r="AU165" i="25"/>
  <c r="BF165" i="25" s="1"/>
  <c r="BW165" i="25" s="1"/>
  <c r="AU128" i="25"/>
  <c r="BF128" i="25" s="1"/>
  <c r="BW128" i="25" s="1"/>
  <c r="BN204" i="24"/>
  <c r="CG204" i="24"/>
  <c r="BN203" i="24"/>
  <c r="CG203" i="24"/>
  <c r="BN182" i="24"/>
  <c r="CG182" i="24"/>
  <c r="AT300" i="25"/>
  <c r="BN70" i="24"/>
  <c r="CG70" i="24"/>
  <c r="BN165" i="24"/>
  <c r="CG165" i="24"/>
  <c r="BN201" i="24"/>
  <c r="CG201" i="24"/>
  <c r="BN81" i="24"/>
  <c r="CG81" i="24"/>
  <c r="BN183" i="24"/>
  <c r="CG183" i="24"/>
  <c r="BN205" i="24"/>
  <c r="CG205" i="24"/>
  <c r="AU158" i="25"/>
  <c r="BE158" i="25" s="1"/>
  <c r="BV158" i="25" s="1"/>
  <c r="BN155" i="24"/>
  <c r="CG155" i="24"/>
  <c r="BN191" i="24"/>
  <c r="CG191" i="24"/>
  <c r="BN206" i="24"/>
  <c r="CG206" i="24"/>
  <c r="AU186" i="25"/>
  <c r="BF186" i="25" s="1"/>
  <c r="BW186" i="25" s="1"/>
  <c r="AT193" i="25"/>
  <c r="BA193" i="25" s="1"/>
  <c r="AT299" i="25"/>
  <c r="AU164" i="25"/>
  <c r="BE164" i="25" s="1"/>
  <c r="BV164" i="25" s="1"/>
  <c r="AU142" i="25"/>
  <c r="BD142" i="25" s="1"/>
  <c r="AT240" i="25"/>
  <c r="AU188" i="25"/>
  <c r="BD188" i="25" s="1"/>
  <c r="AU187" i="25"/>
  <c r="BF187" i="25" s="1"/>
  <c r="BW187" i="25" s="1"/>
  <c r="BK5" i="25"/>
  <c r="CA5" i="25"/>
  <c r="AP5" i="25"/>
  <c r="BJ5" i="25"/>
  <c r="AR5" i="25"/>
  <c r="AT5" i="25" s="1"/>
  <c r="BI5" i="25"/>
  <c r="BX5" i="25"/>
  <c r="BN171" i="24"/>
  <c r="CG171" i="24"/>
  <c r="BN79" i="24"/>
  <c r="CG79" i="24"/>
  <c r="AS238" i="24"/>
  <c r="AU238" i="24" s="1"/>
  <c r="BC238" i="24" s="1"/>
  <c r="AU146" i="25"/>
  <c r="BE146" i="25" s="1"/>
  <c r="BV146" i="25" s="1"/>
  <c r="AT206" i="25"/>
  <c r="BA206" i="25" s="1"/>
  <c r="AU111" i="25"/>
  <c r="BF111" i="25" s="1"/>
  <c r="BW111" i="25" s="1"/>
  <c r="BC5" i="24"/>
  <c r="BD5" i="24"/>
  <c r="AU224" i="25"/>
  <c r="AU199" i="25"/>
  <c r="BE199" i="25" s="1"/>
  <c r="BV199" i="25" s="1"/>
  <c r="BN198" i="24"/>
  <c r="CG198" i="24"/>
  <c r="AU125" i="25"/>
  <c r="BD125" i="25" s="1"/>
  <c r="AU114" i="25"/>
  <c r="BF114" i="25" s="1"/>
  <c r="BW114" i="25" s="1"/>
  <c r="BW97" i="24"/>
  <c r="CG97" i="24"/>
  <c r="BN180" i="24"/>
  <c r="CG180" i="24"/>
  <c r="AU112" i="25"/>
  <c r="BF112" i="25" s="1"/>
  <c r="BW112" i="25" s="1"/>
  <c r="AU176" i="25"/>
  <c r="BF176" i="25" s="1"/>
  <c r="BW176" i="25" s="1"/>
  <c r="AT198" i="25"/>
  <c r="BA198" i="25" s="1"/>
  <c r="BJ117" i="24"/>
  <c r="BN117" i="24"/>
  <c r="BJ162" i="24"/>
  <c r="BN162" i="24"/>
  <c r="AX174" i="24"/>
  <c r="BN174" i="24"/>
  <c r="AX82" i="24"/>
  <c r="BN82" i="24"/>
  <c r="AX149" i="24"/>
  <c r="BN149" i="24"/>
  <c r="AX99" i="24"/>
  <c r="BN99" i="24"/>
  <c r="BJ98" i="24"/>
  <c r="BN98" i="24"/>
  <c r="BY89" i="24"/>
  <c r="BN89" i="24"/>
  <c r="BW10" i="24"/>
  <c r="BN10" i="24"/>
  <c r="BY8" i="24"/>
  <c r="BN8" i="24"/>
  <c r="BJ121" i="24"/>
  <c r="BN121" i="24"/>
  <c r="BY160" i="24"/>
  <c r="BN160" i="24"/>
  <c r="BW128" i="24"/>
  <c r="BN128" i="24"/>
  <c r="BW12" i="24"/>
  <c r="BN12" i="24"/>
  <c r="CG150" i="24"/>
  <c r="BN150" i="24"/>
  <c r="BW93" i="24"/>
  <c r="BN93" i="24"/>
  <c r="BW151" i="24"/>
  <c r="BN151" i="24"/>
  <c r="BW158" i="24"/>
  <c r="BN158" i="24"/>
  <c r="BY119" i="24"/>
  <c r="BN119" i="24"/>
  <c r="AX28" i="24"/>
  <c r="BN28" i="24"/>
  <c r="BW124" i="24"/>
  <c r="BN124" i="24"/>
  <c r="BY94" i="24"/>
  <c r="BN94" i="24"/>
  <c r="AX135" i="24"/>
  <c r="BN135" i="24"/>
  <c r="AX25" i="24"/>
  <c r="BN25" i="24"/>
  <c r="BY83" i="24"/>
  <c r="BN83" i="24"/>
  <c r="AX50" i="24"/>
  <c r="BN50" i="24"/>
  <c r="AX142" i="24"/>
  <c r="BN142" i="24"/>
  <c r="BW112" i="24"/>
  <c r="BN112" i="24"/>
  <c r="BW147" i="24"/>
  <c r="BN147" i="24"/>
  <c r="BJ60" i="24"/>
  <c r="BN60" i="24"/>
  <c r="BW74" i="24"/>
  <c r="BN74" i="24"/>
  <c r="AX42" i="24"/>
  <c r="BN42" i="24"/>
  <c r="AX116" i="24"/>
  <c r="BN116" i="24"/>
  <c r="BY35" i="24"/>
  <c r="BN35" i="24"/>
  <c r="AX36" i="24"/>
  <c r="BN36" i="24"/>
  <c r="AU150" i="25"/>
  <c r="BE150" i="25" s="1"/>
  <c r="BV150" i="25" s="1"/>
  <c r="BJ43" i="24"/>
  <c r="BN43" i="24"/>
  <c r="BW54" i="24"/>
  <c r="BN54" i="24"/>
  <c r="BW80" i="24"/>
  <c r="BN80" i="24"/>
  <c r="AX178" i="24"/>
  <c r="BN178" i="24"/>
  <c r="AX104" i="24"/>
  <c r="BN104" i="24"/>
  <c r="AX23" i="24"/>
  <c r="BN23" i="24"/>
  <c r="BW63" i="24"/>
  <c r="BN63" i="24"/>
  <c r="AX102" i="24"/>
  <c r="BN102" i="24"/>
  <c r="AX122" i="24"/>
  <c r="BN122" i="24"/>
  <c r="BW69" i="24"/>
  <c r="BN69" i="24"/>
  <c r="AU197" i="25"/>
  <c r="BE197" i="25" s="1"/>
  <c r="BV197" i="25" s="1"/>
  <c r="BJ39" i="24"/>
  <c r="BN39" i="24"/>
  <c r="BJ77" i="24"/>
  <c r="BN77" i="24"/>
  <c r="BW16" i="24"/>
  <c r="BN16" i="24"/>
  <c r="BY13" i="24"/>
  <c r="BN13" i="24"/>
  <c r="BY97" i="24"/>
  <c r="BN97" i="24"/>
  <c r="BW170" i="24"/>
  <c r="BN170" i="24"/>
  <c r="AX95" i="24"/>
  <c r="BN95" i="24"/>
  <c r="CG103" i="24"/>
  <c r="BN103" i="24"/>
  <c r="BY129" i="24"/>
  <c r="BN129" i="24"/>
  <c r="AX168" i="24"/>
  <c r="BN168" i="24"/>
  <c r="CG197" i="24"/>
  <c r="BN197" i="24"/>
  <c r="BJ57" i="24"/>
  <c r="BN57" i="24"/>
  <c r="BJ114" i="24"/>
  <c r="BN114" i="24"/>
  <c r="BJ113" i="24"/>
  <c r="BN113" i="24"/>
  <c r="CG209" i="24"/>
  <c r="BN209" i="24"/>
  <c r="BJ71" i="24"/>
  <c r="BN71" i="24"/>
  <c r="BY44" i="24"/>
  <c r="BN44" i="24"/>
  <c r="AT301" i="25"/>
  <c r="BW184" i="24"/>
  <c r="BN184" i="24"/>
  <c r="BY68" i="24"/>
  <c r="BN68" i="24"/>
  <c r="BY169" i="24"/>
  <c r="BN169" i="24"/>
  <c r="BW88" i="24"/>
  <c r="BN88" i="24"/>
  <c r="BY85" i="24"/>
  <c r="BN85" i="24"/>
  <c r="BJ90" i="24"/>
  <c r="BN90" i="24"/>
  <c r="BJ134" i="24"/>
  <c r="BN134" i="24"/>
  <c r="AX18" i="24"/>
  <c r="BN18" i="24"/>
  <c r="BW164" i="24"/>
  <c r="BN164" i="24"/>
  <c r="BJ146" i="24"/>
  <c r="BN146" i="24"/>
  <c r="BW122" i="24"/>
  <c r="AQ97" i="24"/>
  <c r="BL97" i="24"/>
  <c r="BK97" i="24"/>
  <c r="AX97" i="24"/>
  <c r="BJ97" i="24"/>
  <c r="AS97" i="24"/>
  <c r="AU97" i="24" s="1"/>
  <c r="AU256" i="25"/>
  <c r="AU137" i="25"/>
  <c r="BE137" i="25" s="1"/>
  <c r="BV137" i="25" s="1"/>
  <c r="AX146" i="24"/>
  <c r="AT282" i="25"/>
  <c r="AU308" i="25"/>
  <c r="AU192" i="25"/>
  <c r="BF192" i="25" s="1"/>
  <c r="BW192" i="25" s="1"/>
  <c r="BY154" i="24"/>
  <c r="CG154" i="24"/>
  <c r="AX57" i="24"/>
  <c r="BJ94" i="24"/>
  <c r="AX45" i="24"/>
  <c r="CG45" i="24"/>
  <c r="BJ49" i="24"/>
  <c r="CG49" i="24"/>
  <c r="AU289" i="25"/>
  <c r="BY209" i="24"/>
  <c r="AT115" i="25"/>
  <c r="BA115" i="25" s="1"/>
  <c r="AX164" i="24"/>
  <c r="BY164" i="24"/>
  <c r="BY122" i="24"/>
  <c r="BW209" i="24"/>
  <c r="BJ164" i="24"/>
  <c r="BY146" i="24"/>
  <c r="BW160" i="24"/>
  <c r="AX160" i="24"/>
  <c r="BW146" i="24"/>
  <c r="BJ160" i="24"/>
  <c r="BJ122" i="24"/>
  <c r="BY178" i="24"/>
  <c r="AT180" i="25"/>
  <c r="BA180" i="25" s="1"/>
  <c r="AU180" i="25"/>
  <c r="AU217" i="25"/>
  <c r="AQ228" i="24"/>
  <c r="AX94" i="24"/>
  <c r="BW94" i="24"/>
  <c r="BJ178" i="24"/>
  <c r="AT210" i="25"/>
  <c r="BA210" i="25" s="1"/>
  <c r="AU210" i="25"/>
  <c r="BJ16" i="24"/>
  <c r="AX209" i="24"/>
  <c r="BJ116" i="24"/>
  <c r="AX16" i="24"/>
  <c r="BW13" i="24"/>
  <c r="BW35" i="24"/>
  <c r="BY16" i="24"/>
  <c r="AX13" i="24"/>
  <c r="BJ209" i="24"/>
  <c r="BJ13" i="24"/>
  <c r="AX35" i="24"/>
  <c r="AN212" i="24"/>
  <c r="AS212" i="24" s="1"/>
  <c r="AU212" i="24" s="1"/>
  <c r="AK212" i="24"/>
  <c r="BY74" i="24"/>
  <c r="BW114" i="24"/>
  <c r="AY5" i="24"/>
  <c r="AZ5" i="24" s="1"/>
  <c r="BG5" i="24"/>
  <c r="BF5" i="24"/>
  <c r="BJ170" i="24"/>
  <c r="G618" i="29"/>
  <c r="G619" i="29" s="1"/>
  <c r="J617" i="29"/>
  <c r="K617" i="29"/>
  <c r="Q617" i="29"/>
  <c r="L617" i="29"/>
  <c r="R617" i="29"/>
  <c r="I617" i="29"/>
  <c r="P617" i="29"/>
  <c r="S617" i="29"/>
  <c r="O617" i="29"/>
  <c r="T617" i="29"/>
  <c r="C152" i="8"/>
  <c r="C151" i="8" s="1"/>
  <c r="C150" i="8" s="1"/>
  <c r="C149" i="8" s="1"/>
  <c r="C148" i="8" s="1"/>
  <c r="C147" i="8" s="1"/>
  <c r="C146" i="8" s="1"/>
  <c r="C145" i="8" s="1"/>
  <c r="C144" i="8" s="1"/>
  <c r="C143" i="8" s="1"/>
  <c r="C142" i="8" s="1"/>
  <c r="C141" i="8" s="1"/>
  <c r="C140" i="8" s="1"/>
  <c r="C139" i="8" s="1"/>
  <c r="C138" i="8" s="1"/>
  <c r="C137" i="8" s="1"/>
  <c r="C136" i="8" s="1"/>
  <c r="C135" i="8" s="1"/>
  <c r="C134" i="8" s="1"/>
  <c r="C133" i="8" s="1"/>
  <c r="C132" i="8" s="1"/>
  <c r="C131" i="8" s="1"/>
  <c r="C130" i="8" s="1"/>
  <c r="C129" i="8" s="1"/>
  <c r="C128" i="8" s="1"/>
  <c r="C127" i="8" s="1"/>
  <c r="C126" i="8" s="1"/>
  <c r="C125" i="8" s="1"/>
  <c r="C124" i="8" s="1"/>
  <c r="C123" i="8" s="1"/>
  <c r="C122" i="8" s="1"/>
  <c r="C121" i="8" s="1"/>
  <c r="C120" i="8" s="1"/>
  <c r="C119" i="8" s="1"/>
  <c r="C118" i="8" s="1"/>
  <c r="C117" i="8" s="1"/>
  <c r="C116" i="8" s="1"/>
  <c r="C115" i="8" s="1"/>
  <c r="C114" i="8" s="1"/>
  <c r="C113" i="8" s="1"/>
  <c r="C112" i="8" s="1"/>
  <c r="C111" i="8" s="1"/>
  <c r="C110" i="8" s="1"/>
  <c r="C109" i="8" s="1"/>
  <c r="C108" i="8" s="1"/>
  <c r="C107" i="8" s="1"/>
  <c r="C106" i="8" s="1"/>
  <c r="C105" i="8" s="1"/>
  <c r="C104" i="8" s="1"/>
  <c r="C103" i="8" s="1"/>
  <c r="C102" i="8" s="1"/>
  <c r="C101" i="8" s="1"/>
  <c r="C100" i="8" s="1"/>
  <c r="C99" i="8" s="1"/>
  <c r="C98" i="8" s="1"/>
  <c r="C97" i="8" s="1"/>
  <c r="C96" i="8" s="1"/>
  <c r="C95" i="8" s="1"/>
  <c r="C94" i="8" s="1"/>
  <c r="C93" i="8" s="1"/>
  <c r="C92" i="8" s="1"/>
  <c r="C91" i="8" s="1"/>
  <c r="C90" i="8" s="1"/>
  <c r="C89" i="8" s="1"/>
  <c r="C88" i="8" s="1"/>
  <c r="C87" i="8" s="1"/>
  <c r="C86" i="8" s="1"/>
  <c r="C85" i="8" s="1"/>
  <c r="C84" i="8" s="1"/>
  <c r="C83" i="8" s="1"/>
  <c r="C82" i="8" s="1"/>
  <c r="C81" i="8" s="1"/>
  <c r="C80" i="8" s="1"/>
  <c r="C79" i="8" s="1"/>
  <c r="C78" i="8" s="1"/>
  <c r="C77" i="8" s="1"/>
  <c r="C76" i="8" s="1"/>
  <c r="C75" i="8" s="1"/>
  <c r="C74" i="8" s="1"/>
  <c r="C73" i="8" s="1"/>
  <c r="C72" i="8" s="1"/>
  <c r="C71" i="8" s="1"/>
  <c r="C70" i="8" s="1"/>
  <c r="C69" i="8" s="1"/>
  <c r="C68" i="8" s="1"/>
  <c r="C67" i="8" s="1"/>
  <c r="C66" i="8" s="1"/>
  <c r="C65" i="8" s="1"/>
  <c r="C64" i="8" s="1"/>
  <c r="C63" i="8" s="1"/>
  <c r="C62" i="8" s="1"/>
  <c r="C61" i="8" s="1"/>
  <c r="C60" i="8" s="1"/>
  <c r="C59" i="8" s="1"/>
  <c r="C58" i="8" s="1"/>
  <c r="C57" i="8" s="1"/>
  <c r="C56" i="8" s="1"/>
  <c r="C55" i="8" s="1"/>
  <c r="C54" i="8" s="1"/>
  <c r="C53" i="8" s="1"/>
  <c r="C52" i="8" s="1"/>
  <c r="C51" i="8" s="1"/>
  <c r="C50" i="8" s="1"/>
  <c r="C49" i="8" s="1"/>
  <c r="C48" i="8" s="1"/>
  <c r="C47" i="8" s="1"/>
  <c r="C46" i="8" s="1"/>
  <c r="C45" i="8" s="1"/>
  <c r="C44" i="8" s="1"/>
  <c r="C43" i="8" s="1"/>
  <c r="C42" i="8" s="1"/>
  <c r="C41" i="8" s="1"/>
  <c r="C40" i="8" s="1"/>
  <c r="C39" i="8" s="1"/>
  <c r="C38" i="8" s="1"/>
  <c r="C37" i="8" s="1"/>
  <c r="C36" i="8" s="1"/>
  <c r="C35" i="8" s="1"/>
  <c r="C34" i="8" s="1"/>
  <c r="C33" i="8" s="1"/>
  <c r="C32" i="8" s="1"/>
  <c r="C31" i="8" s="1"/>
  <c r="C30" i="8" s="1"/>
  <c r="C29" i="8" s="1"/>
  <c r="C28" i="8" s="1"/>
  <c r="C27" i="8" s="1"/>
  <c r="C26" i="8" s="1"/>
  <c r="C25" i="8" s="1"/>
  <c r="C24" i="8" s="1"/>
  <c r="C23" i="8" s="1"/>
  <c r="C22" i="8" s="1"/>
  <c r="C21" i="8" s="1"/>
  <c r="C20" i="8" s="1"/>
  <c r="C19" i="8" s="1"/>
  <c r="C18" i="8" s="1"/>
  <c r="C17" i="8" s="1"/>
  <c r="C16" i="8" s="1"/>
  <c r="C15" i="8" s="1"/>
  <c r="C14" i="8" s="1"/>
  <c r="C13" i="8" s="1"/>
  <c r="C12" i="8" s="1"/>
  <c r="C11" i="8" s="1"/>
  <c r="C10" i="8" s="1"/>
  <c r="C9" i="8" s="1"/>
  <c r="C8" i="8" s="1"/>
  <c r="C7" i="8" s="1"/>
  <c r="C6" i="8" s="1"/>
  <c r="C4" i="8" s="1"/>
  <c r="B152" i="8"/>
  <c r="B151" i="8" s="1"/>
  <c r="B150" i="8" s="1"/>
  <c r="B149" i="8" s="1"/>
  <c r="B148" i="8" s="1"/>
  <c r="B147" i="8" s="1"/>
  <c r="B146" i="8" s="1"/>
  <c r="B145" i="8" s="1"/>
  <c r="B144" i="8" s="1"/>
  <c r="B143" i="8" s="1"/>
  <c r="B142" i="8" s="1"/>
  <c r="B141" i="8" s="1"/>
  <c r="B140" i="8" s="1"/>
  <c r="B139" i="8" s="1"/>
  <c r="B138" i="8" s="1"/>
  <c r="B137" i="8" s="1"/>
  <c r="B136" i="8" s="1"/>
  <c r="B135" i="8" s="1"/>
  <c r="B134" i="8" s="1"/>
  <c r="B133" i="8" s="1"/>
  <c r="B132" i="8" s="1"/>
  <c r="B131" i="8" s="1"/>
  <c r="B130" i="8" s="1"/>
  <c r="B129" i="8" s="1"/>
  <c r="B128" i="8" s="1"/>
  <c r="B127" i="8" s="1"/>
  <c r="B126" i="8" s="1"/>
  <c r="B125" i="8" s="1"/>
  <c r="B124" i="8" s="1"/>
  <c r="B123" i="8" s="1"/>
  <c r="B122" i="8" s="1"/>
  <c r="B121" i="8" s="1"/>
  <c r="B120" i="8" s="1"/>
  <c r="B119" i="8" s="1"/>
  <c r="B118" i="8" s="1"/>
  <c r="B117" i="8" s="1"/>
  <c r="B116" i="8" s="1"/>
  <c r="B115" i="8" s="1"/>
  <c r="B114" i="8" s="1"/>
  <c r="B113" i="8" s="1"/>
  <c r="B112" i="8" s="1"/>
  <c r="B111" i="8" s="1"/>
  <c r="B110" i="8" s="1"/>
  <c r="B109" i="8" s="1"/>
  <c r="B108" i="8" s="1"/>
  <c r="B107" i="8" s="1"/>
  <c r="B106" i="8" s="1"/>
  <c r="B105" i="8" s="1"/>
  <c r="B104" i="8" s="1"/>
  <c r="B103" i="8" s="1"/>
  <c r="B102" i="8" s="1"/>
  <c r="B101" i="8" s="1"/>
  <c r="B100" i="8" s="1"/>
  <c r="B99" i="8" s="1"/>
  <c r="B98" i="8" s="1"/>
  <c r="B97" i="8" s="1"/>
  <c r="B96" i="8" s="1"/>
  <c r="B95" i="8" s="1"/>
  <c r="B94" i="8" s="1"/>
  <c r="B93" i="8" s="1"/>
  <c r="B92" i="8" s="1"/>
  <c r="B91" i="8" s="1"/>
  <c r="B90" i="8" s="1"/>
  <c r="B89" i="8" s="1"/>
  <c r="B88" i="8" s="1"/>
  <c r="B87" i="8" s="1"/>
  <c r="B86" i="8" s="1"/>
  <c r="B85" i="8" s="1"/>
  <c r="B84" i="8" s="1"/>
  <c r="B83" i="8" s="1"/>
  <c r="B82" i="8" s="1"/>
  <c r="B81" i="8" s="1"/>
  <c r="B80" i="8" s="1"/>
  <c r="B79" i="8" s="1"/>
  <c r="B78" i="8" s="1"/>
  <c r="B77" i="8" s="1"/>
  <c r="B76" i="8" s="1"/>
  <c r="B75" i="8" s="1"/>
  <c r="B74" i="8" s="1"/>
  <c r="B73" i="8" s="1"/>
  <c r="B72" i="8" s="1"/>
  <c r="B71" i="8" s="1"/>
  <c r="B70" i="8" s="1"/>
  <c r="B69" i="8" s="1"/>
  <c r="B68" i="8" s="1"/>
  <c r="B67" i="8" s="1"/>
  <c r="B66" i="8" s="1"/>
  <c r="B65" i="8" s="1"/>
  <c r="B64" i="8" s="1"/>
  <c r="B63" i="8" s="1"/>
  <c r="B62" i="8" s="1"/>
  <c r="B61" i="8" s="1"/>
  <c r="B60" i="8" s="1"/>
  <c r="B59" i="8" s="1"/>
  <c r="B58" i="8" s="1"/>
  <c r="B57" i="8" s="1"/>
  <c r="B56" i="8" s="1"/>
  <c r="B55" i="8" s="1"/>
  <c r="B54" i="8" s="1"/>
  <c r="B53" i="8" s="1"/>
  <c r="B52" i="8" s="1"/>
  <c r="B51" i="8" s="1"/>
  <c r="B50" i="8" s="1"/>
  <c r="B49" i="8" s="1"/>
  <c r="B48" i="8" s="1"/>
  <c r="B47" i="8" s="1"/>
  <c r="B46" i="8" s="1"/>
  <c r="B45" i="8" s="1"/>
  <c r="B44" i="8" s="1"/>
  <c r="B43" i="8" s="1"/>
  <c r="B42" i="8" s="1"/>
  <c r="B41" i="8" s="1"/>
  <c r="B40" i="8" s="1"/>
  <c r="B39" i="8" s="1"/>
  <c r="B38" i="8" s="1"/>
  <c r="B37" i="8" s="1"/>
  <c r="B36" i="8" s="1"/>
  <c r="B35" i="8" s="1"/>
  <c r="B34" i="8" s="1"/>
  <c r="B33" i="8" s="1"/>
  <c r="B32" i="8" s="1"/>
  <c r="B31" i="8" s="1"/>
  <c r="B30" i="8" s="1"/>
  <c r="B29" i="8" s="1"/>
  <c r="B28" i="8" s="1"/>
  <c r="B27" i="8" s="1"/>
  <c r="B26" i="8" s="1"/>
  <c r="B25" i="8" s="1"/>
  <c r="B24" i="8" s="1"/>
  <c r="B23" i="8" s="1"/>
  <c r="B22" i="8" s="1"/>
  <c r="B21" i="8" s="1"/>
  <c r="B20" i="8" s="1"/>
  <c r="B19" i="8" s="1"/>
  <c r="B18" i="8" s="1"/>
  <c r="B17" i="8" s="1"/>
  <c r="B16" i="8" s="1"/>
  <c r="B15" i="8" s="1"/>
  <c r="B14" i="8" s="1"/>
  <c r="B13" i="8" s="1"/>
  <c r="B12" i="8" s="1"/>
  <c r="B11" i="8" s="1"/>
  <c r="B10" i="8" s="1"/>
  <c r="B9" i="8" s="1"/>
  <c r="B8" i="8" s="1"/>
  <c r="B7" i="8" s="1"/>
  <c r="B6" i="8" s="1"/>
  <c r="B4" i="8" s="1"/>
  <c r="D152" i="8"/>
  <c r="D151" i="8" s="1"/>
  <c r="D150" i="8" s="1"/>
  <c r="D149" i="8" s="1"/>
  <c r="D148" i="8" s="1"/>
  <c r="D147" i="8" s="1"/>
  <c r="D146" i="8" s="1"/>
  <c r="D145" i="8" s="1"/>
  <c r="D144" i="8" s="1"/>
  <c r="D143" i="8" s="1"/>
  <c r="D142" i="8" s="1"/>
  <c r="D141" i="8" s="1"/>
  <c r="D140" i="8" s="1"/>
  <c r="D139" i="8" s="1"/>
  <c r="D138" i="8" s="1"/>
  <c r="D137" i="8" s="1"/>
  <c r="D136" i="8" s="1"/>
  <c r="D135" i="8" s="1"/>
  <c r="D134" i="8" s="1"/>
  <c r="D133" i="8" s="1"/>
  <c r="D132" i="8" s="1"/>
  <c r="D131" i="8" s="1"/>
  <c r="D130" i="8" s="1"/>
  <c r="D129" i="8" s="1"/>
  <c r="D128" i="8" s="1"/>
  <c r="D127" i="8" s="1"/>
  <c r="D126" i="8" s="1"/>
  <c r="D125" i="8" s="1"/>
  <c r="D124" i="8" s="1"/>
  <c r="D123" i="8" s="1"/>
  <c r="D122" i="8" s="1"/>
  <c r="D121" i="8" s="1"/>
  <c r="D120" i="8" s="1"/>
  <c r="D119" i="8" s="1"/>
  <c r="D118" i="8" s="1"/>
  <c r="D117" i="8" s="1"/>
  <c r="D116" i="8" s="1"/>
  <c r="D115" i="8" s="1"/>
  <c r="D114" i="8" s="1"/>
  <c r="D113" i="8" s="1"/>
  <c r="D112" i="8" s="1"/>
  <c r="D111" i="8" s="1"/>
  <c r="D110" i="8" s="1"/>
  <c r="D109" i="8" s="1"/>
  <c r="D108" i="8" s="1"/>
  <c r="D107" i="8" s="1"/>
  <c r="D106" i="8" s="1"/>
  <c r="D105" i="8" s="1"/>
  <c r="D104" i="8" s="1"/>
  <c r="D103" i="8" s="1"/>
  <c r="D102" i="8" s="1"/>
  <c r="D101" i="8" s="1"/>
  <c r="D100" i="8" s="1"/>
  <c r="D99" i="8" s="1"/>
  <c r="D98" i="8" s="1"/>
  <c r="D97" i="8" s="1"/>
  <c r="D96" i="8" s="1"/>
  <c r="D95" i="8" s="1"/>
  <c r="D94" i="8" s="1"/>
  <c r="D93" i="8" s="1"/>
  <c r="D92" i="8" s="1"/>
  <c r="D91" i="8" s="1"/>
  <c r="D90" i="8" s="1"/>
  <c r="D89" i="8" s="1"/>
  <c r="D88" i="8" s="1"/>
  <c r="D87" i="8" s="1"/>
  <c r="D86" i="8" s="1"/>
  <c r="D85" i="8" s="1"/>
  <c r="D84" i="8" s="1"/>
  <c r="D83" i="8" s="1"/>
  <c r="D82" i="8" s="1"/>
  <c r="D81" i="8" s="1"/>
  <c r="D80" i="8" s="1"/>
  <c r="D79" i="8" s="1"/>
  <c r="D78" i="8" s="1"/>
  <c r="D77" i="8" s="1"/>
  <c r="D76" i="8" s="1"/>
  <c r="D75" i="8" s="1"/>
  <c r="D74" i="8" s="1"/>
  <c r="D73" i="8" s="1"/>
  <c r="D72" i="8" s="1"/>
  <c r="D71" i="8" s="1"/>
  <c r="D70" i="8" s="1"/>
  <c r="D69" i="8" s="1"/>
  <c r="D68" i="8" s="1"/>
  <c r="D67" i="8" s="1"/>
  <c r="D66" i="8" s="1"/>
  <c r="D65" i="8" s="1"/>
  <c r="D64" i="8" s="1"/>
  <c r="D63" i="8" s="1"/>
  <c r="D62" i="8" s="1"/>
  <c r="D61" i="8" s="1"/>
  <c r="D60" i="8" s="1"/>
  <c r="D59" i="8" s="1"/>
  <c r="D58" i="8" s="1"/>
  <c r="D57" i="8" s="1"/>
  <c r="D56" i="8" s="1"/>
  <c r="D55" i="8" s="1"/>
  <c r="D54" i="8" s="1"/>
  <c r="D53" i="8" s="1"/>
  <c r="D52" i="8" s="1"/>
  <c r="D51" i="8" s="1"/>
  <c r="D50" i="8" s="1"/>
  <c r="D49" i="8" s="1"/>
  <c r="D48" i="8" s="1"/>
  <c r="D47" i="8" s="1"/>
  <c r="D46" i="8" s="1"/>
  <c r="D45" i="8" s="1"/>
  <c r="D44" i="8" s="1"/>
  <c r="D43" i="8" s="1"/>
  <c r="D42" i="8" s="1"/>
  <c r="D41" i="8" s="1"/>
  <c r="D40" i="8" s="1"/>
  <c r="D39" i="8" s="1"/>
  <c r="D38" i="8" s="1"/>
  <c r="D37" i="8" s="1"/>
  <c r="D36" i="8" s="1"/>
  <c r="D35" i="8" s="1"/>
  <c r="D34" i="8" s="1"/>
  <c r="D33" i="8" s="1"/>
  <c r="D32" i="8" s="1"/>
  <c r="D31" i="8" s="1"/>
  <c r="D30" i="8" s="1"/>
  <c r="D29" i="8" s="1"/>
  <c r="D28" i="8" s="1"/>
  <c r="D27" i="8" s="1"/>
  <c r="D26" i="8" s="1"/>
  <c r="D25" i="8" s="1"/>
  <c r="D24" i="8" s="1"/>
  <c r="D23" i="8" s="1"/>
  <c r="D22" i="8" s="1"/>
  <c r="D21" i="8" s="1"/>
  <c r="D20" i="8" s="1"/>
  <c r="D19" i="8" s="1"/>
  <c r="D18" i="8" s="1"/>
  <c r="D17" i="8" s="1"/>
  <c r="D16" i="8" s="1"/>
  <c r="D15" i="8" s="1"/>
  <c r="D14" i="8" s="1"/>
  <c r="D13" i="8" s="1"/>
  <c r="D12" i="8" s="1"/>
  <c r="D11" i="8" s="1"/>
  <c r="D10" i="8" s="1"/>
  <c r="D9" i="8" s="1"/>
  <c r="D8" i="8" s="1"/>
  <c r="D7" i="8" s="1"/>
  <c r="D6" i="8" s="1"/>
  <c r="D4" i="8" s="1"/>
  <c r="E152" i="8"/>
  <c r="E151" i="8" s="1"/>
  <c r="E150" i="8" s="1"/>
  <c r="E149" i="8" s="1"/>
  <c r="E148" i="8" s="1"/>
  <c r="E147" i="8" s="1"/>
  <c r="E146" i="8" s="1"/>
  <c r="E145" i="8" s="1"/>
  <c r="E144" i="8" s="1"/>
  <c r="E143" i="8" s="1"/>
  <c r="E142" i="8" s="1"/>
  <c r="E141" i="8" s="1"/>
  <c r="E140" i="8" s="1"/>
  <c r="E139" i="8" s="1"/>
  <c r="E138" i="8" s="1"/>
  <c r="E137" i="8" s="1"/>
  <c r="E136" i="8" s="1"/>
  <c r="E135" i="8" s="1"/>
  <c r="E134" i="8" s="1"/>
  <c r="E133" i="8" s="1"/>
  <c r="E132" i="8" s="1"/>
  <c r="E131" i="8" s="1"/>
  <c r="E130" i="8" s="1"/>
  <c r="E129" i="8" s="1"/>
  <c r="E128" i="8" s="1"/>
  <c r="E127" i="8" s="1"/>
  <c r="E126" i="8" s="1"/>
  <c r="E125" i="8" s="1"/>
  <c r="E124" i="8" s="1"/>
  <c r="E123" i="8" s="1"/>
  <c r="E122" i="8" s="1"/>
  <c r="E121" i="8" s="1"/>
  <c r="E120" i="8" s="1"/>
  <c r="E119" i="8" s="1"/>
  <c r="E118" i="8" s="1"/>
  <c r="E117" i="8" s="1"/>
  <c r="E116" i="8" s="1"/>
  <c r="E115" i="8" s="1"/>
  <c r="E114" i="8" s="1"/>
  <c r="E113" i="8" s="1"/>
  <c r="E112" i="8" s="1"/>
  <c r="E111" i="8" s="1"/>
  <c r="E110" i="8" s="1"/>
  <c r="E109" i="8" s="1"/>
  <c r="E108" i="8" s="1"/>
  <c r="E107" i="8" s="1"/>
  <c r="E106" i="8" s="1"/>
  <c r="E105" i="8" s="1"/>
  <c r="E104" i="8" s="1"/>
  <c r="E103" i="8" s="1"/>
  <c r="E102" i="8" s="1"/>
  <c r="E101" i="8" s="1"/>
  <c r="E100" i="8" s="1"/>
  <c r="E99" i="8" s="1"/>
  <c r="E98" i="8" s="1"/>
  <c r="E97" i="8" s="1"/>
  <c r="E96" i="8" s="1"/>
  <c r="E95" i="8" s="1"/>
  <c r="E94" i="8" s="1"/>
  <c r="E93" i="8" s="1"/>
  <c r="E92" i="8" s="1"/>
  <c r="E91" i="8" s="1"/>
  <c r="E90" i="8" s="1"/>
  <c r="E89" i="8" s="1"/>
  <c r="E88" i="8" s="1"/>
  <c r="E87" i="8" s="1"/>
  <c r="E86" i="8" s="1"/>
  <c r="E85" i="8" s="1"/>
  <c r="E84" i="8" s="1"/>
  <c r="E83" i="8" s="1"/>
  <c r="E82" i="8" s="1"/>
  <c r="E81" i="8" s="1"/>
  <c r="E80" i="8" s="1"/>
  <c r="E79" i="8" s="1"/>
  <c r="E78" i="8" s="1"/>
  <c r="E77" i="8" s="1"/>
  <c r="E76" i="8" s="1"/>
  <c r="E75" i="8" s="1"/>
  <c r="E74" i="8" s="1"/>
  <c r="E73" i="8" s="1"/>
  <c r="E72" i="8" s="1"/>
  <c r="E71" i="8" s="1"/>
  <c r="E70" i="8" s="1"/>
  <c r="E69" i="8" s="1"/>
  <c r="E68" i="8" s="1"/>
  <c r="E67" i="8" s="1"/>
  <c r="E66" i="8" s="1"/>
  <c r="E65" i="8" s="1"/>
  <c r="E64" i="8" s="1"/>
  <c r="E63" i="8" s="1"/>
  <c r="E62" i="8" s="1"/>
  <c r="E61" i="8" s="1"/>
  <c r="E60" i="8" s="1"/>
  <c r="E59" i="8" s="1"/>
  <c r="E58" i="8" s="1"/>
  <c r="E57" i="8" s="1"/>
  <c r="E56" i="8" s="1"/>
  <c r="E55" i="8" s="1"/>
  <c r="E54" i="8" s="1"/>
  <c r="E53" i="8" s="1"/>
  <c r="E52" i="8" s="1"/>
  <c r="E51" i="8" s="1"/>
  <c r="E50" i="8" s="1"/>
  <c r="E49" i="8" s="1"/>
  <c r="E48" i="8" s="1"/>
  <c r="E47" i="8" s="1"/>
  <c r="E46" i="8" s="1"/>
  <c r="E45" i="8" s="1"/>
  <c r="E44" i="8" s="1"/>
  <c r="E43" i="8" s="1"/>
  <c r="E42" i="8" s="1"/>
  <c r="E41" i="8" s="1"/>
  <c r="E40" i="8" s="1"/>
  <c r="E39" i="8" s="1"/>
  <c r="E38" i="8" s="1"/>
  <c r="E37" i="8" s="1"/>
  <c r="E36" i="8" s="1"/>
  <c r="E35" i="8" s="1"/>
  <c r="E34" i="8" s="1"/>
  <c r="E33" i="8" s="1"/>
  <c r="E32" i="8" s="1"/>
  <c r="E31" i="8" s="1"/>
  <c r="E30" i="8" s="1"/>
  <c r="E29" i="8" s="1"/>
  <c r="E28" i="8" s="1"/>
  <c r="E27" i="8" s="1"/>
  <c r="E26" i="8" s="1"/>
  <c r="E25" i="8" s="1"/>
  <c r="E24" i="8" s="1"/>
  <c r="E23" i="8" s="1"/>
  <c r="E22" i="8" s="1"/>
  <c r="E21" i="8" s="1"/>
  <c r="E20" i="8" s="1"/>
  <c r="E19" i="8" s="1"/>
  <c r="E18" i="8" s="1"/>
  <c r="E17" i="8" s="1"/>
  <c r="E16" i="8" s="1"/>
  <c r="E15" i="8" s="1"/>
  <c r="E14" i="8" s="1"/>
  <c r="E13" i="8" s="1"/>
  <c r="E12" i="8" s="1"/>
  <c r="E11" i="8" s="1"/>
  <c r="E10" i="8" s="1"/>
  <c r="E9" i="8" s="1"/>
  <c r="E8" i="8" s="1"/>
  <c r="E7" i="8" s="1"/>
  <c r="E6" i="8" s="1"/>
  <c r="E4" i="8" s="1"/>
  <c r="AU216" i="24"/>
  <c r="AW216" i="24"/>
  <c r="BJ23" i="24"/>
  <c r="BY23" i="24"/>
  <c r="BW23" i="24"/>
  <c r="BJ50" i="24"/>
  <c r="BW82" i="24"/>
  <c r="BY57" i="24"/>
  <c r="AX49" i="24"/>
  <c r="BY69" i="24"/>
  <c r="BW57" i="24"/>
  <c r="BY49" i="24"/>
  <c r="AX8" i="24"/>
  <c r="BW129" i="24"/>
  <c r="AX69" i="24"/>
  <c r="BW18" i="24"/>
  <c r="BW49" i="24"/>
  <c r="BY124" i="24"/>
  <c r="BJ69" i="24"/>
  <c r="BY18" i="24"/>
  <c r="BJ82" i="24"/>
  <c r="BJ18" i="24"/>
  <c r="AX93" i="24"/>
  <c r="BY12" i="24"/>
  <c r="AX124" i="24"/>
  <c r="BW178" i="24"/>
  <c r="BW8" i="24"/>
  <c r="BJ151" i="24"/>
  <c r="BJ89" i="24"/>
  <c r="BJ8" i="24"/>
  <c r="BY151" i="24"/>
  <c r="BW89" i="24"/>
  <c r="BJ36" i="24"/>
  <c r="BY10" i="24"/>
  <c r="AX151" i="24"/>
  <c r="BJ112" i="24"/>
  <c r="BJ93" i="24"/>
  <c r="AX10" i="24"/>
  <c r="BY98" i="24"/>
  <c r="BY93" i="24"/>
  <c r="BJ124" i="24"/>
  <c r="BW98" i="24"/>
  <c r="BJ12" i="24"/>
  <c r="AX54" i="24"/>
  <c r="BW42" i="24"/>
  <c r="BY43" i="24"/>
  <c r="BW50" i="24"/>
  <c r="BJ168" i="24"/>
  <c r="AX114" i="24"/>
  <c r="AX169" i="24"/>
  <c r="BY25" i="24"/>
  <c r="BY114" i="24"/>
  <c r="BW117" i="24"/>
  <c r="BY102" i="24"/>
  <c r="AX170" i="24"/>
  <c r="AX12" i="24"/>
  <c r="BW169" i="24"/>
  <c r="BW25" i="24"/>
  <c r="BJ88" i="24"/>
  <c r="BY117" i="24"/>
  <c r="BJ142" i="24"/>
  <c r="BY170" i="24"/>
  <c r="BW116" i="24"/>
  <c r="BW45" i="24"/>
  <c r="AX117" i="24"/>
  <c r="AX63" i="24"/>
  <c r="BJ128" i="24"/>
  <c r="AX44" i="24"/>
  <c r="BW68" i="24"/>
  <c r="BY116" i="24"/>
  <c r="BY121" i="24"/>
  <c r="BP110" i="24"/>
  <c r="BW43" i="24"/>
  <c r="AX154" i="24"/>
  <c r="AX39" i="24"/>
  <c r="BK182" i="24"/>
  <c r="AS182" i="24"/>
  <c r="BL182" i="24"/>
  <c r="AQ182" i="24"/>
  <c r="BW182" i="24"/>
  <c r="BJ182" i="24"/>
  <c r="AX182" i="24"/>
  <c r="BY182" i="24"/>
  <c r="AX91" i="24"/>
  <c r="AS91" i="24"/>
  <c r="BL91" i="24"/>
  <c r="BK91" i="24"/>
  <c r="AQ91" i="24"/>
  <c r="BW91" i="24"/>
  <c r="BY91" i="24"/>
  <c r="BJ91" i="24"/>
  <c r="AS172" i="24"/>
  <c r="BL172" i="24"/>
  <c r="BK172" i="24"/>
  <c r="AQ172" i="24"/>
  <c r="AX172" i="24"/>
  <c r="BJ172" i="24"/>
  <c r="BY172" i="24"/>
  <c r="BW172" i="24"/>
  <c r="BL81" i="24"/>
  <c r="BK81" i="24"/>
  <c r="AS81" i="24"/>
  <c r="AQ81" i="24"/>
  <c r="BJ81" i="24"/>
  <c r="AX81" i="24"/>
  <c r="BW81" i="24"/>
  <c r="BY81" i="24"/>
  <c r="BL193" i="24"/>
  <c r="BK193" i="24"/>
  <c r="AS193" i="24"/>
  <c r="AQ193" i="24"/>
  <c r="BJ193" i="24"/>
  <c r="BW193" i="24"/>
  <c r="AX193" i="24"/>
  <c r="BY193" i="24"/>
  <c r="AS245" i="24"/>
  <c r="AQ245" i="24"/>
  <c r="AS306" i="24"/>
  <c r="AQ306" i="24"/>
  <c r="AS229" i="24"/>
  <c r="AQ229" i="24"/>
  <c r="AS282" i="24"/>
  <c r="AQ282" i="24"/>
  <c r="BK99" i="24"/>
  <c r="AS99" i="24"/>
  <c r="AU99" i="24" s="1"/>
  <c r="BL99" i="24"/>
  <c r="AQ99" i="24"/>
  <c r="BW181" i="24"/>
  <c r="BK181" i="24"/>
  <c r="BL181" i="24"/>
  <c r="AS181" i="24"/>
  <c r="AQ181" i="24"/>
  <c r="BY181" i="24"/>
  <c r="AX181" i="24"/>
  <c r="BJ181" i="24"/>
  <c r="AX77" i="24"/>
  <c r="BK198" i="24"/>
  <c r="AS198" i="24"/>
  <c r="BL198" i="24"/>
  <c r="AQ198" i="24"/>
  <c r="BJ198" i="24"/>
  <c r="AX198" i="24"/>
  <c r="BW198" i="24"/>
  <c r="BY198" i="24"/>
  <c r="AQ293" i="24"/>
  <c r="AS293" i="24"/>
  <c r="BL156" i="24"/>
  <c r="AS156" i="24"/>
  <c r="BK156" i="24"/>
  <c r="AQ156" i="24"/>
  <c r="BY156" i="24"/>
  <c r="BW156" i="24"/>
  <c r="BJ156" i="24"/>
  <c r="AX156" i="24"/>
  <c r="BK179" i="24"/>
  <c r="BL179" i="24"/>
  <c r="AS179" i="24"/>
  <c r="AQ179" i="24"/>
  <c r="BJ179" i="24"/>
  <c r="AX179" i="24"/>
  <c r="BW179" i="24"/>
  <c r="BY179" i="24"/>
  <c r="AX210" i="24"/>
  <c r="BK210" i="24"/>
  <c r="AS210" i="24"/>
  <c r="BL210" i="24"/>
  <c r="AQ210" i="24"/>
  <c r="BY210" i="24"/>
  <c r="BJ210" i="24"/>
  <c r="BW210" i="24"/>
  <c r="AS303" i="24"/>
  <c r="AQ303" i="24"/>
  <c r="BK162" i="24"/>
  <c r="AS162" i="24"/>
  <c r="BL162" i="24"/>
  <c r="AQ162" i="24"/>
  <c r="AQ312" i="24"/>
  <c r="AS312" i="24"/>
  <c r="BJ45" i="24"/>
  <c r="AS45" i="24"/>
  <c r="AU45" i="24" s="1"/>
  <c r="BK45" i="24"/>
  <c r="AQ45" i="24"/>
  <c r="BL45" i="24"/>
  <c r="BK190" i="24"/>
  <c r="BL190" i="24"/>
  <c r="AS190" i="24"/>
  <c r="AQ190" i="24"/>
  <c r="BW190" i="24"/>
  <c r="BY190" i="24"/>
  <c r="AX190" i="24"/>
  <c r="BJ190" i="24"/>
  <c r="BL169" i="24"/>
  <c r="AS169" i="24"/>
  <c r="AU169" i="24" s="1"/>
  <c r="BK169" i="24"/>
  <c r="AQ169" i="24"/>
  <c r="BK61" i="24"/>
  <c r="BL61" i="24"/>
  <c r="AS61" i="24"/>
  <c r="AQ61" i="24"/>
  <c r="BY61" i="24"/>
  <c r="BW61" i="24"/>
  <c r="AX61" i="24"/>
  <c r="BJ61" i="24"/>
  <c r="BL74" i="24"/>
  <c r="AS74" i="24"/>
  <c r="AU74" i="24" s="1"/>
  <c r="BK74" i="24"/>
  <c r="AQ74" i="24"/>
  <c r="AS40" i="24"/>
  <c r="BK40" i="24"/>
  <c r="BL40" i="24"/>
  <c r="AQ40" i="24"/>
  <c r="BY40" i="24"/>
  <c r="BW40" i="24"/>
  <c r="AX40" i="24"/>
  <c r="BJ40" i="24"/>
  <c r="AS278" i="24"/>
  <c r="AQ278" i="24"/>
  <c r="BW14" i="24"/>
  <c r="BK14" i="24"/>
  <c r="BL14" i="24"/>
  <c r="AS14" i="24"/>
  <c r="AQ14" i="24"/>
  <c r="BJ14" i="24"/>
  <c r="AX14" i="24"/>
  <c r="BY14" i="24"/>
  <c r="BK150" i="24"/>
  <c r="BL150" i="24"/>
  <c r="AS150" i="24"/>
  <c r="AQ150" i="24"/>
  <c r="BW150" i="24"/>
  <c r="BY150" i="24"/>
  <c r="BJ150" i="24"/>
  <c r="AX150" i="24"/>
  <c r="AS314" i="24"/>
  <c r="AQ314" i="24"/>
  <c r="BY140" i="24"/>
  <c r="BW140" i="24"/>
  <c r="BL140" i="24"/>
  <c r="AX140" i="24"/>
  <c r="AS140" i="24"/>
  <c r="BK140" i="24"/>
  <c r="BJ140" i="24"/>
  <c r="AQ140" i="24"/>
  <c r="BY158" i="24"/>
  <c r="BK158" i="24"/>
  <c r="AS158" i="24"/>
  <c r="AU158" i="24" s="1"/>
  <c r="BL158" i="24"/>
  <c r="AQ158" i="24"/>
  <c r="BJ25" i="24"/>
  <c r="BL125" i="24"/>
  <c r="BK125" i="24"/>
  <c r="AS125" i="24"/>
  <c r="AQ125" i="24"/>
  <c r="BY125" i="24"/>
  <c r="AX125" i="24"/>
  <c r="BW125" i="24"/>
  <c r="BJ125" i="24"/>
  <c r="BK86" i="24"/>
  <c r="AS86" i="24"/>
  <c r="BL86" i="24"/>
  <c r="AQ86" i="24"/>
  <c r="AX86" i="24"/>
  <c r="BJ86" i="24"/>
  <c r="BW86" i="24"/>
  <c r="BY86" i="24"/>
  <c r="BY88" i="24"/>
  <c r="BK202" i="24"/>
  <c r="BL202" i="24"/>
  <c r="AS202" i="24"/>
  <c r="AQ202" i="24"/>
  <c r="BY202" i="24"/>
  <c r="BJ202" i="24"/>
  <c r="BW202" i="24"/>
  <c r="AX202" i="24"/>
  <c r="BK105" i="24"/>
  <c r="AS105" i="24"/>
  <c r="BL105" i="24"/>
  <c r="AQ105" i="24"/>
  <c r="BY105" i="24"/>
  <c r="BW105" i="24"/>
  <c r="BJ105" i="24"/>
  <c r="AX105" i="24"/>
  <c r="BY84" i="24"/>
  <c r="BL84" i="24"/>
  <c r="BK84" i="24"/>
  <c r="AS84" i="24"/>
  <c r="AQ84" i="24"/>
  <c r="BW84" i="24"/>
  <c r="BJ84" i="24"/>
  <c r="AX84" i="24"/>
  <c r="AQ242" i="24"/>
  <c r="AS242" i="24"/>
  <c r="BW44" i="24"/>
  <c r="BK75" i="24"/>
  <c r="AQ75" i="24"/>
  <c r="BL75" i="24"/>
  <c r="AS75" i="24"/>
  <c r="BW75" i="24"/>
  <c r="AX75" i="24"/>
  <c r="BJ75" i="24"/>
  <c r="BY75" i="24"/>
  <c r="AX98" i="24"/>
  <c r="AQ114" i="24"/>
  <c r="AS114" i="24"/>
  <c r="AU114" i="24" s="1"/>
  <c r="BK114" i="24"/>
  <c r="BL114" i="24"/>
  <c r="AS285" i="24"/>
  <c r="AQ285" i="24"/>
  <c r="BW102" i="24"/>
  <c r="AX147" i="24"/>
  <c r="AX80" i="24"/>
  <c r="AX89" i="24"/>
  <c r="AS89" i="24"/>
  <c r="AU89" i="24" s="1"/>
  <c r="BL89" i="24"/>
  <c r="BK89" i="24"/>
  <c r="AQ89" i="24"/>
  <c r="BY174" i="24"/>
  <c r="AS233" i="24"/>
  <c r="AQ233" i="24"/>
  <c r="AX184" i="24"/>
  <c r="AX113" i="24"/>
  <c r="AS219" i="24"/>
  <c r="AQ219" i="24"/>
  <c r="BY77" i="24"/>
  <c r="BL59" i="24"/>
  <c r="BK59" i="24"/>
  <c r="AS59" i="24"/>
  <c r="AQ59" i="24"/>
  <c r="AX59" i="24"/>
  <c r="BW59" i="24"/>
  <c r="BY59" i="24"/>
  <c r="BJ59" i="24"/>
  <c r="AX71" i="24"/>
  <c r="BY28" i="24"/>
  <c r="AX55" i="24"/>
  <c r="AQ55" i="24"/>
  <c r="AS55" i="24"/>
  <c r="BJ55" i="24"/>
  <c r="BY55" i="24"/>
  <c r="BK55" i="24"/>
  <c r="BW55" i="24"/>
  <c r="BL55" i="24"/>
  <c r="AS296" i="24"/>
  <c r="AQ296" i="24"/>
  <c r="AS270" i="24"/>
  <c r="AQ270" i="24"/>
  <c r="AS250" i="24"/>
  <c r="AQ250" i="24"/>
  <c r="AQ267" i="24"/>
  <c r="AS267" i="24"/>
  <c r="BY199" i="24"/>
  <c r="BL199" i="24"/>
  <c r="AS199" i="24"/>
  <c r="BK199" i="24"/>
  <c r="AQ199" i="24"/>
  <c r="AX199" i="24"/>
  <c r="BW199" i="24"/>
  <c r="BJ199" i="24"/>
  <c r="AS111" i="24"/>
  <c r="BK111" i="24"/>
  <c r="BL111" i="24"/>
  <c r="AQ111" i="24"/>
  <c r="BJ111" i="24"/>
  <c r="BY111" i="24"/>
  <c r="AX111" i="24"/>
  <c r="BW111" i="24"/>
  <c r="AX33" i="24"/>
  <c r="BK33" i="24"/>
  <c r="AS33" i="24"/>
  <c r="BL33" i="24"/>
  <c r="AQ33" i="24"/>
  <c r="BY33" i="24"/>
  <c r="BJ33" i="24"/>
  <c r="BW33" i="24"/>
  <c r="BL177" i="24"/>
  <c r="BK177" i="24"/>
  <c r="AS177" i="24"/>
  <c r="AQ177" i="24"/>
  <c r="BJ177" i="24"/>
  <c r="BY177" i="24"/>
  <c r="AX177" i="24"/>
  <c r="BW177" i="24"/>
  <c r="AS145" i="24"/>
  <c r="BL145" i="24"/>
  <c r="BK145" i="24"/>
  <c r="AQ145" i="24"/>
  <c r="AX145" i="24"/>
  <c r="BW145" i="24"/>
  <c r="BY145" i="24"/>
  <c r="BJ145" i="24"/>
  <c r="BJ56" i="24"/>
  <c r="BL56" i="24"/>
  <c r="BK56" i="24"/>
  <c r="AS56" i="24"/>
  <c r="AQ56" i="24"/>
  <c r="AX56" i="24"/>
  <c r="BY56" i="24"/>
  <c r="BW56" i="24"/>
  <c r="AQ251" i="24"/>
  <c r="AS251" i="24"/>
  <c r="BL68" i="24"/>
  <c r="AS68" i="24"/>
  <c r="AU68" i="24" s="1"/>
  <c r="BK68" i="24"/>
  <c r="AQ68" i="24"/>
  <c r="AS290" i="24"/>
  <c r="AQ290" i="24"/>
  <c r="AS272" i="24"/>
  <c r="AQ272" i="24"/>
  <c r="AQ286" i="24"/>
  <c r="AS286" i="24"/>
  <c r="BK163" i="24"/>
  <c r="AS163" i="24"/>
  <c r="BL163" i="24"/>
  <c r="AQ163" i="24"/>
  <c r="BW163" i="24"/>
  <c r="BY163" i="24"/>
  <c r="BJ163" i="24"/>
  <c r="AX163" i="24"/>
  <c r="AS248" i="24"/>
  <c r="AQ248" i="24"/>
  <c r="AS225" i="24"/>
  <c r="AQ225" i="24"/>
  <c r="BJ68" i="24"/>
  <c r="BL95" i="24"/>
  <c r="AS95" i="24"/>
  <c r="AU95" i="24" s="1"/>
  <c r="BK95" i="24"/>
  <c r="AQ95" i="24"/>
  <c r="AS297" i="24"/>
  <c r="AQ297" i="24"/>
  <c r="AS275" i="24"/>
  <c r="AQ275" i="24"/>
  <c r="AS243" i="24"/>
  <c r="AQ243" i="24"/>
  <c r="BK93" i="24"/>
  <c r="AS93" i="24"/>
  <c r="AU93" i="24" s="1"/>
  <c r="BL93" i="24"/>
  <c r="AQ93" i="24"/>
  <c r="BY136" i="24"/>
  <c r="BL136" i="24"/>
  <c r="AS136" i="24"/>
  <c r="BJ136" i="24"/>
  <c r="BW136" i="24"/>
  <c r="AQ136" i="24"/>
  <c r="AX136" i="24"/>
  <c r="BK136" i="24"/>
  <c r="BY168" i="24"/>
  <c r="AS302" i="24"/>
  <c r="AQ302" i="24"/>
  <c r="AS301" i="24"/>
  <c r="AQ301" i="24"/>
  <c r="AS277" i="24"/>
  <c r="AQ277" i="24"/>
  <c r="AS35" i="24"/>
  <c r="AU35" i="24" s="1"/>
  <c r="BL35" i="24"/>
  <c r="BK35" i="24"/>
  <c r="AQ35" i="24"/>
  <c r="AX88" i="24"/>
  <c r="BJ119" i="24"/>
  <c r="AS223" i="24"/>
  <c r="AQ223" i="24"/>
  <c r="AX158" i="24"/>
  <c r="BK38" i="24"/>
  <c r="AS38" i="24"/>
  <c r="BL38" i="24"/>
  <c r="AQ38" i="24"/>
  <c r="BY38" i="24"/>
  <c r="BJ38" i="24"/>
  <c r="AX38" i="24"/>
  <c r="BW38" i="24"/>
  <c r="BY149" i="24"/>
  <c r="AS63" i="24"/>
  <c r="AU63" i="24" s="1"/>
  <c r="BL63" i="24"/>
  <c r="BK63" i="24"/>
  <c r="AQ63" i="24"/>
  <c r="BK18" i="24"/>
  <c r="AS18" i="24"/>
  <c r="AU18" i="24" s="1"/>
  <c r="BL18" i="24"/>
  <c r="AQ18" i="24"/>
  <c r="BJ44" i="24"/>
  <c r="BJ135" i="24"/>
  <c r="BJ102" i="24"/>
  <c r="AX90" i="24"/>
  <c r="BY147" i="24"/>
  <c r="BY80" i="24"/>
  <c r="BL94" i="24"/>
  <c r="AQ94" i="24"/>
  <c r="AS94" i="24"/>
  <c r="AU94" i="24" s="1"/>
  <c r="BK94" i="24"/>
  <c r="BJ174" i="24"/>
  <c r="BY184" i="24"/>
  <c r="BK122" i="24"/>
  <c r="AS122" i="24"/>
  <c r="AU122" i="24" s="1"/>
  <c r="BL122" i="24"/>
  <c r="AQ122" i="24"/>
  <c r="BK52" i="24"/>
  <c r="AS52" i="24"/>
  <c r="BL52" i="24"/>
  <c r="AQ52" i="24"/>
  <c r="BJ52" i="24"/>
  <c r="BY52" i="24"/>
  <c r="BW52" i="24"/>
  <c r="AX52" i="24"/>
  <c r="AS209" i="24"/>
  <c r="AU209" i="24" s="1"/>
  <c r="BL209" i="24"/>
  <c r="BK209" i="24"/>
  <c r="AQ209" i="24"/>
  <c r="BL53" i="24"/>
  <c r="AS53" i="24"/>
  <c r="BK53" i="24"/>
  <c r="AQ53" i="24"/>
  <c r="BW53" i="24"/>
  <c r="BY53" i="24"/>
  <c r="BJ53" i="24"/>
  <c r="AX53" i="24"/>
  <c r="BK137" i="24"/>
  <c r="AS137" i="24"/>
  <c r="BL137" i="24"/>
  <c r="AQ137" i="24"/>
  <c r="BY137" i="24"/>
  <c r="BW137" i="24"/>
  <c r="AX137" i="24"/>
  <c r="BJ137" i="24"/>
  <c r="AS262" i="24"/>
  <c r="AQ262" i="24"/>
  <c r="AQ276" i="24"/>
  <c r="AS276" i="24"/>
  <c r="BL70" i="24"/>
  <c r="AS70" i="24"/>
  <c r="BK70" i="24"/>
  <c r="AQ70" i="24"/>
  <c r="BW70" i="24"/>
  <c r="BJ70" i="24"/>
  <c r="BY70" i="24"/>
  <c r="AX70" i="24"/>
  <c r="BW85" i="24"/>
  <c r="AQ165" i="24"/>
  <c r="AS165" i="24"/>
  <c r="BL165" i="24"/>
  <c r="BK165" i="24"/>
  <c r="BW165" i="24"/>
  <c r="BY165" i="24"/>
  <c r="AX165" i="24"/>
  <c r="BJ165" i="24"/>
  <c r="AS315" i="24"/>
  <c r="AQ315" i="24"/>
  <c r="AS246" i="24"/>
  <c r="AQ246" i="24"/>
  <c r="BK139" i="24"/>
  <c r="AX139" i="24"/>
  <c r="BL139" i="24"/>
  <c r="AQ139" i="24"/>
  <c r="AS139" i="24"/>
  <c r="BY139" i="24"/>
  <c r="BJ139" i="24"/>
  <c r="BW139" i="24"/>
  <c r="AS294" i="24"/>
  <c r="AQ294" i="24"/>
  <c r="AQ268" i="24"/>
  <c r="AS268" i="24"/>
  <c r="BL26" i="24"/>
  <c r="AS26" i="24"/>
  <c r="BK26" i="24"/>
  <c r="AQ26" i="24"/>
  <c r="BJ26" i="24"/>
  <c r="BW26" i="24"/>
  <c r="AX26" i="24"/>
  <c r="BY26" i="24"/>
  <c r="AS256" i="24"/>
  <c r="AQ256" i="24"/>
  <c r="AX129" i="24"/>
  <c r="AQ305" i="24"/>
  <c r="AS305" i="24"/>
  <c r="AS236" i="24"/>
  <c r="AQ236" i="24"/>
  <c r="AS264" i="24"/>
  <c r="AQ264" i="24"/>
  <c r="AS255" i="24"/>
  <c r="AQ255" i="24"/>
  <c r="BK62" i="24"/>
  <c r="AS62" i="24"/>
  <c r="BL62" i="24"/>
  <c r="AQ62" i="24"/>
  <c r="BJ62" i="24"/>
  <c r="BW62" i="24"/>
  <c r="BY62" i="24"/>
  <c r="AX62" i="24"/>
  <c r="AS271" i="24"/>
  <c r="AQ271" i="24"/>
  <c r="BK175" i="24"/>
  <c r="BL175" i="24"/>
  <c r="AX175" i="24"/>
  <c r="AS175" i="24"/>
  <c r="BW175" i="24"/>
  <c r="AQ175" i="24"/>
  <c r="BJ175" i="24"/>
  <c r="BY175" i="24"/>
  <c r="AX74" i="24"/>
  <c r="BK178" i="24"/>
  <c r="BL178" i="24"/>
  <c r="AS178" i="24"/>
  <c r="AU178" i="24" s="1"/>
  <c r="AQ178" i="24"/>
  <c r="AS311" i="24"/>
  <c r="AQ311" i="24"/>
  <c r="AS151" i="24"/>
  <c r="AU151" i="24" s="1"/>
  <c r="BK151" i="24"/>
  <c r="BL151" i="24"/>
  <c r="AQ151" i="24"/>
  <c r="BW168" i="24"/>
  <c r="AS235" i="24"/>
  <c r="AQ235" i="24"/>
  <c r="BL130" i="24"/>
  <c r="AS130" i="24"/>
  <c r="BK130" i="24"/>
  <c r="AQ130" i="24"/>
  <c r="AX130" i="24"/>
  <c r="BY130" i="24"/>
  <c r="BJ130" i="24"/>
  <c r="BW130" i="24"/>
  <c r="BW60" i="24"/>
  <c r="BK204" i="24"/>
  <c r="BL204" i="24"/>
  <c r="AS204" i="24"/>
  <c r="AQ204" i="24"/>
  <c r="BW204" i="24"/>
  <c r="BJ204" i="24"/>
  <c r="BY204" i="24"/>
  <c r="AX204" i="24"/>
  <c r="BY82" i="24"/>
  <c r="AS82" i="24"/>
  <c r="AU82" i="24" s="1"/>
  <c r="BL82" i="24"/>
  <c r="BK82" i="24"/>
  <c r="AQ82" i="24"/>
  <c r="BK87" i="24"/>
  <c r="AS87" i="24"/>
  <c r="BL87" i="24"/>
  <c r="AQ87" i="24"/>
  <c r="BY87" i="24"/>
  <c r="AX87" i="24"/>
  <c r="BW87" i="24"/>
  <c r="BJ87" i="24"/>
  <c r="AX119" i="24"/>
  <c r="BJ158" i="24"/>
  <c r="BL117" i="24"/>
  <c r="AS117" i="24"/>
  <c r="AU117" i="24" s="1"/>
  <c r="BK117" i="24"/>
  <c r="AQ117" i="24"/>
  <c r="BY142" i="24"/>
  <c r="BW135" i="24"/>
  <c r="AX162" i="24"/>
  <c r="BY36" i="24"/>
  <c r="AS258" i="24"/>
  <c r="AQ258" i="24"/>
  <c r="AS304" i="24"/>
  <c r="AQ304" i="24"/>
  <c r="BK48" i="24"/>
  <c r="BL48" i="24"/>
  <c r="AS48" i="24"/>
  <c r="AQ48" i="24"/>
  <c r="AX48" i="24"/>
  <c r="BW48" i="24"/>
  <c r="BY48" i="24"/>
  <c r="BJ48" i="24"/>
  <c r="BW90" i="24"/>
  <c r="BJ147" i="24"/>
  <c r="BL65" i="24"/>
  <c r="BK65" i="24"/>
  <c r="AS65" i="24"/>
  <c r="AQ65" i="24"/>
  <c r="AX65" i="24"/>
  <c r="BW65" i="24"/>
  <c r="BJ65" i="24"/>
  <c r="BY65" i="24"/>
  <c r="AS244" i="24"/>
  <c r="AQ244" i="24"/>
  <c r="BW174" i="24"/>
  <c r="BJ184" i="24"/>
  <c r="BL16" i="24"/>
  <c r="AS16" i="24"/>
  <c r="AU16" i="24" s="1"/>
  <c r="BK16" i="24"/>
  <c r="AQ16" i="24"/>
  <c r="BK208" i="24"/>
  <c r="BL208" i="24"/>
  <c r="AS208" i="24"/>
  <c r="AQ208" i="24"/>
  <c r="AX208" i="24"/>
  <c r="BW208" i="24"/>
  <c r="BY208" i="24"/>
  <c r="BJ208" i="24"/>
  <c r="AS185" i="24"/>
  <c r="BK185" i="24"/>
  <c r="BL185" i="24"/>
  <c r="AQ185" i="24"/>
  <c r="BY185" i="24"/>
  <c r="BJ185" i="24"/>
  <c r="AX185" i="24"/>
  <c r="BW185" i="24"/>
  <c r="BY71" i="24"/>
  <c r="BW28" i="24"/>
  <c r="BW83" i="24"/>
  <c r="BL69" i="24"/>
  <c r="AS69" i="24"/>
  <c r="AU69" i="24" s="1"/>
  <c r="BK69" i="24"/>
  <c r="AQ69" i="24"/>
  <c r="BK160" i="24"/>
  <c r="AS160" i="24"/>
  <c r="AU160" i="24" s="1"/>
  <c r="BL160" i="24"/>
  <c r="AQ160" i="24"/>
  <c r="BJ85" i="24"/>
  <c r="AS31" i="24"/>
  <c r="BK31" i="24"/>
  <c r="BL31" i="24"/>
  <c r="AQ31" i="24"/>
  <c r="BY31" i="24"/>
  <c r="BW31" i="24"/>
  <c r="AX31" i="24"/>
  <c r="BJ31" i="24"/>
  <c r="AS120" i="24"/>
  <c r="BL120" i="24"/>
  <c r="BK120" i="24"/>
  <c r="AQ120" i="24"/>
  <c r="BW120" i="24"/>
  <c r="BJ120" i="24"/>
  <c r="BY120" i="24"/>
  <c r="AX120" i="24"/>
  <c r="AS54" i="24"/>
  <c r="AU54" i="24" s="1"/>
  <c r="BL54" i="24"/>
  <c r="BK54" i="24"/>
  <c r="AQ54" i="24"/>
  <c r="BK80" i="24"/>
  <c r="AS80" i="24"/>
  <c r="AU80" i="24" s="1"/>
  <c r="BL80" i="24"/>
  <c r="AQ80" i="24"/>
  <c r="AS269" i="24"/>
  <c r="AQ269" i="24"/>
  <c r="AS149" i="24"/>
  <c r="AU149" i="24" s="1"/>
  <c r="BL149" i="24"/>
  <c r="BK149" i="24"/>
  <c r="AQ149" i="24"/>
  <c r="BK134" i="24"/>
  <c r="BL134" i="24"/>
  <c r="AS134" i="24"/>
  <c r="AU134" i="24" s="1"/>
  <c r="AQ134" i="24"/>
  <c r="BK77" i="24"/>
  <c r="AS77" i="24"/>
  <c r="AU77" i="24" s="1"/>
  <c r="BL77" i="24"/>
  <c r="AQ77" i="24"/>
  <c r="BW39" i="24"/>
  <c r="BK39" i="24"/>
  <c r="BL39" i="24"/>
  <c r="AS39" i="24"/>
  <c r="AU39" i="24" s="1"/>
  <c r="AQ39" i="24"/>
  <c r="AS291" i="24"/>
  <c r="AQ291" i="24"/>
  <c r="BL11" i="24"/>
  <c r="AS11" i="24"/>
  <c r="BK11" i="24"/>
  <c r="AQ11" i="24"/>
  <c r="AX11" i="24"/>
  <c r="BW11" i="24"/>
  <c r="BY11" i="24"/>
  <c r="BJ11" i="24"/>
  <c r="BY143" i="24"/>
  <c r="AS143" i="24"/>
  <c r="BL143" i="24"/>
  <c r="BK143" i="24"/>
  <c r="AQ143" i="24"/>
  <c r="BW143" i="24"/>
  <c r="BJ143" i="24"/>
  <c r="AX143" i="24"/>
  <c r="BW121" i="24"/>
  <c r="BK121" i="24"/>
  <c r="AS121" i="24"/>
  <c r="AU121" i="24" s="1"/>
  <c r="BL121" i="24"/>
  <c r="AQ121" i="24"/>
  <c r="BL166" i="24"/>
  <c r="BK166" i="24"/>
  <c r="AS166" i="24"/>
  <c r="AQ166" i="24"/>
  <c r="BJ166" i="24"/>
  <c r="AX166" i="24"/>
  <c r="BY166" i="24"/>
  <c r="BW166" i="24"/>
  <c r="AQ12" i="24"/>
  <c r="BK12" i="24"/>
  <c r="BL12" i="24"/>
  <c r="AS12" i="24"/>
  <c r="AU12" i="24" s="1"/>
  <c r="BJ154" i="24"/>
  <c r="BL154" i="24"/>
  <c r="BK154" i="24"/>
  <c r="AS154" i="24"/>
  <c r="AU154" i="24" s="1"/>
  <c r="AQ154" i="24"/>
  <c r="AQ227" i="24"/>
  <c r="AS227" i="24"/>
  <c r="AS260" i="24"/>
  <c r="AQ260" i="24"/>
  <c r="AS307" i="24"/>
  <c r="AQ307" i="24"/>
  <c r="BK25" i="24"/>
  <c r="AS25" i="24"/>
  <c r="BL25" i="24"/>
  <c r="AQ25" i="24"/>
  <c r="BJ74" i="24"/>
  <c r="BL186" i="24"/>
  <c r="AS186" i="24"/>
  <c r="BK186" i="24"/>
  <c r="AQ186" i="24"/>
  <c r="BJ186" i="24"/>
  <c r="BY186" i="24"/>
  <c r="BW186" i="24"/>
  <c r="AX186" i="24"/>
  <c r="AS37" i="24"/>
  <c r="BK37" i="24"/>
  <c r="BL37" i="24"/>
  <c r="AQ37" i="24"/>
  <c r="BY37" i="24"/>
  <c r="BW37" i="24"/>
  <c r="BJ37" i="24"/>
  <c r="AX37" i="24"/>
  <c r="BJ35" i="24"/>
  <c r="BY123" i="24"/>
  <c r="BK123" i="24"/>
  <c r="BL123" i="24"/>
  <c r="AS123" i="24"/>
  <c r="AQ123" i="24"/>
  <c r="AX123" i="24"/>
  <c r="BW123" i="24"/>
  <c r="BJ123" i="24"/>
  <c r="BL34" i="24"/>
  <c r="BK34" i="24"/>
  <c r="AS34" i="24"/>
  <c r="AU34" i="24" s="1"/>
  <c r="AQ34" i="24"/>
  <c r="AX60" i="24"/>
  <c r="BL15" i="24"/>
  <c r="BK15" i="24"/>
  <c r="AS15" i="24"/>
  <c r="AQ15" i="24"/>
  <c r="BY15" i="24"/>
  <c r="AX15" i="24"/>
  <c r="BW15" i="24"/>
  <c r="BJ15" i="24"/>
  <c r="BK23" i="24"/>
  <c r="AS23" i="24"/>
  <c r="AU23" i="24" s="1"/>
  <c r="BL23" i="24"/>
  <c r="AQ23" i="24"/>
  <c r="BL180" i="24"/>
  <c r="BK180" i="24"/>
  <c r="AS180" i="24"/>
  <c r="AQ180" i="24"/>
  <c r="BW180" i="24"/>
  <c r="BJ180" i="24"/>
  <c r="BY180" i="24"/>
  <c r="AX180" i="24"/>
  <c r="BK27" i="24"/>
  <c r="AS27" i="24"/>
  <c r="BL27" i="24"/>
  <c r="AQ27" i="24"/>
  <c r="BJ27" i="24"/>
  <c r="BW27" i="24"/>
  <c r="AX27" i="24"/>
  <c r="BY27" i="24"/>
  <c r="AX32" i="24"/>
  <c r="BK32" i="24"/>
  <c r="BL32" i="24"/>
  <c r="AS32" i="24"/>
  <c r="AQ32" i="24"/>
  <c r="BJ32" i="24"/>
  <c r="BW32" i="24"/>
  <c r="BY32" i="24"/>
  <c r="AS313" i="24"/>
  <c r="AQ313" i="24"/>
  <c r="BW119" i="24"/>
  <c r="AS57" i="24"/>
  <c r="AU57" i="24" s="1"/>
  <c r="AQ57" i="24"/>
  <c r="BK57" i="24"/>
  <c r="BL57" i="24"/>
  <c r="BW149" i="24"/>
  <c r="BK72" i="24"/>
  <c r="AS72" i="24"/>
  <c r="BL72" i="24"/>
  <c r="AQ72" i="24"/>
  <c r="BY72" i="24"/>
  <c r="BJ72" i="24"/>
  <c r="BW72" i="24"/>
  <c r="AX72" i="24"/>
  <c r="AS201" i="24"/>
  <c r="BL201" i="24"/>
  <c r="BK201" i="24"/>
  <c r="AQ201" i="24"/>
  <c r="BY201" i="24"/>
  <c r="BJ201" i="24"/>
  <c r="AX201" i="24"/>
  <c r="BW201" i="24"/>
  <c r="BW162" i="24"/>
  <c r="BJ95" i="24"/>
  <c r="AT259" i="25"/>
  <c r="AU259" i="25"/>
  <c r="BW113" i="24"/>
  <c r="BK100" i="24"/>
  <c r="AS100" i="24"/>
  <c r="BL100" i="24"/>
  <c r="AQ100" i="24"/>
  <c r="BJ100" i="24"/>
  <c r="BW100" i="24"/>
  <c r="BY100" i="24"/>
  <c r="AX100" i="24"/>
  <c r="AS13" i="24"/>
  <c r="AU13" i="24" s="1"/>
  <c r="BL13" i="24"/>
  <c r="BK13" i="24"/>
  <c r="AQ13" i="24"/>
  <c r="BW77" i="24"/>
  <c r="AQ20" i="24"/>
  <c r="BK20" i="24"/>
  <c r="BL20" i="24"/>
  <c r="AS20" i="24"/>
  <c r="BY20" i="24"/>
  <c r="BW20" i="24"/>
  <c r="BJ20" i="24"/>
  <c r="AX20" i="24"/>
  <c r="AS263" i="24"/>
  <c r="AQ263" i="24"/>
  <c r="AS138" i="24"/>
  <c r="BK138" i="24"/>
  <c r="BL138" i="24"/>
  <c r="AQ138" i="24"/>
  <c r="BW138" i="24"/>
  <c r="BJ138" i="24"/>
  <c r="AX138" i="24"/>
  <c r="BY138" i="24"/>
  <c r="BL194" i="24"/>
  <c r="BK194" i="24"/>
  <c r="AS194" i="24"/>
  <c r="AQ194" i="24"/>
  <c r="BW194" i="24"/>
  <c r="AX194" i="24"/>
  <c r="BY194" i="24"/>
  <c r="BJ194" i="24"/>
  <c r="AT135" i="25"/>
  <c r="BA135" i="25" s="1"/>
  <c r="AU135" i="25"/>
  <c r="BJ34" i="24"/>
  <c r="AS167" i="24"/>
  <c r="BL167" i="24"/>
  <c r="BK167" i="24"/>
  <c r="AQ167" i="24"/>
  <c r="AX167" i="24"/>
  <c r="BW167" i="24"/>
  <c r="BJ167" i="24"/>
  <c r="BY167" i="24"/>
  <c r="AS221" i="24"/>
  <c r="AQ221" i="24"/>
  <c r="BK189" i="24"/>
  <c r="AS189" i="24"/>
  <c r="BL189" i="24"/>
  <c r="AQ189" i="24"/>
  <c r="BJ189" i="24"/>
  <c r="BW189" i="24"/>
  <c r="AX189" i="24"/>
  <c r="BY189" i="24"/>
  <c r="BL141" i="24"/>
  <c r="AS141" i="24"/>
  <c r="BK141" i="24"/>
  <c r="AQ141" i="24"/>
  <c r="AX141" i="24"/>
  <c r="BW141" i="24"/>
  <c r="BY141" i="24"/>
  <c r="BJ141" i="24"/>
  <c r="AQ287" i="24"/>
  <c r="AS287" i="24"/>
  <c r="BK135" i="24"/>
  <c r="BL135" i="24"/>
  <c r="AQ135" i="24"/>
  <c r="AS135" i="24"/>
  <c r="AU135" i="24" s="1"/>
  <c r="AS247" i="24"/>
  <c r="AQ247" i="24"/>
  <c r="BK67" i="24"/>
  <c r="AS67" i="24"/>
  <c r="BL67" i="24"/>
  <c r="AQ67" i="24"/>
  <c r="BJ67" i="24"/>
  <c r="BW67" i="24"/>
  <c r="BY67" i="24"/>
  <c r="AX67" i="24"/>
  <c r="BW200" i="24"/>
  <c r="AS200" i="24"/>
  <c r="AX200" i="24"/>
  <c r="AQ200" i="24"/>
  <c r="BJ200" i="24"/>
  <c r="BK200" i="24"/>
  <c r="BL200" i="24"/>
  <c r="BY200" i="24"/>
  <c r="BK79" i="24"/>
  <c r="AS79" i="24"/>
  <c r="BL79" i="24"/>
  <c r="AQ79" i="24"/>
  <c r="BY79" i="24"/>
  <c r="BJ79" i="24"/>
  <c r="AX79" i="24"/>
  <c r="BW79" i="24"/>
  <c r="BK195" i="24"/>
  <c r="AS195" i="24"/>
  <c r="BL195" i="24"/>
  <c r="AQ195" i="24"/>
  <c r="BW195" i="24"/>
  <c r="BY195" i="24"/>
  <c r="BJ195" i="24"/>
  <c r="AX195" i="24"/>
  <c r="AS240" i="24"/>
  <c r="AQ240" i="24"/>
  <c r="BL170" i="24"/>
  <c r="BK170" i="24"/>
  <c r="AS170" i="24"/>
  <c r="AQ170" i="24"/>
  <c r="BW134" i="24"/>
  <c r="AQ232" i="24"/>
  <c r="AS232" i="24"/>
  <c r="AQ284" i="24"/>
  <c r="AS284" i="24"/>
  <c r="BY54" i="24"/>
  <c r="AX43" i="24"/>
  <c r="BK43" i="24"/>
  <c r="AS43" i="24"/>
  <c r="AU43" i="24" s="1"/>
  <c r="BL43" i="24"/>
  <c r="AQ43" i="24"/>
  <c r="BK50" i="24"/>
  <c r="AS50" i="24"/>
  <c r="BL50" i="24"/>
  <c r="AQ50" i="24"/>
  <c r="AS142" i="24"/>
  <c r="AU142" i="24" s="1"/>
  <c r="BL142" i="24"/>
  <c r="BK142" i="24"/>
  <c r="AQ142" i="24"/>
  <c r="BL159" i="24"/>
  <c r="AS159" i="24"/>
  <c r="BK159" i="24"/>
  <c r="AQ159" i="24"/>
  <c r="BY159" i="24"/>
  <c r="AX159" i="24"/>
  <c r="BW159" i="24"/>
  <c r="BJ159" i="24"/>
  <c r="AS295" i="24"/>
  <c r="AQ295" i="24"/>
  <c r="BK176" i="24"/>
  <c r="AS176" i="24"/>
  <c r="BL176" i="24"/>
  <c r="AQ176" i="24"/>
  <c r="AX176" i="24"/>
  <c r="BY176" i="24"/>
  <c r="BJ176" i="24"/>
  <c r="BW176" i="24"/>
  <c r="AQ19" i="24"/>
  <c r="BK19" i="24"/>
  <c r="BL19" i="24"/>
  <c r="AS19" i="24"/>
  <c r="BW19" i="24"/>
  <c r="BY19" i="24"/>
  <c r="BJ19" i="24"/>
  <c r="AX19" i="24"/>
  <c r="AX68" i="24"/>
  <c r="AS259" i="24"/>
  <c r="AQ259" i="24"/>
  <c r="BJ99" i="24"/>
  <c r="BK152" i="24"/>
  <c r="AS152" i="24"/>
  <c r="BL152" i="24"/>
  <c r="AQ152" i="24"/>
  <c r="BY152" i="24"/>
  <c r="AX152" i="24"/>
  <c r="BW152" i="24"/>
  <c r="BJ152" i="24"/>
  <c r="AS171" i="24"/>
  <c r="BK171" i="24"/>
  <c r="BL171" i="24"/>
  <c r="AQ171" i="24"/>
  <c r="BW171" i="24"/>
  <c r="BY171" i="24"/>
  <c r="AX171" i="24"/>
  <c r="BJ171" i="24"/>
  <c r="BJ169" i="24"/>
  <c r="BL183" i="24"/>
  <c r="BK183" i="24"/>
  <c r="AS183" i="24"/>
  <c r="AQ183" i="24"/>
  <c r="BY183" i="24"/>
  <c r="AX183" i="24"/>
  <c r="BW183" i="24"/>
  <c r="BJ183" i="24"/>
  <c r="AS230" i="24"/>
  <c r="AQ230" i="24"/>
  <c r="AS237" i="24"/>
  <c r="AQ237" i="24"/>
  <c r="BK103" i="24"/>
  <c r="AS103" i="24"/>
  <c r="BL103" i="24"/>
  <c r="AQ103" i="24"/>
  <c r="AX103" i="24"/>
  <c r="BY103" i="24"/>
  <c r="BJ103" i="24"/>
  <c r="BW103" i="24"/>
  <c r="AS148" i="24"/>
  <c r="BK148" i="24"/>
  <c r="BL148" i="24"/>
  <c r="AQ148" i="24"/>
  <c r="BW148" i="24"/>
  <c r="BJ148" i="24"/>
  <c r="BY148" i="24"/>
  <c r="AX148" i="24"/>
  <c r="BL104" i="24"/>
  <c r="AQ104" i="24"/>
  <c r="AS104" i="24"/>
  <c r="AU104" i="24" s="1"/>
  <c r="BK104" i="24"/>
  <c r="AS85" i="24"/>
  <c r="AU85" i="24" s="1"/>
  <c r="BL85" i="24"/>
  <c r="BK85" i="24"/>
  <c r="AQ85" i="24"/>
  <c r="BL116" i="24"/>
  <c r="AS116" i="24"/>
  <c r="AU116" i="24" s="1"/>
  <c r="BK116" i="24"/>
  <c r="AQ116" i="24"/>
  <c r="BL90" i="24"/>
  <c r="AS90" i="24"/>
  <c r="AU90" i="24" s="1"/>
  <c r="BK90" i="24"/>
  <c r="AQ90" i="24"/>
  <c r="AS197" i="24"/>
  <c r="BK197" i="24"/>
  <c r="BL197" i="24"/>
  <c r="AQ197" i="24"/>
  <c r="BY197" i="24"/>
  <c r="AX197" i="24"/>
  <c r="BJ197" i="24"/>
  <c r="BW197" i="24"/>
  <c r="BJ161" i="24"/>
  <c r="BK161" i="24"/>
  <c r="AS161" i="24"/>
  <c r="BL161" i="24"/>
  <c r="AQ161" i="24"/>
  <c r="BY161" i="24"/>
  <c r="BW161" i="24"/>
  <c r="AX161" i="24"/>
  <c r="BK44" i="24"/>
  <c r="BL44" i="24"/>
  <c r="AS44" i="24"/>
  <c r="AU44" i="24" s="1"/>
  <c r="AQ44" i="24"/>
  <c r="BJ149" i="24"/>
  <c r="BK131" i="24"/>
  <c r="BL131" i="24"/>
  <c r="AS131" i="24"/>
  <c r="AQ131" i="24"/>
  <c r="AX131" i="24"/>
  <c r="BW131" i="24"/>
  <c r="BY131" i="24"/>
  <c r="BJ131" i="24"/>
  <c r="AS28" i="24"/>
  <c r="AU28" i="24" s="1"/>
  <c r="BL28" i="24"/>
  <c r="BK28" i="24"/>
  <c r="AQ28" i="24"/>
  <c r="AS231" i="24"/>
  <c r="AQ231" i="24"/>
  <c r="BW142" i="24"/>
  <c r="BY157" i="24"/>
  <c r="BK157" i="24"/>
  <c r="AS157" i="24"/>
  <c r="BL157" i="24"/>
  <c r="AQ157" i="24"/>
  <c r="BJ157" i="24"/>
  <c r="AX157" i="24"/>
  <c r="BW157" i="24"/>
  <c r="BY162" i="24"/>
  <c r="AQ192" i="24"/>
  <c r="AS192" i="24"/>
  <c r="BK192" i="24"/>
  <c r="BL192" i="24"/>
  <c r="BJ192" i="24"/>
  <c r="AX192" i="24"/>
  <c r="BY192" i="24"/>
  <c r="BW192" i="24"/>
  <c r="BW95" i="24"/>
  <c r="AS124" i="24"/>
  <c r="AU124" i="24" s="1"/>
  <c r="BK124" i="24"/>
  <c r="BL124" i="24"/>
  <c r="AQ124" i="24"/>
  <c r="BY90" i="24"/>
  <c r="AS280" i="24"/>
  <c r="AQ280" i="24"/>
  <c r="BY63" i="24"/>
  <c r="AS265" i="24"/>
  <c r="AQ265" i="24"/>
  <c r="AS188" i="24"/>
  <c r="BK188" i="24"/>
  <c r="BL188" i="24"/>
  <c r="AQ188" i="24"/>
  <c r="BJ188" i="24"/>
  <c r="BW188" i="24"/>
  <c r="BY188" i="24"/>
  <c r="AX188" i="24"/>
  <c r="AS222" i="24"/>
  <c r="AQ222" i="24"/>
  <c r="AX128" i="24"/>
  <c r="AU228" i="24"/>
  <c r="AW228" i="24"/>
  <c r="AS191" i="24"/>
  <c r="BL191" i="24"/>
  <c r="BK191" i="24"/>
  <c r="AQ191" i="24"/>
  <c r="BW191" i="24"/>
  <c r="BJ191" i="24"/>
  <c r="AX191" i="24"/>
  <c r="BY191" i="24"/>
  <c r="BL196" i="24"/>
  <c r="BK196" i="24"/>
  <c r="AS196" i="24"/>
  <c r="AQ196" i="24"/>
  <c r="BJ196" i="24"/>
  <c r="AX196" i="24"/>
  <c r="BW196" i="24"/>
  <c r="BY196" i="24"/>
  <c r="AS308" i="24"/>
  <c r="AQ308" i="24"/>
  <c r="AS127" i="24"/>
  <c r="BL127" i="24"/>
  <c r="BK127" i="24"/>
  <c r="AQ127" i="24"/>
  <c r="AX127" i="24"/>
  <c r="BJ127" i="24"/>
  <c r="BY127" i="24"/>
  <c r="BW127" i="24"/>
  <c r="BL64" i="24"/>
  <c r="AS64" i="24"/>
  <c r="BK64" i="24"/>
  <c r="AQ64" i="24"/>
  <c r="AX64" i="24"/>
  <c r="BY64" i="24"/>
  <c r="BW64" i="24"/>
  <c r="BJ64" i="24"/>
  <c r="AX34" i="24"/>
  <c r="BY104" i="24"/>
  <c r="AX85" i="24"/>
  <c r="AS146" i="24"/>
  <c r="AU146" i="24" s="1"/>
  <c r="BL146" i="24"/>
  <c r="BK146" i="24"/>
  <c r="AQ146" i="24"/>
  <c r="BY134" i="24"/>
  <c r="AS41" i="24"/>
  <c r="BK41" i="24"/>
  <c r="BL41" i="24"/>
  <c r="AQ41" i="24"/>
  <c r="BJ41" i="24"/>
  <c r="BY41" i="24"/>
  <c r="AX41" i="24"/>
  <c r="BW41" i="24"/>
  <c r="AS288" i="24"/>
  <c r="AQ288" i="24"/>
  <c r="AS220" i="24"/>
  <c r="AQ220" i="24"/>
  <c r="AS133" i="24"/>
  <c r="BK133" i="24"/>
  <c r="BL133" i="24"/>
  <c r="AQ133" i="24"/>
  <c r="AX133" i="24"/>
  <c r="BY133" i="24"/>
  <c r="BW133" i="24"/>
  <c r="BJ133" i="24"/>
  <c r="BL153" i="24"/>
  <c r="AS153" i="24"/>
  <c r="BK153" i="24"/>
  <c r="AQ153" i="24"/>
  <c r="BJ153" i="24"/>
  <c r="AX153" i="24"/>
  <c r="BY153" i="24"/>
  <c r="BW153" i="24"/>
  <c r="BK22" i="24"/>
  <c r="AS22" i="24"/>
  <c r="AQ22" i="24"/>
  <c r="BL22" i="24"/>
  <c r="BJ22" i="24"/>
  <c r="AX22" i="24"/>
  <c r="BW22" i="24"/>
  <c r="BY22" i="24"/>
  <c r="AS273" i="24"/>
  <c r="AQ273" i="24"/>
  <c r="AS30" i="24"/>
  <c r="BK30" i="24"/>
  <c r="BL30" i="24"/>
  <c r="AQ30" i="24"/>
  <c r="BJ30" i="24"/>
  <c r="BW30" i="24"/>
  <c r="AX30" i="24"/>
  <c r="BY30" i="24"/>
  <c r="AS112" i="24"/>
  <c r="AU112" i="24" s="1"/>
  <c r="BK112" i="24"/>
  <c r="BL112" i="24"/>
  <c r="AQ112" i="24"/>
  <c r="BW99" i="24"/>
  <c r="AS283" i="24"/>
  <c r="AQ283" i="24"/>
  <c r="BY60" i="24"/>
  <c r="AS60" i="24"/>
  <c r="BL60" i="24"/>
  <c r="BK60" i="24"/>
  <c r="AQ60" i="24"/>
  <c r="BK88" i="24"/>
  <c r="BL88" i="24"/>
  <c r="AS88" i="24"/>
  <c r="AU88" i="24" s="1"/>
  <c r="AQ88" i="24"/>
  <c r="BK66" i="24"/>
  <c r="AS66" i="24"/>
  <c r="BL66" i="24"/>
  <c r="AQ66" i="24"/>
  <c r="BW66" i="24"/>
  <c r="BJ66" i="24"/>
  <c r="AX66" i="24"/>
  <c r="BY66" i="24"/>
  <c r="BY42" i="24"/>
  <c r="BL42" i="24"/>
  <c r="BK42" i="24"/>
  <c r="AS42" i="24"/>
  <c r="AU42" i="24" s="1"/>
  <c r="AQ42" i="24"/>
  <c r="AS239" i="24"/>
  <c r="AQ239" i="24"/>
  <c r="AS118" i="24"/>
  <c r="BL118" i="24"/>
  <c r="BK118" i="24"/>
  <c r="AQ118" i="24"/>
  <c r="AX118" i="24"/>
  <c r="BW118" i="24"/>
  <c r="BJ118" i="24"/>
  <c r="BY118" i="24"/>
  <c r="BL21" i="24"/>
  <c r="AS21" i="24"/>
  <c r="AQ21" i="24"/>
  <c r="BK21" i="24"/>
  <c r="AX21" i="24"/>
  <c r="BJ21" i="24"/>
  <c r="BY21" i="24"/>
  <c r="BW21" i="24"/>
  <c r="BK206" i="24"/>
  <c r="AS206" i="24"/>
  <c r="BL206" i="24"/>
  <c r="AQ206" i="24"/>
  <c r="AX206" i="24"/>
  <c r="BJ206" i="24"/>
  <c r="BW206" i="24"/>
  <c r="BY206" i="24"/>
  <c r="AX112" i="24"/>
  <c r="BL17" i="24"/>
  <c r="AQ17" i="24"/>
  <c r="AS17" i="24"/>
  <c r="BK17" i="24"/>
  <c r="AX17" i="24"/>
  <c r="BW17" i="24"/>
  <c r="BJ17" i="24"/>
  <c r="BY17" i="24"/>
  <c r="AS96" i="24"/>
  <c r="BL96" i="24"/>
  <c r="BK96" i="24"/>
  <c r="AQ96" i="24"/>
  <c r="BW96" i="24"/>
  <c r="BY96" i="24"/>
  <c r="BJ96" i="24"/>
  <c r="AX96" i="24"/>
  <c r="AS217" i="24"/>
  <c r="AQ217" i="24"/>
  <c r="BL29" i="24"/>
  <c r="AS29" i="24"/>
  <c r="BK29" i="24"/>
  <c r="AQ29" i="24"/>
  <c r="BJ29" i="24"/>
  <c r="AX29" i="24"/>
  <c r="BW29" i="24"/>
  <c r="BY29" i="24"/>
  <c r="BK102" i="24"/>
  <c r="AS102" i="24"/>
  <c r="AU102" i="24" s="1"/>
  <c r="BL102" i="24"/>
  <c r="AQ102" i="24"/>
  <c r="BY135" i="24"/>
  <c r="BL49" i="24"/>
  <c r="BK49" i="24"/>
  <c r="AS49" i="24"/>
  <c r="AU49" i="24" s="1"/>
  <c r="AQ49" i="24"/>
  <c r="BY95" i="24"/>
  <c r="BK36" i="24"/>
  <c r="AS36" i="24"/>
  <c r="AU36" i="24" s="1"/>
  <c r="BL36" i="24"/>
  <c r="AQ36" i="24"/>
  <c r="AS257" i="24"/>
  <c r="AQ257" i="24"/>
  <c r="BL101" i="24"/>
  <c r="BK101" i="24"/>
  <c r="AS101" i="24"/>
  <c r="AQ101" i="24"/>
  <c r="AX101" i="24"/>
  <c r="BW101" i="24"/>
  <c r="BJ101" i="24"/>
  <c r="BY101" i="24"/>
  <c r="AS113" i="24"/>
  <c r="AU113" i="24" s="1"/>
  <c r="BL113" i="24"/>
  <c r="BK113" i="24"/>
  <c r="AQ113" i="24"/>
  <c r="AS266" i="24"/>
  <c r="AQ266" i="24"/>
  <c r="AS83" i="24"/>
  <c r="AU83" i="24" s="1"/>
  <c r="BK83" i="24"/>
  <c r="BL83" i="24"/>
  <c r="AQ83" i="24"/>
  <c r="BY207" i="24"/>
  <c r="BK207" i="24"/>
  <c r="AS207" i="24"/>
  <c r="BL207" i="24"/>
  <c r="AQ207" i="24"/>
  <c r="AX207" i="24"/>
  <c r="BJ207" i="24"/>
  <c r="BW207" i="24"/>
  <c r="AS71" i="24"/>
  <c r="AU71" i="24" s="1"/>
  <c r="BL71" i="24"/>
  <c r="BK71" i="24"/>
  <c r="AQ71" i="24"/>
  <c r="BK6" i="24"/>
  <c r="AS6" i="24"/>
  <c r="BL6" i="24"/>
  <c r="AQ6" i="24"/>
  <c r="BJ6" i="24"/>
  <c r="AX6" i="24"/>
  <c r="BY6" i="24"/>
  <c r="BW6" i="24"/>
  <c r="AS261" i="24"/>
  <c r="AQ261" i="24"/>
  <c r="BJ83" i="24"/>
  <c r="BK7" i="24"/>
  <c r="AS7" i="24"/>
  <c r="BL7" i="24"/>
  <c r="AQ7" i="24"/>
  <c r="AX7" i="24"/>
  <c r="BY7" i="24"/>
  <c r="BJ7" i="24"/>
  <c r="BW7" i="24"/>
  <c r="BY34" i="24"/>
  <c r="BJ104" i="24"/>
  <c r="AS58" i="24"/>
  <c r="BL58" i="24"/>
  <c r="BK58" i="24"/>
  <c r="AQ58" i="24"/>
  <c r="BW58" i="24"/>
  <c r="AX58" i="24"/>
  <c r="BJ58" i="24"/>
  <c r="BY58" i="24"/>
  <c r="AS241" i="24"/>
  <c r="AQ241" i="24"/>
  <c r="AX134" i="24"/>
  <c r="BL184" i="24"/>
  <c r="BK184" i="24"/>
  <c r="AS184" i="24"/>
  <c r="AQ184" i="24"/>
  <c r="BL128" i="24"/>
  <c r="AS128" i="24"/>
  <c r="BK128" i="24"/>
  <c r="AQ128" i="24"/>
  <c r="AS249" i="24"/>
  <c r="AQ249" i="24"/>
  <c r="AS309" i="24"/>
  <c r="AQ309" i="24"/>
  <c r="BJ54" i="24"/>
  <c r="BL76" i="24"/>
  <c r="BK76" i="24"/>
  <c r="AS76" i="24"/>
  <c r="AQ76" i="24"/>
  <c r="BY76" i="24"/>
  <c r="BW76" i="24"/>
  <c r="AX76" i="24"/>
  <c r="BJ76" i="24"/>
  <c r="BK174" i="24"/>
  <c r="AS174" i="24"/>
  <c r="BL174" i="24"/>
  <c r="AQ174" i="24"/>
  <c r="AS224" i="24"/>
  <c r="AQ224" i="24"/>
  <c r="AQ218" i="24"/>
  <c r="AS218" i="24"/>
  <c r="BJ155" i="24"/>
  <c r="BL155" i="24"/>
  <c r="BK155" i="24"/>
  <c r="AS155" i="24"/>
  <c r="AQ155" i="24"/>
  <c r="AX155" i="24"/>
  <c r="BY155" i="24"/>
  <c r="BW155" i="24"/>
  <c r="AS289" i="24"/>
  <c r="AQ289" i="24"/>
  <c r="BK47" i="24"/>
  <c r="AS47" i="24"/>
  <c r="BL47" i="24"/>
  <c r="AQ47" i="24"/>
  <c r="BJ47" i="24"/>
  <c r="AX47" i="24"/>
  <c r="BW47" i="24"/>
  <c r="BY47" i="24"/>
  <c r="AS147" i="24"/>
  <c r="AU147" i="24" s="1"/>
  <c r="BL147" i="24"/>
  <c r="BK147" i="24"/>
  <c r="AQ147" i="24"/>
  <c r="BY99" i="24"/>
  <c r="BL187" i="24"/>
  <c r="BK187" i="24"/>
  <c r="AS187" i="24"/>
  <c r="AQ187" i="24"/>
  <c r="BY187" i="24"/>
  <c r="BW187" i="24"/>
  <c r="BJ187" i="24"/>
  <c r="AX187" i="24"/>
  <c r="BJ42" i="24"/>
  <c r="AX144" i="24"/>
  <c r="AS144" i="24"/>
  <c r="BK144" i="24"/>
  <c r="BL144" i="24"/>
  <c r="AQ144" i="24"/>
  <c r="BY144" i="24"/>
  <c r="BJ144" i="24"/>
  <c r="BW144" i="24"/>
  <c r="AS300" i="24"/>
  <c r="AQ300" i="24"/>
  <c r="AX173" i="24"/>
  <c r="BK173" i="24"/>
  <c r="AQ173" i="24"/>
  <c r="BW173" i="24"/>
  <c r="AS173" i="24"/>
  <c r="BL173" i="24"/>
  <c r="BY173" i="24"/>
  <c r="BJ173" i="24"/>
  <c r="BK24" i="24"/>
  <c r="BL24" i="24"/>
  <c r="AS24" i="24"/>
  <c r="AQ24" i="24"/>
  <c r="AX24" i="24"/>
  <c r="BJ24" i="24"/>
  <c r="BY24" i="24"/>
  <c r="BW24" i="24"/>
  <c r="BY50" i="24"/>
  <c r="AS274" i="24"/>
  <c r="AQ274" i="24"/>
  <c r="BL9" i="24"/>
  <c r="AS9" i="24"/>
  <c r="BK9" i="24"/>
  <c r="AQ9" i="24"/>
  <c r="BY9" i="24"/>
  <c r="BJ9" i="24"/>
  <c r="AX9" i="24"/>
  <c r="BW9" i="24"/>
  <c r="BK46" i="24"/>
  <c r="BY46" i="24"/>
  <c r="BL46" i="24"/>
  <c r="BW46" i="24"/>
  <c r="BJ46" i="24"/>
  <c r="AQ46" i="24"/>
  <c r="AX46" i="24"/>
  <c r="AS46" i="24"/>
  <c r="BJ129" i="24"/>
  <c r="BK129" i="24"/>
  <c r="BL129" i="24"/>
  <c r="AS129" i="24"/>
  <c r="AU129" i="24" s="1"/>
  <c r="AQ129" i="24"/>
  <c r="AS78" i="24"/>
  <c r="BK78" i="24"/>
  <c r="BL78" i="24"/>
  <c r="AQ78" i="24"/>
  <c r="BW78" i="24"/>
  <c r="AX78" i="24"/>
  <c r="BY78" i="24"/>
  <c r="BJ78" i="24"/>
  <c r="BL168" i="24"/>
  <c r="BK168" i="24"/>
  <c r="AS168" i="24"/>
  <c r="AU168" i="24" s="1"/>
  <c r="AQ168" i="24"/>
  <c r="BW154" i="24"/>
  <c r="AS298" i="24"/>
  <c r="AQ298" i="24"/>
  <c r="BY112" i="24"/>
  <c r="BK126" i="24"/>
  <c r="AS126" i="24"/>
  <c r="BL126" i="24"/>
  <c r="AQ126" i="24"/>
  <c r="BW126" i="24"/>
  <c r="BY126" i="24"/>
  <c r="BJ126" i="24"/>
  <c r="AX126" i="24"/>
  <c r="BY45" i="24"/>
  <c r="BL73" i="24"/>
  <c r="AS73" i="24"/>
  <c r="BK73" i="24"/>
  <c r="AQ73" i="24"/>
  <c r="BY73" i="24"/>
  <c r="AX73" i="24"/>
  <c r="BJ73" i="24"/>
  <c r="BW73" i="24"/>
  <c r="BL119" i="24"/>
  <c r="BK119" i="24"/>
  <c r="AS119" i="24"/>
  <c r="AU119" i="24" s="1"/>
  <c r="AQ119" i="24"/>
  <c r="BK205" i="24"/>
  <c r="BL205" i="24"/>
  <c r="AS205" i="24"/>
  <c r="AQ205" i="24"/>
  <c r="AX205" i="24"/>
  <c r="BJ205" i="24"/>
  <c r="BY205" i="24"/>
  <c r="BW205" i="24"/>
  <c r="BK115" i="24"/>
  <c r="BL115" i="24"/>
  <c r="AS115" i="24"/>
  <c r="AQ115" i="24"/>
  <c r="BY115" i="24"/>
  <c r="AX115" i="24"/>
  <c r="BW115" i="24"/>
  <c r="BJ115" i="24"/>
  <c r="AX121" i="24"/>
  <c r="BY39" i="24"/>
  <c r="BW203" i="24"/>
  <c r="BJ203" i="24"/>
  <c r="AX203" i="24"/>
  <c r="BK203" i="24"/>
  <c r="BL203" i="24"/>
  <c r="AQ203" i="24"/>
  <c r="AS203" i="24"/>
  <c r="BY203" i="24"/>
  <c r="AQ253" i="24"/>
  <c r="AS253" i="24"/>
  <c r="AS316" i="24"/>
  <c r="AQ316" i="24"/>
  <c r="BW36" i="24"/>
  <c r="AS292" i="24"/>
  <c r="AQ292" i="24"/>
  <c r="BL98" i="24"/>
  <c r="BK98" i="24"/>
  <c r="AS98" i="24"/>
  <c r="AU98" i="24" s="1"/>
  <c r="AQ98" i="24"/>
  <c r="AS281" i="24"/>
  <c r="AQ281" i="24"/>
  <c r="AS252" i="24"/>
  <c r="AQ252" i="24"/>
  <c r="BJ63" i="24"/>
  <c r="BJ80" i="24"/>
  <c r="AS234" i="24"/>
  <c r="AQ234" i="24"/>
  <c r="BL164" i="24"/>
  <c r="AS164" i="24"/>
  <c r="AU164" i="24" s="1"/>
  <c r="BK164" i="24"/>
  <c r="AQ164" i="24"/>
  <c r="AS279" i="24"/>
  <c r="AQ279" i="24"/>
  <c r="BY113" i="24"/>
  <c r="BJ10" i="24"/>
  <c r="BL10" i="24"/>
  <c r="AS10" i="24"/>
  <c r="BK10" i="24"/>
  <c r="AQ10" i="24"/>
  <c r="BL8" i="24"/>
  <c r="AS8" i="24"/>
  <c r="AU8" i="24" s="1"/>
  <c r="BK8" i="24"/>
  <c r="AQ8" i="24"/>
  <c r="BK132" i="24"/>
  <c r="BL132" i="24"/>
  <c r="AS132" i="24"/>
  <c r="AQ132" i="24"/>
  <c r="AX132" i="24"/>
  <c r="BW132" i="24"/>
  <c r="BY132" i="24"/>
  <c r="BJ132" i="24"/>
  <c r="AQ226" i="24"/>
  <c r="AS226" i="24"/>
  <c r="AS254" i="24"/>
  <c r="AQ254" i="24"/>
  <c r="BY128" i="24"/>
  <c r="BW71" i="24"/>
  <c r="BJ28" i="24"/>
  <c r="AX83" i="24"/>
  <c r="AS310" i="24"/>
  <c r="AQ310" i="24"/>
  <c r="BW34" i="24"/>
  <c r="BW104" i="24"/>
  <c r="AS51" i="24"/>
  <c r="BK51" i="24"/>
  <c r="BL51" i="24"/>
  <c r="AQ51" i="24"/>
  <c r="BY51" i="24"/>
  <c r="BJ51" i="24"/>
  <c r="BW51" i="24"/>
  <c r="AX51" i="24"/>
  <c r="AT65" i="25"/>
  <c r="AU65" i="25"/>
  <c r="BE175" i="25"/>
  <c r="BV175" i="25" s="1"/>
  <c r="BF175" i="25"/>
  <c r="BW175" i="25" s="1"/>
  <c r="BD175" i="25"/>
  <c r="AT159" i="25"/>
  <c r="BA159" i="25" s="1"/>
  <c r="AU159" i="25"/>
  <c r="AT25" i="25"/>
  <c r="AU25" i="25"/>
  <c r="AT153" i="25"/>
  <c r="BA153" i="25" s="1"/>
  <c r="AU153" i="25"/>
  <c r="AT266" i="25"/>
  <c r="AU266" i="25"/>
  <c r="BE155" i="25"/>
  <c r="BV155" i="25" s="1"/>
  <c r="BF155" i="25"/>
  <c r="BW155" i="25" s="1"/>
  <c r="BD155" i="25"/>
  <c r="AT280" i="25"/>
  <c r="AU280" i="25"/>
  <c r="AT78" i="25"/>
  <c r="AU78" i="25"/>
  <c r="BE143" i="25"/>
  <c r="BV143" i="25" s="1"/>
  <c r="BF143" i="25"/>
  <c r="BW143" i="25" s="1"/>
  <c r="BD143" i="25"/>
  <c r="AT32" i="25"/>
  <c r="AU32" i="25"/>
  <c r="BF171" i="25"/>
  <c r="BW171" i="25" s="1"/>
  <c r="BD171" i="25"/>
  <c r="BE171" i="25"/>
  <c r="BV171" i="25" s="1"/>
  <c r="BE161" i="25"/>
  <c r="BV161" i="25" s="1"/>
  <c r="BD161" i="25"/>
  <c r="BF161" i="25"/>
  <c r="BW161" i="25" s="1"/>
  <c r="BF145" i="25"/>
  <c r="BW145" i="25" s="1"/>
  <c r="BD145" i="25"/>
  <c r="BE145" i="25"/>
  <c r="BV145" i="25" s="1"/>
  <c r="AT89" i="25"/>
  <c r="AU89" i="25"/>
  <c r="BD209" i="25"/>
  <c r="BE209" i="25"/>
  <c r="BV209" i="25" s="1"/>
  <c r="BF209" i="25"/>
  <c r="BW209" i="25" s="1"/>
  <c r="AT27" i="25"/>
  <c r="AU27" i="25"/>
  <c r="AT267" i="25"/>
  <c r="AU267" i="25"/>
  <c r="AT67" i="25"/>
  <c r="AU67" i="25"/>
  <c r="AT80" i="25"/>
  <c r="AU80" i="25"/>
  <c r="BE127" i="25"/>
  <c r="BV127" i="25" s="1"/>
  <c r="BD127" i="25"/>
  <c r="BF127" i="25"/>
  <c r="BW127" i="25" s="1"/>
  <c r="AT63" i="25"/>
  <c r="AU63" i="25"/>
  <c r="AT26" i="25"/>
  <c r="AU26" i="25"/>
  <c r="BD157" i="25"/>
  <c r="BF157" i="25"/>
  <c r="BW157" i="25" s="1"/>
  <c r="BE157" i="25"/>
  <c r="BV157" i="25" s="1"/>
  <c r="AU235" i="25"/>
  <c r="AT235" i="25"/>
  <c r="AT91" i="25"/>
  <c r="AU91" i="25"/>
  <c r="AT84" i="25"/>
  <c r="AU84" i="25"/>
  <c r="BD178" i="25"/>
  <c r="BF178" i="25"/>
  <c r="BW178" i="25" s="1"/>
  <c r="BE178" i="25"/>
  <c r="BV178" i="25" s="1"/>
  <c r="BF191" i="25"/>
  <c r="BW191" i="25" s="1"/>
  <c r="BE191" i="25"/>
  <c r="BV191" i="25" s="1"/>
  <c r="BD191" i="25"/>
  <c r="BF166" i="25"/>
  <c r="BW166" i="25" s="1"/>
  <c r="BD166" i="25"/>
  <c r="BE166" i="25"/>
  <c r="BV166" i="25" s="1"/>
  <c r="AT41" i="25"/>
  <c r="AU41" i="25"/>
  <c r="BD163" i="25"/>
  <c r="BF163" i="25"/>
  <c r="BW163" i="25" s="1"/>
  <c r="BE163" i="25"/>
  <c r="BV163" i="25" s="1"/>
  <c r="AT98" i="25"/>
  <c r="AU98" i="25"/>
  <c r="AT130" i="25"/>
  <c r="BA130" i="25" s="1"/>
  <c r="AU130" i="25"/>
  <c r="BD160" i="25"/>
  <c r="BF160" i="25"/>
  <c r="BW160" i="25" s="1"/>
  <c r="BE160" i="25"/>
  <c r="BV160" i="25" s="1"/>
  <c r="AT82" i="25"/>
  <c r="AU82" i="25"/>
  <c r="AT118" i="25"/>
  <c r="BA118" i="25" s="1"/>
  <c r="AU118" i="25"/>
  <c r="AT23" i="25"/>
  <c r="AU23" i="25"/>
  <c r="BE196" i="25"/>
  <c r="BV196" i="25" s="1"/>
  <c r="BF196" i="25"/>
  <c r="BW196" i="25" s="1"/>
  <c r="BD196" i="25"/>
  <c r="AT85" i="25"/>
  <c r="AU85" i="25"/>
  <c r="AT51" i="25"/>
  <c r="AU51" i="25"/>
  <c r="AT93" i="25"/>
  <c r="AU93" i="25"/>
  <c r="AT37" i="25"/>
  <c r="AU37" i="25"/>
  <c r="AT90" i="25"/>
  <c r="AU90" i="25"/>
  <c r="AT104" i="25"/>
  <c r="AU104" i="25"/>
  <c r="AT269" i="25"/>
  <c r="AU269" i="25"/>
  <c r="AT35" i="25"/>
  <c r="AU35" i="25"/>
  <c r="AT36" i="25"/>
  <c r="AU36" i="25"/>
  <c r="AU134" i="25"/>
  <c r="AT134" i="25"/>
  <c r="BA134" i="25" s="1"/>
  <c r="BF124" i="25"/>
  <c r="BW124" i="25" s="1"/>
  <c r="BD124" i="25"/>
  <c r="BE124" i="25"/>
  <c r="BV124" i="25" s="1"/>
  <c r="BD172" i="25"/>
  <c r="BF172" i="25"/>
  <c r="BW172" i="25" s="1"/>
  <c r="BE172" i="25"/>
  <c r="BV172" i="25" s="1"/>
  <c r="AT113" i="25"/>
  <c r="BA113" i="25" s="1"/>
  <c r="AU113" i="25"/>
  <c r="AT58" i="25"/>
  <c r="AU58" i="25"/>
  <c r="AT314" i="25"/>
  <c r="AU314" i="25"/>
  <c r="AT247" i="25"/>
  <c r="AU247" i="25"/>
  <c r="BE138" i="25"/>
  <c r="BV138" i="25" s="1"/>
  <c r="BF138" i="25"/>
  <c r="BW138" i="25" s="1"/>
  <c r="BD138" i="25"/>
  <c r="AT116" i="25"/>
  <c r="BA116" i="25" s="1"/>
  <c r="AU116" i="25"/>
  <c r="AT131" i="25"/>
  <c r="BA131" i="25" s="1"/>
  <c r="AU131" i="25"/>
  <c r="AT272" i="25"/>
  <c r="AU272" i="25"/>
  <c r="AT28" i="25"/>
  <c r="AU28" i="25"/>
  <c r="AT29" i="25"/>
  <c r="AU29" i="25"/>
  <c r="AT244" i="25"/>
  <c r="AU244" i="25"/>
  <c r="AT173" i="25"/>
  <c r="BA173" i="25" s="1"/>
  <c r="AU173" i="25"/>
  <c r="AT140" i="25"/>
  <c r="BA140" i="25" s="1"/>
  <c r="AU140" i="25"/>
  <c r="AT15" i="25"/>
  <c r="AU15" i="25"/>
  <c r="AT183" i="25"/>
  <c r="BA183" i="25" s="1"/>
  <c r="AU183" i="25"/>
  <c r="AT262" i="25"/>
  <c r="AU262" i="25"/>
  <c r="AT39" i="25"/>
  <c r="AU39" i="25"/>
  <c r="AT208" i="25"/>
  <c r="BA208" i="25" s="1"/>
  <c r="AU208" i="25"/>
  <c r="AT22" i="25"/>
  <c r="AU22" i="25"/>
  <c r="AT216" i="25"/>
  <c r="AU216" i="25"/>
  <c r="AT74" i="25"/>
  <c r="AU74" i="25"/>
  <c r="AT92" i="25"/>
  <c r="AU92" i="25"/>
  <c r="AT53" i="25"/>
  <c r="AU53" i="25"/>
  <c r="AT154" i="25"/>
  <c r="BA154" i="25" s="1"/>
  <c r="AU154" i="25"/>
  <c r="AT57" i="25"/>
  <c r="AU57" i="25"/>
  <c r="AT86" i="25"/>
  <c r="AU86" i="25"/>
  <c r="BD207" i="25"/>
  <c r="BF207" i="25"/>
  <c r="BW207" i="25" s="1"/>
  <c r="BE207" i="25"/>
  <c r="BV207" i="25" s="1"/>
  <c r="AT182" i="25"/>
  <c r="BA182" i="25" s="1"/>
  <c r="AU182" i="25"/>
  <c r="BE149" i="25"/>
  <c r="BV149" i="25" s="1"/>
  <c r="BD149" i="25"/>
  <c r="BF149" i="25"/>
  <c r="BW149" i="25" s="1"/>
  <c r="BF115" i="25"/>
  <c r="BW115" i="25" s="1"/>
  <c r="BE115" i="25"/>
  <c r="BV115" i="25" s="1"/>
  <c r="BD115" i="25"/>
  <c r="AT11" i="25"/>
  <c r="AU11" i="25"/>
  <c r="AT9" i="25"/>
  <c r="AU9" i="25"/>
  <c r="AT105" i="25"/>
  <c r="B106" i="2"/>
  <c r="AU105" i="25"/>
  <c r="AT83" i="25"/>
  <c r="AU83" i="25"/>
  <c r="AT33" i="25"/>
  <c r="AU33" i="25"/>
  <c r="AT303" i="25"/>
  <c r="AU303" i="25"/>
  <c r="AT61" i="25"/>
  <c r="AU61" i="25"/>
  <c r="AT17" i="25"/>
  <c r="AU17" i="25"/>
  <c r="AT255" i="25"/>
  <c r="AU255" i="25"/>
  <c r="BD185" i="25"/>
  <c r="BE185" i="25"/>
  <c r="BV185" i="25" s="1"/>
  <c r="BF185" i="25"/>
  <c r="BW185" i="25" s="1"/>
  <c r="AT275" i="25"/>
  <c r="AU275" i="25"/>
  <c r="AT287" i="25"/>
  <c r="AU287" i="25"/>
  <c r="AT268" i="25"/>
  <c r="AU268" i="25"/>
  <c r="BF205" i="25"/>
  <c r="BW205" i="25" s="1"/>
  <c r="BE205" i="25"/>
  <c r="BV205" i="25" s="1"/>
  <c r="BD205" i="25"/>
  <c r="AT20" i="25"/>
  <c r="AU20" i="25"/>
  <c r="AT99" i="25"/>
  <c r="AU99" i="25"/>
  <c r="BE206" i="25"/>
  <c r="BV206" i="25" s="1"/>
  <c r="BF206" i="25"/>
  <c r="BW206" i="25" s="1"/>
  <c r="BD206" i="25"/>
  <c r="AT77" i="25"/>
  <c r="AU77" i="25"/>
  <c r="AT123" i="25"/>
  <c r="BA123" i="25" s="1"/>
  <c r="AU123" i="25"/>
  <c r="AT46" i="25"/>
  <c r="AU46" i="25"/>
  <c r="AT13" i="25"/>
  <c r="AU13" i="25"/>
  <c r="AT52" i="25"/>
  <c r="AU52" i="25"/>
  <c r="AT309" i="25"/>
  <c r="AU309" i="25"/>
  <c r="AT38" i="25"/>
  <c r="AU38" i="25"/>
  <c r="BE147" i="25"/>
  <c r="BV147" i="25" s="1"/>
  <c r="BF147" i="25"/>
  <c r="BW147" i="25" s="1"/>
  <c r="BD147" i="25"/>
  <c r="AT47" i="25"/>
  <c r="AU47" i="25"/>
  <c r="BE202" i="25"/>
  <c r="BV202" i="25" s="1"/>
  <c r="BF202" i="25"/>
  <c r="BW202" i="25" s="1"/>
  <c r="BD202" i="25"/>
  <c r="AT64" i="25"/>
  <c r="AU64" i="25"/>
  <c r="AT21" i="25"/>
  <c r="AU21" i="25"/>
  <c r="AT179" i="25"/>
  <c r="BA179" i="25" s="1"/>
  <c r="AU179" i="25"/>
  <c r="AT40" i="25"/>
  <c r="AU40" i="25"/>
  <c r="AT133" i="25"/>
  <c r="BA133" i="25" s="1"/>
  <c r="AU133" i="25"/>
  <c r="AT223" i="25"/>
  <c r="AU223" i="25"/>
  <c r="AT81" i="25"/>
  <c r="AU81" i="25"/>
  <c r="BD198" i="25"/>
  <c r="BE198" i="25"/>
  <c r="BV198" i="25" s="1"/>
  <c r="BF198" i="25"/>
  <c r="BW198" i="25" s="1"/>
  <c r="BE129" i="25"/>
  <c r="BV129" i="25" s="1"/>
  <c r="BD129" i="25"/>
  <c r="BF129" i="25"/>
  <c r="BW129" i="25" s="1"/>
  <c r="AT60" i="25"/>
  <c r="AU60" i="25"/>
  <c r="AT71" i="25"/>
  <c r="AU71" i="25"/>
  <c r="AT72" i="25"/>
  <c r="AU72" i="25"/>
  <c r="AT76" i="25"/>
  <c r="AU76" i="25"/>
  <c r="AT44" i="25"/>
  <c r="AU44" i="25"/>
  <c r="AT87" i="25"/>
  <c r="AU87" i="25"/>
  <c r="AT190" i="25"/>
  <c r="BA190" i="25" s="1"/>
  <c r="AU190" i="25"/>
  <c r="AT6" i="25"/>
  <c r="AU6" i="25"/>
  <c r="AT200" i="25"/>
  <c r="BA200" i="25" s="1"/>
  <c r="AU200" i="25"/>
  <c r="BF126" i="25"/>
  <c r="BW126" i="25" s="1"/>
  <c r="BD126" i="25"/>
  <c r="BE126" i="25"/>
  <c r="BV126" i="25" s="1"/>
  <c r="AT8" i="25"/>
  <c r="AU8" i="25"/>
  <c r="AT55" i="25"/>
  <c r="AU55" i="25"/>
  <c r="BD177" i="25"/>
  <c r="BE177" i="25"/>
  <c r="BV177" i="25" s="1"/>
  <c r="BF177" i="25"/>
  <c r="BW177" i="25" s="1"/>
  <c r="BE174" i="25"/>
  <c r="BV174" i="25" s="1"/>
  <c r="BD174" i="25"/>
  <c r="BF174" i="25"/>
  <c r="BW174" i="25" s="1"/>
  <c r="BE122" i="25"/>
  <c r="BV122" i="25" s="1"/>
  <c r="BF122" i="25"/>
  <c r="BW122" i="25" s="1"/>
  <c r="BD122" i="25"/>
  <c r="AT194" i="25"/>
  <c r="BA194" i="25" s="1"/>
  <c r="AU194" i="25"/>
  <c r="AT236" i="25"/>
  <c r="AU236" i="25"/>
  <c r="BD193" i="25"/>
  <c r="BE193" i="25"/>
  <c r="BV193" i="25" s="1"/>
  <c r="BF193" i="25"/>
  <c r="BW193" i="25" s="1"/>
  <c r="AT246" i="25"/>
  <c r="AU246" i="25"/>
  <c r="AT103" i="25"/>
  <c r="AU103" i="25"/>
  <c r="AT19" i="25"/>
  <c r="AU19" i="25"/>
  <c r="AT96" i="25"/>
  <c r="AU96" i="25"/>
  <c r="AT75" i="25"/>
  <c r="AU75" i="25"/>
  <c r="AT226" i="25"/>
  <c r="AU226" i="25"/>
  <c r="BF195" i="25"/>
  <c r="BW195" i="25" s="1"/>
  <c r="BE195" i="25"/>
  <c r="BV195" i="25" s="1"/>
  <c r="BD195" i="25"/>
  <c r="AT141" i="25"/>
  <c r="BA141" i="25" s="1"/>
  <c r="AU141" i="25"/>
  <c r="AT291" i="25"/>
  <c r="AU291" i="25"/>
  <c r="BD170" i="25"/>
  <c r="BE170" i="25"/>
  <c r="BV170" i="25" s="1"/>
  <c r="BF170" i="25"/>
  <c r="BW170" i="25" s="1"/>
  <c r="AT221" i="25"/>
  <c r="AU221" i="25"/>
  <c r="AT56" i="25"/>
  <c r="AU56" i="25"/>
  <c r="AT283" i="25"/>
  <c r="AU283" i="25"/>
  <c r="BE162" i="25"/>
  <c r="BV162" i="25" s="1"/>
  <c r="BF162" i="25"/>
  <c r="BW162" i="25" s="1"/>
  <c r="BD162" i="25"/>
  <c r="AT238" i="25"/>
  <c r="AU238" i="25"/>
  <c r="AT229" i="25"/>
  <c r="AU229" i="25"/>
  <c r="AT152" i="25"/>
  <c r="BA152" i="25" s="1"/>
  <c r="AU152" i="25"/>
  <c r="AT34" i="25"/>
  <c r="AU34" i="25"/>
  <c r="AT49" i="25"/>
  <c r="AU49" i="25"/>
  <c r="AT73" i="25"/>
  <c r="AU73" i="25"/>
  <c r="AT31" i="25"/>
  <c r="AU31" i="25"/>
  <c r="BD169" i="25"/>
  <c r="BF169" i="25"/>
  <c r="BW169" i="25" s="1"/>
  <c r="BE169" i="25"/>
  <c r="BV169" i="25" s="1"/>
  <c r="AT12" i="25"/>
  <c r="AU12" i="25"/>
  <c r="AT14" i="25"/>
  <c r="AU14" i="25"/>
  <c r="AT315" i="25"/>
  <c r="AU315" i="25"/>
  <c r="AT50" i="25"/>
  <c r="AU50" i="25"/>
  <c r="AT70" i="25"/>
  <c r="AU70" i="25"/>
  <c r="AT94" i="25"/>
  <c r="AU94" i="25"/>
  <c r="AT16" i="25"/>
  <c r="AU16" i="25"/>
  <c r="BF201" i="25"/>
  <c r="BW201" i="25" s="1"/>
  <c r="BD201" i="25"/>
  <c r="BE201" i="25"/>
  <c r="BV201" i="25" s="1"/>
  <c r="AT69" i="25"/>
  <c r="AU69" i="25"/>
  <c r="AT285" i="25"/>
  <c r="AU285" i="25"/>
  <c r="AT54" i="25"/>
  <c r="AU54" i="25"/>
  <c r="BE156" i="25"/>
  <c r="BV156" i="25" s="1"/>
  <c r="BD156" i="25"/>
  <c r="BF156" i="25"/>
  <c r="BW156" i="25" s="1"/>
  <c r="AT189" i="25"/>
  <c r="BA189" i="25" s="1"/>
  <c r="AU189" i="25"/>
  <c r="AT59" i="25"/>
  <c r="AU59" i="25"/>
  <c r="AT45" i="25"/>
  <c r="AU45" i="25"/>
  <c r="BD204" i="25"/>
  <c r="BE204" i="25"/>
  <c r="BV204" i="25" s="1"/>
  <c r="BF204" i="25"/>
  <c r="BW204" i="25" s="1"/>
  <c r="AT24" i="25"/>
  <c r="AU24" i="25"/>
  <c r="AT43" i="25"/>
  <c r="AU43" i="25"/>
  <c r="AT66" i="25"/>
  <c r="AU66" i="25"/>
  <c r="BE144" i="25"/>
  <c r="BV144" i="25" s="1"/>
  <c r="BF144" i="25"/>
  <c r="BW144" i="25" s="1"/>
  <c r="BD144" i="25"/>
  <c r="AT68" i="25"/>
  <c r="AU68" i="25"/>
  <c r="AU290" i="25"/>
  <c r="AT290" i="25"/>
  <c r="BF119" i="25"/>
  <c r="BW119" i="25" s="1"/>
  <c r="BE119" i="25"/>
  <c r="BV119" i="25" s="1"/>
  <c r="BD119" i="25"/>
  <c r="AT139" i="25"/>
  <c r="BA139" i="25" s="1"/>
  <c r="AU139" i="25"/>
  <c r="AT110" i="25"/>
  <c r="BA110" i="25" s="1"/>
  <c r="AU110" i="25"/>
  <c r="BE203" i="25"/>
  <c r="BV203" i="25" s="1"/>
  <c r="BD203" i="25"/>
  <c r="BF203" i="25"/>
  <c r="BW203" i="25" s="1"/>
  <c r="AT121" i="25"/>
  <c r="BA121" i="25" s="1"/>
  <c r="AU121" i="25"/>
  <c r="AT62" i="25"/>
  <c r="AU62" i="25"/>
  <c r="AT100" i="25"/>
  <c r="AU100" i="25"/>
  <c r="AT30" i="25"/>
  <c r="AU30" i="25"/>
  <c r="AT7" i="25"/>
  <c r="AU7" i="25"/>
  <c r="BF181" i="25"/>
  <c r="BW181" i="25" s="1"/>
  <c r="BD181" i="25"/>
  <c r="BE181" i="25"/>
  <c r="BV181" i="25" s="1"/>
  <c r="AT48" i="25"/>
  <c r="AU48" i="25"/>
  <c r="AT313" i="25"/>
  <c r="AU313" i="25"/>
  <c r="AT79" i="25"/>
  <c r="AU79" i="25"/>
  <c r="AT10" i="25"/>
  <c r="AU10" i="25"/>
  <c r="AT18" i="25"/>
  <c r="AU18" i="25"/>
  <c r="AT42" i="25"/>
  <c r="AU42" i="25"/>
  <c r="AT97" i="25"/>
  <c r="AU97" i="25"/>
  <c r="BD148" i="25"/>
  <c r="BF148" i="25"/>
  <c r="BW148" i="25" s="1"/>
  <c r="BE148" i="25"/>
  <c r="BV148" i="25" s="1"/>
  <c r="AT95" i="25"/>
  <c r="AU95" i="25"/>
  <c r="BF132" i="25"/>
  <c r="BW132" i="25" s="1"/>
  <c r="BE132" i="25"/>
  <c r="BV132" i="25" s="1"/>
  <c r="BD132" i="25"/>
  <c r="AT184" i="25"/>
  <c r="BA184" i="25" s="1"/>
  <c r="AU184" i="25"/>
  <c r="AT293" i="25"/>
  <c r="AU293" i="25"/>
  <c r="AT120" i="25"/>
  <c r="BA120" i="25" s="1"/>
  <c r="AU120" i="25"/>
  <c r="BE151" i="25"/>
  <c r="BV151" i="25" s="1"/>
  <c r="BD151" i="25"/>
  <c r="BF151" i="25"/>
  <c r="BW151" i="25" s="1"/>
  <c r="AT101" i="25"/>
  <c r="AU101" i="25"/>
  <c r="BD168" i="25"/>
  <c r="BF168" i="25"/>
  <c r="BW168" i="25" s="1"/>
  <c r="BE168" i="25"/>
  <c r="BV168" i="25" s="1"/>
  <c r="AT88" i="25"/>
  <c r="AU88" i="25"/>
  <c r="BF102" i="25" l="1"/>
  <c r="BQ102" i="25" s="1"/>
  <c r="BE102" i="25"/>
  <c r="BP102" i="25" s="1"/>
  <c r="AW299" i="24"/>
  <c r="BD299" i="24"/>
  <c r="AW92" i="24"/>
  <c r="BG92" i="24" s="1"/>
  <c r="BD136" i="25"/>
  <c r="BH136" i="25" s="1"/>
  <c r="BN136" i="25" s="1"/>
  <c r="BF136" i="25"/>
  <c r="BW136" i="25" s="1"/>
  <c r="BD167" i="25"/>
  <c r="BU167" i="25" s="1"/>
  <c r="BF167" i="25"/>
  <c r="BW167" i="25" s="1"/>
  <c r="CA110" i="24"/>
  <c r="CC110" i="24" s="1"/>
  <c r="BD117" i="25"/>
  <c r="BU117" i="25" s="1"/>
  <c r="BE117" i="25"/>
  <c r="BV117" i="25" s="1"/>
  <c r="BE165" i="25"/>
  <c r="BV165" i="25" s="1"/>
  <c r="BD165" i="25"/>
  <c r="BH165" i="25" s="1"/>
  <c r="BN165" i="25" s="1"/>
  <c r="BW102" i="25"/>
  <c r="BV102" i="25"/>
  <c r="BD158" i="25"/>
  <c r="BH158" i="25" s="1"/>
  <c r="BN158" i="25" s="1"/>
  <c r="BF158" i="25"/>
  <c r="BW158" i="25" s="1"/>
  <c r="BE128" i="25"/>
  <c r="BV128" i="25" s="1"/>
  <c r="BD128" i="25"/>
  <c r="BU128" i="25" s="1"/>
  <c r="B143" i="2"/>
  <c r="E31" i="1" s="1"/>
  <c r="C34" i="16"/>
  <c r="B253" i="2"/>
  <c r="D253" i="2" s="1"/>
  <c r="D34" i="16"/>
  <c r="BV5" i="24"/>
  <c r="BQ5" i="24"/>
  <c r="BT5" i="24" s="1"/>
  <c r="BE186" i="25"/>
  <c r="BV186" i="25" s="1"/>
  <c r="BD186" i="25"/>
  <c r="BH186" i="25" s="1"/>
  <c r="BN186" i="25" s="1"/>
  <c r="BF164" i="25"/>
  <c r="BW164" i="25" s="1"/>
  <c r="BD164" i="25"/>
  <c r="BH164" i="25" s="1"/>
  <c r="BN164" i="25" s="1"/>
  <c r="AU5" i="25"/>
  <c r="BF5" i="25" s="1"/>
  <c r="BQ5" i="25" s="1"/>
  <c r="BD199" i="25"/>
  <c r="BH199" i="25" s="1"/>
  <c r="BN199" i="25" s="1"/>
  <c r="BE142" i="25"/>
  <c r="BV142" i="25" s="1"/>
  <c r="BF142" i="25"/>
  <c r="BW142" i="25" s="1"/>
  <c r="BE188" i="25"/>
  <c r="BV188" i="25" s="1"/>
  <c r="BE112" i="25"/>
  <c r="BV112" i="25" s="1"/>
  <c r="BF188" i="25"/>
  <c r="BW188" i="25" s="1"/>
  <c r="BE187" i="25"/>
  <c r="BV187" i="25" s="1"/>
  <c r="BD187" i="25"/>
  <c r="BU187" i="25" s="1"/>
  <c r="AW238" i="24"/>
  <c r="BD111" i="25"/>
  <c r="BH111" i="25" s="1"/>
  <c r="BN111" i="25" s="1"/>
  <c r="BE111" i="25"/>
  <c r="BV111" i="25" s="1"/>
  <c r="BF199" i="25"/>
  <c r="BW199" i="25" s="1"/>
  <c r="BF146" i="25"/>
  <c r="BW146" i="25" s="1"/>
  <c r="BD146" i="25"/>
  <c r="BU146" i="25" s="1"/>
  <c r="BE114" i="25"/>
  <c r="BV114" i="25" s="1"/>
  <c r="BD114" i="25"/>
  <c r="BU114" i="25" s="1"/>
  <c r="BE125" i="25"/>
  <c r="BV125" i="25" s="1"/>
  <c r="BD238" i="24"/>
  <c r="BC212" i="24"/>
  <c r="BD212" i="24"/>
  <c r="BC216" i="24"/>
  <c r="BD216" i="24"/>
  <c r="BD192" i="25"/>
  <c r="BH192" i="25" s="1"/>
  <c r="BF125" i="25"/>
  <c r="BW125" i="25" s="1"/>
  <c r="BE192" i="25"/>
  <c r="BV192" i="25" s="1"/>
  <c r="BF137" i="25"/>
  <c r="BW137" i="25" s="1"/>
  <c r="BD137" i="25"/>
  <c r="BU137" i="25" s="1"/>
  <c r="BD197" i="25"/>
  <c r="BU197" i="25" s="1"/>
  <c r="BF197" i="25"/>
  <c r="BW197" i="25" s="1"/>
  <c r="BC147" i="24"/>
  <c r="BD147" i="24"/>
  <c r="BC124" i="24"/>
  <c r="BD124" i="24"/>
  <c r="BC178" i="24"/>
  <c r="BD178" i="24"/>
  <c r="BC114" i="24"/>
  <c r="BD114" i="24"/>
  <c r="BC149" i="24"/>
  <c r="BD149" i="24"/>
  <c r="BC209" i="24"/>
  <c r="BD209" i="24"/>
  <c r="BC129" i="24"/>
  <c r="BD129" i="24"/>
  <c r="BC228" i="24"/>
  <c r="BD228" i="24"/>
  <c r="BC154" i="24"/>
  <c r="BD154" i="24"/>
  <c r="BC158" i="24"/>
  <c r="BD158" i="24"/>
  <c r="BC146" i="24"/>
  <c r="BD146" i="24"/>
  <c r="BC134" i="24"/>
  <c r="BD134" i="24"/>
  <c r="BC121" i="24"/>
  <c r="BD121" i="24"/>
  <c r="BC117" i="24"/>
  <c r="BD117" i="24"/>
  <c r="BC151" i="24"/>
  <c r="BD151" i="24"/>
  <c r="BC122" i="24"/>
  <c r="BD122" i="24"/>
  <c r="BC164" i="24"/>
  <c r="BD164" i="24"/>
  <c r="BC119" i="24"/>
  <c r="BD119" i="24"/>
  <c r="BC113" i="24"/>
  <c r="BD113" i="24"/>
  <c r="BC116" i="24"/>
  <c r="BD116" i="24"/>
  <c r="BC142" i="24"/>
  <c r="BD142" i="24"/>
  <c r="BC135" i="24"/>
  <c r="BD135" i="24"/>
  <c r="BC168" i="24"/>
  <c r="BD168" i="24"/>
  <c r="BC112" i="24"/>
  <c r="BD112" i="24"/>
  <c r="BC160" i="24"/>
  <c r="BD160" i="24"/>
  <c r="BC169" i="24"/>
  <c r="BD169" i="24"/>
  <c r="BA69" i="25"/>
  <c r="BB69" i="25"/>
  <c r="BA62" i="25"/>
  <c r="BB62" i="25"/>
  <c r="BA95" i="25"/>
  <c r="BB95" i="25"/>
  <c r="BA30" i="25"/>
  <c r="BB30" i="25"/>
  <c r="BA43" i="25"/>
  <c r="BB43" i="25"/>
  <c r="BA50" i="25"/>
  <c r="BB50" i="25"/>
  <c r="BA73" i="25"/>
  <c r="BB73" i="25"/>
  <c r="BA6" i="25"/>
  <c r="BB6" i="25"/>
  <c r="BA76" i="25"/>
  <c r="BB76" i="25"/>
  <c r="BA64" i="25"/>
  <c r="BB64" i="25"/>
  <c r="BA13" i="25"/>
  <c r="BB13" i="25"/>
  <c r="BA61" i="25"/>
  <c r="BB61" i="25"/>
  <c r="BA36" i="25"/>
  <c r="BB36" i="25"/>
  <c r="BA90" i="25"/>
  <c r="BB90" i="25"/>
  <c r="BA85" i="25"/>
  <c r="BB85" i="25"/>
  <c r="BA98" i="25"/>
  <c r="BB98" i="25"/>
  <c r="BA84" i="25"/>
  <c r="BB84" i="25"/>
  <c r="BA80" i="25"/>
  <c r="BB80" i="25"/>
  <c r="BA105" i="25"/>
  <c r="BB105" i="25"/>
  <c r="BA18" i="25"/>
  <c r="BB18" i="25"/>
  <c r="BA48" i="25"/>
  <c r="BB48" i="25"/>
  <c r="BA68" i="25"/>
  <c r="BB68" i="25"/>
  <c r="BA96" i="25"/>
  <c r="BB96" i="25"/>
  <c r="BA8" i="25"/>
  <c r="BB8" i="25"/>
  <c r="BA53" i="25"/>
  <c r="BB53" i="25"/>
  <c r="BA22" i="25"/>
  <c r="BB22" i="25"/>
  <c r="BA58" i="25"/>
  <c r="BB58" i="25"/>
  <c r="BA82" i="25"/>
  <c r="BB82" i="25"/>
  <c r="BA35" i="25"/>
  <c r="BB35" i="25"/>
  <c r="BA37" i="25"/>
  <c r="BB37" i="25"/>
  <c r="BA91" i="25"/>
  <c r="BB91" i="25"/>
  <c r="BA67" i="25"/>
  <c r="BB67" i="25"/>
  <c r="BA86" i="25"/>
  <c r="BB86" i="25"/>
  <c r="BA92" i="25"/>
  <c r="BB92" i="25"/>
  <c r="BA15" i="25"/>
  <c r="BB15" i="25"/>
  <c r="BA29" i="25"/>
  <c r="BB29" i="25"/>
  <c r="BA63" i="25"/>
  <c r="BB63" i="25"/>
  <c r="BA101" i="25"/>
  <c r="BB101" i="25"/>
  <c r="BA100" i="25"/>
  <c r="BB100" i="25"/>
  <c r="BA45" i="25"/>
  <c r="BB45" i="25"/>
  <c r="BA49" i="25"/>
  <c r="BB49" i="25"/>
  <c r="BA59" i="25"/>
  <c r="BB59" i="25"/>
  <c r="BA94" i="25"/>
  <c r="BB94" i="25"/>
  <c r="BA14" i="25"/>
  <c r="BB14" i="25"/>
  <c r="BA34" i="25"/>
  <c r="BB34" i="25"/>
  <c r="BA56" i="25"/>
  <c r="BB56" i="25"/>
  <c r="BA75" i="25"/>
  <c r="BB75" i="25"/>
  <c r="BA87" i="25"/>
  <c r="BB87" i="25"/>
  <c r="BA71" i="25"/>
  <c r="BB71" i="25"/>
  <c r="BA40" i="25"/>
  <c r="BB40" i="25"/>
  <c r="BA77" i="25"/>
  <c r="BB77" i="25"/>
  <c r="BA99" i="25"/>
  <c r="BB99" i="25"/>
  <c r="BA33" i="25"/>
  <c r="BB33" i="25"/>
  <c r="BA9" i="25"/>
  <c r="BB9" i="25"/>
  <c r="BA93" i="25"/>
  <c r="BB93" i="25"/>
  <c r="BA26" i="25"/>
  <c r="BB26" i="25"/>
  <c r="BA89" i="25"/>
  <c r="BB89" i="25"/>
  <c r="BA78" i="25"/>
  <c r="BB78" i="25"/>
  <c r="BA88" i="25"/>
  <c r="BB88" i="25"/>
  <c r="BA97" i="25"/>
  <c r="BB97" i="25"/>
  <c r="BA79" i="25"/>
  <c r="BB79" i="25"/>
  <c r="BA103" i="25"/>
  <c r="BB103" i="25"/>
  <c r="BA47" i="25"/>
  <c r="BB47" i="25"/>
  <c r="BA46" i="25"/>
  <c r="BB46" i="25"/>
  <c r="BA57" i="25"/>
  <c r="BB57" i="25"/>
  <c r="BA74" i="25"/>
  <c r="BB74" i="25"/>
  <c r="BA39" i="25"/>
  <c r="BB39" i="25"/>
  <c r="BA28" i="25"/>
  <c r="BB28" i="25"/>
  <c r="BA5" i="25"/>
  <c r="BB5" i="25"/>
  <c r="BA23" i="25"/>
  <c r="BB23" i="25"/>
  <c r="BA41" i="25"/>
  <c r="BB41" i="25"/>
  <c r="BA24" i="25"/>
  <c r="BB24" i="25"/>
  <c r="BA16" i="25"/>
  <c r="BB16" i="25"/>
  <c r="BA38" i="25"/>
  <c r="BB38" i="25"/>
  <c r="BA19" i="25"/>
  <c r="BB19" i="25"/>
  <c r="BA7" i="25"/>
  <c r="BB7" i="25"/>
  <c r="BA66" i="25"/>
  <c r="BB66" i="25"/>
  <c r="BA54" i="25"/>
  <c r="BB54" i="25"/>
  <c r="BA70" i="25"/>
  <c r="BB70" i="25"/>
  <c r="BA12" i="25"/>
  <c r="BB12" i="25"/>
  <c r="BA31" i="25"/>
  <c r="BB31" i="25"/>
  <c r="BA44" i="25"/>
  <c r="BB44" i="25"/>
  <c r="BA60" i="25"/>
  <c r="BB60" i="25"/>
  <c r="BA81" i="25"/>
  <c r="BB81" i="25"/>
  <c r="BA21" i="25"/>
  <c r="BB21" i="25"/>
  <c r="BA52" i="25"/>
  <c r="BB52" i="25"/>
  <c r="BA20" i="25"/>
  <c r="BB20" i="25"/>
  <c r="BA17" i="25"/>
  <c r="BB17" i="25"/>
  <c r="BA83" i="25"/>
  <c r="BB83" i="25"/>
  <c r="BA11" i="25"/>
  <c r="BB11" i="25"/>
  <c r="BA104" i="25"/>
  <c r="BB104" i="25"/>
  <c r="BA51" i="25"/>
  <c r="BB51" i="25"/>
  <c r="BA65" i="25"/>
  <c r="BB65" i="25"/>
  <c r="BA72" i="25"/>
  <c r="BB72" i="25"/>
  <c r="BA10" i="25"/>
  <c r="BB10" i="25"/>
  <c r="BA42" i="25"/>
  <c r="BB42" i="25"/>
  <c r="BA55" i="25"/>
  <c r="BB55" i="25"/>
  <c r="BA27" i="25"/>
  <c r="BB27" i="25"/>
  <c r="BA32" i="25"/>
  <c r="BB32" i="25"/>
  <c r="BA25" i="25"/>
  <c r="BB25" i="25"/>
  <c r="BC93" i="24"/>
  <c r="BD93" i="24"/>
  <c r="BC102" i="24"/>
  <c r="BD102" i="24"/>
  <c r="BC49" i="24"/>
  <c r="BD49" i="24"/>
  <c r="BC13" i="24"/>
  <c r="BD13" i="24"/>
  <c r="BC23" i="24"/>
  <c r="BD23" i="24"/>
  <c r="BC12" i="24"/>
  <c r="BD12" i="24"/>
  <c r="BC80" i="24"/>
  <c r="BD80" i="24"/>
  <c r="BC68" i="24"/>
  <c r="BD68" i="24"/>
  <c r="BC104" i="24"/>
  <c r="BD104" i="24"/>
  <c r="BC83" i="24"/>
  <c r="BD83" i="24"/>
  <c r="BC92" i="24"/>
  <c r="BD92" i="24"/>
  <c r="BC95" i="24"/>
  <c r="BD95" i="24"/>
  <c r="BC89" i="24"/>
  <c r="BD89" i="24"/>
  <c r="BC42" i="24"/>
  <c r="BD42" i="24"/>
  <c r="BC44" i="24"/>
  <c r="BD44" i="24"/>
  <c r="BC45" i="24"/>
  <c r="BD45" i="24"/>
  <c r="BC98" i="24"/>
  <c r="BD98" i="24"/>
  <c r="BC57" i="24"/>
  <c r="BD57" i="24"/>
  <c r="BC77" i="24"/>
  <c r="BD77" i="24"/>
  <c r="BC8" i="24"/>
  <c r="BD8" i="24"/>
  <c r="BC88" i="24"/>
  <c r="BD88" i="24"/>
  <c r="BC28" i="24"/>
  <c r="BD28" i="24"/>
  <c r="BC90" i="24"/>
  <c r="BD90" i="24"/>
  <c r="BC94" i="24"/>
  <c r="BD94" i="24"/>
  <c r="BC63" i="24"/>
  <c r="BD63" i="24"/>
  <c r="BC43" i="24"/>
  <c r="BD43" i="24"/>
  <c r="BC18" i="24"/>
  <c r="BD18" i="24"/>
  <c r="BC36" i="24"/>
  <c r="BD36" i="24"/>
  <c r="BC85" i="24"/>
  <c r="BD85" i="24"/>
  <c r="BC34" i="24"/>
  <c r="BD34" i="24"/>
  <c r="BC39" i="24"/>
  <c r="BD39" i="24"/>
  <c r="BC16" i="24"/>
  <c r="BD16" i="24"/>
  <c r="BC71" i="24"/>
  <c r="BD71" i="24"/>
  <c r="BC54" i="24"/>
  <c r="BD54" i="24"/>
  <c r="BC69" i="24"/>
  <c r="BD69" i="24"/>
  <c r="BC82" i="24"/>
  <c r="BD82" i="24"/>
  <c r="BC35" i="24"/>
  <c r="BD35" i="24"/>
  <c r="BC74" i="24"/>
  <c r="BD74" i="24"/>
  <c r="BC99" i="24"/>
  <c r="BD99" i="24"/>
  <c r="BC97" i="24"/>
  <c r="BD97" i="24"/>
  <c r="BD176" i="25"/>
  <c r="BH176" i="25" s="1"/>
  <c r="BN176" i="25" s="1"/>
  <c r="BF150" i="25"/>
  <c r="BW150" i="25" s="1"/>
  <c r="AW97" i="24"/>
  <c r="BF97" i="24" s="1"/>
  <c r="BD150" i="25"/>
  <c r="BH150" i="25" s="1"/>
  <c r="BN150" i="25" s="1"/>
  <c r="BD112" i="25"/>
  <c r="BU112" i="25" s="1"/>
  <c r="BE176" i="25"/>
  <c r="BV176" i="25" s="1"/>
  <c r="AW99" i="24"/>
  <c r="BF99" i="24" s="1"/>
  <c r="BD180" i="25"/>
  <c r="BE180" i="25"/>
  <c r="BV180" i="25" s="1"/>
  <c r="BF180" i="25"/>
  <c r="BW180" i="25" s="1"/>
  <c r="AW35" i="24"/>
  <c r="BG35" i="24" s="1"/>
  <c r="AW160" i="24"/>
  <c r="BG160" i="24" s="1"/>
  <c r="AW151" i="24"/>
  <c r="AY151" i="24" s="1"/>
  <c r="AZ151" i="24" s="1"/>
  <c r="AW93" i="24"/>
  <c r="BG93" i="24" s="1"/>
  <c r="BE210" i="25"/>
  <c r="BV210" i="25" s="1"/>
  <c r="BF210" i="25"/>
  <c r="BW210" i="25" s="1"/>
  <c r="BD210" i="25"/>
  <c r="AW12" i="24"/>
  <c r="BF12" i="24" s="1"/>
  <c r="AW158" i="24"/>
  <c r="BG158" i="24" s="1"/>
  <c r="AW209" i="24"/>
  <c r="BF209" i="24" s="1"/>
  <c r="AW74" i="24"/>
  <c r="BF74" i="24" s="1"/>
  <c r="AW16" i="24"/>
  <c r="AY16" i="24" s="1"/>
  <c r="AZ16" i="24" s="1"/>
  <c r="AW69" i="24"/>
  <c r="BF69" i="24" s="1"/>
  <c r="B211" i="2"/>
  <c r="AG617" i="29"/>
  <c r="W617" i="29"/>
  <c r="BI5" i="24"/>
  <c r="BO5" i="24" s="1"/>
  <c r="BU5" i="24"/>
  <c r="AE617" i="29"/>
  <c r="X617" i="29"/>
  <c r="AH617" i="29"/>
  <c r="AD617" i="29"/>
  <c r="AW149" i="24"/>
  <c r="BF149" i="24" s="1"/>
  <c r="AW142" i="24"/>
  <c r="AY142" i="24" s="1"/>
  <c r="AZ142" i="24" s="1"/>
  <c r="AW164" i="24"/>
  <c r="BF164" i="24" s="1"/>
  <c r="AW94" i="24"/>
  <c r="BG94" i="24" s="1"/>
  <c r="AW85" i="24"/>
  <c r="AY85" i="24" s="1"/>
  <c r="AZ85" i="24" s="1"/>
  <c r="AW95" i="24"/>
  <c r="AY95" i="24" s="1"/>
  <c r="AZ95" i="24" s="1"/>
  <c r="AW57" i="24"/>
  <c r="AY57" i="24" s="1"/>
  <c r="AZ57" i="24" s="1"/>
  <c r="AW18" i="24"/>
  <c r="AY18" i="24" s="1"/>
  <c r="AZ18" i="24" s="1"/>
  <c r="AW178" i="24"/>
  <c r="BG178" i="24" s="1"/>
  <c r="AW80" i="24"/>
  <c r="BG80" i="24" s="1"/>
  <c r="AW45" i="24"/>
  <c r="AY45" i="24" s="1"/>
  <c r="AZ45" i="24" s="1"/>
  <c r="AW49" i="24"/>
  <c r="BF49" i="24" s="1"/>
  <c r="AW71" i="24"/>
  <c r="AY71" i="24" s="1"/>
  <c r="AZ71" i="24" s="1"/>
  <c r="AW134" i="24"/>
  <c r="AY134" i="24" s="1"/>
  <c r="AZ134" i="24" s="1"/>
  <c r="AW124" i="24"/>
  <c r="AY124" i="24" s="1"/>
  <c r="AZ124" i="24" s="1"/>
  <c r="AW113" i="24"/>
  <c r="AY113" i="24" s="1"/>
  <c r="AZ113" i="24" s="1"/>
  <c r="AW147" i="24"/>
  <c r="AY147" i="24" s="1"/>
  <c r="AZ147" i="24" s="1"/>
  <c r="AW135" i="24"/>
  <c r="BF135" i="24" s="1"/>
  <c r="AU289" i="24"/>
  <c r="AW289" i="24"/>
  <c r="AU239" i="24"/>
  <c r="AW239" i="24"/>
  <c r="AU183" i="24"/>
  <c r="AW183" i="24"/>
  <c r="AU180" i="24"/>
  <c r="AW180" i="24"/>
  <c r="AU123" i="24"/>
  <c r="AW123" i="24"/>
  <c r="AU51" i="24"/>
  <c r="AW51" i="24"/>
  <c r="AU279" i="24"/>
  <c r="AW279" i="24"/>
  <c r="AW44" i="24"/>
  <c r="AU73" i="24"/>
  <c r="AW73" i="24"/>
  <c r="AU9" i="24"/>
  <c r="AW9" i="24"/>
  <c r="AU173" i="24"/>
  <c r="AW173" i="24"/>
  <c r="AW218" i="24"/>
  <c r="AU218" i="24"/>
  <c r="AU6" i="24"/>
  <c r="AW6" i="24"/>
  <c r="AW119" i="24"/>
  <c r="AW60" i="24"/>
  <c r="AU60" i="24"/>
  <c r="AU220" i="24"/>
  <c r="AW220" i="24"/>
  <c r="AU231" i="24"/>
  <c r="AW231" i="24"/>
  <c r="AU295" i="24"/>
  <c r="AW295" i="24"/>
  <c r="AU247" i="24"/>
  <c r="AW247" i="24"/>
  <c r="AW221" i="24"/>
  <c r="AU221" i="24"/>
  <c r="AU167" i="24"/>
  <c r="AW167" i="24"/>
  <c r="AW102" i="24"/>
  <c r="AW88" i="24"/>
  <c r="AU27" i="24"/>
  <c r="AW27" i="24"/>
  <c r="AW185" i="24"/>
  <c r="AU185" i="24"/>
  <c r="AU244" i="24"/>
  <c r="AW244" i="24"/>
  <c r="AU48" i="24"/>
  <c r="AW48" i="24"/>
  <c r="AU258" i="24"/>
  <c r="AW258" i="24"/>
  <c r="AU311" i="24"/>
  <c r="AW311" i="24"/>
  <c r="AU315" i="24"/>
  <c r="AW315" i="24"/>
  <c r="AW70" i="24"/>
  <c r="AU70" i="24"/>
  <c r="AW122" i="24"/>
  <c r="AW154" i="24"/>
  <c r="AU277" i="24"/>
  <c r="AW277" i="24"/>
  <c r="AU272" i="24"/>
  <c r="AW272" i="24"/>
  <c r="AU145" i="24"/>
  <c r="AW145" i="24"/>
  <c r="AU111" i="24"/>
  <c r="AW111" i="24"/>
  <c r="AU270" i="24"/>
  <c r="AW270" i="24"/>
  <c r="AW63" i="24"/>
  <c r="AU125" i="24"/>
  <c r="AW125" i="24"/>
  <c r="AW14" i="24"/>
  <c r="AU14" i="24"/>
  <c r="AU40" i="24"/>
  <c r="AW40" i="24"/>
  <c r="AW162" i="24"/>
  <c r="AU162" i="24"/>
  <c r="AW28" i="24"/>
  <c r="AU172" i="24"/>
  <c r="AW172" i="24"/>
  <c r="AU101" i="24"/>
  <c r="AW101" i="24"/>
  <c r="AU161" i="24"/>
  <c r="AW161" i="24"/>
  <c r="AU159" i="24"/>
  <c r="AW159" i="24"/>
  <c r="AW251" i="24"/>
  <c r="AU251" i="24"/>
  <c r="AU126" i="24"/>
  <c r="AW126" i="24"/>
  <c r="AW128" i="24"/>
  <c r="AU128" i="24"/>
  <c r="AU241" i="24"/>
  <c r="AW241" i="24"/>
  <c r="AU261" i="24"/>
  <c r="AW261" i="24"/>
  <c r="AU64" i="24"/>
  <c r="AW64" i="24"/>
  <c r="AU192" i="24"/>
  <c r="AW192" i="24"/>
  <c r="AU230" i="24"/>
  <c r="AW230" i="24"/>
  <c r="AU152" i="24"/>
  <c r="AW152" i="24"/>
  <c r="AW50" i="24"/>
  <c r="AU50" i="24"/>
  <c r="AU232" i="24"/>
  <c r="AW232" i="24"/>
  <c r="AU195" i="24"/>
  <c r="AW195" i="24"/>
  <c r="AU79" i="24"/>
  <c r="AW79" i="24"/>
  <c r="AW200" i="24"/>
  <c r="AU200" i="24"/>
  <c r="AU67" i="24"/>
  <c r="AW67" i="24"/>
  <c r="AU194" i="24"/>
  <c r="AW194" i="24"/>
  <c r="AU100" i="24"/>
  <c r="AW100" i="24"/>
  <c r="AU260" i="24"/>
  <c r="AW260" i="24"/>
  <c r="AU204" i="24"/>
  <c r="AW204" i="24"/>
  <c r="AW255" i="24"/>
  <c r="AU255" i="24"/>
  <c r="AU275" i="24"/>
  <c r="AW275" i="24"/>
  <c r="AW90" i="24"/>
  <c r="AW150" i="24"/>
  <c r="AU150" i="24"/>
  <c r="AU190" i="24"/>
  <c r="AW190" i="24"/>
  <c r="AU210" i="24"/>
  <c r="AW210" i="24"/>
  <c r="AU179" i="24"/>
  <c r="AW179" i="24"/>
  <c r="AW316" i="24"/>
  <c r="AU316" i="24"/>
  <c r="AU271" i="24"/>
  <c r="AW271" i="24"/>
  <c r="AU165" i="24"/>
  <c r="AW165" i="24"/>
  <c r="AU233" i="24"/>
  <c r="AW233" i="24"/>
  <c r="AU254" i="24"/>
  <c r="AW254" i="24"/>
  <c r="AU132" i="24"/>
  <c r="AW132" i="24"/>
  <c r="AU252" i="24"/>
  <c r="AW252" i="24"/>
  <c r="AU253" i="24"/>
  <c r="AW253" i="24"/>
  <c r="AU46" i="24"/>
  <c r="AW46" i="24"/>
  <c r="AU24" i="24"/>
  <c r="AW24" i="24"/>
  <c r="AU58" i="24"/>
  <c r="AW58" i="24"/>
  <c r="AU17" i="24"/>
  <c r="AW17" i="24"/>
  <c r="AU30" i="24"/>
  <c r="AW30" i="24"/>
  <c r="AU288" i="24"/>
  <c r="AW288" i="24"/>
  <c r="AU127" i="24"/>
  <c r="AW127" i="24"/>
  <c r="AU196" i="24"/>
  <c r="AW196" i="24"/>
  <c r="AU280" i="24"/>
  <c r="AW280" i="24"/>
  <c r="AW131" i="24"/>
  <c r="AU131" i="24"/>
  <c r="AU197" i="24"/>
  <c r="AW197" i="24"/>
  <c r="AU148" i="24"/>
  <c r="AW148" i="24"/>
  <c r="AU171" i="24"/>
  <c r="AW171" i="24"/>
  <c r="AW129" i="24"/>
  <c r="AW240" i="24"/>
  <c r="AU240" i="24"/>
  <c r="BF135" i="25"/>
  <c r="BW135" i="25" s="1"/>
  <c r="BD135" i="25"/>
  <c r="BE135" i="25"/>
  <c r="BV135" i="25" s="1"/>
  <c r="AU20" i="24"/>
  <c r="AW20" i="24"/>
  <c r="AU72" i="24"/>
  <c r="AW72" i="24"/>
  <c r="AU227" i="24"/>
  <c r="AW227" i="24"/>
  <c r="AU143" i="24"/>
  <c r="AW143" i="24"/>
  <c r="AU11" i="24"/>
  <c r="AW11" i="24"/>
  <c r="AU269" i="24"/>
  <c r="AW269" i="24"/>
  <c r="AU120" i="24"/>
  <c r="AW120" i="24"/>
  <c r="AU31" i="24"/>
  <c r="AW31" i="24"/>
  <c r="AU175" i="24"/>
  <c r="AW175" i="24"/>
  <c r="AW294" i="24"/>
  <c r="AU294" i="24"/>
  <c r="AW276" i="24"/>
  <c r="AU276" i="24"/>
  <c r="AU52" i="24"/>
  <c r="AW52" i="24"/>
  <c r="AW39" i="24"/>
  <c r="AU301" i="24"/>
  <c r="AW301" i="24"/>
  <c r="AU225" i="24"/>
  <c r="AW225" i="24"/>
  <c r="AU290" i="24"/>
  <c r="AW290" i="24"/>
  <c r="AW42" i="24"/>
  <c r="AW23" i="24"/>
  <c r="AU314" i="24"/>
  <c r="AW314" i="24"/>
  <c r="AU61" i="24"/>
  <c r="AW61" i="24"/>
  <c r="AW54" i="24"/>
  <c r="AU156" i="24"/>
  <c r="AW156" i="24"/>
  <c r="AU306" i="24"/>
  <c r="AW306" i="24"/>
  <c r="AW226" i="24"/>
  <c r="AU226" i="24"/>
  <c r="AW10" i="24"/>
  <c r="AU10" i="24"/>
  <c r="AU115" i="24"/>
  <c r="AW115" i="24"/>
  <c r="AW205" i="24"/>
  <c r="AU205" i="24"/>
  <c r="AU274" i="24"/>
  <c r="AW274" i="24"/>
  <c r="AU224" i="24"/>
  <c r="AW224" i="24"/>
  <c r="AU207" i="24"/>
  <c r="AW207" i="24"/>
  <c r="AU257" i="24"/>
  <c r="AW257" i="24"/>
  <c r="AW217" i="24"/>
  <c r="AU217" i="24"/>
  <c r="AU222" i="24"/>
  <c r="AW222" i="24"/>
  <c r="AW157" i="24"/>
  <c r="AU157" i="24"/>
  <c r="AW168" i="24"/>
  <c r="AU103" i="24"/>
  <c r="AW103" i="24"/>
  <c r="AU19" i="24"/>
  <c r="AW19" i="24"/>
  <c r="AU284" i="24"/>
  <c r="AW284" i="24"/>
  <c r="AU138" i="24"/>
  <c r="AW138" i="24"/>
  <c r="AU201" i="24"/>
  <c r="AW201" i="24"/>
  <c r="AU15" i="24"/>
  <c r="AW15" i="24"/>
  <c r="AU37" i="24"/>
  <c r="AW37" i="24"/>
  <c r="AW25" i="24"/>
  <c r="AU25" i="24"/>
  <c r="AW117" i="24"/>
  <c r="AU130" i="24"/>
  <c r="AW130" i="24"/>
  <c r="AU264" i="24"/>
  <c r="AW264" i="24"/>
  <c r="AW82" i="24"/>
  <c r="AU223" i="24"/>
  <c r="AW223" i="24"/>
  <c r="AU297" i="24"/>
  <c r="AW297" i="24"/>
  <c r="AU163" i="24"/>
  <c r="AW163" i="24"/>
  <c r="AU267" i="24"/>
  <c r="AW267" i="24"/>
  <c r="AU219" i="24"/>
  <c r="AW219" i="24"/>
  <c r="AW36" i="24"/>
  <c r="AU84" i="24"/>
  <c r="AW84" i="24"/>
  <c r="AW112" i="24"/>
  <c r="AU303" i="24"/>
  <c r="AW303" i="24"/>
  <c r="AU181" i="24"/>
  <c r="AW181" i="24"/>
  <c r="AW83" i="24"/>
  <c r="AU310" i="24"/>
  <c r="AW310" i="24"/>
  <c r="AU281" i="24"/>
  <c r="AW281" i="24"/>
  <c r="AU292" i="24"/>
  <c r="AW292" i="24"/>
  <c r="AU78" i="24"/>
  <c r="AW78" i="24"/>
  <c r="AU47" i="24"/>
  <c r="AW47" i="24"/>
  <c r="AU155" i="24"/>
  <c r="AW155" i="24"/>
  <c r="AU309" i="24"/>
  <c r="AW309" i="24"/>
  <c r="AW184" i="24"/>
  <c r="AU184" i="24"/>
  <c r="AU96" i="24"/>
  <c r="AW96" i="24"/>
  <c r="AU206" i="24"/>
  <c r="AW206" i="24"/>
  <c r="AU21" i="24"/>
  <c r="AW21" i="24"/>
  <c r="AU66" i="24"/>
  <c r="AW66" i="24"/>
  <c r="AW43" i="24"/>
  <c r="AW41" i="24"/>
  <c r="AU41" i="24"/>
  <c r="AU308" i="24"/>
  <c r="AW308" i="24"/>
  <c r="AU191" i="24"/>
  <c r="AW191" i="24"/>
  <c r="AW77" i="24"/>
  <c r="AW13" i="24"/>
  <c r="AU32" i="24"/>
  <c r="AW32" i="24"/>
  <c r="AU186" i="24"/>
  <c r="AW186" i="24"/>
  <c r="AU166" i="24"/>
  <c r="AW166" i="24"/>
  <c r="AU304" i="24"/>
  <c r="AW304" i="24"/>
  <c r="AU26" i="24"/>
  <c r="AW26" i="24"/>
  <c r="AU137" i="24"/>
  <c r="AW137" i="24"/>
  <c r="AW302" i="24"/>
  <c r="AU302" i="24"/>
  <c r="AU136" i="24"/>
  <c r="AW136" i="24"/>
  <c r="AU248" i="24"/>
  <c r="AW248" i="24"/>
  <c r="AU296" i="24"/>
  <c r="AW296" i="24"/>
  <c r="AU55" i="24"/>
  <c r="AW55" i="24"/>
  <c r="AU285" i="24"/>
  <c r="AW285" i="24"/>
  <c r="AU140" i="24"/>
  <c r="AW140" i="24"/>
  <c r="AU312" i="24"/>
  <c r="AW312" i="24"/>
  <c r="AU293" i="24"/>
  <c r="AW293" i="24"/>
  <c r="AU198" i="24"/>
  <c r="AW198" i="24"/>
  <c r="AU282" i="24"/>
  <c r="AW282" i="24"/>
  <c r="AU193" i="24"/>
  <c r="AW193" i="24"/>
  <c r="AU265" i="24"/>
  <c r="AW265" i="24"/>
  <c r="AU203" i="24"/>
  <c r="AW203" i="24"/>
  <c r="AU298" i="24"/>
  <c r="AW298" i="24"/>
  <c r="AU76" i="24"/>
  <c r="AW76" i="24"/>
  <c r="AU7" i="24"/>
  <c r="AW7" i="24"/>
  <c r="AU266" i="24"/>
  <c r="AW266" i="24"/>
  <c r="AU29" i="24"/>
  <c r="AW29" i="24"/>
  <c r="AU118" i="24"/>
  <c r="AW118" i="24"/>
  <c r="AU283" i="24"/>
  <c r="AW283" i="24"/>
  <c r="AU22" i="24"/>
  <c r="AW22" i="24"/>
  <c r="AU153" i="24"/>
  <c r="AW153" i="24"/>
  <c r="AU188" i="24"/>
  <c r="AW188" i="24"/>
  <c r="AU259" i="24"/>
  <c r="AW259" i="24"/>
  <c r="AU176" i="24"/>
  <c r="AW176" i="24"/>
  <c r="AW146" i="24"/>
  <c r="AW170" i="24"/>
  <c r="AU170" i="24"/>
  <c r="AU287" i="24"/>
  <c r="AW287" i="24"/>
  <c r="AU141" i="24"/>
  <c r="AW141" i="24"/>
  <c r="AU189" i="24"/>
  <c r="AW189" i="24"/>
  <c r="AU263" i="24"/>
  <c r="AW263" i="24"/>
  <c r="AU313" i="24"/>
  <c r="AW313" i="24"/>
  <c r="AW8" i="24"/>
  <c r="AU291" i="24"/>
  <c r="AW291" i="24"/>
  <c r="AW98" i="24"/>
  <c r="AW87" i="24"/>
  <c r="AU87" i="24"/>
  <c r="AU236" i="24"/>
  <c r="AW236" i="24"/>
  <c r="AU256" i="24"/>
  <c r="AW256" i="24"/>
  <c r="AU262" i="24"/>
  <c r="AW262" i="24"/>
  <c r="AW114" i="24"/>
  <c r="AU243" i="24"/>
  <c r="AW243" i="24"/>
  <c r="AU286" i="24"/>
  <c r="AW286" i="24"/>
  <c r="AU56" i="24"/>
  <c r="AW56" i="24"/>
  <c r="AW34" i="24"/>
  <c r="AU242" i="24"/>
  <c r="AW242" i="24"/>
  <c r="AW278" i="24"/>
  <c r="AU278" i="24"/>
  <c r="AW68" i="24"/>
  <c r="AU38" i="24"/>
  <c r="AW38" i="24"/>
  <c r="AU234" i="24"/>
  <c r="AW234" i="24"/>
  <c r="AU300" i="24"/>
  <c r="AW300" i="24"/>
  <c r="AU144" i="24"/>
  <c r="AW144" i="24"/>
  <c r="AU187" i="24"/>
  <c r="AW187" i="24"/>
  <c r="AW174" i="24"/>
  <c r="AU174" i="24"/>
  <c r="AU249" i="24"/>
  <c r="AW249" i="24"/>
  <c r="AU273" i="24"/>
  <c r="AW273" i="24"/>
  <c r="AU133" i="24"/>
  <c r="AW133" i="24"/>
  <c r="AU237" i="24"/>
  <c r="AW237" i="24"/>
  <c r="AU307" i="24"/>
  <c r="AW307" i="24"/>
  <c r="AU208" i="24"/>
  <c r="AW208" i="24"/>
  <c r="AU65" i="24"/>
  <c r="AW65" i="24"/>
  <c r="AU235" i="24"/>
  <c r="AW235" i="24"/>
  <c r="AU62" i="24"/>
  <c r="AW62" i="24"/>
  <c r="AU305" i="24"/>
  <c r="AW305" i="24"/>
  <c r="AU268" i="24"/>
  <c r="AW268" i="24"/>
  <c r="AU139" i="24"/>
  <c r="AW139" i="24"/>
  <c r="AU246" i="24"/>
  <c r="AW246" i="24"/>
  <c r="AU53" i="24"/>
  <c r="AW53" i="24"/>
  <c r="AW116" i="24"/>
  <c r="AU177" i="24"/>
  <c r="AW177" i="24"/>
  <c r="AU33" i="24"/>
  <c r="AW33" i="24"/>
  <c r="AU199" i="24"/>
  <c r="AW199" i="24"/>
  <c r="AU250" i="24"/>
  <c r="AW250" i="24"/>
  <c r="AW59" i="24"/>
  <c r="AU59" i="24"/>
  <c r="AU75" i="24"/>
  <c r="AW75" i="24"/>
  <c r="AU202" i="24"/>
  <c r="AW202" i="24"/>
  <c r="AU229" i="24"/>
  <c r="AW229" i="24"/>
  <c r="AU245" i="24"/>
  <c r="AW245" i="24"/>
  <c r="AU81" i="24"/>
  <c r="AW81" i="24"/>
  <c r="AW121" i="24"/>
  <c r="AU105" i="24"/>
  <c r="AW105" i="24"/>
  <c r="AW89" i="24"/>
  <c r="AU86" i="24"/>
  <c r="AW86" i="24"/>
  <c r="AW169" i="24"/>
  <c r="AW104" i="24"/>
  <c r="AW91" i="24"/>
  <c r="AU91" i="24"/>
  <c r="AU182" i="24"/>
  <c r="AW182" i="24"/>
  <c r="BH132" i="25"/>
  <c r="BN132" i="25" s="1"/>
  <c r="BU132" i="25"/>
  <c r="BD38" i="25"/>
  <c r="BE38" i="25"/>
  <c r="BP38" i="25" s="1"/>
  <c r="BF38" i="25"/>
  <c r="BQ38" i="25" s="1"/>
  <c r="BH185" i="25"/>
  <c r="BN185" i="25" s="1"/>
  <c r="BU185" i="25"/>
  <c r="BD10" i="25"/>
  <c r="BE10" i="25"/>
  <c r="BP10" i="25" s="1"/>
  <c r="BF10" i="25"/>
  <c r="BQ10" i="25" s="1"/>
  <c r="BU181" i="25"/>
  <c r="BH181" i="25"/>
  <c r="BN181" i="25" s="1"/>
  <c r="BU204" i="25"/>
  <c r="BH204" i="25"/>
  <c r="BN204" i="25" s="1"/>
  <c r="BF72" i="25"/>
  <c r="BQ72" i="25" s="1"/>
  <c r="BD72" i="25"/>
  <c r="BE72" i="25"/>
  <c r="BP72" i="25" s="1"/>
  <c r="BH148" i="25"/>
  <c r="BN148" i="25" s="1"/>
  <c r="BU148" i="25"/>
  <c r="BF18" i="25"/>
  <c r="BQ18" i="25" s="1"/>
  <c r="BE18" i="25"/>
  <c r="BP18" i="25" s="1"/>
  <c r="BD18" i="25"/>
  <c r="BD121" i="25"/>
  <c r="BE121" i="25"/>
  <c r="BV121" i="25" s="1"/>
  <c r="BF121" i="25"/>
  <c r="BW121" i="25" s="1"/>
  <c r="BE59" i="25"/>
  <c r="BP59" i="25" s="1"/>
  <c r="BF59" i="25"/>
  <c r="BQ59" i="25" s="1"/>
  <c r="BD59" i="25"/>
  <c r="BH156" i="25"/>
  <c r="BN156" i="25" s="1"/>
  <c r="BU156" i="25"/>
  <c r="BF69" i="25"/>
  <c r="BQ69" i="25" s="1"/>
  <c r="BD69" i="25"/>
  <c r="BE69" i="25"/>
  <c r="BP69" i="25" s="1"/>
  <c r="BF94" i="25"/>
  <c r="BQ94" i="25" s="1"/>
  <c r="BE94" i="25"/>
  <c r="BP94" i="25" s="1"/>
  <c r="BD94" i="25"/>
  <c r="BD49" i="25"/>
  <c r="BF49" i="25"/>
  <c r="BQ49" i="25" s="1"/>
  <c r="BE49" i="25"/>
  <c r="BP49" i="25" s="1"/>
  <c r="BU195" i="25"/>
  <c r="BH195" i="25"/>
  <c r="BN195" i="25" s="1"/>
  <c r="BU174" i="25"/>
  <c r="BH174" i="25"/>
  <c r="BN174" i="25" s="1"/>
  <c r="BF6" i="25"/>
  <c r="BQ6" i="25" s="1"/>
  <c r="BD6" i="25"/>
  <c r="BE6" i="25"/>
  <c r="BP6" i="25" s="1"/>
  <c r="BE76" i="25"/>
  <c r="BP76" i="25" s="1"/>
  <c r="BF76" i="25"/>
  <c r="BQ76" i="25" s="1"/>
  <c r="BD76" i="25"/>
  <c r="BU202" i="25"/>
  <c r="BH202" i="25"/>
  <c r="BN202" i="25" s="1"/>
  <c r="BF13" i="25"/>
  <c r="BQ13" i="25" s="1"/>
  <c r="BD13" i="25"/>
  <c r="BE13" i="25"/>
  <c r="BP13" i="25" s="1"/>
  <c r="BE77" i="25"/>
  <c r="BP77" i="25" s="1"/>
  <c r="BF77" i="25"/>
  <c r="BQ77" i="25" s="1"/>
  <c r="BD77" i="25"/>
  <c r="L24" i="1"/>
  <c r="B114" i="2"/>
  <c r="BF15" i="25"/>
  <c r="BQ15" i="25" s="1"/>
  <c r="BD15" i="25"/>
  <c r="BE15" i="25"/>
  <c r="BP15" i="25" s="1"/>
  <c r="BF93" i="25"/>
  <c r="BQ93" i="25" s="1"/>
  <c r="BD93" i="25"/>
  <c r="BE93" i="25"/>
  <c r="BP93" i="25" s="1"/>
  <c r="BU191" i="25"/>
  <c r="BH191" i="25"/>
  <c r="BN191" i="25" s="1"/>
  <c r="BU157" i="25"/>
  <c r="BH157" i="25"/>
  <c r="BN157" i="25" s="1"/>
  <c r="BD159" i="25"/>
  <c r="BF159" i="25"/>
  <c r="BW159" i="25" s="1"/>
  <c r="BE159" i="25"/>
  <c r="BV159" i="25" s="1"/>
  <c r="BE99" i="25"/>
  <c r="BP99" i="25" s="1"/>
  <c r="BF99" i="25"/>
  <c r="BQ99" i="25" s="1"/>
  <c r="BD99" i="25"/>
  <c r="BF89" i="25"/>
  <c r="BQ89" i="25" s="1"/>
  <c r="BD89" i="25"/>
  <c r="BE89" i="25"/>
  <c r="BP89" i="25" s="1"/>
  <c r="BE194" i="25"/>
  <c r="BV194" i="25" s="1"/>
  <c r="BD194" i="25"/>
  <c r="BF194" i="25"/>
  <c r="BW194" i="25" s="1"/>
  <c r="BH129" i="25"/>
  <c r="BN129" i="25" s="1"/>
  <c r="BU129" i="25"/>
  <c r="BE51" i="25"/>
  <c r="BP51" i="25" s="1"/>
  <c r="BF51" i="25"/>
  <c r="BQ51" i="25" s="1"/>
  <c r="BD51" i="25"/>
  <c r="BD78" i="25"/>
  <c r="BF78" i="25"/>
  <c r="BQ78" i="25" s="1"/>
  <c r="BE78" i="25"/>
  <c r="BP78" i="25" s="1"/>
  <c r="BH168" i="25"/>
  <c r="BN168" i="25" s="1"/>
  <c r="BU168" i="25"/>
  <c r="BE120" i="25"/>
  <c r="BV120" i="25" s="1"/>
  <c r="BF120" i="25"/>
  <c r="BW120" i="25" s="1"/>
  <c r="BD120" i="25"/>
  <c r="BE42" i="25"/>
  <c r="BP42" i="25" s="1"/>
  <c r="BF42" i="25"/>
  <c r="BQ42" i="25" s="1"/>
  <c r="BD42" i="25"/>
  <c r="BU203" i="25"/>
  <c r="BH203" i="25"/>
  <c r="BN203" i="25" s="1"/>
  <c r="BF139" i="25"/>
  <c r="BW139" i="25" s="1"/>
  <c r="BE139" i="25"/>
  <c r="BV139" i="25" s="1"/>
  <c r="BD139" i="25"/>
  <c r="BF68" i="25"/>
  <c r="BQ68" i="25" s="1"/>
  <c r="BE68" i="25"/>
  <c r="BP68" i="25" s="1"/>
  <c r="BD68" i="25"/>
  <c r="BE54" i="25"/>
  <c r="BP54" i="25" s="1"/>
  <c r="BF54" i="25"/>
  <c r="BQ54" i="25" s="1"/>
  <c r="BD54" i="25"/>
  <c r="BF70" i="25"/>
  <c r="BQ70" i="25" s="1"/>
  <c r="BE70" i="25"/>
  <c r="BP70" i="25" s="1"/>
  <c r="BD70" i="25"/>
  <c r="BD12" i="25"/>
  <c r="BF12" i="25"/>
  <c r="BQ12" i="25" s="1"/>
  <c r="BE12" i="25"/>
  <c r="BP12" i="25" s="1"/>
  <c r="BH169" i="25"/>
  <c r="BN169" i="25" s="1"/>
  <c r="BU169" i="25"/>
  <c r="BE96" i="25"/>
  <c r="BP96" i="25" s="1"/>
  <c r="BF96" i="25"/>
  <c r="BQ96" i="25" s="1"/>
  <c r="BD96" i="25"/>
  <c r="BU193" i="25"/>
  <c r="BH193" i="25"/>
  <c r="BN193" i="25" s="1"/>
  <c r="BU126" i="25"/>
  <c r="BH126" i="25"/>
  <c r="BN126" i="25" s="1"/>
  <c r="BE47" i="25"/>
  <c r="BP47" i="25" s="1"/>
  <c r="BF47" i="25"/>
  <c r="BQ47" i="25" s="1"/>
  <c r="BD47" i="25"/>
  <c r="BF20" i="25"/>
  <c r="BQ20" i="25" s="1"/>
  <c r="BD20" i="25"/>
  <c r="BE20" i="25"/>
  <c r="BP20" i="25" s="1"/>
  <c r="BE9" i="25"/>
  <c r="BP9" i="25" s="1"/>
  <c r="BF9" i="25"/>
  <c r="BQ9" i="25" s="1"/>
  <c r="BD9" i="25"/>
  <c r="BH149" i="25"/>
  <c r="BN149" i="25" s="1"/>
  <c r="BU149" i="25"/>
  <c r="BH207" i="25"/>
  <c r="BN207" i="25" s="1"/>
  <c r="BU207" i="25"/>
  <c r="BD53" i="25"/>
  <c r="BE53" i="25"/>
  <c r="BP53" i="25" s="1"/>
  <c r="BF53" i="25"/>
  <c r="BQ53" i="25" s="1"/>
  <c r="BF116" i="25"/>
  <c r="BW116" i="25" s="1"/>
  <c r="BD116" i="25"/>
  <c r="BE116" i="25"/>
  <c r="BV116" i="25" s="1"/>
  <c r="BF58" i="25"/>
  <c r="BQ58" i="25" s="1"/>
  <c r="BE58" i="25"/>
  <c r="BP58" i="25" s="1"/>
  <c r="BD58" i="25"/>
  <c r="BE134" i="25"/>
  <c r="BV134" i="25" s="1"/>
  <c r="BF134" i="25"/>
  <c r="BW134" i="25" s="1"/>
  <c r="BD134" i="25"/>
  <c r="BE23" i="25"/>
  <c r="BP23" i="25" s="1"/>
  <c r="BD23" i="25"/>
  <c r="BF23" i="25"/>
  <c r="BQ23" i="25" s="1"/>
  <c r="BH160" i="25"/>
  <c r="BN160" i="25" s="1"/>
  <c r="BU160" i="25"/>
  <c r="BF41" i="25"/>
  <c r="BQ41" i="25" s="1"/>
  <c r="BE41" i="25"/>
  <c r="BP41" i="25" s="1"/>
  <c r="BD41" i="25"/>
  <c r="BD67" i="25"/>
  <c r="BF67" i="25"/>
  <c r="BQ67" i="25" s="1"/>
  <c r="BE67" i="25"/>
  <c r="BP67" i="25" s="1"/>
  <c r="BF27" i="25"/>
  <c r="BQ27" i="25" s="1"/>
  <c r="BD27" i="25"/>
  <c r="BE27" i="25"/>
  <c r="BP27" i="25" s="1"/>
  <c r="BF153" i="25"/>
  <c r="BW153" i="25" s="1"/>
  <c r="BD153" i="25"/>
  <c r="BE153" i="25"/>
  <c r="BV153" i="25" s="1"/>
  <c r="B104" i="2"/>
  <c r="E24" i="1"/>
  <c r="BD39" i="25"/>
  <c r="BE39" i="25"/>
  <c r="BP39" i="25" s="1"/>
  <c r="BF39" i="25"/>
  <c r="BQ39" i="25" s="1"/>
  <c r="BH171" i="25"/>
  <c r="BN171" i="25" s="1"/>
  <c r="BU171" i="25"/>
  <c r="BD95" i="25"/>
  <c r="BF95" i="25"/>
  <c r="BQ95" i="25" s="1"/>
  <c r="BE95" i="25"/>
  <c r="BP95" i="25" s="1"/>
  <c r="BE16" i="25"/>
  <c r="BP16" i="25" s="1"/>
  <c r="BF16" i="25"/>
  <c r="BQ16" i="25" s="1"/>
  <c r="BD16" i="25"/>
  <c r="BE31" i="25"/>
  <c r="BP31" i="25" s="1"/>
  <c r="BF31" i="25"/>
  <c r="BQ31" i="25" s="1"/>
  <c r="BD31" i="25"/>
  <c r="BF152" i="25"/>
  <c r="BW152" i="25" s="1"/>
  <c r="BD152" i="25"/>
  <c r="BE152" i="25"/>
  <c r="BV152" i="25" s="1"/>
  <c r="BE56" i="25"/>
  <c r="BP56" i="25" s="1"/>
  <c r="BD56" i="25"/>
  <c r="BF56" i="25"/>
  <c r="BQ56" i="25" s="1"/>
  <c r="BH122" i="25"/>
  <c r="BN122" i="25" s="1"/>
  <c r="BU122" i="25"/>
  <c r="BH177" i="25"/>
  <c r="BN177" i="25" s="1"/>
  <c r="BU177" i="25"/>
  <c r="BD87" i="25"/>
  <c r="BE87" i="25"/>
  <c r="BP87" i="25" s="1"/>
  <c r="BF87" i="25"/>
  <c r="BQ87" i="25" s="1"/>
  <c r="BE21" i="25"/>
  <c r="BP21" i="25" s="1"/>
  <c r="BF21" i="25"/>
  <c r="BQ21" i="25" s="1"/>
  <c r="BD21" i="25"/>
  <c r="BF17" i="25"/>
  <c r="BQ17" i="25" s="1"/>
  <c r="BD17" i="25"/>
  <c r="BE17" i="25"/>
  <c r="BP17" i="25" s="1"/>
  <c r="BD83" i="25"/>
  <c r="BF83" i="25"/>
  <c r="BQ83" i="25" s="1"/>
  <c r="BE83" i="25"/>
  <c r="BP83" i="25" s="1"/>
  <c r="BE86" i="25"/>
  <c r="BP86" i="25" s="1"/>
  <c r="BF86" i="25"/>
  <c r="BQ86" i="25" s="1"/>
  <c r="BD86" i="25"/>
  <c r="BF22" i="25"/>
  <c r="BQ22" i="25" s="1"/>
  <c r="BE22" i="25"/>
  <c r="BP22" i="25" s="1"/>
  <c r="BD22" i="25"/>
  <c r="BE28" i="25"/>
  <c r="BP28" i="25" s="1"/>
  <c r="BF28" i="25"/>
  <c r="BQ28" i="25" s="1"/>
  <c r="BD28" i="25"/>
  <c r="BF36" i="25"/>
  <c r="BQ36" i="25" s="1"/>
  <c r="BE36" i="25"/>
  <c r="BP36" i="25" s="1"/>
  <c r="BD36" i="25"/>
  <c r="BD90" i="25"/>
  <c r="BE90" i="25"/>
  <c r="BP90" i="25" s="1"/>
  <c r="BF90" i="25"/>
  <c r="BQ90" i="25" s="1"/>
  <c r="BD85" i="25"/>
  <c r="BE85" i="25"/>
  <c r="BP85" i="25" s="1"/>
  <c r="BF85" i="25"/>
  <c r="BQ85" i="25" s="1"/>
  <c r="BD130" i="25"/>
  <c r="BE130" i="25"/>
  <c r="BV130" i="25" s="1"/>
  <c r="BF130" i="25"/>
  <c r="BW130" i="25" s="1"/>
  <c r="BE26" i="25"/>
  <c r="BP26" i="25" s="1"/>
  <c r="BF26" i="25"/>
  <c r="BQ26" i="25" s="1"/>
  <c r="BD26" i="25"/>
  <c r="BD63" i="25"/>
  <c r="BF63" i="25"/>
  <c r="BQ63" i="25" s="1"/>
  <c r="BE63" i="25"/>
  <c r="BP63" i="25" s="1"/>
  <c r="BH145" i="25"/>
  <c r="BN145" i="25" s="1"/>
  <c r="BU145" i="25"/>
  <c r="BF32" i="25"/>
  <c r="BQ32" i="25" s="1"/>
  <c r="BE32" i="25"/>
  <c r="BP32" i="25" s="1"/>
  <c r="BD32" i="25"/>
  <c r="BU151" i="25"/>
  <c r="BH151" i="25"/>
  <c r="BN151" i="25" s="1"/>
  <c r="BE154" i="25"/>
  <c r="BV154" i="25" s="1"/>
  <c r="BD154" i="25"/>
  <c r="BF154" i="25"/>
  <c r="BW154" i="25" s="1"/>
  <c r="BH172" i="25"/>
  <c r="BN172" i="25" s="1"/>
  <c r="BU172" i="25"/>
  <c r="BF66" i="25"/>
  <c r="BQ66" i="25" s="1"/>
  <c r="BD66" i="25"/>
  <c r="BE66" i="25"/>
  <c r="BP66" i="25" s="1"/>
  <c r="BH170" i="25"/>
  <c r="BN170" i="25" s="1"/>
  <c r="BU170" i="25"/>
  <c r="BD33" i="25"/>
  <c r="BF33" i="25"/>
  <c r="BQ33" i="25" s="1"/>
  <c r="BE33" i="25"/>
  <c r="BP33" i="25" s="1"/>
  <c r="BD79" i="25"/>
  <c r="BF79" i="25"/>
  <c r="BQ79" i="25" s="1"/>
  <c r="BE79" i="25"/>
  <c r="BP79" i="25" s="1"/>
  <c r="BE101" i="25"/>
  <c r="BP101" i="25" s="1"/>
  <c r="BD101" i="25"/>
  <c r="BF101" i="25"/>
  <c r="BQ101" i="25" s="1"/>
  <c r="BF7" i="25"/>
  <c r="BQ7" i="25" s="1"/>
  <c r="BD7" i="25"/>
  <c r="BE7" i="25"/>
  <c r="BP7" i="25" s="1"/>
  <c r="BU125" i="25"/>
  <c r="BH125" i="25"/>
  <c r="BN125" i="25" s="1"/>
  <c r="BE110" i="25"/>
  <c r="BV110" i="25" s="1"/>
  <c r="BD110" i="25"/>
  <c r="BF110" i="25"/>
  <c r="BW110" i="25" s="1"/>
  <c r="BH119" i="25"/>
  <c r="BN119" i="25" s="1"/>
  <c r="BU119" i="25"/>
  <c r="BU188" i="25"/>
  <c r="BH188" i="25"/>
  <c r="BN188" i="25" s="1"/>
  <c r="BF189" i="25"/>
  <c r="BW189" i="25" s="1"/>
  <c r="BE189" i="25"/>
  <c r="BV189" i="25" s="1"/>
  <c r="BD189" i="25"/>
  <c r="BD50" i="25"/>
  <c r="BE50" i="25"/>
  <c r="BP50" i="25" s="1"/>
  <c r="BF50" i="25"/>
  <c r="BQ50" i="25" s="1"/>
  <c r="BD19" i="25"/>
  <c r="BF19" i="25"/>
  <c r="BQ19" i="25" s="1"/>
  <c r="BE19" i="25"/>
  <c r="BP19" i="25" s="1"/>
  <c r="BF55" i="25"/>
  <c r="BQ55" i="25" s="1"/>
  <c r="BD55" i="25"/>
  <c r="BE55" i="25"/>
  <c r="BP55" i="25" s="1"/>
  <c r="BE200" i="25"/>
  <c r="BV200" i="25" s="1"/>
  <c r="BD200" i="25"/>
  <c r="BF200" i="25"/>
  <c r="BW200" i="25" s="1"/>
  <c r="BE71" i="25"/>
  <c r="BP71" i="25" s="1"/>
  <c r="BF71" i="25"/>
  <c r="BQ71" i="25" s="1"/>
  <c r="BD71" i="25"/>
  <c r="BE46" i="25"/>
  <c r="BP46" i="25" s="1"/>
  <c r="BF46" i="25"/>
  <c r="BQ46" i="25" s="1"/>
  <c r="BD46" i="25"/>
  <c r="BH206" i="25"/>
  <c r="BN206" i="25" s="1"/>
  <c r="BU206" i="25"/>
  <c r="BU205" i="25"/>
  <c r="BH205" i="25"/>
  <c r="BN205" i="25" s="1"/>
  <c r="BF11" i="25"/>
  <c r="BQ11" i="25" s="1"/>
  <c r="BD11" i="25"/>
  <c r="BE11" i="25"/>
  <c r="BP11" i="25" s="1"/>
  <c r="BD92" i="25"/>
  <c r="BE92" i="25"/>
  <c r="BP92" i="25" s="1"/>
  <c r="BF92" i="25"/>
  <c r="BQ92" i="25" s="1"/>
  <c r="BF173" i="25"/>
  <c r="BW173" i="25" s="1"/>
  <c r="BD173" i="25"/>
  <c r="BE173" i="25"/>
  <c r="BV173" i="25" s="1"/>
  <c r="BF113" i="25"/>
  <c r="BW113" i="25" s="1"/>
  <c r="BE113" i="25"/>
  <c r="BV113" i="25" s="1"/>
  <c r="BD113" i="25"/>
  <c r="BF118" i="25"/>
  <c r="BW118" i="25" s="1"/>
  <c r="BE118" i="25"/>
  <c r="BV118" i="25" s="1"/>
  <c r="BD118" i="25"/>
  <c r="BU178" i="25"/>
  <c r="BH178" i="25"/>
  <c r="BN178" i="25" s="1"/>
  <c r="BD97" i="25"/>
  <c r="BE97" i="25"/>
  <c r="BP97" i="25" s="1"/>
  <c r="BF97" i="25"/>
  <c r="BQ97" i="25" s="1"/>
  <c r="BE100" i="25"/>
  <c r="BP100" i="25" s="1"/>
  <c r="BF100" i="25"/>
  <c r="BQ100" i="25" s="1"/>
  <c r="BD100" i="25"/>
  <c r="BU102" i="25"/>
  <c r="BH102" i="25"/>
  <c r="BN102" i="25" s="1"/>
  <c r="BE80" i="25"/>
  <c r="BP80" i="25" s="1"/>
  <c r="BF80" i="25"/>
  <c r="BQ80" i="25" s="1"/>
  <c r="BD80" i="25"/>
  <c r="BD34" i="25"/>
  <c r="BE34" i="25"/>
  <c r="BP34" i="25" s="1"/>
  <c r="BF34" i="25"/>
  <c r="BQ34" i="25" s="1"/>
  <c r="BF190" i="25"/>
  <c r="BW190" i="25" s="1"/>
  <c r="BD190" i="25"/>
  <c r="BE190" i="25"/>
  <c r="BV190" i="25" s="1"/>
  <c r="BF81" i="25"/>
  <c r="BQ81" i="25" s="1"/>
  <c r="BD81" i="25"/>
  <c r="BE81" i="25"/>
  <c r="BP81" i="25" s="1"/>
  <c r="BE140" i="25"/>
  <c r="BV140" i="25" s="1"/>
  <c r="BF140" i="25"/>
  <c r="BW140" i="25" s="1"/>
  <c r="BD140" i="25"/>
  <c r="BH138" i="25"/>
  <c r="BN138" i="25" s="1"/>
  <c r="BU138" i="25"/>
  <c r="BD104" i="25"/>
  <c r="BF104" i="25"/>
  <c r="BQ104" i="25" s="1"/>
  <c r="BE104" i="25"/>
  <c r="BP104" i="25" s="1"/>
  <c r="BH163" i="25"/>
  <c r="BN163" i="25" s="1"/>
  <c r="BU163" i="25"/>
  <c r="BH175" i="25"/>
  <c r="BN175" i="25" s="1"/>
  <c r="BU175" i="25"/>
  <c r="BF43" i="25"/>
  <c r="BQ43" i="25" s="1"/>
  <c r="BD43" i="25"/>
  <c r="BE43" i="25"/>
  <c r="BP43" i="25" s="1"/>
  <c r="BE48" i="25"/>
  <c r="BP48" i="25" s="1"/>
  <c r="BF48" i="25"/>
  <c r="BQ48" i="25" s="1"/>
  <c r="BD48" i="25"/>
  <c r="BE62" i="25"/>
  <c r="BP62" i="25" s="1"/>
  <c r="BF62" i="25"/>
  <c r="BQ62" i="25" s="1"/>
  <c r="BD62" i="25"/>
  <c r="BH144" i="25"/>
  <c r="BN144" i="25" s="1"/>
  <c r="BU144" i="25"/>
  <c r="BD24" i="25"/>
  <c r="BE24" i="25"/>
  <c r="BP24" i="25" s="1"/>
  <c r="BF24" i="25"/>
  <c r="BQ24" i="25" s="1"/>
  <c r="BF45" i="25"/>
  <c r="BQ45" i="25" s="1"/>
  <c r="BD45" i="25"/>
  <c r="BE45" i="25"/>
  <c r="BP45" i="25" s="1"/>
  <c r="BH201" i="25"/>
  <c r="BN201" i="25" s="1"/>
  <c r="BU201" i="25"/>
  <c r="BD73" i="25"/>
  <c r="BE73" i="25"/>
  <c r="BP73" i="25" s="1"/>
  <c r="BF73" i="25"/>
  <c r="BQ73" i="25" s="1"/>
  <c r="BD141" i="25"/>
  <c r="BE141" i="25"/>
  <c r="BV141" i="25" s="1"/>
  <c r="BF141" i="25"/>
  <c r="BW141" i="25" s="1"/>
  <c r="BF75" i="25"/>
  <c r="BQ75" i="25" s="1"/>
  <c r="BE75" i="25"/>
  <c r="BP75" i="25" s="1"/>
  <c r="BD75" i="25"/>
  <c r="BE44" i="25"/>
  <c r="BP44" i="25" s="1"/>
  <c r="BD44" i="25"/>
  <c r="BF44" i="25"/>
  <c r="BQ44" i="25" s="1"/>
  <c r="BU198" i="25"/>
  <c r="BH198" i="25"/>
  <c r="BN198" i="25" s="1"/>
  <c r="BD133" i="25"/>
  <c r="BE133" i="25"/>
  <c r="BV133" i="25" s="1"/>
  <c r="BF133" i="25"/>
  <c r="BW133" i="25" s="1"/>
  <c r="BE64" i="25"/>
  <c r="BP64" i="25" s="1"/>
  <c r="BF64" i="25"/>
  <c r="BQ64" i="25" s="1"/>
  <c r="BD64" i="25"/>
  <c r="BH147" i="25"/>
  <c r="BN147" i="25" s="1"/>
  <c r="BU147" i="25"/>
  <c r="BF52" i="25"/>
  <c r="BQ52" i="25" s="1"/>
  <c r="BD52" i="25"/>
  <c r="BE52" i="25"/>
  <c r="BP52" i="25" s="1"/>
  <c r="BD61" i="25"/>
  <c r="BF61" i="25"/>
  <c r="BQ61" i="25" s="1"/>
  <c r="BE61" i="25"/>
  <c r="BP61" i="25" s="1"/>
  <c r="BD182" i="25"/>
  <c r="BE182" i="25"/>
  <c r="BV182" i="25" s="1"/>
  <c r="BF182" i="25"/>
  <c r="BW182" i="25" s="1"/>
  <c r="BE57" i="25"/>
  <c r="BP57" i="25" s="1"/>
  <c r="BD57" i="25"/>
  <c r="BF57" i="25"/>
  <c r="BQ57" i="25" s="1"/>
  <c r="BE183" i="25"/>
  <c r="BV183" i="25" s="1"/>
  <c r="BF183" i="25"/>
  <c r="BW183" i="25" s="1"/>
  <c r="BD183" i="25"/>
  <c r="BU124" i="25"/>
  <c r="BH124" i="25"/>
  <c r="BN124" i="25" s="1"/>
  <c r="BF35" i="25"/>
  <c r="BQ35" i="25" s="1"/>
  <c r="BD35" i="25"/>
  <c r="BE35" i="25"/>
  <c r="BP35" i="25" s="1"/>
  <c r="BE37" i="25"/>
  <c r="BP37" i="25" s="1"/>
  <c r="BD37" i="25"/>
  <c r="BF37" i="25"/>
  <c r="BQ37" i="25" s="1"/>
  <c r="BU196" i="25"/>
  <c r="BH196" i="25"/>
  <c r="BN196" i="25" s="1"/>
  <c r="BE98" i="25"/>
  <c r="BP98" i="25" s="1"/>
  <c r="BF98" i="25"/>
  <c r="BQ98" i="25" s="1"/>
  <c r="BD98" i="25"/>
  <c r="BH166" i="25"/>
  <c r="BN166" i="25" s="1"/>
  <c r="BU166" i="25"/>
  <c r="BD84" i="25"/>
  <c r="BE84" i="25"/>
  <c r="BP84" i="25" s="1"/>
  <c r="BF84" i="25"/>
  <c r="BQ84" i="25" s="1"/>
  <c r="BH155" i="25"/>
  <c r="BN155" i="25" s="1"/>
  <c r="BU155" i="25"/>
  <c r="BF25" i="25"/>
  <c r="BQ25" i="25" s="1"/>
  <c r="BE25" i="25"/>
  <c r="BP25" i="25" s="1"/>
  <c r="BD25" i="25"/>
  <c r="BE65" i="25"/>
  <c r="BP65" i="25" s="1"/>
  <c r="BF65" i="25"/>
  <c r="BQ65" i="25" s="1"/>
  <c r="BD65" i="25"/>
  <c r="BD14" i="25"/>
  <c r="BE14" i="25"/>
  <c r="BP14" i="25" s="1"/>
  <c r="BF14" i="25"/>
  <c r="BQ14" i="25" s="1"/>
  <c r="BD40" i="25"/>
  <c r="BE40" i="25"/>
  <c r="BP40" i="25" s="1"/>
  <c r="BF40" i="25"/>
  <c r="BQ40" i="25" s="1"/>
  <c r="BD131" i="25"/>
  <c r="BE131" i="25"/>
  <c r="BV131" i="25" s="1"/>
  <c r="BF131" i="25"/>
  <c r="BW131" i="25" s="1"/>
  <c r="BD91" i="25"/>
  <c r="BE91" i="25"/>
  <c r="BP91" i="25" s="1"/>
  <c r="BF91" i="25"/>
  <c r="BQ91" i="25" s="1"/>
  <c r="BD29" i="25"/>
  <c r="BE29" i="25"/>
  <c r="BP29" i="25" s="1"/>
  <c r="BF29" i="25"/>
  <c r="BQ29" i="25" s="1"/>
  <c r="BD88" i="25"/>
  <c r="BE88" i="25"/>
  <c r="BP88" i="25" s="1"/>
  <c r="BF88" i="25"/>
  <c r="BQ88" i="25" s="1"/>
  <c r="BD184" i="25"/>
  <c r="BF184" i="25"/>
  <c r="BW184" i="25" s="1"/>
  <c r="BE184" i="25"/>
  <c r="BV184" i="25" s="1"/>
  <c r="BD30" i="25"/>
  <c r="BE30" i="25"/>
  <c r="BP30" i="25" s="1"/>
  <c r="BF30" i="25"/>
  <c r="BQ30" i="25" s="1"/>
  <c r="BU162" i="25"/>
  <c r="BH162" i="25"/>
  <c r="BN162" i="25" s="1"/>
  <c r="BE103" i="25"/>
  <c r="BP103" i="25" s="1"/>
  <c r="BF103" i="25"/>
  <c r="BQ103" i="25" s="1"/>
  <c r="BD103" i="25"/>
  <c r="BU142" i="25"/>
  <c r="BH142" i="25"/>
  <c r="BN142" i="25" s="1"/>
  <c r="BE8" i="25"/>
  <c r="BP8" i="25" s="1"/>
  <c r="BD8" i="25"/>
  <c r="BF8" i="25"/>
  <c r="BQ8" i="25" s="1"/>
  <c r="BF60" i="25"/>
  <c r="BQ60" i="25" s="1"/>
  <c r="BD60" i="25"/>
  <c r="BE60" i="25"/>
  <c r="BP60" i="25" s="1"/>
  <c r="BD179" i="25"/>
  <c r="BE179" i="25"/>
  <c r="BV179" i="25" s="1"/>
  <c r="BF179" i="25"/>
  <c r="BW179" i="25" s="1"/>
  <c r="BD123" i="25"/>
  <c r="BF123" i="25"/>
  <c r="BW123" i="25" s="1"/>
  <c r="BE123" i="25"/>
  <c r="BV123" i="25" s="1"/>
  <c r="BD105" i="25"/>
  <c r="BE105" i="25"/>
  <c r="BP105" i="25" s="1"/>
  <c r="BF105" i="25"/>
  <c r="BQ105" i="25" s="1"/>
  <c r="BU115" i="25"/>
  <c r="BH115" i="25"/>
  <c r="BN115" i="25" s="1"/>
  <c r="BE74" i="25"/>
  <c r="BP74" i="25" s="1"/>
  <c r="BD74" i="25"/>
  <c r="BF74" i="25"/>
  <c r="BQ74" i="25" s="1"/>
  <c r="BD208" i="25"/>
  <c r="BE208" i="25"/>
  <c r="BV208" i="25" s="1"/>
  <c r="BF208" i="25"/>
  <c r="BW208" i="25" s="1"/>
  <c r="BE82" i="25"/>
  <c r="BP82" i="25" s="1"/>
  <c r="BF82" i="25"/>
  <c r="BQ82" i="25" s="1"/>
  <c r="BD82" i="25"/>
  <c r="BH127" i="25"/>
  <c r="BN127" i="25" s="1"/>
  <c r="BU127" i="25"/>
  <c r="BH209" i="25"/>
  <c r="BN209" i="25" s="1"/>
  <c r="BU209" i="25"/>
  <c r="BH161" i="25"/>
  <c r="BN161" i="25" s="1"/>
  <c r="BU161" i="25"/>
  <c r="BU143" i="25"/>
  <c r="BH143" i="25"/>
  <c r="BN143" i="25" s="1"/>
  <c r="CD110" i="24" l="1"/>
  <c r="CH110" i="24"/>
  <c r="BT102" i="25"/>
  <c r="BU136" i="25"/>
  <c r="BZ136" i="25" s="1"/>
  <c r="AY92" i="24"/>
  <c r="AZ92" i="24" s="1"/>
  <c r="BH167" i="25"/>
  <c r="BN167" i="25" s="1"/>
  <c r="BF92" i="24"/>
  <c r="BI92" i="24" s="1"/>
  <c r="BO92" i="24" s="1"/>
  <c r="BH117" i="25"/>
  <c r="BN117" i="25" s="1"/>
  <c r="BU165" i="25"/>
  <c r="BZ165" i="25" s="1"/>
  <c r="BD5" i="25"/>
  <c r="BH5" i="25" s="1"/>
  <c r="BN5" i="25" s="1"/>
  <c r="BE5" i="25"/>
  <c r="BP5" i="25" s="1"/>
  <c r="A211" i="2"/>
  <c r="BU158" i="25"/>
  <c r="BY158" i="25" s="1"/>
  <c r="BX5" i="24"/>
  <c r="BZ5" i="24" s="1"/>
  <c r="BW48" i="25"/>
  <c r="BV86" i="25"/>
  <c r="BW42" i="25"/>
  <c r="BW50" i="25"/>
  <c r="BV68" i="25"/>
  <c r="BW76" i="25"/>
  <c r="BV8" i="25"/>
  <c r="BV52" i="25"/>
  <c r="BV48" i="25"/>
  <c r="BT48" i="25"/>
  <c r="BV104" i="25"/>
  <c r="BV81" i="25"/>
  <c r="BW5" i="25"/>
  <c r="BV50" i="25"/>
  <c r="BW7" i="25"/>
  <c r="BW33" i="25"/>
  <c r="BW28" i="25"/>
  <c r="BV83" i="25"/>
  <c r="BV21" i="25"/>
  <c r="BV23" i="25"/>
  <c r="BW47" i="25"/>
  <c r="BV96" i="25"/>
  <c r="BW70" i="25"/>
  <c r="BW68" i="25"/>
  <c r="BV42" i="25"/>
  <c r="BT42" i="25"/>
  <c r="BW93" i="25"/>
  <c r="BV77" i="25"/>
  <c r="BV76" i="25"/>
  <c r="BT76" i="25"/>
  <c r="BV49" i="25"/>
  <c r="BW69" i="25"/>
  <c r="BW72" i="25"/>
  <c r="BV73" i="25"/>
  <c r="BW67" i="25"/>
  <c r="BV70" i="25"/>
  <c r="BT70" i="25"/>
  <c r="BW78" i="25"/>
  <c r="BW30" i="25"/>
  <c r="BV82" i="25"/>
  <c r="BV30" i="25"/>
  <c r="BW29" i="25"/>
  <c r="BW65" i="25"/>
  <c r="BV98" i="25"/>
  <c r="BW35" i="25"/>
  <c r="BV57" i="25"/>
  <c r="BV75" i="25"/>
  <c r="BV43" i="25"/>
  <c r="BW104" i="25"/>
  <c r="BV11" i="25"/>
  <c r="BW46" i="25"/>
  <c r="BV55" i="25"/>
  <c r="BW101" i="25"/>
  <c r="BV32" i="25"/>
  <c r="BW26" i="25"/>
  <c r="BW90" i="25"/>
  <c r="BV28" i="25"/>
  <c r="BW83" i="25"/>
  <c r="BW31" i="25"/>
  <c r="BV47" i="25"/>
  <c r="BT47" i="25"/>
  <c r="BV89" i="25"/>
  <c r="BV15" i="25"/>
  <c r="BV13" i="25"/>
  <c r="BV6" i="25"/>
  <c r="BW49" i="25"/>
  <c r="BV88" i="25"/>
  <c r="BV24" i="25"/>
  <c r="BV92" i="25"/>
  <c r="BW21" i="25"/>
  <c r="BW96" i="25"/>
  <c r="BW77" i="25"/>
  <c r="BW82" i="25"/>
  <c r="BW98" i="25"/>
  <c r="BW105" i="25"/>
  <c r="BV29" i="25"/>
  <c r="BT29" i="25"/>
  <c r="BW40" i="25"/>
  <c r="BV65" i="25"/>
  <c r="BW84" i="25"/>
  <c r="BW52" i="25"/>
  <c r="BW75" i="25"/>
  <c r="BW81" i="25"/>
  <c r="BW80" i="25"/>
  <c r="BV46" i="25"/>
  <c r="BT46" i="25"/>
  <c r="BW32" i="25"/>
  <c r="BV26" i="25"/>
  <c r="BV90" i="25"/>
  <c r="BW56" i="25"/>
  <c r="BV31" i="25"/>
  <c r="BV41" i="25"/>
  <c r="BW53" i="25"/>
  <c r="BW9" i="25"/>
  <c r="BW54" i="25"/>
  <c r="BW51" i="25"/>
  <c r="BV18" i="25"/>
  <c r="BW38" i="25"/>
  <c r="BV74" i="25"/>
  <c r="BW57" i="25"/>
  <c r="BV33" i="25"/>
  <c r="BT33" i="25"/>
  <c r="BV60" i="25"/>
  <c r="BT60" i="25"/>
  <c r="BV40" i="25"/>
  <c r="BV45" i="25"/>
  <c r="BT45" i="25"/>
  <c r="BV80" i="25"/>
  <c r="BT80" i="25"/>
  <c r="BW100" i="25"/>
  <c r="BW11" i="25"/>
  <c r="BW55" i="25"/>
  <c r="BV101" i="25"/>
  <c r="BT101" i="25"/>
  <c r="BV22" i="25"/>
  <c r="BV17" i="25"/>
  <c r="BT17" i="25"/>
  <c r="BW87" i="25"/>
  <c r="BW39" i="25"/>
  <c r="BV27" i="25"/>
  <c r="BT27" i="25"/>
  <c r="BW41" i="25"/>
  <c r="BV53" i="25"/>
  <c r="BV9" i="25"/>
  <c r="BV12" i="25"/>
  <c r="BV54" i="25"/>
  <c r="BT54" i="25"/>
  <c r="BV51" i="25"/>
  <c r="BT51" i="25"/>
  <c r="BW89" i="25"/>
  <c r="BW15" i="25"/>
  <c r="BW13" i="25"/>
  <c r="BW6" i="25"/>
  <c r="BW18" i="25"/>
  <c r="BV38" i="25"/>
  <c r="BV35" i="25"/>
  <c r="BT35" i="25"/>
  <c r="BV85" i="25"/>
  <c r="BV84" i="25"/>
  <c r="BT84" i="25"/>
  <c r="BW43" i="25"/>
  <c r="BW103" i="25"/>
  <c r="BW91" i="25"/>
  <c r="BV25" i="25"/>
  <c r="BT25" i="25"/>
  <c r="BW37" i="25"/>
  <c r="BW62" i="25"/>
  <c r="BV100" i="25"/>
  <c r="BW71" i="25"/>
  <c r="BV19" i="25"/>
  <c r="BT19" i="25"/>
  <c r="BV79" i="25"/>
  <c r="BT79" i="25"/>
  <c r="BV66" i="25"/>
  <c r="BT66" i="25"/>
  <c r="BW22" i="25"/>
  <c r="BV87" i="25"/>
  <c r="BT87" i="25"/>
  <c r="BV56" i="25"/>
  <c r="BW16" i="25"/>
  <c r="BV39" i="25"/>
  <c r="BT39" i="25"/>
  <c r="BV20" i="25"/>
  <c r="BW12" i="25"/>
  <c r="BH128" i="25"/>
  <c r="BN128" i="25" s="1"/>
  <c r="BV94" i="25"/>
  <c r="BW59" i="25"/>
  <c r="BV44" i="25"/>
  <c r="BW95" i="25"/>
  <c r="BW60" i="25"/>
  <c r="BV103" i="25"/>
  <c r="BV91" i="25"/>
  <c r="BW14" i="25"/>
  <c r="BW25" i="25"/>
  <c r="BV61" i="25"/>
  <c r="BW44" i="25"/>
  <c r="BW45" i="25"/>
  <c r="BV62" i="25"/>
  <c r="BW97" i="25"/>
  <c r="BV71" i="25"/>
  <c r="BW19" i="25"/>
  <c r="BW79" i="25"/>
  <c r="BV63" i="25"/>
  <c r="BV36" i="25"/>
  <c r="BW17" i="25"/>
  <c r="BV16" i="25"/>
  <c r="BW27" i="25"/>
  <c r="BV58" i="25"/>
  <c r="BW99" i="25"/>
  <c r="BW94" i="25"/>
  <c r="BV59" i="25"/>
  <c r="BT59" i="25"/>
  <c r="BW10" i="25"/>
  <c r="BV64" i="25"/>
  <c r="BV34" i="25"/>
  <c r="BV105" i="25"/>
  <c r="BW74" i="25"/>
  <c r="BW8" i="25"/>
  <c r="BW88" i="25"/>
  <c r="BV14" i="25"/>
  <c r="BT14" i="25"/>
  <c r="BV37" i="25"/>
  <c r="BW61" i="25"/>
  <c r="BW64" i="25"/>
  <c r="BW73" i="25"/>
  <c r="BW24" i="25"/>
  <c r="BW34" i="25"/>
  <c r="BV97" i="25"/>
  <c r="BT97" i="25"/>
  <c r="BW92" i="25"/>
  <c r="BV7" i="25"/>
  <c r="BT7" i="25"/>
  <c r="BW66" i="25"/>
  <c r="BW63" i="25"/>
  <c r="BW85" i="25"/>
  <c r="BW36" i="25"/>
  <c r="BW86" i="25"/>
  <c r="BV95" i="25"/>
  <c r="BT95" i="25"/>
  <c r="BV67" i="25"/>
  <c r="BW23" i="25"/>
  <c r="BW58" i="25"/>
  <c r="BW20" i="25"/>
  <c r="BV78" i="25"/>
  <c r="BT78" i="25"/>
  <c r="BV99" i="25"/>
  <c r="BT99" i="25"/>
  <c r="BV93" i="25"/>
  <c r="BT93" i="25"/>
  <c r="BV69" i="25"/>
  <c r="BT69" i="25"/>
  <c r="BV72" i="25"/>
  <c r="BT72" i="25"/>
  <c r="BV10" i="25"/>
  <c r="BT10" i="25"/>
  <c r="BU164" i="25"/>
  <c r="BZ164" i="25" s="1"/>
  <c r="BU186" i="25"/>
  <c r="BZ186" i="25" s="1"/>
  <c r="BV160" i="24"/>
  <c r="BQ160" i="24"/>
  <c r="BT160" i="24" s="1"/>
  <c r="BV178" i="24"/>
  <c r="BQ178" i="24"/>
  <c r="BT178" i="24" s="1"/>
  <c r="BV158" i="24"/>
  <c r="BQ158" i="24"/>
  <c r="BT158" i="24" s="1"/>
  <c r="BV94" i="24"/>
  <c r="BQ94" i="24"/>
  <c r="BT94" i="24" s="1"/>
  <c r="BV93" i="24"/>
  <c r="BQ93" i="24"/>
  <c r="BT93" i="24" s="1"/>
  <c r="BV92" i="24"/>
  <c r="BQ92" i="24"/>
  <c r="BT92" i="24" s="1"/>
  <c r="BV80" i="24"/>
  <c r="BQ80" i="24"/>
  <c r="BT80" i="24" s="1"/>
  <c r="BV35" i="24"/>
  <c r="BQ35" i="24"/>
  <c r="BT35" i="24" s="1"/>
  <c r="BU199" i="25"/>
  <c r="BZ199" i="25" s="1"/>
  <c r="BH146" i="25"/>
  <c r="BN146" i="25" s="1"/>
  <c r="BU111" i="25"/>
  <c r="BZ111" i="25" s="1"/>
  <c r="BH187" i="25"/>
  <c r="BN187" i="25" s="1"/>
  <c r="BH114" i="25"/>
  <c r="BN114" i="25" s="1"/>
  <c r="BH137" i="25"/>
  <c r="BN137" i="25" s="1"/>
  <c r="BU176" i="25"/>
  <c r="BZ176" i="25" s="1"/>
  <c r="AY35" i="24"/>
  <c r="AZ35" i="24" s="1"/>
  <c r="AY97" i="24"/>
  <c r="AZ97" i="24" s="1"/>
  <c r="BH112" i="25"/>
  <c r="BN112" i="25" s="1"/>
  <c r="BU192" i="25"/>
  <c r="BZ192" i="25" s="1"/>
  <c r="BZ144" i="25"/>
  <c r="BY144" i="25"/>
  <c r="BZ167" i="25"/>
  <c r="BY167" i="25"/>
  <c r="BZ171" i="25"/>
  <c r="BY171" i="25"/>
  <c r="CC171" i="25" s="1"/>
  <c r="CE171" i="25" s="1"/>
  <c r="BZ207" i="25"/>
  <c r="BY207" i="25"/>
  <c r="BZ193" i="25"/>
  <c r="BY193" i="25"/>
  <c r="BZ157" i="25"/>
  <c r="BY157" i="25"/>
  <c r="CC157" i="25" s="1"/>
  <c r="CE157" i="25" s="1"/>
  <c r="BZ156" i="25"/>
  <c r="BY156" i="25"/>
  <c r="CC156" i="25" s="1"/>
  <c r="CE156" i="25" s="1"/>
  <c r="BZ114" i="25"/>
  <c r="BY114" i="25"/>
  <c r="BZ132" i="25"/>
  <c r="BY132" i="25"/>
  <c r="CC132" i="25" s="1"/>
  <c r="CE132" i="25" s="1"/>
  <c r="BZ196" i="25"/>
  <c r="BY196" i="25"/>
  <c r="CC196" i="25" s="1"/>
  <c r="CE196" i="25" s="1"/>
  <c r="BZ198" i="25"/>
  <c r="BY198" i="25"/>
  <c r="BZ168" i="25"/>
  <c r="BY168" i="25"/>
  <c r="CC168" i="25" s="1"/>
  <c r="CE168" i="25" s="1"/>
  <c r="BZ129" i="25"/>
  <c r="BY129" i="25"/>
  <c r="CC129" i="25" s="1"/>
  <c r="CE129" i="25" s="1"/>
  <c r="CF129" i="25" s="1"/>
  <c r="BZ124" i="25"/>
  <c r="BY124" i="25"/>
  <c r="CC124" i="25" s="1"/>
  <c r="CE124" i="25" s="1"/>
  <c r="CF124" i="25" s="1"/>
  <c r="BZ201" i="25"/>
  <c r="BY201" i="25"/>
  <c r="CC201" i="25" s="1"/>
  <c r="CE201" i="25" s="1"/>
  <c r="BZ145" i="25"/>
  <c r="BY145" i="25"/>
  <c r="CC145" i="25" s="1"/>
  <c r="CE145" i="25" s="1"/>
  <c r="BZ127" i="25"/>
  <c r="BY127" i="25"/>
  <c r="CC127" i="25" s="1"/>
  <c r="CE127" i="25" s="1"/>
  <c r="BZ166" i="25"/>
  <c r="BY166" i="25"/>
  <c r="CC166" i="25" s="1"/>
  <c r="CE166" i="25" s="1"/>
  <c r="BZ205" i="25"/>
  <c r="BY205" i="25"/>
  <c r="BZ125" i="25"/>
  <c r="BY125" i="25"/>
  <c r="CC125" i="25" s="1"/>
  <c r="CE125" i="25" s="1"/>
  <c r="BZ149" i="25"/>
  <c r="BY149" i="25"/>
  <c r="BZ128" i="25"/>
  <c r="BY128" i="25"/>
  <c r="BZ203" i="25"/>
  <c r="BY203" i="25"/>
  <c r="BZ191" i="25"/>
  <c r="BY191" i="25"/>
  <c r="CC191" i="25" s="1"/>
  <c r="CE191" i="25" s="1"/>
  <c r="CF191" i="25" s="1"/>
  <c r="BZ202" i="25"/>
  <c r="BY202" i="25"/>
  <c r="BZ174" i="25"/>
  <c r="BY174" i="25"/>
  <c r="BZ155" i="25"/>
  <c r="BY155" i="25"/>
  <c r="CC155" i="25" s="1"/>
  <c r="CE155" i="25" s="1"/>
  <c r="BZ175" i="25"/>
  <c r="BY175" i="25"/>
  <c r="CC175" i="25" s="1"/>
  <c r="CE175" i="25" s="1"/>
  <c r="BZ206" i="25"/>
  <c r="BY206" i="25"/>
  <c r="CC206" i="25" s="1"/>
  <c r="CE206" i="25" s="1"/>
  <c r="BZ188" i="25"/>
  <c r="BY188" i="25"/>
  <c r="CC188" i="25" s="1"/>
  <c r="CE188" i="25" s="1"/>
  <c r="BZ187" i="25"/>
  <c r="BY187" i="25"/>
  <c r="BZ185" i="25"/>
  <c r="BY185" i="25"/>
  <c r="CC185" i="25" s="1"/>
  <c r="CE185" i="25" s="1"/>
  <c r="BZ162" i="25"/>
  <c r="BY162" i="25"/>
  <c r="CC162" i="25" s="1"/>
  <c r="CE162" i="25" s="1"/>
  <c r="BZ138" i="25"/>
  <c r="BY138" i="25"/>
  <c r="BY102" i="25"/>
  <c r="CB102" i="25" s="1"/>
  <c r="BZ102" i="25"/>
  <c r="BZ112" i="25"/>
  <c r="BY112" i="25"/>
  <c r="BZ119" i="25"/>
  <c r="BY119" i="25"/>
  <c r="BZ172" i="25"/>
  <c r="BY172" i="25"/>
  <c r="BZ151" i="25"/>
  <c r="BY151" i="25"/>
  <c r="CC151" i="25" s="1"/>
  <c r="CE151" i="25" s="1"/>
  <c r="BZ169" i="25"/>
  <c r="BY169" i="25"/>
  <c r="CC169" i="25" s="1"/>
  <c r="CE169" i="25" s="1"/>
  <c r="BZ195" i="25"/>
  <c r="BY195" i="25"/>
  <c r="CC195" i="25" s="1"/>
  <c r="CE195" i="25" s="1"/>
  <c r="BZ143" i="25"/>
  <c r="BY143" i="25"/>
  <c r="CC143" i="25" s="1"/>
  <c r="CE143" i="25" s="1"/>
  <c r="BZ177" i="25"/>
  <c r="BY177" i="25"/>
  <c r="BZ148" i="25"/>
  <c r="BY148" i="25"/>
  <c r="CC148" i="25" s="1"/>
  <c r="CE148" i="25" s="1"/>
  <c r="BZ204" i="25"/>
  <c r="BY204" i="25"/>
  <c r="CC204" i="25" s="1"/>
  <c r="CE204" i="25" s="1"/>
  <c r="CF204" i="25" s="1"/>
  <c r="BZ197" i="25"/>
  <c r="BY197" i="25"/>
  <c r="BZ161" i="25"/>
  <c r="BY161" i="25"/>
  <c r="CC161" i="25" s="1"/>
  <c r="CE161" i="25" s="1"/>
  <c r="BZ178" i="25"/>
  <c r="BY178" i="25"/>
  <c r="BZ126" i="25"/>
  <c r="BY126" i="25"/>
  <c r="CC126" i="25" s="1"/>
  <c r="CE126" i="25" s="1"/>
  <c r="BZ137" i="25"/>
  <c r="BY137" i="25"/>
  <c r="BZ209" i="25"/>
  <c r="BY209" i="25"/>
  <c r="CC209" i="25" s="1"/>
  <c r="CE209" i="25" s="1"/>
  <c r="BZ147" i="25"/>
  <c r="BY147" i="25"/>
  <c r="CC147" i="25" s="1"/>
  <c r="CE147" i="25" s="1"/>
  <c r="BZ163" i="25"/>
  <c r="BY163" i="25"/>
  <c r="BZ115" i="25"/>
  <c r="BY115" i="25"/>
  <c r="BZ146" i="25"/>
  <c r="BY146" i="25"/>
  <c r="BZ142" i="25"/>
  <c r="BY142" i="25"/>
  <c r="BZ117" i="25"/>
  <c r="BY117" i="25"/>
  <c r="BZ170" i="25"/>
  <c r="BY170" i="25"/>
  <c r="CC170" i="25" s="1"/>
  <c r="CE170" i="25" s="1"/>
  <c r="BZ122" i="25"/>
  <c r="BY122" i="25"/>
  <c r="CC122" i="25" s="1"/>
  <c r="CE122" i="25" s="1"/>
  <c r="BZ160" i="25"/>
  <c r="BY160" i="25"/>
  <c r="CC160" i="25" s="1"/>
  <c r="CE160" i="25" s="1"/>
  <c r="BZ181" i="25"/>
  <c r="BY181" i="25"/>
  <c r="BH197" i="25"/>
  <c r="BN197" i="25" s="1"/>
  <c r="BC150" i="24"/>
  <c r="BD150" i="24"/>
  <c r="BC246" i="24"/>
  <c r="BD246" i="24"/>
  <c r="BC307" i="24"/>
  <c r="BD307" i="24"/>
  <c r="BC249" i="24"/>
  <c r="BD249" i="24"/>
  <c r="BC300" i="24"/>
  <c r="BD300" i="24"/>
  <c r="BC243" i="24"/>
  <c r="BD243" i="24"/>
  <c r="BC170" i="24"/>
  <c r="BD170" i="24"/>
  <c r="BC188" i="24"/>
  <c r="BD188" i="24"/>
  <c r="BC118" i="24"/>
  <c r="BD118" i="24"/>
  <c r="BC193" i="24"/>
  <c r="BD193" i="24"/>
  <c r="BC312" i="24"/>
  <c r="BD312" i="24"/>
  <c r="BC296" i="24"/>
  <c r="BD296" i="24"/>
  <c r="BC137" i="24"/>
  <c r="BD137" i="24"/>
  <c r="BC309" i="24"/>
  <c r="BD309" i="24"/>
  <c r="BC292" i="24"/>
  <c r="BD292" i="24"/>
  <c r="BC207" i="24"/>
  <c r="BD207" i="24"/>
  <c r="BC115" i="24"/>
  <c r="BD115" i="24"/>
  <c r="BC156" i="24"/>
  <c r="BD156" i="24"/>
  <c r="BC143" i="24"/>
  <c r="BD143" i="24"/>
  <c r="BC148" i="24"/>
  <c r="BD148" i="24"/>
  <c r="BC196" i="24"/>
  <c r="BD196" i="24"/>
  <c r="BC253" i="24"/>
  <c r="BD253" i="24"/>
  <c r="BC233" i="24"/>
  <c r="BD233" i="24"/>
  <c r="BC179" i="24"/>
  <c r="BD179" i="24"/>
  <c r="BC200" i="24"/>
  <c r="BD200" i="24"/>
  <c r="BC218" i="24"/>
  <c r="BD218" i="24"/>
  <c r="BC180" i="24"/>
  <c r="BD180" i="24"/>
  <c r="BC287" i="24"/>
  <c r="BD287" i="24"/>
  <c r="BC191" i="24"/>
  <c r="BD191" i="24"/>
  <c r="BC311" i="24"/>
  <c r="BD311" i="24"/>
  <c r="BC174" i="24"/>
  <c r="BD174" i="24"/>
  <c r="BC242" i="24"/>
  <c r="BD242" i="24"/>
  <c r="BC263" i="24"/>
  <c r="BD263" i="24"/>
  <c r="BC186" i="24"/>
  <c r="BD186" i="24"/>
  <c r="BC308" i="24"/>
  <c r="BD308" i="24"/>
  <c r="BC303" i="24"/>
  <c r="BD303" i="24"/>
  <c r="BC267" i="24"/>
  <c r="BD267" i="24"/>
  <c r="BC284" i="24"/>
  <c r="BD284" i="24"/>
  <c r="BC290" i="24"/>
  <c r="BD290" i="24"/>
  <c r="BC276" i="24"/>
  <c r="BD276" i="24"/>
  <c r="BC260" i="24"/>
  <c r="BD260" i="24"/>
  <c r="BC126" i="24"/>
  <c r="BD126" i="24"/>
  <c r="BC111" i="24"/>
  <c r="BD111" i="24"/>
  <c r="BC258" i="24"/>
  <c r="BD258" i="24"/>
  <c r="BC247" i="24"/>
  <c r="BD247" i="24"/>
  <c r="BC313" i="24"/>
  <c r="BD313" i="24"/>
  <c r="BC219" i="24"/>
  <c r="BD219" i="24"/>
  <c r="BC232" i="24"/>
  <c r="BD232" i="24"/>
  <c r="BC277" i="24"/>
  <c r="BD277" i="24"/>
  <c r="BC139" i="24"/>
  <c r="BD139" i="24"/>
  <c r="BC235" i="24"/>
  <c r="BD235" i="24"/>
  <c r="BC237" i="24"/>
  <c r="BD237" i="24"/>
  <c r="BC234" i="24"/>
  <c r="BD234" i="24"/>
  <c r="BC153" i="24"/>
  <c r="BD153" i="24"/>
  <c r="BC298" i="24"/>
  <c r="BD298" i="24"/>
  <c r="BC282" i="24"/>
  <c r="BD282" i="24"/>
  <c r="BC140" i="24"/>
  <c r="BD140" i="24"/>
  <c r="BC248" i="24"/>
  <c r="BD248" i="24"/>
  <c r="BC206" i="24"/>
  <c r="BD206" i="24"/>
  <c r="BC155" i="24"/>
  <c r="BD155" i="24"/>
  <c r="BC281" i="24"/>
  <c r="BD281" i="24"/>
  <c r="BC264" i="24"/>
  <c r="BD264" i="24"/>
  <c r="BC222" i="24"/>
  <c r="BD222" i="24"/>
  <c r="BC224" i="24"/>
  <c r="BD224" i="24"/>
  <c r="BC120" i="24"/>
  <c r="BD120" i="24"/>
  <c r="BC227" i="24"/>
  <c r="BD227" i="24"/>
  <c r="BC240" i="24"/>
  <c r="BD240" i="24"/>
  <c r="BC197" i="24"/>
  <c r="BD197" i="24"/>
  <c r="BC127" i="24"/>
  <c r="BD127" i="24"/>
  <c r="BC252" i="24"/>
  <c r="BD252" i="24"/>
  <c r="BC165" i="24"/>
  <c r="BD165" i="24"/>
  <c r="BC210" i="24"/>
  <c r="BD210" i="24"/>
  <c r="BC251" i="24"/>
  <c r="BD251" i="24"/>
  <c r="BC220" i="24"/>
  <c r="BD220" i="24"/>
  <c r="BC279" i="24"/>
  <c r="BD279" i="24"/>
  <c r="BC183" i="24"/>
  <c r="BD183" i="24"/>
  <c r="BC181" i="24"/>
  <c r="BD181" i="24"/>
  <c r="BC138" i="24"/>
  <c r="BD138" i="24"/>
  <c r="BC192" i="24"/>
  <c r="BD192" i="24"/>
  <c r="BC245" i="24"/>
  <c r="BD245" i="24"/>
  <c r="BC177" i="24"/>
  <c r="BD177" i="24"/>
  <c r="BC262" i="24"/>
  <c r="BD262" i="24"/>
  <c r="BC189" i="24"/>
  <c r="BD189" i="24"/>
  <c r="BC163" i="24"/>
  <c r="BD163" i="24"/>
  <c r="BC217" i="24"/>
  <c r="BD217" i="24"/>
  <c r="BC226" i="24"/>
  <c r="BD226" i="24"/>
  <c r="BC225" i="24"/>
  <c r="BD225" i="24"/>
  <c r="BC294" i="24"/>
  <c r="BD294" i="24"/>
  <c r="BC131" i="24"/>
  <c r="BD131" i="24"/>
  <c r="BC275" i="24"/>
  <c r="BD275" i="24"/>
  <c r="BC152" i="24"/>
  <c r="BD152" i="24"/>
  <c r="BC261" i="24"/>
  <c r="BD261" i="24"/>
  <c r="BC172" i="24"/>
  <c r="BD172" i="24"/>
  <c r="BC145" i="24"/>
  <c r="BD145" i="24"/>
  <c r="BC295" i="24"/>
  <c r="BD295" i="24"/>
  <c r="BC173" i="24"/>
  <c r="BD173" i="24"/>
  <c r="BC202" i="24"/>
  <c r="BD202" i="24"/>
  <c r="BC223" i="24"/>
  <c r="BD223" i="24"/>
  <c r="BC161" i="24"/>
  <c r="BD161" i="24"/>
  <c r="BU150" i="25"/>
  <c r="BC268" i="24"/>
  <c r="BD268" i="24"/>
  <c r="BC133" i="24"/>
  <c r="BD133" i="24"/>
  <c r="BC187" i="24"/>
  <c r="BD187" i="24"/>
  <c r="BC291" i="24"/>
  <c r="BD291" i="24"/>
  <c r="BC176" i="24"/>
  <c r="BD176" i="24"/>
  <c r="BC266" i="24"/>
  <c r="BD266" i="24"/>
  <c r="BC203" i="24"/>
  <c r="BD203" i="24"/>
  <c r="BC198" i="24"/>
  <c r="BD198" i="24"/>
  <c r="BC285" i="24"/>
  <c r="BD285" i="24"/>
  <c r="BC136" i="24"/>
  <c r="BD136" i="24"/>
  <c r="BC310" i="24"/>
  <c r="BD310" i="24"/>
  <c r="BC130" i="24"/>
  <c r="BD130" i="24"/>
  <c r="BC274" i="24"/>
  <c r="BD274" i="24"/>
  <c r="BC269" i="24"/>
  <c r="BD269" i="24"/>
  <c r="BC288" i="24"/>
  <c r="BD288" i="24"/>
  <c r="BC132" i="24"/>
  <c r="BD132" i="24"/>
  <c r="BC271" i="24"/>
  <c r="BD271" i="24"/>
  <c r="BG97" i="24"/>
  <c r="BC255" i="24"/>
  <c r="BD255" i="24"/>
  <c r="BC125" i="24"/>
  <c r="BD125" i="24"/>
  <c r="BC239" i="24"/>
  <c r="BD239" i="24"/>
  <c r="BC204" i="24"/>
  <c r="BD204" i="24"/>
  <c r="BC182" i="24"/>
  <c r="BD182" i="24"/>
  <c r="BC229" i="24"/>
  <c r="BD229" i="24"/>
  <c r="BC250" i="24"/>
  <c r="BD250" i="24"/>
  <c r="BC256" i="24"/>
  <c r="BD256" i="24"/>
  <c r="BC141" i="24"/>
  <c r="BD141" i="24"/>
  <c r="BC302" i="24"/>
  <c r="BD302" i="24"/>
  <c r="BC304" i="24"/>
  <c r="BD304" i="24"/>
  <c r="BC184" i="24"/>
  <c r="BD184" i="24"/>
  <c r="BC297" i="24"/>
  <c r="BD297" i="24"/>
  <c r="BC201" i="24"/>
  <c r="BD201" i="24"/>
  <c r="BC205" i="24"/>
  <c r="BD205" i="24"/>
  <c r="BC314" i="24"/>
  <c r="BD314" i="24"/>
  <c r="BC301" i="24"/>
  <c r="BD301" i="24"/>
  <c r="BC316" i="24"/>
  <c r="BD316" i="24"/>
  <c r="BC194" i="24"/>
  <c r="BD194" i="24"/>
  <c r="BC195" i="24"/>
  <c r="BD195" i="24"/>
  <c r="BC230" i="24"/>
  <c r="BD230" i="24"/>
  <c r="BC241" i="24"/>
  <c r="BD241" i="24"/>
  <c r="BC159" i="24"/>
  <c r="BD159" i="24"/>
  <c r="BC162" i="24"/>
  <c r="BD162" i="24"/>
  <c r="BC272" i="24"/>
  <c r="BD272" i="24"/>
  <c r="BC315" i="24"/>
  <c r="BD315" i="24"/>
  <c r="BC244" i="24"/>
  <c r="BD244" i="24"/>
  <c r="BC167" i="24"/>
  <c r="BD167" i="24"/>
  <c r="BC231" i="24"/>
  <c r="BD231" i="24"/>
  <c r="BC199" i="24"/>
  <c r="BD199" i="24"/>
  <c r="BC236" i="24"/>
  <c r="BD236" i="24"/>
  <c r="BC166" i="24"/>
  <c r="BD166" i="24"/>
  <c r="BC157" i="24"/>
  <c r="BD157" i="24"/>
  <c r="BC270" i="24"/>
  <c r="BD270" i="24"/>
  <c r="BC305" i="24"/>
  <c r="BD305" i="24"/>
  <c r="BC208" i="24"/>
  <c r="BD208" i="24"/>
  <c r="BC273" i="24"/>
  <c r="BD273" i="24"/>
  <c r="BC144" i="24"/>
  <c r="BD144" i="24"/>
  <c r="BC278" i="24"/>
  <c r="BD278" i="24"/>
  <c r="BC286" i="24"/>
  <c r="BD286" i="24"/>
  <c r="BC259" i="24"/>
  <c r="BD259" i="24"/>
  <c r="BC283" i="24"/>
  <c r="BD283" i="24"/>
  <c r="BC265" i="24"/>
  <c r="BD265" i="24"/>
  <c r="BC293" i="24"/>
  <c r="BD293" i="24"/>
  <c r="BC257" i="24"/>
  <c r="BD257" i="24"/>
  <c r="BC306" i="24"/>
  <c r="BD306" i="24"/>
  <c r="BC175" i="24"/>
  <c r="BD175" i="24"/>
  <c r="BC171" i="24"/>
  <c r="BD171" i="24"/>
  <c r="BC280" i="24"/>
  <c r="BD280" i="24"/>
  <c r="BC254" i="24"/>
  <c r="BD254" i="24"/>
  <c r="BC190" i="24"/>
  <c r="BD190" i="24"/>
  <c r="BC128" i="24"/>
  <c r="BD128" i="24"/>
  <c r="BC185" i="24"/>
  <c r="BD185" i="24"/>
  <c r="BC221" i="24"/>
  <c r="BD221" i="24"/>
  <c r="BC123" i="24"/>
  <c r="BD123" i="24"/>
  <c r="BC289" i="24"/>
  <c r="BD289" i="24"/>
  <c r="BC86" i="24"/>
  <c r="BD86" i="24"/>
  <c r="BC32" i="24"/>
  <c r="BD32" i="24"/>
  <c r="BC15" i="24"/>
  <c r="BD15" i="24"/>
  <c r="BC19" i="24"/>
  <c r="BD19" i="24"/>
  <c r="BC61" i="24"/>
  <c r="BD61" i="24"/>
  <c r="BC100" i="24"/>
  <c r="BD100" i="24"/>
  <c r="BC79" i="24"/>
  <c r="BD79" i="24"/>
  <c r="BC48" i="24"/>
  <c r="BD48" i="24"/>
  <c r="BC60" i="24"/>
  <c r="BD60" i="24"/>
  <c r="BC65" i="24"/>
  <c r="BD65" i="24"/>
  <c r="BC38" i="24"/>
  <c r="BD38" i="24"/>
  <c r="BC56" i="24"/>
  <c r="BD56" i="24"/>
  <c r="BC22" i="24"/>
  <c r="BD22" i="24"/>
  <c r="BC96" i="24"/>
  <c r="BD96" i="24"/>
  <c r="BC47" i="24"/>
  <c r="BD47" i="24"/>
  <c r="BC84" i="24"/>
  <c r="BD84" i="24"/>
  <c r="BC72" i="24"/>
  <c r="BD72" i="24"/>
  <c r="BC24" i="24"/>
  <c r="BD24" i="24"/>
  <c r="BC51" i="24"/>
  <c r="BD51" i="24"/>
  <c r="BC9" i="24"/>
  <c r="BD9" i="24"/>
  <c r="BC91" i="24"/>
  <c r="BD91" i="24"/>
  <c r="BC105" i="24"/>
  <c r="B126" i="2" s="1"/>
  <c r="B127" i="2" s="1"/>
  <c r="E17" i="1" s="1"/>
  <c r="BD105" i="24"/>
  <c r="B136" i="2" s="1"/>
  <c r="E20" i="1" s="1"/>
  <c r="BC53" i="24"/>
  <c r="BD53" i="24"/>
  <c r="BC7" i="24"/>
  <c r="BD7" i="24"/>
  <c r="BC55" i="24"/>
  <c r="BD55" i="24"/>
  <c r="BC66" i="24"/>
  <c r="BD66" i="24"/>
  <c r="BC78" i="24"/>
  <c r="BD78" i="24"/>
  <c r="BC25" i="24"/>
  <c r="BD25" i="24"/>
  <c r="BC11" i="24"/>
  <c r="BD11" i="24"/>
  <c r="BC20" i="24"/>
  <c r="BD20" i="24"/>
  <c r="BC30" i="24"/>
  <c r="BD30" i="24"/>
  <c r="BC46" i="24"/>
  <c r="BD46" i="24"/>
  <c r="BC67" i="24"/>
  <c r="BD67" i="24"/>
  <c r="BC6" i="24"/>
  <c r="BD6" i="24"/>
  <c r="BC73" i="24"/>
  <c r="BD73" i="24"/>
  <c r="BC103" i="24"/>
  <c r="BD103" i="24"/>
  <c r="BC62" i="24"/>
  <c r="BD62" i="24"/>
  <c r="BC87" i="24"/>
  <c r="BD87" i="24"/>
  <c r="BC76" i="24"/>
  <c r="BD76" i="24"/>
  <c r="BC21" i="24"/>
  <c r="BD21" i="24"/>
  <c r="BC52" i="24"/>
  <c r="BD52" i="24"/>
  <c r="BC31" i="24"/>
  <c r="BD31" i="24"/>
  <c r="BC17" i="24"/>
  <c r="BD17" i="24"/>
  <c r="BC50" i="24"/>
  <c r="BD50" i="24"/>
  <c r="BC40" i="24"/>
  <c r="BD40" i="24"/>
  <c r="BC81" i="24"/>
  <c r="BD81" i="24"/>
  <c r="BC75" i="24"/>
  <c r="BD75" i="24"/>
  <c r="BC33" i="24"/>
  <c r="BD33" i="24"/>
  <c r="BC37" i="24"/>
  <c r="BD37" i="24"/>
  <c r="BC10" i="24"/>
  <c r="BD10" i="24"/>
  <c r="BC64" i="24"/>
  <c r="BD64" i="24"/>
  <c r="BC101" i="24"/>
  <c r="BD101" i="24"/>
  <c r="BC14" i="24"/>
  <c r="BD14" i="24"/>
  <c r="BC27" i="24"/>
  <c r="BD27" i="24"/>
  <c r="BC59" i="24"/>
  <c r="BD59" i="24"/>
  <c r="BC29" i="24"/>
  <c r="BD29" i="24"/>
  <c r="BC26" i="24"/>
  <c r="BD26" i="24"/>
  <c r="BC41" i="24"/>
  <c r="BD41" i="24"/>
  <c r="BC58" i="24"/>
  <c r="BD58" i="24"/>
  <c r="BC70" i="24"/>
  <c r="BD70" i="24"/>
  <c r="BF95" i="24"/>
  <c r="BI95" i="24" s="1"/>
  <c r="BO95" i="24" s="1"/>
  <c r="BF35" i="24"/>
  <c r="BI35" i="24" s="1"/>
  <c r="BO35" i="24" s="1"/>
  <c r="BO192" i="25"/>
  <c r="BN192" i="25"/>
  <c r="BG99" i="24"/>
  <c r="AY99" i="24"/>
  <c r="AZ99" i="24" s="1"/>
  <c r="AY149" i="24"/>
  <c r="AZ149" i="24" s="1"/>
  <c r="BG113" i="24"/>
  <c r="BG209" i="24"/>
  <c r="AY158" i="24"/>
  <c r="AZ158" i="24" s="1"/>
  <c r="BG149" i="24"/>
  <c r="BF158" i="24"/>
  <c r="BU158" i="24" s="1"/>
  <c r="BG142" i="24"/>
  <c r="BG16" i="24"/>
  <c r="AY93" i="24"/>
  <c r="AZ93" i="24" s="1"/>
  <c r="BF16" i="24"/>
  <c r="BI16" i="24" s="1"/>
  <c r="BO16" i="24" s="1"/>
  <c r="BF93" i="24"/>
  <c r="BU93" i="24" s="1"/>
  <c r="BG74" i="24"/>
  <c r="AY74" i="24"/>
  <c r="AZ74" i="24" s="1"/>
  <c r="AY209" i="24"/>
  <c r="AZ209" i="24" s="1"/>
  <c r="AY160" i="24"/>
  <c r="AZ160" i="24" s="1"/>
  <c r="AY164" i="24"/>
  <c r="AZ164" i="24" s="1"/>
  <c r="BG164" i="24"/>
  <c r="BF151" i="24"/>
  <c r="BU151" i="24" s="1"/>
  <c r="BG151" i="24"/>
  <c r="AY69" i="24"/>
  <c r="AZ69" i="24" s="1"/>
  <c r="BG69" i="24"/>
  <c r="BF85" i="24"/>
  <c r="BI85" i="24" s="1"/>
  <c r="BO85" i="24" s="1"/>
  <c r="BG85" i="24"/>
  <c r="BH180" i="25"/>
  <c r="BN180" i="25" s="1"/>
  <c r="BU180" i="25"/>
  <c r="BG71" i="24"/>
  <c r="BF71" i="24"/>
  <c r="BI71" i="24" s="1"/>
  <c r="BO71" i="24" s="1"/>
  <c r="BG95" i="24"/>
  <c r="BF160" i="24"/>
  <c r="BU160" i="24" s="1"/>
  <c r="BF18" i="24"/>
  <c r="BI18" i="24" s="1"/>
  <c r="BO18" i="24" s="1"/>
  <c r="AY12" i="24"/>
  <c r="AZ12" i="24" s="1"/>
  <c r="BG12" i="24"/>
  <c r="BF124" i="24"/>
  <c r="BI124" i="24" s="1"/>
  <c r="BO124" i="24" s="1"/>
  <c r="B135" i="2"/>
  <c r="BF113" i="24"/>
  <c r="BI113" i="24" s="1"/>
  <c r="BO113" i="24" s="1"/>
  <c r="BF142" i="24"/>
  <c r="BU142" i="24" s="1"/>
  <c r="BH210" i="25"/>
  <c r="BN210" i="25" s="1"/>
  <c r="BU210" i="25"/>
  <c r="BG57" i="24"/>
  <c r="BG124" i="24"/>
  <c r="BF57" i="24"/>
  <c r="BI57" i="24" s="1"/>
  <c r="BO57" i="24" s="1"/>
  <c r="BG18" i="24"/>
  <c r="BF94" i="24"/>
  <c r="BU94" i="24" s="1"/>
  <c r="BP5" i="24"/>
  <c r="AY49" i="24"/>
  <c r="AZ49" i="24" s="1"/>
  <c r="BG49" i="24"/>
  <c r="BG45" i="24"/>
  <c r="BF45" i="24"/>
  <c r="BI45" i="24" s="1"/>
  <c r="BO45" i="24" s="1"/>
  <c r="AY94" i="24"/>
  <c r="AZ94" i="24" s="1"/>
  <c r="Y617" i="29"/>
  <c r="X620" i="29"/>
  <c r="AY80" i="24"/>
  <c r="AZ80" i="24" s="1"/>
  <c r="AY178" i="24"/>
  <c r="AZ178" i="24" s="1"/>
  <c r="BG147" i="24"/>
  <c r="AY135" i="24"/>
  <c r="AZ135" i="24" s="1"/>
  <c r="BF147" i="24"/>
  <c r="BU147" i="24" s="1"/>
  <c r="BF80" i="24"/>
  <c r="BI80" i="24" s="1"/>
  <c r="BO80" i="24" s="1"/>
  <c r="BF178" i="24"/>
  <c r="BI178" i="24" s="1"/>
  <c r="BO178" i="24" s="1"/>
  <c r="BG135" i="24"/>
  <c r="BG134" i="24"/>
  <c r="BF134" i="24"/>
  <c r="BU134" i="24" s="1"/>
  <c r="BF62" i="24"/>
  <c r="BG62" i="24"/>
  <c r="AY62" i="24"/>
  <c r="AZ62" i="24" s="1"/>
  <c r="AY54" i="24"/>
  <c r="AZ54" i="24" s="1"/>
  <c r="BG54" i="24"/>
  <c r="BF54" i="24"/>
  <c r="AY86" i="24"/>
  <c r="AZ86" i="24" s="1"/>
  <c r="BF86" i="24"/>
  <c r="BG86" i="24"/>
  <c r="BF75" i="24"/>
  <c r="BG75" i="24"/>
  <c r="AY75" i="24"/>
  <c r="AZ75" i="24" s="1"/>
  <c r="AY33" i="24"/>
  <c r="AZ33" i="24" s="1"/>
  <c r="BF33" i="24"/>
  <c r="BG33" i="24"/>
  <c r="BG176" i="24"/>
  <c r="BF176" i="24"/>
  <c r="AY176" i="24"/>
  <c r="AZ176" i="24" s="1"/>
  <c r="AY22" i="24"/>
  <c r="AZ22" i="24" s="1"/>
  <c r="BF22" i="24"/>
  <c r="BG22" i="24"/>
  <c r="AY166" i="24"/>
  <c r="AZ166" i="24" s="1"/>
  <c r="BG166" i="24"/>
  <c r="BF166" i="24"/>
  <c r="BF32" i="24"/>
  <c r="AY32" i="24"/>
  <c r="AZ32" i="24" s="1"/>
  <c r="BG32" i="24"/>
  <c r="BF21" i="24"/>
  <c r="BG21" i="24"/>
  <c r="AY21" i="24"/>
  <c r="AZ21" i="24" s="1"/>
  <c r="AY138" i="24"/>
  <c r="AZ138" i="24" s="1"/>
  <c r="BF138" i="24"/>
  <c r="BG138" i="24"/>
  <c r="AY168" i="24"/>
  <c r="AZ168" i="24" s="1"/>
  <c r="BF168" i="24"/>
  <c r="BG168" i="24"/>
  <c r="AY10" i="24"/>
  <c r="AZ10" i="24" s="1"/>
  <c r="BF10" i="24"/>
  <c r="BG10" i="24"/>
  <c r="BF61" i="24"/>
  <c r="AY61" i="24"/>
  <c r="AZ61" i="24" s="1"/>
  <c r="BG61" i="24"/>
  <c r="AY175" i="24"/>
  <c r="AZ175" i="24" s="1"/>
  <c r="BG175" i="24"/>
  <c r="BF175" i="24"/>
  <c r="AY11" i="24"/>
  <c r="AZ11" i="24" s="1"/>
  <c r="BG11" i="24"/>
  <c r="BF11" i="24"/>
  <c r="BF20" i="24"/>
  <c r="AY20" i="24"/>
  <c r="AZ20" i="24" s="1"/>
  <c r="BG20" i="24"/>
  <c r="BF171" i="24"/>
  <c r="BG171" i="24"/>
  <c r="AY171" i="24"/>
  <c r="AZ171" i="24" s="1"/>
  <c r="BF46" i="24"/>
  <c r="AY46" i="24"/>
  <c r="AZ46" i="24" s="1"/>
  <c r="BG46" i="24"/>
  <c r="BG210" i="24"/>
  <c r="AY210" i="24"/>
  <c r="AZ210" i="24" s="1"/>
  <c r="BF210" i="24"/>
  <c r="BF150" i="24"/>
  <c r="BG150" i="24"/>
  <c r="AY150" i="24"/>
  <c r="AZ150" i="24" s="1"/>
  <c r="BG64" i="24"/>
  <c r="BF64" i="24"/>
  <c r="AY64" i="24"/>
  <c r="AZ64" i="24" s="1"/>
  <c r="BF161" i="24"/>
  <c r="BG161" i="24"/>
  <c r="AY161" i="24"/>
  <c r="AZ161" i="24" s="1"/>
  <c r="AY28" i="24"/>
  <c r="AZ28" i="24" s="1"/>
  <c r="BG28" i="24"/>
  <c r="BF28" i="24"/>
  <c r="AY27" i="24"/>
  <c r="AZ27" i="24" s="1"/>
  <c r="BG27" i="24"/>
  <c r="BF27" i="24"/>
  <c r="BF123" i="24"/>
  <c r="BG123" i="24"/>
  <c r="AY123" i="24"/>
  <c r="AZ123" i="24" s="1"/>
  <c r="BF13" i="24"/>
  <c r="BG13" i="24"/>
  <c r="AY13" i="24"/>
  <c r="AZ13" i="24" s="1"/>
  <c r="AY184" i="24"/>
  <c r="AZ184" i="24" s="1"/>
  <c r="BG184" i="24"/>
  <c r="BF184" i="24"/>
  <c r="BG181" i="24"/>
  <c r="AY181" i="24"/>
  <c r="AZ181" i="24" s="1"/>
  <c r="BF181" i="24"/>
  <c r="BI99" i="24"/>
  <c r="BO99" i="24" s="1"/>
  <c r="BU99" i="24"/>
  <c r="BF125" i="24"/>
  <c r="AY125" i="24"/>
  <c r="AZ125" i="24" s="1"/>
  <c r="BG125" i="24"/>
  <c r="AY185" i="24"/>
  <c r="AZ185" i="24" s="1"/>
  <c r="BG185" i="24"/>
  <c r="BF185" i="24"/>
  <c r="BG9" i="24"/>
  <c r="AY9" i="24"/>
  <c r="AZ9" i="24" s="1"/>
  <c r="BF9" i="24"/>
  <c r="BF139" i="24"/>
  <c r="AY139" i="24"/>
  <c r="AZ139" i="24" s="1"/>
  <c r="BG139" i="24"/>
  <c r="BF144" i="24"/>
  <c r="BG144" i="24"/>
  <c r="AY144" i="24"/>
  <c r="AZ144" i="24" s="1"/>
  <c r="BF38" i="24"/>
  <c r="BG38" i="24"/>
  <c r="AY38" i="24"/>
  <c r="AZ38" i="24" s="1"/>
  <c r="BI149" i="24"/>
  <c r="BO149" i="24" s="1"/>
  <c r="BU149" i="24"/>
  <c r="BG193" i="24"/>
  <c r="BF193" i="24"/>
  <c r="AY193" i="24"/>
  <c r="AZ193" i="24" s="1"/>
  <c r="BG55" i="24"/>
  <c r="BF55" i="24"/>
  <c r="AY55" i="24"/>
  <c r="AZ55" i="24" s="1"/>
  <c r="BG130" i="24"/>
  <c r="AY130" i="24"/>
  <c r="AZ130" i="24" s="1"/>
  <c r="BF130" i="24"/>
  <c r="AY25" i="24"/>
  <c r="AZ25" i="24" s="1"/>
  <c r="BF25" i="24"/>
  <c r="BG25" i="24"/>
  <c r="AY200" i="24"/>
  <c r="AZ200" i="24" s="1"/>
  <c r="BG200" i="24"/>
  <c r="BF200" i="24"/>
  <c r="AY50" i="24"/>
  <c r="AZ50" i="24" s="1"/>
  <c r="BF50" i="24"/>
  <c r="BG50" i="24"/>
  <c r="AY63" i="24"/>
  <c r="AZ63" i="24" s="1"/>
  <c r="BG63" i="24"/>
  <c r="BF63" i="24"/>
  <c r="AY70" i="24"/>
  <c r="AZ70" i="24" s="1"/>
  <c r="BF70" i="24"/>
  <c r="BG70" i="24"/>
  <c r="AY73" i="24"/>
  <c r="AZ73" i="24" s="1"/>
  <c r="BG73" i="24"/>
  <c r="BF73" i="24"/>
  <c r="AY56" i="24"/>
  <c r="AZ56" i="24" s="1"/>
  <c r="BF56" i="24"/>
  <c r="BG56" i="24"/>
  <c r="BG136" i="24"/>
  <c r="AY136" i="24"/>
  <c r="AZ136" i="24" s="1"/>
  <c r="BF136" i="24"/>
  <c r="AY36" i="24"/>
  <c r="AZ36" i="24" s="1"/>
  <c r="BF36" i="24"/>
  <c r="BG36" i="24"/>
  <c r="AY182" i="24"/>
  <c r="AZ182" i="24" s="1"/>
  <c r="BG182" i="24"/>
  <c r="BF182" i="24"/>
  <c r="BF89" i="24"/>
  <c r="BG89" i="24"/>
  <c r="AY89" i="24"/>
  <c r="AZ89" i="24" s="1"/>
  <c r="AY177" i="24"/>
  <c r="AZ177" i="24" s="1"/>
  <c r="BG177" i="24"/>
  <c r="BF177" i="24"/>
  <c r="BF8" i="24"/>
  <c r="BG8" i="24"/>
  <c r="AY8" i="24"/>
  <c r="AZ8" i="24" s="1"/>
  <c r="AY186" i="24"/>
  <c r="AZ186" i="24" s="1"/>
  <c r="BF186" i="24"/>
  <c r="BG186" i="24"/>
  <c r="BG206" i="24"/>
  <c r="BF206" i="24"/>
  <c r="AY206" i="24"/>
  <c r="AZ206" i="24" s="1"/>
  <c r="BG155" i="24"/>
  <c r="AY155" i="24"/>
  <c r="AZ155" i="24" s="1"/>
  <c r="BF155" i="24"/>
  <c r="AY37" i="24"/>
  <c r="AZ37" i="24" s="1"/>
  <c r="BF37" i="24"/>
  <c r="BG37" i="24"/>
  <c r="BG157" i="24"/>
  <c r="BF157" i="24"/>
  <c r="AY157" i="24"/>
  <c r="AZ157" i="24" s="1"/>
  <c r="BI49" i="24"/>
  <c r="BO49" i="24" s="1"/>
  <c r="BU49" i="24"/>
  <c r="BF207" i="24"/>
  <c r="AY207" i="24"/>
  <c r="AZ207" i="24" s="1"/>
  <c r="BG207" i="24"/>
  <c r="AY31" i="24"/>
  <c r="AZ31" i="24" s="1"/>
  <c r="BF31" i="24"/>
  <c r="BG31" i="24"/>
  <c r="BG143" i="24"/>
  <c r="BF143" i="24"/>
  <c r="AY143" i="24"/>
  <c r="AZ143" i="24" s="1"/>
  <c r="BF148" i="24"/>
  <c r="AY148" i="24"/>
  <c r="AZ148" i="24" s="1"/>
  <c r="BG148" i="24"/>
  <c r="BG30" i="24"/>
  <c r="AY30" i="24"/>
  <c r="AZ30" i="24" s="1"/>
  <c r="BF30" i="24"/>
  <c r="BF100" i="24"/>
  <c r="BG100" i="24"/>
  <c r="AY100" i="24"/>
  <c r="AZ100" i="24" s="1"/>
  <c r="AY79" i="24"/>
  <c r="AZ79" i="24" s="1"/>
  <c r="BG79" i="24"/>
  <c r="BF79" i="24"/>
  <c r="BG152" i="24"/>
  <c r="BF152" i="24"/>
  <c r="AY152" i="24"/>
  <c r="AZ152" i="24" s="1"/>
  <c r="BG128" i="24"/>
  <c r="BF128" i="24"/>
  <c r="AY128" i="24"/>
  <c r="AZ128" i="24" s="1"/>
  <c r="BG101" i="24"/>
  <c r="AY101" i="24"/>
  <c r="AZ101" i="24" s="1"/>
  <c r="BF101" i="24"/>
  <c r="BF162" i="24"/>
  <c r="BG162" i="24"/>
  <c r="AY162" i="24"/>
  <c r="AZ162" i="24" s="1"/>
  <c r="BF48" i="24"/>
  <c r="AY48" i="24"/>
  <c r="AZ48" i="24" s="1"/>
  <c r="BG48" i="24"/>
  <c r="AY88" i="24"/>
  <c r="AZ88" i="24" s="1"/>
  <c r="BG88" i="24"/>
  <c r="BF88" i="24"/>
  <c r="AY60" i="24"/>
  <c r="AZ60" i="24" s="1"/>
  <c r="BF60" i="24"/>
  <c r="BG60" i="24"/>
  <c r="AY180" i="24"/>
  <c r="AZ180" i="24" s="1"/>
  <c r="BF180" i="24"/>
  <c r="BG180" i="24"/>
  <c r="BF187" i="24"/>
  <c r="BG187" i="24"/>
  <c r="AY187" i="24"/>
  <c r="AZ187" i="24" s="1"/>
  <c r="BF98" i="24"/>
  <c r="BG98" i="24"/>
  <c r="AY98" i="24"/>
  <c r="AZ98" i="24" s="1"/>
  <c r="BG129" i="24"/>
  <c r="BF129" i="24"/>
  <c r="AY129" i="24"/>
  <c r="AZ129" i="24" s="1"/>
  <c r="AY105" i="24"/>
  <c r="AZ105" i="24" s="1"/>
  <c r="BF105" i="24"/>
  <c r="BG105" i="24"/>
  <c r="AY59" i="24"/>
  <c r="AZ59" i="24" s="1"/>
  <c r="BF59" i="24"/>
  <c r="BG59" i="24"/>
  <c r="BG65" i="24"/>
  <c r="AY65" i="24"/>
  <c r="AZ65" i="24" s="1"/>
  <c r="BF65" i="24"/>
  <c r="BF189" i="24"/>
  <c r="AY189" i="24"/>
  <c r="AZ189" i="24" s="1"/>
  <c r="BG189" i="24"/>
  <c r="AY137" i="24"/>
  <c r="AZ137" i="24" s="1"/>
  <c r="BG137" i="24"/>
  <c r="BF137" i="24"/>
  <c r="AY117" i="24"/>
  <c r="AZ117" i="24" s="1"/>
  <c r="BG117" i="24"/>
  <c r="BF117" i="24"/>
  <c r="BU135" i="25"/>
  <c r="BH135" i="25"/>
  <c r="BN135" i="25" s="1"/>
  <c r="BG196" i="24"/>
  <c r="BF196" i="24"/>
  <c r="AY196" i="24"/>
  <c r="AZ196" i="24" s="1"/>
  <c r="BG126" i="24"/>
  <c r="AY126" i="24"/>
  <c r="AZ126" i="24" s="1"/>
  <c r="BF126" i="24"/>
  <c r="AY40" i="24"/>
  <c r="AZ40" i="24" s="1"/>
  <c r="BF40" i="24"/>
  <c r="BG40" i="24"/>
  <c r="AY102" i="24"/>
  <c r="AZ102" i="24" s="1"/>
  <c r="BF102" i="24"/>
  <c r="BG102" i="24"/>
  <c r="BF119" i="24"/>
  <c r="BG119" i="24"/>
  <c r="AY119" i="24"/>
  <c r="AZ119" i="24" s="1"/>
  <c r="BF44" i="24"/>
  <c r="BG44" i="24"/>
  <c r="AY44" i="24"/>
  <c r="AZ44" i="24" s="1"/>
  <c r="BG169" i="24"/>
  <c r="AY169" i="24"/>
  <c r="AZ169" i="24" s="1"/>
  <c r="BF169" i="24"/>
  <c r="AY17" i="24"/>
  <c r="AZ17" i="24" s="1"/>
  <c r="BF17" i="24"/>
  <c r="BG17" i="24"/>
  <c r="BF122" i="24"/>
  <c r="BG122" i="24"/>
  <c r="AY122" i="24"/>
  <c r="AZ122" i="24" s="1"/>
  <c r="AY116" i="24"/>
  <c r="AZ116" i="24" s="1"/>
  <c r="BG116" i="24"/>
  <c r="BF116" i="24"/>
  <c r="BU164" i="24"/>
  <c r="BI164" i="24"/>
  <c r="BO164" i="24" s="1"/>
  <c r="BF188" i="24"/>
  <c r="BG188" i="24"/>
  <c r="AY188" i="24"/>
  <c r="AZ188" i="24" s="1"/>
  <c r="AY118" i="24"/>
  <c r="AZ118" i="24" s="1"/>
  <c r="BG118" i="24"/>
  <c r="BF118" i="24"/>
  <c r="BG203" i="24"/>
  <c r="BF203" i="24"/>
  <c r="AY203" i="24"/>
  <c r="AZ203" i="24" s="1"/>
  <c r="BG140" i="24"/>
  <c r="BF140" i="24"/>
  <c r="AY140" i="24"/>
  <c r="AZ140" i="24" s="1"/>
  <c r="BU135" i="24"/>
  <c r="BI135" i="24"/>
  <c r="BO135" i="24" s="1"/>
  <c r="AY41" i="24"/>
  <c r="AZ41" i="24" s="1"/>
  <c r="BF41" i="24"/>
  <c r="BG41" i="24"/>
  <c r="BF96" i="24"/>
  <c r="BG96" i="24"/>
  <c r="AY96" i="24"/>
  <c r="AZ96" i="24" s="1"/>
  <c r="AY47" i="24"/>
  <c r="AZ47" i="24" s="1"/>
  <c r="BG47" i="24"/>
  <c r="BF47" i="24"/>
  <c r="BG112" i="24"/>
  <c r="AY112" i="24"/>
  <c r="AZ112" i="24" s="1"/>
  <c r="BF112" i="24"/>
  <c r="AY15" i="24"/>
  <c r="AZ15" i="24" s="1"/>
  <c r="BG15" i="24"/>
  <c r="BF15" i="24"/>
  <c r="BF19" i="24"/>
  <c r="BG19" i="24"/>
  <c r="AY19" i="24"/>
  <c r="AZ19" i="24" s="1"/>
  <c r="BF205" i="24"/>
  <c r="BG205" i="24"/>
  <c r="AY205" i="24"/>
  <c r="AZ205" i="24" s="1"/>
  <c r="BG23" i="24"/>
  <c r="BF23" i="24"/>
  <c r="AY23" i="24"/>
  <c r="AZ23" i="24" s="1"/>
  <c r="BG120" i="24"/>
  <c r="AY120" i="24"/>
  <c r="AZ120" i="24" s="1"/>
  <c r="BF120" i="24"/>
  <c r="AY197" i="24"/>
  <c r="AZ197" i="24" s="1"/>
  <c r="BG197" i="24"/>
  <c r="BF197" i="24"/>
  <c r="AY58" i="24"/>
  <c r="AZ58" i="24" s="1"/>
  <c r="BG58" i="24"/>
  <c r="BF58" i="24"/>
  <c r="AY165" i="24"/>
  <c r="AZ165" i="24" s="1"/>
  <c r="BF165" i="24"/>
  <c r="BG165" i="24"/>
  <c r="BU97" i="24"/>
  <c r="BI97" i="24"/>
  <c r="BO97" i="24" s="1"/>
  <c r="BG194" i="24"/>
  <c r="AY194" i="24"/>
  <c r="AZ194" i="24" s="1"/>
  <c r="BF194" i="24"/>
  <c r="BG195" i="24"/>
  <c r="BF195" i="24"/>
  <c r="AY195" i="24"/>
  <c r="AZ195" i="24" s="1"/>
  <c r="BG167" i="24"/>
  <c r="AY167" i="24"/>
  <c r="AZ167" i="24" s="1"/>
  <c r="BF167" i="24"/>
  <c r="BF133" i="24"/>
  <c r="BG133" i="24"/>
  <c r="AY133" i="24"/>
  <c r="AZ133" i="24" s="1"/>
  <c r="BF76" i="24"/>
  <c r="AY76" i="24"/>
  <c r="AZ76" i="24" s="1"/>
  <c r="BG76" i="24"/>
  <c r="BG131" i="24"/>
  <c r="BF131" i="24"/>
  <c r="AY131" i="24"/>
  <c r="AZ131" i="24" s="1"/>
  <c r="BG145" i="24"/>
  <c r="AY145" i="24"/>
  <c r="AZ145" i="24" s="1"/>
  <c r="BF145" i="24"/>
  <c r="AY91" i="24"/>
  <c r="AZ91" i="24" s="1"/>
  <c r="BF91" i="24"/>
  <c r="BG91" i="24"/>
  <c r="BF121" i="24"/>
  <c r="AY121" i="24"/>
  <c r="AZ121" i="24" s="1"/>
  <c r="BG121" i="24"/>
  <c r="BF53" i="24"/>
  <c r="BG53" i="24"/>
  <c r="AY53" i="24"/>
  <c r="AZ53" i="24" s="1"/>
  <c r="AY208" i="24"/>
  <c r="AZ208" i="24" s="1"/>
  <c r="BG208" i="24"/>
  <c r="BF208" i="24"/>
  <c r="BF114" i="24"/>
  <c r="BG114" i="24"/>
  <c r="AY114" i="24"/>
  <c r="AZ114" i="24" s="1"/>
  <c r="BG141" i="24"/>
  <c r="AY141" i="24"/>
  <c r="AZ141" i="24" s="1"/>
  <c r="BF141" i="24"/>
  <c r="BF7" i="24"/>
  <c r="BG7" i="24"/>
  <c r="AY7" i="24"/>
  <c r="AZ7" i="24" s="1"/>
  <c r="BG198" i="24"/>
  <c r="BF198" i="24"/>
  <c r="AY198" i="24"/>
  <c r="AZ198" i="24" s="1"/>
  <c r="BG26" i="24"/>
  <c r="BF26" i="24"/>
  <c r="AY26" i="24"/>
  <c r="AZ26" i="24" s="1"/>
  <c r="AY77" i="24"/>
  <c r="AZ77" i="24" s="1"/>
  <c r="BG77" i="24"/>
  <c r="BF77" i="24"/>
  <c r="AY43" i="24"/>
  <c r="AZ43" i="24" s="1"/>
  <c r="BG43" i="24"/>
  <c r="BF43" i="24"/>
  <c r="BG84" i="24"/>
  <c r="BF84" i="24"/>
  <c r="AY84" i="24"/>
  <c r="AZ84" i="24" s="1"/>
  <c r="BU69" i="24"/>
  <c r="BI69" i="24"/>
  <c r="BO69" i="24" s="1"/>
  <c r="BG115" i="24"/>
  <c r="BF115" i="24"/>
  <c r="AY115" i="24"/>
  <c r="AZ115" i="24" s="1"/>
  <c r="BG156" i="24"/>
  <c r="AY156" i="24"/>
  <c r="AZ156" i="24" s="1"/>
  <c r="BF156" i="24"/>
  <c r="BF42" i="24"/>
  <c r="AY42" i="24"/>
  <c r="AZ42" i="24" s="1"/>
  <c r="BG42" i="24"/>
  <c r="BF39" i="24"/>
  <c r="AY39" i="24"/>
  <c r="AZ39" i="24" s="1"/>
  <c r="BG39" i="24"/>
  <c r="AY127" i="24"/>
  <c r="AZ127" i="24" s="1"/>
  <c r="BG127" i="24"/>
  <c r="BF127" i="24"/>
  <c r="BG190" i="24"/>
  <c r="AY190" i="24"/>
  <c r="AZ190" i="24" s="1"/>
  <c r="BF190" i="24"/>
  <c r="BF90" i="24"/>
  <c r="AY90" i="24"/>
  <c r="AZ90" i="24" s="1"/>
  <c r="BG90" i="24"/>
  <c r="BF204" i="24"/>
  <c r="BG204" i="24"/>
  <c r="AY204" i="24"/>
  <c r="AZ204" i="24" s="1"/>
  <c r="AY111" i="24"/>
  <c r="AZ111" i="24" s="1"/>
  <c r="BG111" i="24"/>
  <c r="BF111" i="24"/>
  <c r="BG173" i="24"/>
  <c r="AY173" i="24"/>
  <c r="AZ173" i="24" s="1"/>
  <c r="BF173" i="24"/>
  <c r="BF183" i="24"/>
  <c r="AY183" i="24"/>
  <c r="AZ183" i="24" s="1"/>
  <c r="BG183" i="24"/>
  <c r="BG146" i="24"/>
  <c r="AY146" i="24"/>
  <c r="AZ146" i="24" s="1"/>
  <c r="BF146" i="24"/>
  <c r="BG163" i="24"/>
  <c r="BF163" i="24"/>
  <c r="AY163" i="24"/>
  <c r="AZ163" i="24" s="1"/>
  <c r="AY104" i="24"/>
  <c r="AZ104" i="24" s="1"/>
  <c r="BF104" i="24"/>
  <c r="BG104" i="24"/>
  <c r="AY81" i="24"/>
  <c r="AZ81" i="24" s="1"/>
  <c r="BF81" i="24"/>
  <c r="BG81" i="24"/>
  <c r="AY202" i="24"/>
  <c r="AZ202" i="24" s="1"/>
  <c r="BG202" i="24"/>
  <c r="BF202" i="24"/>
  <c r="BF199" i="24"/>
  <c r="BG199" i="24"/>
  <c r="AY199" i="24"/>
  <c r="AZ199" i="24" s="1"/>
  <c r="BF174" i="24"/>
  <c r="BG174" i="24"/>
  <c r="AY174" i="24"/>
  <c r="AZ174" i="24" s="1"/>
  <c r="AY68" i="24"/>
  <c r="AZ68" i="24" s="1"/>
  <c r="BF68" i="24"/>
  <c r="BG68" i="24"/>
  <c r="AY34" i="24"/>
  <c r="AZ34" i="24" s="1"/>
  <c r="BF34" i="24"/>
  <c r="BG34" i="24"/>
  <c r="AY87" i="24"/>
  <c r="AZ87" i="24" s="1"/>
  <c r="BG87" i="24"/>
  <c r="BF87" i="24"/>
  <c r="BG170" i="24"/>
  <c r="AY170" i="24"/>
  <c r="AZ170" i="24" s="1"/>
  <c r="BF170" i="24"/>
  <c r="BF153" i="24"/>
  <c r="BG153" i="24"/>
  <c r="AY153" i="24"/>
  <c r="AZ153" i="24" s="1"/>
  <c r="BG29" i="24"/>
  <c r="BF29" i="24"/>
  <c r="AY29" i="24"/>
  <c r="AZ29" i="24" s="1"/>
  <c r="BU209" i="24"/>
  <c r="BI209" i="24"/>
  <c r="BO209" i="24" s="1"/>
  <c r="BG191" i="24"/>
  <c r="BF191" i="24"/>
  <c r="AY191" i="24"/>
  <c r="AZ191" i="24" s="1"/>
  <c r="BG66" i="24"/>
  <c r="BF66" i="24"/>
  <c r="AY66" i="24"/>
  <c r="AZ66" i="24" s="1"/>
  <c r="BF78" i="24"/>
  <c r="BG78" i="24"/>
  <c r="AY78" i="24"/>
  <c r="AZ78" i="24" s="1"/>
  <c r="AY83" i="24"/>
  <c r="AZ83" i="24" s="1"/>
  <c r="BG83" i="24"/>
  <c r="BF83" i="24"/>
  <c r="AY82" i="24"/>
  <c r="AZ82" i="24" s="1"/>
  <c r="BG82" i="24"/>
  <c r="BF82" i="24"/>
  <c r="BF201" i="24"/>
  <c r="AY201" i="24"/>
  <c r="AZ201" i="24" s="1"/>
  <c r="BG201" i="24"/>
  <c r="BG103" i="24"/>
  <c r="BF103" i="24"/>
  <c r="AY103" i="24"/>
  <c r="AZ103" i="24" s="1"/>
  <c r="BF52" i="24"/>
  <c r="BG52" i="24"/>
  <c r="AY52" i="24"/>
  <c r="AZ52" i="24" s="1"/>
  <c r="AY72" i="24"/>
  <c r="AZ72" i="24" s="1"/>
  <c r="BG72" i="24"/>
  <c r="BF72" i="24"/>
  <c r="BI74" i="24"/>
  <c r="BO74" i="24" s="1"/>
  <c r="BU74" i="24"/>
  <c r="AY24" i="24"/>
  <c r="AZ24" i="24" s="1"/>
  <c r="BF24" i="24"/>
  <c r="BG24" i="24"/>
  <c r="BF132" i="24"/>
  <c r="AY132" i="24"/>
  <c r="AZ132" i="24" s="1"/>
  <c r="BG132" i="24"/>
  <c r="BF179" i="24"/>
  <c r="AY179" i="24"/>
  <c r="AZ179" i="24" s="1"/>
  <c r="BG179" i="24"/>
  <c r="AY67" i="24"/>
  <c r="AZ67" i="24" s="1"/>
  <c r="BF67" i="24"/>
  <c r="BG67" i="24"/>
  <c r="BF192" i="24"/>
  <c r="AY192" i="24"/>
  <c r="AZ192" i="24" s="1"/>
  <c r="BG192" i="24"/>
  <c r="BG159" i="24"/>
  <c r="BF159" i="24"/>
  <c r="AY159" i="24"/>
  <c r="AZ159" i="24" s="1"/>
  <c r="BG172" i="24"/>
  <c r="BF172" i="24"/>
  <c r="AY172" i="24"/>
  <c r="AZ172" i="24" s="1"/>
  <c r="AY14" i="24"/>
  <c r="AZ14" i="24" s="1"/>
  <c r="BG14" i="24"/>
  <c r="BF14" i="24"/>
  <c r="AY154" i="24"/>
  <c r="AZ154" i="24" s="1"/>
  <c r="BG154" i="24"/>
  <c r="BF154" i="24"/>
  <c r="BI12" i="24"/>
  <c r="BO12" i="24" s="1"/>
  <c r="BU12" i="24"/>
  <c r="AY6" i="24"/>
  <c r="AZ6" i="24" s="1"/>
  <c r="BF6" i="24"/>
  <c r="BG6" i="24"/>
  <c r="BG51" i="24"/>
  <c r="AY51" i="24"/>
  <c r="AZ51" i="24" s="1"/>
  <c r="BF51" i="24"/>
  <c r="BU40" i="25"/>
  <c r="BH40" i="25"/>
  <c r="BN40" i="25" s="1"/>
  <c r="BH194" i="25"/>
  <c r="BN194" i="25" s="1"/>
  <c r="BU194" i="25"/>
  <c r="BH59" i="25"/>
  <c r="BN59" i="25" s="1"/>
  <c r="BU59" i="25"/>
  <c r="BH121" i="25"/>
  <c r="BN121" i="25" s="1"/>
  <c r="BU121" i="25"/>
  <c r="BH184" i="25"/>
  <c r="BN184" i="25" s="1"/>
  <c r="BU184" i="25"/>
  <c r="BH37" i="25"/>
  <c r="BN37" i="25" s="1"/>
  <c r="BU37" i="25"/>
  <c r="BU11" i="25"/>
  <c r="BH11" i="25"/>
  <c r="BN11" i="25" s="1"/>
  <c r="BU55" i="25"/>
  <c r="BH55" i="25"/>
  <c r="BN55" i="25" s="1"/>
  <c r="BH31" i="25"/>
  <c r="BN31" i="25" s="1"/>
  <c r="BU31" i="25"/>
  <c r="BH95" i="25"/>
  <c r="BU95" i="25"/>
  <c r="BU76" i="25"/>
  <c r="BH76" i="25"/>
  <c r="BN76" i="25" s="1"/>
  <c r="BH18" i="25"/>
  <c r="BN18" i="25" s="1"/>
  <c r="BU18" i="25"/>
  <c r="BO143" i="25"/>
  <c r="BU82" i="25"/>
  <c r="BH82" i="25"/>
  <c r="BN82" i="25" s="1"/>
  <c r="BU123" i="25"/>
  <c r="BH123" i="25"/>
  <c r="BN123" i="25" s="1"/>
  <c r="BU8" i="25"/>
  <c r="BH8" i="25"/>
  <c r="BN8" i="25" s="1"/>
  <c r="BU14" i="25"/>
  <c r="BH14" i="25"/>
  <c r="BN14" i="25" s="1"/>
  <c r="BO155" i="25"/>
  <c r="BU98" i="25"/>
  <c r="BH98" i="25"/>
  <c r="BN98" i="25" s="1"/>
  <c r="BH61" i="25"/>
  <c r="BN61" i="25" s="1"/>
  <c r="BU61" i="25"/>
  <c r="BH64" i="25"/>
  <c r="BN64" i="25" s="1"/>
  <c r="BU64" i="25"/>
  <c r="BH141" i="25"/>
  <c r="BN141" i="25" s="1"/>
  <c r="BU141" i="25"/>
  <c r="BO201" i="25"/>
  <c r="BO144" i="25"/>
  <c r="BH43" i="25"/>
  <c r="BN43" i="25" s="1"/>
  <c r="BU43" i="25"/>
  <c r="BU104" i="25"/>
  <c r="BH104" i="25"/>
  <c r="BN104" i="25" s="1"/>
  <c r="BU34" i="25"/>
  <c r="BH34" i="25"/>
  <c r="BN34" i="25" s="1"/>
  <c r="BH173" i="25"/>
  <c r="BN173" i="25" s="1"/>
  <c r="BU173" i="25"/>
  <c r="BO205" i="25"/>
  <c r="BO125" i="25"/>
  <c r="BO145" i="25"/>
  <c r="BU36" i="25"/>
  <c r="BH36" i="25"/>
  <c r="BN36" i="25" s="1"/>
  <c r="BU17" i="25"/>
  <c r="BH17" i="25"/>
  <c r="BN17" i="25" s="1"/>
  <c r="BO171" i="25"/>
  <c r="BU58" i="25"/>
  <c r="BH58" i="25"/>
  <c r="BN58" i="25" s="1"/>
  <c r="BU53" i="25"/>
  <c r="BH53" i="25"/>
  <c r="BN53" i="25" s="1"/>
  <c r="BO193" i="25"/>
  <c r="BU72" i="25"/>
  <c r="BH72" i="25"/>
  <c r="BN72" i="25" s="1"/>
  <c r="BU10" i="25"/>
  <c r="BH10" i="25"/>
  <c r="BN10" i="25" s="1"/>
  <c r="BU183" i="25"/>
  <c r="BH183" i="25"/>
  <c r="BN183" i="25" s="1"/>
  <c r="BU39" i="25"/>
  <c r="BH39" i="25"/>
  <c r="BN39" i="25" s="1"/>
  <c r="BU38" i="25"/>
  <c r="BH38" i="25"/>
  <c r="BN38" i="25" s="1"/>
  <c r="BO115" i="25"/>
  <c r="BH88" i="25"/>
  <c r="BN88" i="25" s="1"/>
  <c r="BU88" i="25"/>
  <c r="BU65" i="25"/>
  <c r="BH65" i="25"/>
  <c r="BN65" i="25" s="1"/>
  <c r="BO136" i="25"/>
  <c r="BH35" i="25"/>
  <c r="BN35" i="25" s="1"/>
  <c r="BU35" i="25"/>
  <c r="BU57" i="25"/>
  <c r="BH57" i="25"/>
  <c r="BN57" i="25" s="1"/>
  <c r="BH44" i="25"/>
  <c r="BN44" i="25" s="1"/>
  <c r="BU44" i="25"/>
  <c r="BU62" i="25"/>
  <c r="BH62" i="25"/>
  <c r="BN62" i="25" s="1"/>
  <c r="BU81" i="25"/>
  <c r="BH81" i="25"/>
  <c r="BN81" i="25" s="1"/>
  <c r="BO158" i="25"/>
  <c r="BH97" i="25"/>
  <c r="BN97" i="25" s="1"/>
  <c r="BU97" i="25"/>
  <c r="BU113" i="25"/>
  <c r="BH113" i="25"/>
  <c r="BN113" i="25" s="1"/>
  <c r="BO188" i="25"/>
  <c r="BU66" i="25"/>
  <c r="BH66" i="25"/>
  <c r="BN66" i="25" s="1"/>
  <c r="BO165" i="25"/>
  <c r="BH130" i="25"/>
  <c r="BN130" i="25" s="1"/>
  <c r="BU130" i="25"/>
  <c r="BH86" i="25"/>
  <c r="BN86" i="25" s="1"/>
  <c r="BU86" i="25"/>
  <c r="BH56" i="25"/>
  <c r="BN56" i="25" s="1"/>
  <c r="BU56" i="25"/>
  <c r="BU16" i="25"/>
  <c r="BH16" i="25"/>
  <c r="BN16" i="25" s="1"/>
  <c r="BO186" i="25"/>
  <c r="BO160" i="25"/>
  <c r="BU20" i="25"/>
  <c r="BH20" i="25"/>
  <c r="BN20" i="25" s="1"/>
  <c r="BU12" i="25"/>
  <c r="BH12" i="25"/>
  <c r="BN12" i="25" s="1"/>
  <c r="BH159" i="25"/>
  <c r="BN159" i="25" s="1"/>
  <c r="BU159" i="25"/>
  <c r="BO164" i="25"/>
  <c r="BU69" i="25"/>
  <c r="BH69" i="25"/>
  <c r="BN69" i="25" s="1"/>
  <c r="BH208" i="25"/>
  <c r="BN208" i="25" s="1"/>
  <c r="BU208" i="25"/>
  <c r="BH84" i="25"/>
  <c r="BN84" i="25" s="1"/>
  <c r="BU84" i="25"/>
  <c r="BU182" i="25"/>
  <c r="BH182" i="25"/>
  <c r="BN182" i="25" s="1"/>
  <c r="BH140" i="25"/>
  <c r="BN140" i="25" s="1"/>
  <c r="BU140" i="25"/>
  <c r="BU41" i="25"/>
  <c r="BH41" i="25"/>
  <c r="BN41" i="25" s="1"/>
  <c r="BU45" i="25"/>
  <c r="BH45" i="25"/>
  <c r="BN45" i="25" s="1"/>
  <c r="BO102" i="25"/>
  <c r="BH79" i="25"/>
  <c r="BN79" i="25" s="1"/>
  <c r="BU79" i="25"/>
  <c r="BU96" i="25"/>
  <c r="BH96" i="25"/>
  <c r="BN96" i="25" s="1"/>
  <c r="BU89" i="25"/>
  <c r="BH89" i="25"/>
  <c r="BN89" i="25" s="1"/>
  <c r="BH15" i="25"/>
  <c r="BN15" i="25" s="1"/>
  <c r="BU15" i="25"/>
  <c r="BU13" i="25"/>
  <c r="BH13" i="25"/>
  <c r="BN13" i="25" s="1"/>
  <c r="BU6" i="25"/>
  <c r="BH6" i="25"/>
  <c r="BN6" i="25" s="1"/>
  <c r="BO204" i="25"/>
  <c r="BO161" i="25"/>
  <c r="BU179" i="25"/>
  <c r="BH179" i="25"/>
  <c r="BN179" i="25" s="1"/>
  <c r="BO196" i="25"/>
  <c r="BO124" i="25"/>
  <c r="BU75" i="25"/>
  <c r="BH75" i="25"/>
  <c r="BN75" i="25" s="1"/>
  <c r="BO175" i="25"/>
  <c r="BH80" i="25"/>
  <c r="BN80" i="25" s="1"/>
  <c r="BU80" i="25"/>
  <c r="BO206" i="25"/>
  <c r="BH200" i="25"/>
  <c r="BN200" i="25" s="1"/>
  <c r="BU200" i="25"/>
  <c r="BH7" i="25"/>
  <c r="BN7" i="25" s="1"/>
  <c r="BU7" i="25"/>
  <c r="BH63" i="25"/>
  <c r="BN63" i="25" s="1"/>
  <c r="BU63" i="25"/>
  <c r="BU28" i="25"/>
  <c r="BH28" i="25"/>
  <c r="BN28" i="25" s="1"/>
  <c r="BH87" i="25"/>
  <c r="BN87" i="25" s="1"/>
  <c r="BU87" i="25"/>
  <c r="BH153" i="25"/>
  <c r="BN153" i="25" s="1"/>
  <c r="BU153" i="25"/>
  <c r="BU23" i="25"/>
  <c r="BH23" i="25"/>
  <c r="BN23" i="25" s="1"/>
  <c r="BH47" i="25"/>
  <c r="BN47" i="25" s="1"/>
  <c r="BU47" i="25"/>
  <c r="BO168" i="25"/>
  <c r="BO129" i="25"/>
  <c r="BU105" i="25"/>
  <c r="BH105" i="25"/>
  <c r="BN105" i="25" s="1"/>
  <c r="BU60" i="25"/>
  <c r="BH60" i="25"/>
  <c r="BN60" i="25" s="1"/>
  <c r="BU33" i="25"/>
  <c r="BH33" i="25"/>
  <c r="BN33" i="25" s="1"/>
  <c r="BO177" i="25"/>
  <c r="BU134" i="25"/>
  <c r="BH134" i="25"/>
  <c r="BN134" i="25" s="1"/>
  <c r="BO142" i="25"/>
  <c r="BU131" i="25"/>
  <c r="BH131" i="25"/>
  <c r="BN131" i="25" s="1"/>
  <c r="BO150" i="25"/>
  <c r="BO111" i="25"/>
  <c r="BO176" i="25"/>
  <c r="BU19" i="25"/>
  <c r="BH19" i="25"/>
  <c r="BN19" i="25" s="1"/>
  <c r="BO151" i="25"/>
  <c r="BH67" i="25"/>
  <c r="BN67" i="25" s="1"/>
  <c r="BU67" i="25"/>
  <c r="BO207" i="25"/>
  <c r="BU70" i="25"/>
  <c r="BH70" i="25"/>
  <c r="BN70" i="25" s="1"/>
  <c r="BO203" i="25"/>
  <c r="BO157" i="25"/>
  <c r="BO148" i="25"/>
  <c r="BO185" i="25"/>
  <c r="BU30" i="25"/>
  <c r="BH30" i="25"/>
  <c r="BN30" i="25" s="1"/>
  <c r="BU103" i="25"/>
  <c r="BH103" i="25"/>
  <c r="BN103" i="25" s="1"/>
  <c r="BU29" i="25"/>
  <c r="BH29" i="25"/>
  <c r="BU25" i="25"/>
  <c r="BH25" i="25"/>
  <c r="BN25" i="25" s="1"/>
  <c r="BU52" i="25"/>
  <c r="BH52" i="25"/>
  <c r="BN52" i="25" s="1"/>
  <c r="BU73" i="25"/>
  <c r="BH73" i="25"/>
  <c r="BN73" i="25" s="1"/>
  <c r="BH48" i="25"/>
  <c r="BN48" i="25" s="1"/>
  <c r="BU48" i="25"/>
  <c r="BO138" i="25"/>
  <c r="BH190" i="25"/>
  <c r="BN190" i="25" s="1"/>
  <c r="BU190" i="25"/>
  <c r="BH100" i="25"/>
  <c r="BN100" i="25" s="1"/>
  <c r="BU100" i="25"/>
  <c r="BO178" i="25"/>
  <c r="BU92" i="25"/>
  <c r="BH92" i="25"/>
  <c r="BN92" i="25" s="1"/>
  <c r="BU46" i="25"/>
  <c r="BH46" i="25"/>
  <c r="BN46" i="25" s="1"/>
  <c r="BO119" i="25"/>
  <c r="BO172" i="25"/>
  <c r="BU32" i="25"/>
  <c r="BH32" i="25"/>
  <c r="BN32" i="25" s="1"/>
  <c r="BU26" i="25"/>
  <c r="BH26" i="25"/>
  <c r="BH85" i="25"/>
  <c r="BN85" i="25" s="1"/>
  <c r="BU85" i="25"/>
  <c r="BU21" i="25"/>
  <c r="BH21" i="25"/>
  <c r="BN21" i="25" s="1"/>
  <c r="BH152" i="25"/>
  <c r="BN152" i="25" s="1"/>
  <c r="BU152" i="25"/>
  <c r="BO199" i="25"/>
  <c r="BH116" i="25"/>
  <c r="BN116" i="25" s="1"/>
  <c r="BU116" i="25"/>
  <c r="BO149" i="25"/>
  <c r="BU68" i="25"/>
  <c r="BH68" i="25"/>
  <c r="BN68" i="25" s="1"/>
  <c r="BU42" i="25"/>
  <c r="BH42" i="25"/>
  <c r="BN42" i="25" s="1"/>
  <c r="BU99" i="25"/>
  <c r="BH99" i="25"/>
  <c r="BN99" i="25" s="1"/>
  <c r="BO191" i="25"/>
  <c r="BO202" i="25"/>
  <c r="BO174" i="25"/>
  <c r="BU49" i="25"/>
  <c r="BH49" i="25"/>
  <c r="BN49" i="25" s="1"/>
  <c r="BO156" i="25"/>
  <c r="BO181" i="25"/>
  <c r="BO209" i="25"/>
  <c r="BH133" i="25"/>
  <c r="BN133" i="25" s="1"/>
  <c r="BU133" i="25"/>
  <c r="BO163" i="25"/>
  <c r="BH50" i="25"/>
  <c r="BN50" i="25" s="1"/>
  <c r="BU50" i="25"/>
  <c r="BH9" i="25"/>
  <c r="BU9" i="25"/>
  <c r="BU94" i="25"/>
  <c r="BH94" i="25"/>
  <c r="BN94" i="25" s="1"/>
  <c r="BO198" i="25"/>
  <c r="BH24" i="25"/>
  <c r="BN24" i="25" s="1"/>
  <c r="BU24" i="25"/>
  <c r="BH118" i="25"/>
  <c r="BN118" i="25" s="1"/>
  <c r="BU118" i="25"/>
  <c r="BH189" i="25"/>
  <c r="BN189" i="25" s="1"/>
  <c r="BU189" i="25"/>
  <c r="BH110" i="25"/>
  <c r="BN110" i="25" s="1"/>
  <c r="BU110" i="25"/>
  <c r="BU101" i="25"/>
  <c r="BH101" i="25"/>
  <c r="BN101" i="25" s="1"/>
  <c r="BU154" i="25"/>
  <c r="BH154" i="25"/>
  <c r="BN154" i="25" s="1"/>
  <c r="BU22" i="25"/>
  <c r="BH22" i="25"/>
  <c r="BN22" i="25" s="1"/>
  <c r="BU83" i="25"/>
  <c r="BH83" i="25"/>
  <c r="BN83" i="25" s="1"/>
  <c r="BU27" i="25"/>
  <c r="BH27" i="25"/>
  <c r="BN27" i="25" s="1"/>
  <c r="BO126" i="25"/>
  <c r="BO169" i="25"/>
  <c r="BU78" i="25"/>
  <c r="BH78" i="25"/>
  <c r="BN78" i="25" s="1"/>
  <c r="BH77" i="25"/>
  <c r="BN77" i="25" s="1"/>
  <c r="BU77" i="25"/>
  <c r="BO195" i="25"/>
  <c r="BO127" i="25"/>
  <c r="BU74" i="25"/>
  <c r="BH74" i="25"/>
  <c r="BN74" i="25" s="1"/>
  <c r="BO162" i="25"/>
  <c r="BH91" i="25"/>
  <c r="BN91" i="25" s="1"/>
  <c r="BU91" i="25"/>
  <c r="BO166" i="25"/>
  <c r="BO147" i="25"/>
  <c r="BU71" i="25"/>
  <c r="BH71" i="25"/>
  <c r="BN71" i="25" s="1"/>
  <c r="BO170" i="25"/>
  <c r="BU90" i="25"/>
  <c r="BH90" i="25"/>
  <c r="BN90" i="25" s="1"/>
  <c r="BO122" i="25"/>
  <c r="BH54" i="25"/>
  <c r="BN54" i="25" s="1"/>
  <c r="BU54" i="25"/>
  <c r="BU139" i="25"/>
  <c r="BH139" i="25"/>
  <c r="BN139" i="25" s="1"/>
  <c r="BU120" i="25"/>
  <c r="BH120" i="25"/>
  <c r="BN120" i="25" s="1"/>
  <c r="BU51" i="25"/>
  <c r="BH51" i="25"/>
  <c r="BN51" i="25" s="1"/>
  <c r="BH93" i="25"/>
  <c r="BN93" i="25" s="1"/>
  <c r="BU93" i="25"/>
  <c r="BO132" i="25"/>
  <c r="BY136" i="25" l="1"/>
  <c r="CC136" i="25" s="1"/>
  <c r="CE136" i="25" s="1"/>
  <c r="CF136" i="25" s="1"/>
  <c r="BU92" i="24"/>
  <c r="BX92" i="24" s="1"/>
  <c r="BZ92" i="24" s="1"/>
  <c r="BO117" i="25"/>
  <c r="BO167" i="25"/>
  <c r="BU5" i="25"/>
  <c r="BV5" i="25"/>
  <c r="CC117" i="25"/>
  <c r="CE117" i="25" s="1"/>
  <c r="CF117" i="25" s="1"/>
  <c r="CF168" i="25"/>
  <c r="CJ168" i="25"/>
  <c r="CF127" i="25"/>
  <c r="CJ127" i="25"/>
  <c r="CF188" i="25"/>
  <c r="CJ188" i="25"/>
  <c r="CF206" i="25"/>
  <c r="CJ206" i="25"/>
  <c r="BY165" i="25"/>
  <c r="CB165" i="25" s="1"/>
  <c r="CF132" i="25"/>
  <c r="CJ132" i="25"/>
  <c r="CF170" i="25"/>
  <c r="CJ170" i="25"/>
  <c r="CF125" i="25"/>
  <c r="CJ125" i="25"/>
  <c r="CF160" i="25"/>
  <c r="CJ160" i="25"/>
  <c r="CF147" i="25"/>
  <c r="CJ147" i="25"/>
  <c r="BI158" i="24"/>
  <c r="BO158" i="24" s="1"/>
  <c r="CA5" i="24"/>
  <c r="CC5" i="24" s="1"/>
  <c r="CD5" i="24" s="1"/>
  <c r="BO146" i="25"/>
  <c r="BZ160" i="24"/>
  <c r="BX93" i="24"/>
  <c r="BZ93" i="24" s="1"/>
  <c r="CF122" i="25"/>
  <c r="CJ122" i="25"/>
  <c r="CF162" i="25"/>
  <c r="CJ162" i="25"/>
  <c r="CF126" i="25"/>
  <c r="CJ126" i="25"/>
  <c r="CF171" i="25"/>
  <c r="CJ171" i="25"/>
  <c r="CF143" i="25"/>
  <c r="CJ143" i="25"/>
  <c r="CF185" i="25"/>
  <c r="CJ185" i="25"/>
  <c r="BZ158" i="25"/>
  <c r="CB158" i="25" s="1"/>
  <c r="BO128" i="25"/>
  <c r="CC128" i="25"/>
  <c r="CE128" i="25" s="1"/>
  <c r="CF128" i="25" s="1"/>
  <c r="BT20" i="25"/>
  <c r="BT22" i="25"/>
  <c r="BT85" i="25"/>
  <c r="BT38" i="25"/>
  <c r="BT105" i="25"/>
  <c r="BT53" i="25"/>
  <c r="BT26" i="25"/>
  <c r="BT31" i="25"/>
  <c r="BT65" i="25"/>
  <c r="BT74" i="25"/>
  <c r="BT12" i="25"/>
  <c r="BT92" i="25"/>
  <c r="BT6" i="25"/>
  <c r="BT55" i="25"/>
  <c r="BT98" i="25"/>
  <c r="BT49" i="25"/>
  <c r="BT52" i="25"/>
  <c r="BT43" i="25"/>
  <c r="BT82" i="25"/>
  <c r="BT67" i="25"/>
  <c r="BT63" i="25"/>
  <c r="BT61" i="25"/>
  <c r="BT103" i="25"/>
  <c r="BT9" i="25"/>
  <c r="BT18" i="25"/>
  <c r="BT90" i="25"/>
  <c r="BT5" i="25"/>
  <c r="BT24" i="25"/>
  <c r="BT13" i="25"/>
  <c r="BT75" i="25"/>
  <c r="BT73" i="25"/>
  <c r="BT23" i="25"/>
  <c r="BT81" i="25"/>
  <c r="BT8" i="25"/>
  <c r="BT34" i="25"/>
  <c r="BT16" i="25"/>
  <c r="BT62" i="25"/>
  <c r="BT94" i="25"/>
  <c r="BT100" i="25"/>
  <c r="BT41" i="25"/>
  <c r="BT88" i="25"/>
  <c r="BT15" i="25"/>
  <c r="BT32" i="25"/>
  <c r="BT11" i="25"/>
  <c r="BT57" i="25"/>
  <c r="BT77" i="25"/>
  <c r="BT21" i="25"/>
  <c r="BT104" i="25"/>
  <c r="BT86" i="25"/>
  <c r="BT64" i="25"/>
  <c r="BT56" i="25"/>
  <c r="BT40" i="25"/>
  <c r="BT89" i="25"/>
  <c r="BT28" i="25"/>
  <c r="BT30" i="25"/>
  <c r="BT96" i="25"/>
  <c r="BT83" i="25"/>
  <c r="BT50" i="25"/>
  <c r="BT68" i="25"/>
  <c r="BY164" i="25"/>
  <c r="CC164" i="25" s="1"/>
  <c r="CE164" i="25" s="1"/>
  <c r="CF164" i="25" s="1"/>
  <c r="BT37" i="25"/>
  <c r="BT58" i="25"/>
  <c r="BT36" i="25"/>
  <c r="BT71" i="25"/>
  <c r="BT91" i="25"/>
  <c r="BT44" i="25"/>
  <c r="BY186" i="25"/>
  <c r="CC186" i="25" s="1"/>
  <c r="CE186" i="25" s="1"/>
  <c r="CJ186" i="25" s="1"/>
  <c r="CF148" i="25"/>
  <c r="CJ148" i="25"/>
  <c r="CF209" i="25"/>
  <c r="CJ209" i="25"/>
  <c r="CF169" i="25"/>
  <c r="CJ169" i="25"/>
  <c r="BO187" i="25"/>
  <c r="CF157" i="25"/>
  <c r="CJ157" i="25"/>
  <c r="CF195" i="25"/>
  <c r="CJ195" i="25"/>
  <c r="CF161" i="25"/>
  <c r="CJ161" i="25"/>
  <c r="BY199" i="25"/>
  <c r="CC199" i="25" s="1"/>
  <c r="CE199" i="25" s="1"/>
  <c r="BZ158" i="24"/>
  <c r="CF151" i="25"/>
  <c r="CJ151" i="25"/>
  <c r="CF145" i="25"/>
  <c r="CJ145" i="25"/>
  <c r="BV192" i="24"/>
  <c r="BQ192" i="24"/>
  <c r="BT192" i="24" s="1"/>
  <c r="BV127" i="24"/>
  <c r="BQ127" i="24"/>
  <c r="BT127" i="24" s="1"/>
  <c r="BV194" i="24"/>
  <c r="BQ194" i="24"/>
  <c r="BT194" i="24" s="1"/>
  <c r="BV118" i="24"/>
  <c r="BQ118" i="24"/>
  <c r="BT118" i="24" s="1"/>
  <c r="BV116" i="24"/>
  <c r="BQ116" i="24"/>
  <c r="BT116" i="24" s="1"/>
  <c r="BV117" i="24"/>
  <c r="BQ117" i="24"/>
  <c r="BT117" i="24" s="1"/>
  <c r="BV187" i="24"/>
  <c r="BQ187" i="24"/>
  <c r="BT187" i="24" s="1"/>
  <c r="BV128" i="24"/>
  <c r="BQ128" i="24"/>
  <c r="BT128" i="24" s="1"/>
  <c r="BV144" i="24"/>
  <c r="BQ144" i="24"/>
  <c r="BT144" i="24" s="1"/>
  <c r="BV176" i="24"/>
  <c r="BQ176" i="24"/>
  <c r="BT176" i="24" s="1"/>
  <c r="BV132" i="24"/>
  <c r="BQ132" i="24"/>
  <c r="BT132" i="24" s="1"/>
  <c r="BV174" i="24"/>
  <c r="BQ174" i="24"/>
  <c r="BT174" i="24" s="1"/>
  <c r="BV163" i="24"/>
  <c r="BQ163" i="24"/>
  <c r="BT163" i="24" s="1"/>
  <c r="BV208" i="24"/>
  <c r="BQ208" i="24"/>
  <c r="BT208" i="24" s="1"/>
  <c r="BV131" i="24"/>
  <c r="BQ131" i="24"/>
  <c r="BT131" i="24" s="1"/>
  <c r="BV126" i="24"/>
  <c r="BQ126" i="24"/>
  <c r="BT126" i="24" s="1"/>
  <c r="BV162" i="24"/>
  <c r="BQ162" i="24"/>
  <c r="BT162" i="24" s="1"/>
  <c r="BV193" i="24"/>
  <c r="BQ193" i="24"/>
  <c r="BT193" i="24" s="1"/>
  <c r="BV185" i="24"/>
  <c r="BQ185" i="24"/>
  <c r="BT185" i="24" s="1"/>
  <c r="BV166" i="24"/>
  <c r="BQ166" i="24"/>
  <c r="BT166" i="24" s="1"/>
  <c r="BV134" i="24"/>
  <c r="BZ134" i="24" s="1"/>
  <c r="BQ134" i="24"/>
  <c r="BT134" i="24" s="1"/>
  <c r="BV149" i="24"/>
  <c r="BZ149" i="24" s="1"/>
  <c r="BQ149" i="24"/>
  <c r="BT149" i="24" s="1"/>
  <c r="BV201" i="24"/>
  <c r="BQ201" i="24"/>
  <c r="BT201" i="24" s="1"/>
  <c r="BV153" i="24"/>
  <c r="BQ153" i="24"/>
  <c r="BT153" i="24" s="1"/>
  <c r="BV173" i="24"/>
  <c r="BQ173" i="24"/>
  <c r="BT173" i="24" s="1"/>
  <c r="BV156" i="24"/>
  <c r="BQ156" i="24"/>
  <c r="BT156" i="24" s="1"/>
  <c r="BV167" i="24"/>
  <c r="BQ167" i="24"/>
  <c r="BT167" i="24" s="1"/>
  <c r="BV197" i="24"/>
  <c r="BQ197" i="24"/>
  <c r="BT197" i="24" s="1"/>
  <c r="BV169" i="24"/>
  <c r="BQ169" i="24"/>
  <c r="BT169" i="24" s="1"/>
  <c r="BV180" i="24"/>
  <c r="BQ180" i="24"/>
  <c r="BT180" i="24" s="1"/>
  <c r="BV143" i="24"/>
  <c r="BQ143" i="24"/>
  <c r="BT143" i="24" s="1"/>
  <c r="BV139" i="24"/>
  <c r="BQ139" i="24"/>
  <c r="BT139" i="24" s="1"/>
  <c r="BV181" i="24"/>
  <c r="BQ181" i="24"/>
  <c r="BT181" i="24" s="1"/>
  <c r="BV123" i="24"/>
  <c r="BQ123" i="24"/>
  <c r="BT123" i="24" s="1"/>
  <c r="BV150" i="24"/>
  <c r="BQ150" i="24"/>
  <c r="BT150" i="24" s="1"/>
  <c r="BV135" i="24"/>
  <c r="BZ135" i="24" s="1"/>
  <c r="BQ135" i="24"/>
  <c r="BT135" i="24" s="1"/>
  <c r="BV191" i="24"/>
  <c r="BQ191" i="24"/>
  <c r="BT191" i="24" s="1"/>
  <c r="BV165" i="24"/>
  <c r="BQ165" i="24"/>
  <c r="BT165" i="24" s="1"/>
  <c r="BV205" i="24"/>
  <c r="BQ205" i="24"/>
  <c r="BT205" i="24" s="1"/>
  <c r="BV140" i="24"/>
  <c r="BQ140" i="24"/>
  <c r="BT140" i="24" s="1"/>
  <c r="BV188" i="24"/>
  <c r="BQ188" i="24"/>
  <c r="BT188" i="24" s="1"/>
  <c r="BV122" i="24"/>
  <c r="BQ122" i="24"/>
  <c r="BT122" i="24" s="1"/>
  <c r="BV137" i="24"/>
  <c r="BQ137" i="24"/>
  <c r="BT137" i="24" s="1"/>
  <c r="BV129" i="24"/>
  <c r="BQ129" i="24"/>
  <c r="BT129" i="24" s="1"/>
  <c r="BV152" i="24"/>
  <c r="BQ152" i="24"/>
  <c r="BT152" i="24" s="1"/>
  <c r="BV155" i="24"/>
  <c r="BQ155" i="24"/>
  <c r="BT155" i="24" s="1"/>
  <c r="BV136" i="24"/>
  <c r="BQ136" i="24"/>
  <c r="BT136" i="24" s="1"/>
  <c r="BV130" i="24"/>
  <c r="BQ130" i="24"/>
  <c r="BT130" i="24" s="1"/>
  <c r="BV125" i="24"/>
  <c r="BQ125" i="24"/>
  <c r="BT125" i="24" s="1"/>
  <c r="BV161" i="24"/>
  <c r="BQ161" i="24"/>
  <c r="BT161" i="24" s="1"/>
  <c r="BV171" i="24"/>
  <c r="BQ171" i="24"/>
  <c r="BT171" i="24" s="1"/>
  <c r="BV151" i="24"/>
  <c r="BZ151" i="24" s="1"/>
  <c r="BQ151" i="24"/>
  <c r="BT151" i="24" s="1"/>
  <c r="BV209" i="24"/>
  <c r="BQ209" i="24"/>
  <c r="BT209" i="24" s="1"/>
  <c r="BV172" i="24"/>
  <c r="BQ172" i="24"/>
  <c r="BT172" i="24" s="1"/>
  <c r="BV199" i="24"/>
  <c r="BQ199" i="24"/>
  <c r="BT199" i="24" s="1"/>
  <c r="BV146" i="24"/>
  <c r="BQ146" i="24"/>
  <c r="BT146" i="24" s="1"/>
  <c r="BV111" i="24"/>
  <c r="BQ111" i="24"/>
  <c r="BT111" i="24" s="1"/>
  <c r="BV141" i="24"/>
  <c r="BQ141" i="24"/>
  <c r="BT141" i="24" s="1"/>
  <c r="BV196" i="24"/>
  <c r="BQ196" i="24"/>
  <c r="BT196" i="24" s="1"/>
  <c r="BV182" i="24"/>
  <c r="BQ182" i="24"/>
  <c r="BT182" i="24" s="1"/>
  <c r="BV200" i="24"/>
  <c r="BQ200" i="24"/>
  <c r="BT200" i="24" s="1"/>
  <c r="BV184" i="24"/>
  <c r="BQ184" i="24"/>
  <c r="BT184" i="24" s="1"/>
  <c r="BV175" i="24"/>
  <c r="BQ175" i="24"/>
  <c r="BT175" i="24" s="1"/>
  <c r="BV168" i="24"/>
  <c r="BQ168" i="24"/>
  <c r="BT168" i="24" s="1"/>
  <c r="BV113" i="24"/>
  <c r="BQ113" i="24"/>
  <c r="BT113" i="24" s="1"/>
  <c r="BV154" i="24"/>
  <c r="BQ154" i="24"/>
  <c r="BT154" i="24" s="1"/>
  <c r="BV183" i="24"/>
  <c r="BQ183" i="24"/>
  <c r="BT183" i="24" s="1"/>
  <c r="BV115" i="24"/>
  <c r="BQ115" i="24"/>
  <c r="BT115" i="24" s="1"/>
  <c r="BV195" i="24"/>
  <c r="BQ195" i="24"/>
  <c r="BT195" i="24" s="1"/>
  <c r="BV112" i="24"/>
  <c r="BQ112" i="24"/>
  <c r="BT112" i="24" s="1"/>
  <c r="BV189" i="24"/>
  <c r="BQ189" i="24"/>
  <c r="BT189" i="24" s="1"/>
  <c r="BV148" i="24"/>
  <c r="BQ148" i="24"/>
  <c r="BT148" i="24" s="1"/>
  <c r="BV157" i="24"/>
  <c r="BQ157" i="24"/>
  <c r="BT157" i="24" s="1"/>
  <c r="BV164" i="24"/>
  <c r="BZ164" i="24" s="1"/>
  <c r="BQ164" i="24"/>
  <c r="BT164" i="24" s="1"/>
  <c r="BV179" i="24"/>
  <c r="BQ179" i="24"/>
  <c r="BT179" i="24" s="1"/>
  <c r="BV170" i="24"/>
  <c r="BQ170" i="24"/>
  <c r="BT170" i="24" s="1"/>
  <c r="BV190" i="24"/>
  <c r="BQ190" i="24"/>
  <c r="BT190" i="24" s="1"/>
  <c r="BV198" i="24"/>
  <c r="BQ198" i="24"/>
  <c r="BT198" i="24" s="1"/>
  <c r="BV114" i="24"/>
  <c r="BQ114" i="24"/>
  <c r="BT114" i="24" s="1"/>
  <c r="BV121" i="24"/>
  <c r="BQ121" i="24"/>
  <c r="BT121" i="24" s="1"/>
  <c r="BV145" i="24"/>
  <c r="BQ145" i="24"/>
  <c r="BT145" i="24" s="1"/>
  <c r="BV133" i="24"/>
  <c r="BQ133" i="24"/>
  <c r="BT133" i="24" s="1"/>
  <c r="BV120" i="24"/>
  <c r="BQ120" i="24"/>
  <c r="BT120" i="24" s="1"/>
  <c r="BV203" i="24"/>
  <c r="BQ203" i="24"/>
  <c r="BT203" i="24" s="1"/>
  <c r="BV207" i="24"/>
  <c r="BQ207" i="24"/>
  <c r="BT207" i="24" s="1"/>
  <c r="BV206" i="24"/>
  <c r="BQ206" i="24"/>
  <c r="BT206" i="24" s="1"/>
  <c r="BV177" i="24"/>
  <c r="BQ177" i="24"/>
  <c r="BT177" i="24" s="1"/>
  <c r="BV210" i="24"/>
  <c r="BQ210" i="24"/>
  <c r="BT210" i="24" s="1"/>
  <c r="BV124" i="24"/>
  <c r="BQ124" i="24"/>
  <c r="BT124" i="24" s="1"/>
  <c r="BV159" i="24"/>
  <c r="BQ159" i="24"/>
  <c r="BT159" i="24" s="1"/>
  <c r="BV202" i="24"/>
  <c r="BQ202" i="24"/>
  <c r="BT202" i="24" s="1"/>
  <c r="BV204" i="24"/>
  <c r="BQ204" i="24"/>
  <c r="BT204" i="24" s="1"/>
  <c r="BV119" i="24"/>
  <c r="BQ119" i="24"/>
  <c r="BT119" i="24" s="1"/>
  <c r="BV186" i="24"/>
  <c r="BQ186" i="24"/>
  <c r="BT186" i="24" s="1"/>
  <c r="BV138" i="24"/>
  <c r="BQ138" i="24"/>
  <c r="BT138" i="24" s="1"/>
  <c r="BV147" i="24"/>
  <c r="BZ147" i="24" s="1"/>
  <c r="BQ147" i="24"/>
  <c r="BT147" i="24" s="1"/>
  <c r="BV142" i="24"/>
  <c r="BZ142" i="24" s="1"/>
  <c r="BQ142" i="24"/>
  <c r="BT142" i="24" s="1"/>
  <c r="BX94" i="24"/>
  <c r="BZ94" i="24" s="1"/>
  <c r="BV72" i="24"/>
  <c r="BQ72" i="24"/>
  <c r="BT72" i="24" s="1"/>
  <c r="BV34" i="24"/>
  <c r="BQ34" i="24"/>
  <c r="BT34" i="24" s="1"/>
  <c r="BV39" i="24"/>
  <c r="BQ39" i="24"/>
  <c r="BT39" i="24" s="1"/>
  <c r="BV84" i="24"/>
  <c r="BQ84" i="24"/>
  <c r="BT84" i="24" s="1"/>
  <c r="BV76" i="24"/>
  <c r="BQ76" i="24"/>
  <c r="BT76" i="24" s="1"/>
  <c r="BV96" i="24"/>
  <c r="BQ96" i="24"/>
  <c r="BT96" i="24" s="1"/>
  <c r="BV65" i="24"/>
  <c r="BQ65" i="24"/>
  <c r="BT65" i="24" s="1"/>
  <c r="BV70" i="24"/>
  <c r="BQ70" i="24"/>
  <c r="BT70" i="24" s="1"/>
  <c r="BV95" i="24"/>
  <c r="BQ95" i="24"/>
  <c r="BT95" i="24" s="1"/>
  <c r="BV74" i="24"/>
  <c r="BX74" i="24" s="1"/>
  <c r="BZ74" i="24" s="1"/>
  <c r="BQ74" i="24"/>
  <c r="BT74" i="24" s="1"/>
  <c r="BV67" i="24"/>
  <c r="BQ67" i="24"/>
  <c r="BT67" i="24" s="1"/>
  <c r="BV26" i="24"/>
  <c r="BQ26" i="24"/>
  <c r="BT26" i="24" s="1"/>
  <c r="BV59" i="24"/>
  <c r="BQ59" i="24"/>
  <c r="BT59" i="24" s="1"/>
  <c r="BV88" i="24"/>
  <c r="BQ88" i="24"/>
  <c r="BT88" i="24" s="1"/>
  <c r="BV31" i="24"/>
  <c r="BQ31" i="24"/>
  <c r="BT31" i="24" s="1"/>
  <c r="BV8" i="24"/>
  <c r="BQ8" i="24"/>
  <c r="BT8" i="24" s="1"/>
  <c r="BV21" i="24"/>
  <c r="BQ21" i="24"/>
  <c r="BT21" i="24" s="1"/>
  <c r="BV22" i="24"/>
  <c r="BQ22" i="24"/>
  <c r="BT22" i="24" s="1"/>
  <c r="BV54" i="24"/>
  <c r="BQ54" i="24"/>
  <c r="BT54" i="24" s="1"/>
  <c r="BV24" i="24"/>
  <c r="BQ24" i="24"/>
  <c r="BT24" i="24" s="1"/>
  <c r="BV78" i="24"/>
  <c r="BQ78" i="24"/>
  <c r="BT78" i="24" s="1"/>
  <c r="BV104" i="24"/>
  <c r="BQ104" i="24"/>
  <c r="BT104" i="24" s="1"/>
  <c r="BV43" i="24"/>
  <c r="BQ43" i="24"/>
  <c r="BT43" i="24" s="1"/>
  <c r="BV53" i="24"/>
  <c r="BQ53" i="24"/>
  <c r="BT53" i="24" s="1"/>
  <c r="BV41" i="24"/>
  <c r="BQ41" i="24"/>
  <c r="BT41" i="24" s="1"/>
  <c r="BV44" i="24"/>
  <c r="BQ44" i="24"/>
  <c r="BT44" i="24" s="1"/>
  <c r="BV40" i="24"/>
  <c r="BQ40" i="24"/>
  <c r="BT40" i="24" s="1"/>
  <c r="BV30" i="24"/>
  <c r="BQ30" i="24"/>
  <c r="BT30" i="24" s="1"/>
  <c r="BV56" i="24"/>
  <c r="BQ56" i="24"/>
  <c r="BT56" i="24" s="1"/>
  <c r="BV18" i="24"/>
  <c r="BQ18" i="24"/>
  <c r="BT18" i="24" s="1"/>
  <c r="BV71" i="24"/>
  <c r="BQ71" i="24"/>
  <c r="BT71" i="24" s="1"/>
  <c r="BV97" i="24"/>
  <c r="BX97" i="24" s="1"/>
  <c r="BZ97" i="24" s="1"/>
  <c r="BQ97" i="24"/>
  <c r="BT97" i="24" s="1"/>
  <c r="BV52" i="24"/>
  <c r="BQ52" i="24"/>
  <c r="BT52" i="24" s="1"/>
  <c r="BV68" i="24"/>
  <c r="BQ68" i="24"/>
  <c r="BT68" i="24" s="1"/>
  <c r="BV42" i="24"/>
  <c r="BQ42" i="24"/>
  <c r="BT42" i="24" s="1"/>
  <c r="BV17" i="24"/>
  <c r="BQ17" i="24"/>
  <c r="BT17" i="24" s="1"/>
  <c r="BV98" i="24"/>
  <c r="BQ98" i="24"/>
  <c r="BT98" i="24" s="1"/>
  <c r="BV60" i="24"/>
  <c r="BQ60" i="24"/>
  <c r="BT60" i="24" s="1"/>
  <c r="BV48" i="24"/>
  <c r="BQ48" i="24"/>
  <c r="BT48" i="24" s="1"/>
  <c r="BV101" i="24"/>
  <c r="BQ101" i="24"/>
  <c r="BT101" i="24" s="1"/>
  <c r="BV79" i="24"/>
  <c r="BQ79" i="24"/>
  <c r="BT79" i="24" s="1"/>
  <c r="BV38" i="24"/>
  <c r="BQ38" i="24"/>
  <c r="BT38" i="24" s="1"/>
  <c r="BV27" i="24"/>
  <c r="BQ27" i="24"/>
  <c r="BT27" i="24" s="1"/>
  <c r="BV20" i="24"/>
  <c r="BQ20" i="24"/>
  <c r="BT20" i="24" s="1"/>
  <c r="BV32" i="24"/>
  <c r="BQ32" i="24"/>
  <c r="BT32" i="24" s="1"/>
  <c r="BV75" i="24"/>
  <c r="BQ75" i="24"/>
  <c r="BT75" i="24" s="1"/>
  <c r="BV51" i="24"/>
  <c r="BQ51" i="24"/>
  <c r="BT51" i="24" s="1"/>
  <c r="BV82" i="24"/>
  <c r="BQ82" i="24"/>
  <c r="BT82" i="24" s="1"/>
  <c r="BV19" i="24"/>
  <c r="BQ19" i="24"/>
  <c r="BT19" i="24" s="1"/>
  <c r="BV105" i="24"/>
  <c r="BQ105" i="24"/>
  <c r="BT105" i="24" s="1"/>
  <c r="BV37" i="24"/>
  <c r="BQ37" i="24"/>
  <c r="BT37" i="24" s="1"/>
  <c r="BV36" i="24"/>
  <c r="BQ36" i="24"/>
  <c r="BT36" i="24" s="1"/>
  <c r="BV63" i="24"/>
  <c r="BQ63" i="24"/>
  <c r="BT63" i="24" s="1"/>
  <c r="BV25" i="24"/>
  <c r="BQ25" i="24"/>
  <c r="BT25" i="24" s="1"/>
  <c r="BV55" i="24"/>
  <c r="BQ55" i="24"/>
  <c r="BT55" i="24" s="1"/>
  <c r="BV61" i="24"/>
  <c r="BQ61" i="24"/>
  <c r="BT61" i="24" s="1"/>
  <c r="BV62" i="24"/>
  <c r="BQ62" i="24"/>
  <c r="BT62" i="24" s="1"/>
  <c r="BV45" i="24"/>
  <c r="BQ45" i="24"/>
  <c r="BT45" i="24" s="1"/>
  <c r="BV12" i="24"/>
  <c r="BX12" i="24" s="1"/>
  <c r="BZ12" i="24" s="1"/>
  <c r="BQ12" i="24"/>
  <c r="BT12" i="24" s="1"/>
  <c r="BV16" i="24"/>
  <c r="BQ16" i="24"/>
  <c r="BT16" i="24" s="1"/>
  <c r="BV6" i="24"/>
  <c r="BQ6" i="24"/>
  <c r="BT6" i="24" s="1"/>
  <c r="BV77" i="24"/>
  <c r="BQ77" i="24"/>
  <c r="BT77" i="24" s="1"/>
  <c r="BV58" i="24"/>
  <c r="BQ58" i="24"/>
  <c r="BT58" i="24" s="1"/>
  <c r="BV47" i="24"/>
  <c r="BQ47" i="24"/>
  <c r="BT47" i="24" s="1"/>
  <c r="BV9" i="24"/>
  <c r="BQ9" i="24"/>
  <c r="BT9" i="24" s="1"/>
  <c r="BV13" i="24"/>
  <c r="BQ13" i="24"/>
  <c r="BT13" i="24" s="1"/>
  <c r="BV64" i="24"/>
  <c r="BQ64" i="24"/>
  <c r="BT64" i="24" s="1"/>
  <c r="BV46" i="24"/>
  <c r="BQ46" i="24"/>
  <c r="BT46" i="24" s="1"/>
  <c r="BV86" i="24"/>
  <c r="BQ86" i="24"/>
  <c r="BT86" i="24" s="1"/>
  <c r="BV49" i="24"/>
  <c r="BX49" i="24" s="1"/>
  <c r="BZ49" i="24" s="1"/>
  <c r="BQ49" i="24"/>
  <c r="BT49" i="24" s="1"/>
  <c r="BV57" i="24"/>
  <c r="BQ57" i="24"/>
  <c r="BT57" i="24" s="1"/>
  <c r="BV85" i="24"/>
  <c r="BQ85" i="24"/>
  <c r="BT85" i="24" s="1"/>
  <c r="BV99" i="24"/>
  <c r="BX99" i="24" s="1"/>
  <c r="BZ99" i="24" s="1"/>
  <c r="BQ99" i="24"/>
  <c r="BT99" i="24" s="1"/>
  <c r="BV14" i="24"/>
  <c r="BQ14" i="24"/>
  <c r="BT14" i="24" s="1"/>
  <c r="BV66" i="24"/>
  <c r="BQ66" i="24"/>
  <c r="BT66" i="24" s="1"/>
  <c r="BV29" i="24"/>
  <c r="BQ29" i="24"/>
  <c r="BT29" i="24" s="1"/>
  <c r="BV87" i="24"/>
  <c r="BQ87" i="24"/>
  <c r="BT87" i="24" s="1"/>
  <c r="BV7" i="24"/>
  <c r="BQ7" i="24"/>
  <c r="BT7" i="24" s="1"/>
  <c r="BV100" i="24"/>
  <c r="BQ100" i="24"/>
  <c r="BT100" i="24" s="1"/>
  <c r="BV73" i="24"/>
  <c r="BQ73" i="24"/>
  <c r="BT73" i="24" s="1"/>
  <c r="BV50" i="24"/>
  <c r="BQ50" i="24"/>
  <c r="BT50" i="24" s="1"/>
  <c r="BV28" i="24"/>
  <c r="BQ28" i="24"/>
  <c r="BT28" i="24" s="1"/>
  <c r="BV103" i="24"/>
  <c r="BQ103" i="24"/>
  <c r="BT103" i="24" s="1"/>
  <c r="BV83" i="24"/>
  <c r="BQ83" i="24"/>
  <c r="BT83" i="24" s="1"/>
  <c r="BV81" i="24"/>
  <c r="BQ81" i="24"/>
  <c r="BT81" i="24" s="1"/>
  <c r="BV90" i="24"/>
  <c r="BQ90" i="24"/>
  <c r="BT90" i="24" s="1"/>
  <c r="BV91" i="24"/>
  <c r="BQ91" i="24"/>
  <c r="BT91" i="24" s="1"/>
  <c r="BV23" i="24"/>
  <c r="BQ23" i="24"/>
  <c r="BT23" i="24" s="1"/>
  <c r="BV15" i="24"/>
  <c r="BQ15" i="24"/>
  <c r="BT15" i="24" s="1"/>
  <c r="BV102" i="24"/>
  <c r="BQ102" i="24"/>
  <c r="BT102" i="24" s="1"/>
  <c r="BV89" i="24"/>
  <c r="BQ89" i="24"/>
  <c r="BT89" i="24" s="1"/>
  <c r="BV11" i="24"/>
  <c r="BQ11" i="24"/>
  <c r="BT11" i="24" s="1"/>
  <c r="BV10" i="24"/>
  <c r="BQ10" i="24"/>
  <c r="BT10" i="24" s="1"/>
  <c r="BV33" i="24"/>
  <c r="BQ33" i="24"/>
  <c r="BT33" i="24" s="1"/>
  <c r="BV69" i="24"/>
  <c r="BX69" i="24" s="1"/>
  <c r="BZ69" i="24" s="1"/>
  <c r="BQ69" i="24"/>
  <c r="BT69" i="24" s="1"/>
  <c r="BO114" i="25"/>
  <c r="BO137" i="25"/>
  <c r="CC187" i="25"/>
  <c r="CE187" i="25" s="1"/>
  <c r="CF187" i="25" s="1"/>
  <c r="CC146" i="25"/>
  <c r="CE146" i="25" s="1"/>
  <c r="CF146" i="25" s="1"/>
  <c r="CJ164" i="25"/>
  <c r="CF156" i="25"/>
  <c r="CJ156" i="25"/>
  <c r="BY111" i="25"/>
  <c r="CC111" i="25" s="1"/>
  <c r="CE111" i="25" s="1"/>
  <c r="BY176" i="25"/>
  <c r="CC176" i="25" s="1"/>
  <c r="CE176" i="25" s="1"/>
  <c r="CB149" i="25"/>
  <c r="CC114" i="25"/>
  <c r="CE114" i="25" s="1"/>
  <c r="CF114" i="25" s="1"/>
  <c r="BO112" i="25"/>
  <c r="CB193" i="25"/>
  <c r="CB144" i="25"/>
  <c r="CC112" i="25"/>
  <c r="CE112" i="25" s="1"/>
  <c r="CB174" i="25"/>
  <c r="CB198" i="25"/>
  <c r="BU95" i="24"/>
  <c r="CC193" i="25"/>
  <c r="CE193" i="25" s="1"/>
  <c r="CB167" i="25"/>
  <c r="CF201" i="25"/>
  <c r="CJ201" i="25"/>
  <c r="CF155" i="25"/>
  <c r="CJ155" i="25"/>
  <c r="BO197" i="25"/>
  <c r="CB142" i="25"/>
  <c r="CC198" i="25"/>
  <c r="CE198" i="25" s="1"/>
  <c r="CB197" i="25"/>
  <c r="CB177" i="25"/>
  <c r="BY192" i="25"/>
  <c r="CB192" i="25" s="1"/>
  <c r="CC144" i="25"/>
  <c r="CE144" i="25" s="1"/>
  <c r="CB172" i="25"/>
  <c r="CB138" i="25"/>
  <c r="CB115" i="25"/>
  <c r="CC149" i="25"/>
  <c r="CE149" i="25" s="1"/>
  <c r="CB163" i="25"/>
  <c r="CB155" i="25"/>
  <c r="CB166" i="25"/>
  <c r="CB146" i="25"/>
  <c r="CB209" i="25"/>
  <c r="CC172" i="25"/>
  <c r="CE172" i="25" s="1"/>
  <c r="CB119" i="25"/>
  <c r="CB168" i="25"/>
  <c r="CB191" i="25"/>
  <c r="CC197" i="25"/>
  <c r="CE197" i="25" s="1"/>
  <c r="CB161" i="25"/>
  <c r="CC102" i="25"/>
  <c r="CE102" i="25" s="1"/>
  <c r="BU35" i="24"/>
  <c r="BX35" i="24" s="1"/>
  <c r="BZ35" i="24" s="1"/>
  <c r="CB181" i="25"/>
  <c r="CB185" i="25"/>
  <c r="CB206" i="25"/>
  <c r="CB124" i="25"/>
  <c r="CB207" i="25"/>
  <c r="CC177" i="25"/>
  <c r="CE177" i="25" s="1"/>
  <c r="CB203" i="25"/>
  <c r="CB196" i="25"/>
  <c r="CB178" i="25"/>
  <c r="CB169" i="25"/>
  <c r="CB187" i="25"/>
  <c r="CB202" i="25"/>
  <c r="CB129" i="25"/>
  <c r="CB157" i="25"/>
  <c r="CB171" i="25"/>
  <c r="CB175" i="25"/>
  <c r="CB114" i="25"/>
  <c r="CB137" i="25"/>
  <c r="CB204" i="25"/>
  <c r="CB151" i="25"/>
  <c r="CB112" i="25"/>
  <c r="CB128" i="25"/>
  <c r="CB205" i="25"/>
  <c r="CB201" i="25"/>
  <c r="CB188" i="25"/>
  <c r="CB122" i="25"/>
  <c r="CB148" i="25"/>
  <c r="CB143" i="25"/>
  <c r="CC158" i="25"/>
  <c r="CE158" i="25" s="1"/>
  <c r="CC167" i="25"/>
  <c r="CE167" i="25" s="1"/>
  <c r="CF167" i="25" s="1"/>
  <c r="BZ131" i="25"/>
  <c r="BY131" i="25"/>
  <c r="CC131" i="25" s="1"/>
  <c r="CE131" i="25" s="1"/>
  <c r="BZ182" i="25"/>
  <c r="BY182" i="25"/>
  <c r="CC182" i="25" s="1"/>
  <c r="CE182" i="25" s="1"/>
  <c r="BY20" i="25"/>
  <c r="CB20" i="25" s="1"/>
  <c r="BZ20" i="25"/>
  <c r="BY16" i="25"/>
  <c r="CB16" i="25" s="1"/>
  <c r="BZ16" i="25"/>
  <c r="BY39" i="25"/>
  <c r="CB39" i="25" s="1"/>
  <c r="BZ39" i="25"/>
  <c r="BY72" i="25"/>
  <c r="CB72" i="25" s="1"/>
  <c r="BZ72" i="25"/>
  <c r="BY34" i="25"/>
  <c r="CB34" i="25" s="1"/>
  <c r="BZ34" i="25"/>
  <c r="BY98" i="25"/>
  <c r="CB98" i="25" s="1"/>
  <c r="BZ98" i="25"/>
  <c r="BZ123" i="25"/>
  <c r="BY123" i="25"/>
  <c r="CC123" i="25" s="1"/>
  <c r="CE123" i="25" s="1"/>
  <c r="CF123" i="25" s="1"/>
  <c r="BY76" i="25"/>
  <c r="CB76" i="25" s="1"/>
  <c r="BZ76" i="25"/>
  <c r="BY11" i="25"/>
  <c r="CB11" i="25" s="1"/>
  <c r="BZ11" i="25"/>
  <c r="BZ120" i="25"/>
  <c r="BY120" i="25"/>
  <c r="BY90" i="25"/>
  <c r="CB90" i="25" s="1"/>
  <c r="BZ90" i="25"/>
  <c r="BY74" i="25"/>
  <c r="CB74" i="25" s="1"/>
  <c r="BZ74" i="25"/>
  <c r="BY78" i="25"/>
  <c r="CB78" i="25" s="1"/>
  <c r="BZ78" i="25"/>
  <c r="BY83" i="25"/>
  <c r="CB83" i="25" s="1"/>
  <c r="BZ83" i="25"/>
  <c r="BY68" i="25"/>
  <c r="CB68" i="25" s="1"/>
  <c r="BZ68" i="25"/>
  <c r="BY32" i="25"/>
  <c r="CB32" i="25" s="1"/>
  <c r="BZ32" i="25"/>
  <c r="BY92" i="25"/>
  <c r="CB92" i="25" s="1"/>
  <c r="BZ92" i="25"/>
  <c r="BY25" i="25"/>
  <c r="CB25" i="25" s="1"/>
  <c r="BZ25" i="25"/>
  <c r="BY70" i="25"/>
  <c r="CB70" i="25" s="1"/>
  <c r="BZ70" i="25"/>
  <c r="BY19" i="25"/>
  <c r="CB19" i="25" s="1"/>
  <c r="BZ19" i="25"/>
  <c r="BY87" i="25"/>
  <c r="CB87" i="25" s="1"/>
  <c r="BZ87" i="25"/>
  <c r="BY7" i="25"/>
  <c r="CB7" i="25" s="1"/>
  <c r="BZ7" i="25"/>
  <c r="BY84" i="25"/>
  <c r="CB84" i="25" s="1"/>
  <c r="BZ84" i="25"/>
  <c r="BY56" i="25"/>
  <c r="CB56" i="25" s="1"/>
  <c r="BZ56" i="25"/>
  <c r="BY88" i="25"/>
  <c r="CB88" i="25" s="1"/>
  <c r="BZ88" i="25"/>
  <c r="BZ141" i="25"/>
  <c r="BY141" i="25"/>
  <c r="CC141" i="25" s="1"/>
  <c r="CE141" i="25" s="1"/>
  <c r="BY95" i="25"/>
  <c r="CB95" i="25" s="1"/>
  <c r="BZ95" i="25"/>
  <c r="BY37" i="25"/>
  <c r="CB37" i="25" s="1"/>
  <c r="BZ37" i="25"/>
  <c r="BZ194" i="25"/>
  <c r="BY194" i="25"/>
  <c r="BZ135" i="25"/>
  <c r="BY135" i="25"/>
  <c r="CC135" i="25" s="1"/>
  <c r="CE135" i="25" s="1"/>
  <c r="BZ180" i="25"/>
  <c r="BY180" i="25"/>
  <c r="CC181" i="25"/>
  <c r="CE181" i="25" s="1"/>
  <c r="CB126" i="25"/>
  <c r="CC137" i="25"/>
  <c r="CE137" i="25" s="1"/>
  <c r="CC174" i="25"/>
  <c r="CE174" i="25" s="1"/>
  <c r="CF174" i="25" s="1"/>
  <c r="BY33" i="25"/>
  <c r="CB33" i="25" s="1"/>
  <c r="BZ33" i="25"/>
  <c r="BY69" i="25"/>
  <c r="CB69" i="25" s="1"/>
  <c r="BZ69" i="25"/>
  <c r="BZ189" i="25"/>
  <c r="BY189" i="25"/>
  <c r="CC189" i="25" s="1"/>
  <c r="CE189" i="25" s="1"/>
  <c r="BY48" i="25"/>
  <c r="CB48" i="25" s="1"/>
  <c r="BZ48" i="25"/>
  <c r="BY60" i="25"/>
  <c r="CB60" i="25" s="1"/>
  <c r="BZ60" i="25"/>
  <c r="BZ179" i="25"/>
  <c r="BY179" i="25"/>
  <c r="CC179" i="25" s="1"/>
  <c r="CE179" i="25" s="1"/>
  <c r="BY13" i="25"/>
  <c r="CB13" i="25" s="1"/>
  <c r="BZ13" i="25"/>
  <c r="BY96" i="25"/>
  <c r="CB96" i="25" s="1"/>
  <c r="BZ96" i="25"/>
  <c r="BY45" i="25"/>
  <c r="CB45" i="25" s="1"/>
  <c r="BZ45" i="25"/>
  <c r="BY66" i="25"/>
  <c r="CB66" i="25" s="1"/>
  <c r="BZ66" i="25"/>
  <c r="BY57" i="25"/>
  <c r="CB57" i="25" s="1"/>
  <c r="BZ57" i="25"/>
  <c r="BY104" i="25"/>
  <c r="CB104" i="25" s="1"/>
  <c r="BZ104" i="25"/>
  <c r="BY82" i="25"/>
  <c r="CB82" i="25" s="1"/>
  <c r="BZ82" i="25"/>
  <c r="CC115" i="25"/>
  <c r="CE115" i="25" s="1"/>
  <c r="CF115" i="25" s="1"/>
  <c r="CC142" i="25"/>
  <c r="CE142" i="25" s="1"/>
  <c r="CC202" i="25"/>
  <c r="CE202" i="25" s="1"/>
  <c r="CF202" i="25" s="1"/>
  <c r="CC203" i="25"/>
  <c r="CE203" i="25" s="1"/>
  <c r="CF203" i="25" s="1"/>
  <c r="BY47" i="25"/>
  <c r="CB47" i="25" s="1"/>
  <c r="BZ47" i="25"/>
  <c r="BZ200" i="25"/>
  <c r="BY200" i="25"/>
  <c r="CC200" i="25" s="1"/>
  <c r="CE200" i="25" s="1"/>
  <c r="BY15" i="25"/>
  <c r="CB15" i="25" s="1"/>
  <c r="BZ15" i="25"/>
  <c r="BY79" i="25"/>
  <c r="CB79" i="25" s="1"/>
  <c r="BZ79" i="25"/>
  <c r="BZ208" i="25"/>
  <c r="BY208" i="25"/>
  <c r="BZ159" i="25"/>
  <c r="BY159" i="25"/>
  <c r="CC159" i="25" s="1"/>
  <c r="CE159" i="25" s="1"/>
  <c r="BY86" i="25"/>
  <c r="CB86" i="25" s="1"/>
  <c r="BZ86" i="25"/>
  <c r="BY35" i="25"/>
  <c r="CB35" i="25" s="1"/>
  <c r="BZ35" i="25"/>
  <c r="BY43" i="25"/>
  <c r="CB43" i="25" s="1"/>
  <c r="BZ43" i="25"/>
  <c r="BY64" i="25"/>
  <c r="CB64" i="25" s="1"/>
  <c r="BZ64" i="25"/>
  <c r="BY31" i="25"/>
  <c r="CB31" i="25" s="1"/>
  <c r="BZ31" i="25"/>
  <c r="BZ184" i="25"/>
  <c r="BY184" i="25"/>
  <c r="CC184" i="25" s="1"/>
  <c r="CE184" i="25" s="1"/>
  <c r="BZ150" i="25"/>
  <c r="BY150" i="25"/>
  <c r="CC150" i="25" s="1"/>
  <c r="CE150" i="25" s="1"/>
  <c r="CC119" i="25"/>
  <c r="CE119" i="25" s="1"/>
  <c r="CB125" i="25"/>
  <c r="CB156" i="25"/>
  <c r="BY21" i="25"/>
  <c r="CB21" i="25" s="1"/>
  <c r="BZ21" i="25"/>
  <c r="BY54" i="25"/>
  <c r="CB54" i="25" s="1"/>
  <c r="BZ54" i="25"/>
  <c r="BZ183" i="25"/>
  <c r="BY183" i="25"/>
  <c r="CC183" i="25" s="1"/>
  <c r="CE183" i="25" s="1"/>
  <c r="BY53" i="25"/>
  <c r="CB53" i="25" s="1"/>
  <c r="BZ53" i="25"/>
  <c r="BY17" i="25"/>
  <c r="CB17" i="25" s="1"/>
  <c r="BZ17" i="25"/>
  <c r="BY14" i="25"/>
  <c r="CB14" i="25" s="1"/>
  <c r="BZ14" i="25"/>
  <c r="BY40" i="25"/>
  <c r="CB40" i="25" s="1"/>
  <c r="BZ40" i="25"/>
  <c r="BZ210" i="25"/>
  <c r="BY210" i="25"/>
  <c r="CC210" i="25" s="1"/>
  <c r="CE210" i="25" s="1"/>
  <c r="CB160" i="25"/>
  <c r="CC178" i="25"/>
  <c r="CE178" i="25" s="1"/>
  <c r="CB162" i="25"/>
  <c r="CB127" i="25"/>
  <c r="CC207" i="25"/>
  <c r="CE207" i="25" s="1"/>
  <c r="CF207" i="25" s="1"/>
  <c r="CC205" i="25"/>
  <c r="CE205" i="25" s="1"/>
  <c r="BY50" i="25"/>
  <c r="CB50" i="25" s="1"/>
  <c r="BZ50" i="25"/>
  <c r="BZ139" i="25"/>
  <c r="BY139" i="25"/>
  <c r="BY29" i="25"/>
  <c r="CB29" i="25" s="1"/>
  <c r="BZ29" i="25"/>
  <c r="BZ118" i="25"/>
  <c r="BY118" i="25"/>
  <c r="CC118" i="25" s="1"/>
  <c r="CE118" i="25" s="1"/>
  <c r="CF118" i="25" s="1"/>
  <c r="BZ133" i="25"/>
  <c r="BY133" i="25"/>
  <c r="BZ116" i="25"/>
  <c r="BY116" i="25"/>
  <c r="CC116" i="25" s="1"/>
  <c r="CE116" i="25" s="1"/>
  <c r="CF116" i="25" s="1"/>
  <c r="BY81" i="25"/>
  <c r="CB81" i="25" s="1"/>
  <c r="BZ81" i="25"/>
  <c r="BY71" i="25"/>
  <c r="CB71" i="25" s="1"/>
  <c r="BZ71" i="25"/>
  <c r="BZ154" i="25"/>
  <c r="BY154" i="25"/>
  <c r="BY94" i="25"/>
  <c r="CB94" i="25" s="1"/>
  <c r="BZ94" i="25"/>
  <c r="BY49" i="25"/>
  <c r="CB49" i="25" s="1"/>
  <c r="BZ49" i="25"/>
  <c r="BY99" i="25"/>
  <c r="CB99" i="25" s="1"/>
  <c r="BZ99" i="25"/>
  <c r="BY73" i="25"/>
  <c r="CB73" i="25" s="1"/>
  <c r="BZ73" i="25"/>
  <c r="BY103" i="25"/>
  <c r="CB103" i="25" s="1"/>
  <c r="BZ103" i="25"/>
  <c r="BZ140" i="25"/>
  <c r="BY140" i="25"/>
  <c r="BZ130" i="25"/>
  <c r="BY130" i="25"/>
  <c r="CC130" i="25" s="1"/>
  <c r="CE130" i="25" s="1"/>
  <c r="BZ173" i="25"/>
  <c r="BY173" i="25"/>
  <c r="CC173" i="25" s="1"/>
  <c r="CE173" i="25" s="1"/>
  <c r="BY61" i="25"/>
  <c r="CB61" i="25" s="1"/>
  <c r="BZ61" i="25"/>
  <c r="BY18" i="25"/>
  <c r="CB18" i="25" s="1"/>
  <c r="BZ18" i="25"/>
  <c r="BZ121" i="25"/>
  <c r="BY121" i="25"/>
  <c r="CB170" i="25"/>
  <c r="CB147" i="25"/>
  <c r="CB132" i="25"/>
  <c r="BY93" i="25"/>
  <c r="CB93" i="25" s="1"/>
  <c r="BZ93" i="25"/>
  <c r="BY91" i="25"/>
  <c r="CB91" i="25" s="1"/>
  <c r="BZ91" i="25"/>
  <c r="BY85" i="25"/>
  <c r="CB85" i="25" s="1"/>
  <c r="BZ85" i="25"/>
  <c r="BY100" i="25"/>
  <c r="CB100" i="25" s="1"/>
  <c r="BZ100" i="25"/>
  <c r="BY75" i="25"/>
  <c r="CB75" i="25" s="1"/>
  <c r="BZ75" i="25"/>
  <c r="BY28" i="25"/>
  <c r="CB28" i="25" s="1"/>
  <c r="BZ28" i="25"/>
  <c r="BY12" i="25"/>
  <c r="CB12" i="25" s="1"/>
  <c r="BZ12" i="25"/>
  <c r="BZ113" i="25"/>
  <c r="BY113" i="25"/>
  <c r="CC113" i="25" s="1"/>
  <c r="CE113" i="25" s="1"/>
  <c r="CF113" i="25" s="1"/>
  <c r="BY62" i="25"/>
  <c r="CB62" i="25" s="1"/>
  <c r="BZ62" i="25"/>
  <c r="BY38" i="25"/>
  <c r="CB38" i="25" s="1"/>
  <c r="BZ38" i="25"/>
  <c r="BY10" i="25"/>
  <c r="CB10" i="25" s="1"/>
  <c r="BZ10" i="25"/>
  <c r="BY58" i="25"/>
  <c r="CB58" i="25" s="1"/>
  <c r="BZ58" i="25"/>
  <c r="BY36" i="25"/>
  <c r="CB36" i="25" s="1"/>
  <c r="BZ36" i="25"/>
  <c r="BY8" i="25"/>
  <c r="CB8" i="25" s="1"/>
  <c r="BZ8" i="25"/>
  <c r="BY55" i="25"/>
  <c r="CB55" i="25" s="1"/>
  <c r="BZ55" i="25"/>
  <c r="CC163" i="25"/>
  <c r="CE163" i="25" s="1"/>
  <c r="CC138" i="25"/>
  <c r="CE138" i="25" s="1"/>
  <c r="CF138" i="25" s="1"/>
  <c r="CB195" i="25"/>
  <c r="BZ110" i="25"/>
  <c r="BY110" i="25"/>
  <c r="BZ152" i="25"/>
  <c r="BY152" i="25"/>
  <c r="CC152" i="25" s="1"/>
  <c r="CE152" i="25" s="1"/>
  <c r="BY22" i="25"/>
  <c r="CB22" i="25" s="1"/>
  <c r="BZ22" i="25"/>
  <c r="BY67" i="25"/>
  <c r="CB67" i="25" s="1"/>
  <c r="BZ67" i="25"/>
  <c r="BZ134" i="25"/>
  <c r="BY134" i="25"/>
  <c r="BY105" i="25"/>
  <c r="CB105" i="25" s="1"/>
  <c r="BZ105" i="25"/>
  <c r="BY41" i="25"/>
  <c r="CB41" i="25" s="1"/>
  <c r="BZ41" i="25"/>
  <c r="BY77" i="25"/>
  <c r="CB77" i="25" s="1"/>
  <c r="BZ77" i="25"/>
  <c r="BY24" i="25"/>
  <c r="CB24" i="25" s="1"/>
  <c r="BZ24" i="25"/>
  <c r="BY9" i="25"/>
  <c r="CB9" i="25" s="1"/>
  <c r="BZ9" i="25"/>
  <c r="BZ190" i="25"/>
  <c r="BY190" i="25"/>
  <c r="CC190" i="25" s="1"/>
  <c r="CE190" i="25" s="1"/>
  <c r="BY23" i="25"/>
  <c r="CB23" i="25" s="1"/>
  <c r="BZ23" i="25"/>
  <c r="BY89" i="25"/>
  <c r="CB89" i="25" s="1"/>
  <c r="BZ89" i="25"/>
  <c r="BY51" i="25"/>
  <c r="CB51" i="25" s="1"/>
  <c r="BZ51" i="25"/>
  <c r="BY27" i="25"/>
  <c r="CB27" i="25" s="1"/>
  <c r="BZ27" i="25"/>
  <c r="BY101" i="25"/>
  <c r="CB101" i="25" s="1"/>
  <c r="BZ101" i="25"/>
  <c r="BY42" i="25"/>
  <c r="CB42" i="25" s="1"/>
  <c r="BZ42" i="25"/>
  <c r="BY26" i="25"/>
  <c r="CB26" i="25" s="1"/>
  <c r="BZ26" i="25"/>
  <c r="BY46" i="25"/>
  <c r="CB46" i="25" s="1"/>
  <c r="BZ46" i="25"/>
  <c r="BY52" i="25"/>
  <c r="CB52" i="25" s="1"/>
  <c r="BZ52" i="25"/>
  <c r="BY30" i="25"/>
  <c r="CB30" i="25" s="1"/>
  <c r="BZ30" i="25"/>
  <c r="BZ153" i="25"/>
  <c r="BY153" i="25"/>
  <c r="BY63" i="25"/>
  <c r="CB63" i="25" s="1"/>
  <c r="BZ63" i="25"/>
  <c r="BY80" i="25"/>
  <c r="CB80" i="25" s="1"/>
  <c r="BZ80" i="25"/>
  <c r="BY97" i="25"/>
  <c r="CB97" i="25" s="1"/>
  <c r="BZ97" i="25"/>
  <c r="BY44" i="25"/>
  <c r="CB44" i="25" s="1"/>
  <c r="BZ44" i="25"/>
  <c r="BY59" i="25"/>
  <c r="CB59" i="25" s="1"/>
  <c r="BZ59" i="25"/>
  <c r="CB145" i="25"/>
  <c r="BY6" i="25"/>
  <c r="CB6" i="25" s="1"/>
  <c r="BZ6" i="25"/>
  <c r="BY65" i="25"/>
  <c r="CB65" i="25" s="1"/>
  <c r="BZ65" i="25"/>
  <c r="CB117" i="25"/>
  <c r="CJ203" i="25"/>
  <c r="CF175" i="25"/>
  <c r="CJ175" i="25"/>
  <c r="CJ165" i="25"/>
  <c r="CJ146" i="25"/>
  <c r="BN26" i="25"/>
  <c r="BN9" i="25"/>
  <c r="BI93" i="24"/>
  <c r="BO93" i="24" s="1"/>
  <c r="BP93" i="24" s="1"/>
  <c r="BU71" i="24"/>
  <c r="BN29" i="25"/>
  <c r="CJ167" i="25"/>
  <c r="BN95" i="25"/>
  <c r="BU124" i="24"/>
  <c r="B130" i="2"/>
  <c r="BU16" i="24"/>
  <c r="BI147" i="24"/>
  <c r="BI151" i="24"/>
  <c r="CJ136" i="25"/>
  <c r="BU85" i="24"/>
  <c r="BU18" i="24"/>
  <c r="BU57" i="24"/>
  <c r="BU45" i="24"/>
  <c r="BI134" i="24"/>
  <c r="BI160" i="24"/>
  <c r="BI142" i="24"/>
  <c r="CF196" i="25"/>
  <c r="CJ196" i="25"/>
  <c r="BI94" i="24"/>
  <c r="BO180" i="25"/>
  <c r="BU80" i="24"/>
  <c r="BX80" i="24" s="1"/>
  <c r="BZ80" i="24" s="1"/>
  <c r="BU113" i="24"/>
  <c r="BO210" i="25"/>
  <c r="CJ174" i="25"/>
  <c r="BU178" i="24"/>
  <c r="BZ178" i="24" s="1"/>
  <c r="CF166" i="25"/>
  <c r="CJ166" i="25"/>
  <c r="BI104" i="24"/>
  <c r="BO104" i="24" s="1"/>
  <c r="BU104" i="24"/>
  <c r="BP57" i="24"/>
  <c r="BU180" i="24"/>
  <c r="BI180" i="24"/>
  <c r="BO180" i="24" s="1"/>
  <c r="BP99" i="24"/>
  <c r="BI161" i="24"/>
  <c r="BO161" i="24" s="1"/>
  <c r="BU161" i="24"/>
  <c r="BU192" i="24"/>
  <c r="BI192" i="24"/>
  <c r="BO192" i="24" s="1"/>
  <c r="BU6" i="24"/>
  <c r="BI6" i="24"/>
  <c r="BO6" i="24" s="1"/>
  <c r="BU179" i="24"/>
  <c r="BI179" i="24"/>
  <c r="BO179" i="24" s="1"/>
  <c r="BP74" i="24"/>
  <c r="BU103" i="24"/>
  <c r="BI103" i="24"/>
  <c r="BO103" i="24" s="1"/>
  <c r="BU170" i="24"/>
  <c r="BI170" i="24"/>
  <c r="BO170" i="24" s="1"/>
  <c r="BU204" i="24"/>
  <c r="BI204" i="24"/>
  <c r="BO204" i="24" s="1"/>
  <c r="BU156" i="24"/>
  <c r="BI156" i="24"/>
  <c r="BO156" i="24" s="1"/>
  <c r="BU195" i="24"/>
  <c r="BI195" i="24"/>
  <c r="BO195" i="24" s="1"/>
  <c r="BI165" i="24"/>
  <c r="BO165" i="24" s="1"/>
  <c r="BU165" i="24"/>
  <c r="BU120" i="24"/>
  <c r="BI120" i="24"/>
  <c r="BO120" i="24" s="1"/>
  <c r="BU205" i="24"/>
  <c r="BI205" i="24"/>
  <c r="BO205" i="24" s="1"/>
  <c r="BI15" i="24"/>
  <c r="BO15" i="24" s="1"/>
  <c r="BU15" i="24"/>
  <c r="BU17" i="24"/>
  <c r="BI17" i="24"/>
  <c r="BO17" i="24" s="1"/>
  <c r="BI59" i="24"/>
  <c r="BO59" i="24" s="1"/>
  <c r="BU59" i="24"/>
  <c r="BU88" i="24"/>
  <c r="BI88" i="24"/>
  <c r="BO88" i="24" s="1"/>
  <c r="BI162" i="24"/>
  <c r="BO162" i="24" s="1"/>
  <c r="BU162" i="24"/>
  <c r="BI152" i="24"/>
  <c r="BO152" i="24" s="1"/>
  <c r="BU152" i="24"/>
  <c r="BU193" i="24"/>
  <c r="BI193" i="24"/>
  <c r="BO193" i="24" s="1"/>
  <c r="BU38" i="24"/>
  <c r="BI38" i="24"/>
  <c r="BO38" i="24" s="1"/>
  <c r="BI11" i="24"/>
  <c r="BO11" i="24" s="1"/>
  <c r="BU11" i="24"/>
  <c r="BI61" i="24"/>
  <c r="BO61" i="24" s="1"/>
  <c r="BU61" i="24"/>
  <c r="BU138" i="24"/>
  <c r="BI138" i="24"/>
  <c r="BO138" i="24" s="1"/>
  <c r="BI166" i="24"/>
  <c r="BO166" i="24" s="1"/>
  <c r="BU166" i="24"/>
  <c r="BI86" i="24"/>
  <c r="BO86" i="24" s="1"/>
  <c r="BU86" i="24"/>
  <c r="BU72" i="24"/>
  <c r="BI72" i="24"/>
  <c r="BO72" i="24" s="1"/>
  <c r="BI7" i="24"/>
  <c r="BO7" i="24" s="1"/>
  <c r="BU7" i="24"/>
  <c r="BU116" i="24"/>
  <c r="BI116" i="24"/>
  <c r="BO116" i="24" s="1"/>
  <c r="BP45" i="24"/>
  <c r="BU37" i="24"/>
  <c r="BI37" i="24"/>
  <c r="BO37" i="24" s="1"/>
  <c r="BU70" i="24"/>
  <c r="BI70" i="24"/>
  <c r="BO70" i="24" s="1"/>
  <c r="BU46" i="24"/>
  <c r="BI46" i="24"/>
  <c r="BO46" i="24" s="1"/>
  <c r="BI141" i="24"/>
  <c r="BO141" i="24" s="1"/>
  <c r="BU141" i="24"/>
  <c r="BP85" i="24"/>
  <c r="BU185" i="24"/>
  <c r="BI185" i="24"/>
  <c r="BO185" i="24" s="1"/>
  <c r="BU181" i="24"/>
  <c r="BI181" i="24"/>
  <c r="BO181" i="24" s="1"/>
  <c r="BI13" i="24"/>
  <c r="BO13" i="24" s="1"/>
  <c r="BU13" i="24"/>
  <c r="BU10" i="24"/>
  <c r="BI10" i="24"/>
  <c r="BO10" i="24" s="1"/>
  <c r="BI33" i="24"/>
  <c r="BO33" i="24" s="1"/>
  <c r="BU33" i="24"/>
  <c r="BI54" i="24"/>
  <c r="BU54" i="24"/>
  <c r="BI84" i="24"/>
  <c r="BO84" i="24" s="1"/>
  <c r="BU84" i="24"/>
  <c r="BI101" i="24"/>
  <c r="BO101" i="24" s="1"/>
  <c r="BU101" i="24"/>
  <c r="BU56" i="24"/>
  <c r="BI56" i="24"/>
  <c r="BO56" i="24" s="1"/>
  <c r="BI68" i="24"/>
  <c r="BO68" i="24" s="1"/>
  <c r="BU68" i="24"/>
  <c r="BU131" i="24"/>
  <c r="BI131" i="24"/>
  <c r="BO131" i="24" s="1"/>
  <c r="BU119" i="24"/>
  <c r="BI119" i="24"/>
  <c r="BO119" i="24" s="1"/>
  <c r="BI98" i="24"/>
  <c r="BO98" i="24" s="1"/>
  <c r="BU98" i="24"/>
  <c r="BI79" i="24"/>
  <c r="BO79" i="24" s="1"/>
  <c r="BU79" i="24"/>
  <c r="BI207" i="24"/>
  <c r="BO207" i="24" s="1"/>
  <c r="BU207" i="24"/>
  <c r="BI186" i="24"/>
  <c r="BU186" i="24"/>
  <c r="BP12" i="24"/>
  <c r="BU172" i="24"/>
  <c r="BI172" i="24"/>
  <c r="BO172" i="24" s="1"/>
  <c r="BI132" i="24"/>
  <c r="BO132" i="24" s="1"/>
  <c r="BU132" i="24"/>
  <c r="BI29" i="24"/>
  <c r="BO29" i="24" s="1"/>
  <c r="BU29" i="24"/>
  <c r="BI87" i="24"/>
  <c r="BO87" i="24" s="1"/>
  <c r="BU87" i="24"/>
  <c r="BU183" i="24"/>
  <c r="BI183" i="24"/>
  <c r="BO183" i="24" s="1"/>
  <c r="BI90" i="24"/>
  <c r="BO90" i="24" s="1"/>
  <c r="BU90" i="24"/>
  <c r="BU43" i="24"/>
  <c r="BI43" i="24"/>
  <c r="BO43" i="24" s="1"/>
  <c r="BI112" i="24"/>
  <c r="BO112" i="24" s="1"/>
  <c r="BU112" i="24"/>
  <c r="BI96" i="24"/>
  <c r="BO96" i="24" s="1"/>
  <c r="BU96" i="24"/>
  <c r="BP80" i="24"/>
  <c r="BI105" i="24"/>
  <c r="BO105" i="24" s="1"/>
  <c r="BU105" i="24"/>
  <c r="BP113" i="24"/>
  <c r="BU143" i="24"/>
  <c r="BI143" i="24"/>
  <c r="BO143" i="24" s="1"/>
  <c r="BI155" i="24"/>
  <c r="BO155" i="24" s="1"/>
  <c r="BU155" i="24"/>
  <c r="BI36" i="24"/>
  <c r="BO36" i="24" s="1"/>
  <c r="BU36" i="24"/>
  <c r="BI73" i="24"/>
  <c r="BO73" i="24" s="1"/>
  <c r="BU73" i="24"/>
  <c r="BU63" i="24"/>
  <c r="BI63" i="24"/>
  <c r="BO63" i="24" s="1"/>
  <c r="BP149" i="24"/>
  <c r="BU144" i="24"/>
  <c r="BI144" i="24"/>
  <c r="BO144" i="24" s="1"/>
  <c r="BP35" i="24"/>
  <c r="BU150" i="24"/>
  <c r="BI150" i="24"/>
  <c r="BO150" i="24" s="1"/>
  <c r="BI175" i="24"/>
  <c r="BO175" i="24" s="1"/>
  <c r="BU175" i="24"/>
  <c r="BU126" i="24"/>
  <c r="BI126" i="24"/>
  <c r="BO126" i="24" s="1"/>
  <c r="BU83" i="24"/>
  <c r="BI83" i="24"/>
  <c r="BO83" i="24" s="1"/>
  <c r="BI26" i="24"/>
  <c r="BO26" i="24" s="1"/>
  <c r="BU26" i="24"/>
  <c r="BI208" i="24"/>
  <c r="BO208" i="24" s="1"/>
  <c r="BU208" i="24"/>
  <c r="BU121" i="24"/>
  <c r="BI121" i="24"/>
  <c r="BO121" i="24" s="1"/>
  <c r="BU167" i="24"/>
  <c r="BI167" i="24"/>
  <c r="BO167" i="24" s="1"/>
  <c r="BU194" i="24"/>
  <c r="BI194" i="24"/>
  <c r="BI58" i="24"/>
  <c r="BO58" i="24" s="1"/>
  <c r="BU58" i="24"/>
  <c r="BU169" i="24"/>
  <c r="BI169" i="24"/>
  <c r="BO169" i="24" s="1"/>
  <c r="BU51" i="24"/>
  <c r="BI51" i="24"/>
  <c r="BO51" i="24" s="1"/>
  <c r="BI154" i="24"/>
  <c r="BO154" i="24" s="1"/>
  <c r="BU154" i="24"/>
  <c r="BI67" i="24"/>
  <c r="BO67" i="24" s="1"/>
  <c r="BU67" i="24"/>
  <c r="BI201" i="24"/>
  <c r="BO201" i="24" s="1"/>
  <c r="BU201" i="24"/>
  <c r="BU191" i="24"/>
  <c r="BI191" i="24"/>
  <c r="BO191" i="24" s="1"/>
  <c r="BU163" i="24"/>
  <c r="BI163" i="24"/>
  <c r="BO163" i="24" s="1"/>
  <c r="BI173" i="24"/>
  <c r="BO173" i="24" s="1"/>
  <c r="BU173" i="24"/>
  <c r="BU190" i="24"/>
  <c r="BI190" i="24"/>
  <c r="BO190" i="24" s="1"/>
  <c r="BU39" i="24"/>
  <c r="BI39" i="24"/>
  <c r="BO39" i="24" s="1"/>
  <c r="BI115" i="24"/>
  <c r="BO115" i="24" s="1"/>
  <c r="BU115" i="24"/>
  <c r="BI91" i="24"/>
  <c r="BO91" i="24" s="1"/>
  <c r="BU91" i="24"/>
  <c r="BI23" i="24"/>
  <c r="BO23" i="24" s="1"/>
  <c r="BU23" i="24"/>
  <c r="BI140" i="24"/>
  <c r="BO140" i="24" s="1"/>
  <c r="BU140" i="24"/>
  <c r="BI102" i="24"/>
  <c r="BO102" i="24" s="1"/>
  <c r="BU102" i="24"/>
  <c r="BU137" i="24"/>
  <c r="BI137" i="24"/>
  <c r="BO137" i="24" s="1"/>
  <c r="BI65" i="24"/>
  <c r="BO65" i="24" s="1"/>
  <c r="BU65" i="24"/>
  <c r="BU60" i="24"/>
  <c r="BI60" i="24"/>
  <c r="BO60" i="24" s="1"/>
  <c r="BI30" i="24"/>
  <c r="BO30" i="24" s="1"/>
  <c r="BU30" i="24"/>
  <c r="BP49" i="24"/>
  <c r="BI89" i="24"/>
  <c r="BO89" i="24" s="1"/>
  <c r="BU89" i="24"/>
  <c r="BU28" i="24"/>
  <c r="BI28" i="24"/>
  <c r="BO28" i="24" s="1"/>
  <c r="BI210" i="24"/>
  <c r="BO210" i="24" s="1"/>
  <c r="BU210" i="24"/>
  <c r="BI171" i="24"/>
  <c r="BO171" i="24" s="1"/>
  <c r="BU171" i="24"/>
  <c r="BI21" i="24"/>
  <c r="BO21" i="24" s="1"/>
  <c r="BU21" i="24"/>
  <c r="BI22" i="24"/>
  <c r="BO22" i="24" s="1"/>
  <c r="BU22" i="24"/>
  <c r="BI118" i="24"/>
  <c r="BO118" i="24" s="1"/>
  <c r="BU118" i="24"/>
  <c r="BU189" i="24"/>
  <c r="BI189" i="24"/>
  <c r="BO189" i="24" s="1"/>
  <c r="BI200" i="24"/>
  <c r="BO200" i="24" s="1"/>
  <c r="BU200" i="24"/>
  <c r="BI130" i="24"/>
  <c r="BU130" i="24"/>
  <c r="BI27" i="24"/>
  <c r="BO27" i="24" s="1"/>
  <c r="BU27" i="24"/>
  <c r="BI24" i="24"/>
  <c r="BO24" i="24" s="1"/>
  <c r="BU24" i="24"/>
  <c r="BP95" i="24"/>
  <c r="BU198" i="24"/>
  <c r="BI198" i="24"/>
  <c r="BO198" i="24" s="1"/>
  <c r="BP97" i="24"/>
  <c r="BI197" i="24"/>
  <c r="BO197" i="24" s="1"/>
  <c r="BU197" i="24"/>
  <c r="BI41" i="24"/>
  <c r="BO41" i="24" s="1"/>
  <c r="BU41" i="24"/>
  <c r="BI196" i="24"/>
  <c r="BO196" i="24" s="1"/>
  <c r="BU196" i="24"/>
  <c r="BU187" i="24"/>
  <c r="BI187" i="24"/>
  <c r="BO187" i="24" s="1"/>
  <c r="BU48" i="24"/>
  <c r="BI48" i="24"/>
  <c r="BO48" i="24" s="1"/>
  <c r="BU128" i="24"/>
  <c r="BI128" i="24"/>
  <c r="BO128" i="24" s="1"/>
  <c r="BU182" i="24"/>
  <c r="BI182" i="24"/>
  <c r="BO182" i="24" s="1"/>
  <c r="BU136" i="24"/>
  <c r="BI136" i="24"/>
  <c r="BO136" i="24" s="1"/>
  <c r="BP18" i="24"/>
  <c r="BI55" i="24"/>
  <c r="BO55" i="24" s="1"/>
  <c r="BU55" i="24"/>
  <c r="BP178" i="24"/>
  <c r="BU184" i="24"/>
  <c r="BI184" i="24"/>
  <c r="BO184" i="24" s="1"/>
  <c r="BI64" i="24"/>
  <c r="BO64" i="24" s="1"/>
  <c r="BU64" i="24"/>
  <c r="BU168" i="24"/>
  <c r="BI168" i="24"/>
  <c r="BO168" i="24" s="1"/>
  <c r="BU66" i="24"/>
  <c r="BI66" i="24"/>
  <c r="BO66" i="24" s="1"/>
  <c r="BI199" i="24"/>
  <c r="BO199" i="24" s="1"/>
  <c r="BU199" i="24"/>
  <c r="BU148" i="24"/>
  <c r="BI148" i="24"/>
  <c r="BO148" i="24" s="1"/>
  <c r="BI202" i="24"/>
  <c r="BO202" i="24" s="1"/>
  <c r="BU202" i="24"/>
  <c r="BI159" i="24"/>
  <c r="BO159" i="24" s="1"/>
  <c r="BU159" i="24"/>
  <c r="BU52" i="24"/>
  <c r="BI52" i="24"/>
  <c r="BO52" i="24" s="1"/>
  <c r="BP209" i="24"/>
  <c r="BU174" i="24"/>
  <c r="BI174" i="24"/>
  <c r="BI81" i="24"/>
  <c r="BO81" i="24" s="1"/>
  <c r="BU81" i="24"/>
  <c r="BU146" i="24"/>
  <c r="BI146" i="24"/>
  <c r="BO146" i="24" s="1"/>
  <c r="BP69" i="24"/>
  <c r="BI77" i="24"/>
  <c r="BO77" i="24" s="1"/>
  <c r="BU77" i="24"/>
  <c r="BU145" i="24"/>
  <c r="BI145" i="24"/>
  <c r="BO145" i="24" s="1"/>
  <c r="BI76" i="24"/>
  <c r="BO76" i="24" s="1"/>
  <c r="BU76" i="24"/>
  <c r="BP71" i="24"/>
  <c r="BI47" i="24"/>
  <c r="BO47" i="24" s="1"/>
  <c r="BU47" i="24"/>
  <c r="BI188" i="24"/>
  <c r="BO188" i="24" s="1"/>
  <c r="BU188" i="24"/>
  <c r="BI122" i="24"/>
  <c r="BO122" i="24" s="1"/>
  <c r="BU122" i="24"/>
  <c r="BI129" i="24"/>
  <c r="BO129" i="24" s="1"/>
  <c r="BU129" i="24"/>
  <c r="BI31" i="24"/>
  <c r="BO31" i="24" s="1"/>
  <c r="BU31" i="24"/>
  <c r="BU157" i="24"/>
  <c r="BI157" i="24"/>
  <c r="BO157" i="24" s="1"/>
  <c r="BU8" i="24"/>
  <c r="BI8" i="24"/>
  <c r="BO8" i="24" s="1"/>
  <c r="BI139" i="24"/>
  <c r="BO139" i="24" s="1"/>
  <c r="BU139" i="24"/>
  <c r="BI75" i="24"/>
  <c r="BO75" i="24" s="1"/>
  <c r="BU75" i="24"/>
  <c r="BU133" i="24"/>
  <c r="BI133" i="24"/>
  <c r="BO133" i="24" s="1"/>
  <c r="BU117" i="24"/>
  <c r="BI117" i="24"/>
  <c r="BP124" i="24"/>
  <c r="BU14" i="24"/>
  <c r="BI14" i="24"/>
  <c r="BO14" i="24" s="1"/>
  <c r="BI82" i="24"/>
  <c r="BO82" i="24" s="1"/>
  <c r="BU82" i="24"/>
  <c r="BI78" i="24"/>
  <c r="BO78" i="24" s="1"/>
  <c r="BU78" i="24"/>
  <c r="BU153" i="24"/>
  <c r="BI153" i="24"/>
  <c r="BI34" i="24"/>
  <c r="BO34" i="24" s="1"/>
  <c r="BU34" i="24"/>
  <c r="BI111" i="24"/>
  <c r="BO111" i="24" s="1"/>
  <c r="BU111" i="24"/>
  <c r="BI127" i="24"/>
  <c r="BO127" i="24" s="1"/>
  <c r="BU127" i="24"/>
  <c r="BU42" i="24"/>
  <c r="BI42" i="24"/>
  <c r="BO42" i="24" s="1"/>
  <c r="BI114" i="24"/>
  <c r="BO114" i="24" s="1"/>
  <c r="BU114" i="24"/>
  <c r="BI53" i="24"/>
  <c r="BO53" i="24" s="1"/>
  <c r="BU53" i="24"/>
  <c r="BU19" i="24"/>
  <c r="BI19" i="24"/>
  <c r="BO19" i="24" s="1"/>
  <c r="BP135" i="24"/>
  <c r="BI203" i="24"/>
  <c r="BO203" i="24" s="1"/>
  <c r="BU203" i="24"/>
  <c r="BP164" i="24"/>
  <c r="BI44" i="24"/>
  <c r="BO44" i="24" s="1"/>
  <c r="BU44" i="24"/>
  <c r="BI40" i="24"/>
  <c r="BO40" i="24" s="1"/>
  <c r="BU40" i="24"/>
  <c r="BO135" i="25"/>
  <c r="BP92" i="24"/>
  <c r="BI100" i="24"/>
  <c r="BO100" i="24" s="1"/>
  <c r="BU100" i="24"/>
  <c r="BU206" i="24"/>
  <c r="BI206" i="24"/>
  <c r="BO206" i="24" s="1"/>
  <c r="BU177" i="24"/>
  <c r="BI177" i="24"/>
  <c r="BO177" i="24" s="1"/>
  <c r="BP16" i="24"/>
  <c r="BU50" i="24"/>
  <c r="BI50" i="24"/>
  <c r="BO50" i="24" s="1"/>
  <c r="BU25" i="24"/>
  <c r="BI25" i="24"/>
  <c r="BO25" i="24" s="1"/>
  <c r="BI9" i="24"/>
  <c r="BO9" i="24" s="1"/>
  <c r="BU9" i="24"/>
  <c r="BU125" i="24"/>
  <c r="BI125" i="24"/>
  <c r="BO125" i="24" s="1"/>
  <c r="BU123" i="24"/>
  <c r="BI123" i="24"/>
  <c r="BO123" i="24" s="1"/>
  <c r="BU20" i="24"/>
  <c r="BI20" i="24"/>
  <c r="BO20" i="24" s="1"/>
  <c r="BI32" i="24"/>
  <c r="BO32" i="24" s="1"/>
  <c r="BU32" i="24"/>
  <c r="BU176" i="24"/>
  <c r="BI176" i="24"/>
  <c r="BO176" i="24" s="1"/>
  <c r="BU62" i="24"/>
  <c r="BI62" i="24"/>
  <c r="BO62" i="24" s="1"/>
  <c r="BO153" i="25"/>
  <c r="BO12" i="25"/>
  <c r="BO43" i="25"/>
  <c r="BO14" i="25"/>
  <c r="BO194" i="25"/>
  <c r="BO94" i="25"/>
  <c r="BO73" i="25"/>
  <c r="BO13" i="25"/>
  <c r="BO182" i="25"/>
  <c r="BO62" i="25"/>
  <c r="BO10" i="25"/>
  <c r="BO36" i="25"/>
  <c r="BO74" i="25"/>
  <c r="BO27" i="25"/>
  <c r="BO101" i="25"/>
  <c r="BO42" i="25"/>
  <c r="BO46" i="25"/>
  <c r="BO52" i="25"/>
  <c r="BO30" i="25"/>
  <c r="BO75" i="25"/>
  <c r="BO65" i="25"/>
  <c r="BO39" i="25"/>
  <c r="BO72" i="25"/>
  <c r="BO34" i="25"/>
  <c r="BO18" i="25"/>
  <c r="BO55" i="25"/>
  <c r="BO60" i="25"/>
  <c r="BO37" i="25"/>
  <c r="BO154" i="25"/>
  <c r="BO99" i="25"/>
  <c r="BO96" i="25"/>
  <c r="BO139" i="25"/>
  <c r="BO77" i="25"/>
  <c r="BO24" i="25"/>
  <c r="BO190" i="25"/>
  <c r="BO47" i="25"/>
  <c r="BO200" i="25"/>
  <c r="BO15" i="25"/>
  <c r="BO84" i="25"/>
  <c r="BO66" i="25"/>
  <c r="BO97" i="25"/>
  <c r="BO44" i="25"/>
  <c r="BO98" i="25"/>
  <c r="BO123" i="25"/>
  <c r="BO76" i="25"/>
  <c r="BO121" i="25"/>
  <c r="BO189" i="25"/>
  <c r="BO48" i="25"/>
  <c r="BO78" i="25"/>
  <c r="BO68" i="25"/>
  <c r="BO92" i="25"/>
  <c r="BO70" i="25"/>
  <c r="BO28" i="25"/>
  <c r="BO79" i="25"/>
  <c r="BO104" i="25"/>
  <c r="BO93" i="25"/>
  <c r="BO71" i="25"/>
  <c r="BO110" i="25"/>
  <c r="BO50" i="25"/>
  <c r="BO152" i="25"/>
  <c r="BO131" i="25"/>
  <c r="BO33" i="25"/>
  <c r="BO208" i="25"/>
  <c r="BO88" i="25"/>
  <c r="BO141" i="25"/>
  <c r="BO82" i="25"/>
  <c r="BO59" i="25"/>
  <c r="BO51" i="25"/>
  <c r="BO80" i="25"/>
  <c r="BO140" i="25"/>
  <c r="BO64" i="25"/>
  <c r="BO83" i="25"/>
  <c r="BO32" i="25"/>
  <c r="BO25" i="25"/>
  <c r="BO19" i="25"/>
  <c r="BO23" i="25"/>
  <c r="BO89" i="25"/>
  <c r="BO41" i="25"/>
  <c r="BO56" i="25"/>
  <c r="BO57" i="25"/>
  <c r="BO5" i="25"/>
  <c r="BO11" i="25"/>
  <c r="BO54" i="25"/>
  <c r="BO22" i="25"/>
  <c r="BO21" i="25"/>
  <c r="BO6" i="25"/>
  <c r="BO159" i="25"/>
  <c r="BO86" i="25"/>
  <c r="BO81" i="25"/>
  <c r="BO183" i="25"/>
  <c r="BO53" i="25"/>
  <c r="BO17" i="25"/>
  <c r="BO91" i="25"/>
  <c r="BO63" i="25"/>
  <c r="BO35" i="25"/>
  <c r="BO49" i="25"/>
  <c r="BO103" i="25"/>
  <c r="BO179" i="25"/>
  <c r="BO69" i="25"/>
  <c r="BO130" i="25"/>
  <c r="BO113" i="25"/>
  <c r="BO38" i="25"/>
  <c r="BO58" i="25"/>
  <c r="BO40" i="25"/>
  <c r="BO120" i="25"/>
  <c r="BO90" i="25"/>
  <c r="BO118" i="25"/>
  <c r="BO133" i="25"/>
  <c r="BO116" i="25"/>
  <c r="BO85" i="25"/>
  <c r="BO100" i="25"/>
  <c r="BO67" i="25"/>
  <c r="BO134" i="25"/>
  <c r="BO105" i="25"/>
  <c r="BO87" i="25"/>
  <c r="BO7" i="25"/>
  <c r="BO45" i="25"/>
  <c r="BO20" i="25"/>
  <c r="BO16" i="25"/>
  <c r="BO173" i="25"/>
  <c r="BO61" i="25"/>
  <c r="BO8" i="25"/>
  <c r="BO31" i="25"/>
  <c r="BO184" i="25"/>
  <c r="CJ202" i="25" l="1"/>
  <c r="CB136" i="25"/>
  <c r="CJ187" i="25"/>
  <c r="CJ207" i="25"/>
  <c r="CF144" i="25"/>
  <c r="CJ144" i="25"/>
  <c r="CF102" i="25"/>
  <c r="CJ102" i="25"/>
  <c r="BY5" i="25"/>
  <c r="CB5" i="25" s="1"/>
  <c r="BZ5" i="25"/>
  <c r="CF177" i="25"/>
  <c r="CJ177" i="25"/>
  <c r="CF172" i="25"/>
  <c r="CJ172" i="25"/>
  <c r="CF182" i="25"/>
  <c r="CJ182" i="25"/>
  <c r="CF130" i="25"/>
  <c r="CJ130" i="25"/>
  <c r="CF200" i="25"/>
  <c r="CJ200" i="25"/>
  <c r="CF163" i="25"/>
  <c r="CJ163" i="25"/>
  <c r="CF152" i="25"/>
  <c r="CJ152" i="25"/>
  <c r="CF184" i="25"/>
  <c r="CJ184" i="25"/>
  <c r="CF198" i="25"/>
  <c r="CJ198" i="25"/>
  <c r="CF142" i="25"/>
  <c r="CJ142" i="25"/>
  <c r="CF112" i="25"/>
  <c r="CJ112" i="25"/>
  <c r="CF111" i="25"/>
  <c r="CJ111" i="25"/>
  <c r="CA92" i="24"/>
  <c r="CC92" i="24" s="1"/>
  <c r="CD92" i="24" s="1"/>
  <c r="CF197" i="25"/>
  <c r="CJ197" i="25"/>
  <c r="CJ138" i="25"/>
  <c r="CC165" i="25"/>
  <c r="CE165" i="25" s="1"/>
  <c r="CF165" i="25" s="1"/>
  <c r="CF159" i="25"/>
  <c r="CJ159" i="25"/>
  <c r="CA158" i="24"/>
  <c r="CC158" i="24" s="1"/>
  <c r="CD158" i="24" s="1"/>
  <c r="BP158" i="24"/>
  <c r="CF190" i="25"/>
  <c r="CJ190" i="25"/>
  <c r="CF158" i="25"/>
  <c r="CJ158" i="25"/>
  <c r="CF119" i="25"/>
  <c r="CJ119" i="25"/>
  <c r="BZ206" i="24"/>
  <c r="BZ133" i="24"/>
  <c r="CF141" i="25"/>
  <c r="CJ141" i="25"/>
  <c r="CF150" i="25"/>
  <c r="CJ150" i="25"/>
  <c r="CF178" i="25"/>
  <c r="CJ178" i="25"/>
  <c r="CF176" i="25"/>
  <c r="CJ176" i="25"/>
  <c r="CF189" i="25"/>
  <c r="CJ189" i="25"/>
  <c r="BZ174" i="24"/>
  <c r="BZ130" i="24"/>
  <c r="CF186" i="25"/>
  <c r="CB199" i="25"/>
  <c r="CF135" i="25"/>
  <c r="CJ135" i="25"/>
  <c r="CF173" i="25"/>
  <c r="CJ173" i="25"/>
  <c r="CF137" i="25"/>
  <c r="CJ137" i="25"/>
  <c r="CF199" i="25"/>
  <c r="CJ199" i="25"/>
  <c r="BX81" i="24"/>
  <c r="BZ81" i="24" s="1"/>
  <c r="CF210" i="25"/>
  <c r="CJ210" i="25"/>
  <c r="CB164" i="25"/>
  <c r="CB186" i="25"/>
  <c r="BX53" i="24"/>
  <c r="BZ53" i="24" s="1"/>
  <c r="BX82" i="24"/>
  <c r="BZ82" i="24" s="1"/>
  <c r="BX83" i="24"/>
  <c r="BZ83" i="24" s="1"/>
  <c r="BX46" i="24"/>
  <c r="BZ46" i="24" s="1"/>
  <c r="BZ155" i="24"/>
  <c r="BZ156" i="24"/>
  <c r="BZ198" i="24"/>
  <c r="BZ172" i="24"/>
  <c r="BZ208" i="24"/>
  <c r="BZ112" i="24"/>
  <c r="BZ193" i="24"/>
  <c r="BZ180" i="24"/>
  <c r="BZ159" i="24"/>
  <c r="BZ165" i="24"/>
  <c r="BZ123" i="24"/>
  <c r="BZ184" i="24"/>
  <c r="BZ176" i="24"/>
  <c r="BZ122" i="24"/>
  <c r="BZ154" i="24"/>
  <c r="BZ141" i="24"/>
  <c r="BZ127" i="24"/>
  <c r="BZ117" i="24"/>
  <c r="BZ161" i="24"/>
  <c r="CF205" i="25"/>
  <c r="CJ205" i="25"/>
  <c r="BZ199" i="24"/>
  <c r="BZ189" i="24"/>
  <c r="BZ167" i="24"/>
  <c r="CF131" i="25"/>
  <c r="CJ131" i="25"/>
  <c r="BZ114" i="24"/>
  <c r="BZ179" i="24"/>
  <c r="BZ196" i="24"/>
  <c r="BZ183" i="24"/>
  <c r="BZ171" i="24"/>
  <c r="BZ137" i="24"/>
  <c r="BZ143" i="24"/>
  <c r="BZ148" i="24"/>
  <c r="BZ197" i="24"/>
  <c r="BZ118" i="24"/>
  <c r="BZ210" i="24"/>
  <c r="BZ166" i="24"/>
  <c r="BZ168" i="24"/>
  <c r="BZ140" i="24"/>
  <c r="BZ121" i="24"/>
  <c r="BZ126" i="24"/>
  <c r="BZ203" i="24"/>
  <c r="BZ139" i="24"/>
  <c r="BZ129" i="24"/>
  <c r="BZ182" i="24"/>
  <c r="BZ204" i="24"/>
  <c r="BZ146" i="24"/>
  <c r="BZ128" i="24"/>
  <c r="BZ115" i="24"/>
  <c r="BZ170" i="24"/>
  <c r="BX45" i="24"/>
  <c r="BZ45" i="24" s="1"/>
  <c r="BX22" i="24"/>
  <c r="BZ22" i="24" s="1"/>
  <c r="BX68" i="24"/>
  <c r="BZ68" i="24" s="1"/>
  <c r="BX7" i="24"/>
  <c r="BZ7" i="24" s="1"/>
  <c r="BX60" i="24"/>
  <c r="BZ60" i="24" s="1"/>
  <c r="BX87" i="24"/>
  <c r="BZ87" i="24" s="1"/>
  <c r="BX56" i="24"/>
  <c r="BZ56" i="24" s="1"/>
  <c r="BX72" i="24"/>
  <c r="BZ72" i="24" s="1"/>
  <c r="BX41" i="24"/>
  <c r="BZ41" i="24" s="1"/>
  <c r="BX32" i="24"/>
  <c r="BZ32" i="24" s="1"/>
  <c r="BX9" i="24"/>
  <c r="BZ9" i="24" s="1"/>
  <c r="BX104" i="24"/>
  <c r="BZ104" i="24" s="1"/>
  <c r="BZ177" i="24"/>
  <c r="BZ202" i="24"/>
  <c r="BZ194" i="24"/>
  <c r="BZ150" i="24"/>
  <c r="BX18" i="24"/>
  <c r="BZ18" i="24" s="1"/>
  <c r="BX102" i="24"/>
  <c r="BZ102" i="24" s="1"/>
  <c r="BZ132" i="24"/>
  <c r="BZ131" i="24"/>
  <c r="BX25" i="24"/>
  <c r="BZ25" i="24" s="1"/>
  <c r="BX75" i="24"/>
  <c r="BZ75" i="24" s="1"/>
  <c r="BZ136" i="24"/>
  <c r="BZ187" i="24"/>
  <c r="BZ201" i="24"/>
  <c r="BZ138" i="24"/>
  <c r="BZ205" i="24"/>
  <c r="BZ175" i="24"/>
  <c r="BZ185" i="24"/>
  <c r="BZ120" i="24"/>
  <c r="BX20" i="24"/>
  <c r="BZ20" i="24" s="1"/>
  <c r="BX47" i="24"/>
  <c r="BZ47" i="24" s="1"/>
  <c r="BX23" i="24"/>
  <c r="BZ23" i="24" s="1"/>
  <c r="BX70" i="24"/>
  <c r="BZ70" i="24" s="1"/>
  <c r="BX61" i="24"/>
  <c r="BZ61" i="24" s="1"/>
  <c r="BX24" i="24"/>
  <c r="BZ24" i="24" s="1"/>
  <c r="BX101" i="24"/>
  <c r="BZ101" i="24" s="1"/>
  <c r="BX11" i="24"/>
  <c r="BZ11" i="24" s="1"/>
  <c r="BX30" i="24"/>
  <c r="BZ30" i="24" s="1"/>
  <c r="BX26" i="24"/>
  <c r="BZ26" i="24" s="1"/>
  <c r="BX73" i="24"/>
  <c r="BZ73" i="24" s="1"/>
  <c r="BX29" i="24"/>
  <c r="BZ29" i="24" s="1"/>
  <c r="BX17" i="24"/>
  <c r="BZ17" i="24" s="1"/>
  <c r="BX16" i="24"/>
  <c r="BZ16" i="24" s="1"/>
  <c r="BX84" i="24"/>
  <c r="BZ84" i="24" s="1"/>
  <c r="BX8" i="24"/>
  <c r="BZ8" i="24" s="1"/>
  <c r="BX36" i="24"/>
  <c r="BZ36" i="24" s="1"/>
  <c r="BX85" i="24"/>
  <c r="BZ85" i="24" s="1"/>
  <c r="CA209" i="24"/>
  <c r="CC209" i="24" s="1"/>
  <c r="CD209" i="24" s="1"/>
  <c r="BZ152" i="24"/>
  <c r="BZ125" i="24"/>
  <c r="CF193" i="25"/>
  <c r="CJ193" i="25"/>
  <c r="BZ200" i="24"/>
  <c r="BZ190" i="24"/>
  <c r="BZ169" i="24"/>
  <c r="BZ209" i="24"/>
  <c r="BZ173" i="24"/>
  <c r="BZ188" i="24"/>
  <c r="BZ145" i="24"/>
  <c r="BZ163" i="24"/>
  <c r="BZ207" i="24"/>
  <c r="BZ162" i="24"/>
  <c r="BZ192" i="24"/>
  <c r="BZ113" i="24"/>
  <c r="BZ111" i="24"/>
  <c r="BZ157" i="24"/>
  <c r="BZ116" i="24"/>
  <c r="BZ195" i="24"/>
  <c r="BZ119" i="24"/>
  <c r="BZ191" i="24"/>
  <c r="BZ144" i="24"/>
  <c r="BZ181" i="24"/>
  <c r="BZ124" i="24"/>
  <c r="BX34" i="24"/>
  <c r="BZ34" i="24" s="1"/>
  <c r="BX28" i="24"/>
  <c r="BZ28" i="24" s="1"/>
  <c r="BX96" i="24"/>
  <c r="BZ96" i="24" s="1"/>
  <c r="BX38" i="24"/>
  <c r="BZ38" i="24" s="1"/>
  <c r="BX88" i="24"/>
  <c r="BZ88" i="24" s="1"/>
  <c r="BX14" i="24"/>
  <c r="BZ14" i="24" s="1"/>
  <c r="BX33" i="24"/>
  <c r="BZ33" i="24" s="1"/>
  <c r="BX105" i="24"/>
  <c r="BZ105" i="24" s="1"/>
  <c r="BX13" i="24"/>
  <c r="BZ13" i="24" s="1"/>
  <c r="BX44" i="24"/>
  <c r="BZ44" i="24" s="1"/>
  <c r="BX77" i="24"/>
  <c r="BZ77" i="24" s="1"/>
  <c r="BX90" i="24"/>
  <c r="BZ90" i="24" s="1"/>
  <c r="BX62" i="24"/>
  <c r="BZ62" i="24" s="1"/>
  <c r="BX50" i="24"/>
  <c r="BZ50" i="24" s="1"/>
  <c r="BX21" i="24"/>
  <c r="BZ21" i="24" s="1"/>
  <c r="BX76" i="24"/>
  <c r="BZ76" i="24" s="1"/>
  <c r="BX52" i="24"/>
  <c r="BZ52" i="24" s="1"/>
  <c r="CA149" i="24"/>
  <c r="CC149" i="24" s="1"/>
  <c r="CD149" i="24" s="1"/>
  <c r="BX98" i="24"/>
  <c r="BZ98" i="24" s="1"/>
  <c r="BX59" i="24"/>
  <c r="BZ59" i="24" s="1"/>
  <c r="BX63" i="24"/>
  <c r="BZ63" i="24" s="1"/>
  <c r="BX86" i="24"/>
  <c r="BZ86" i="24" s="1"/>
  <c r="BX6" i="24"/>
  <c r="BZ6" i="24" s="1"/>
  <c r="BX78" i="24"/>
  <c r="BZ78" i="24" s="1"/>
  <c r="BX19" i="24"/>
  <c r="BZ19" i="24" s="1"/>
  <c r="BX10" i="24"/>
  <c r="BZ10" i="24" s="1"/>
  <c r="BX15" i="24"/>
  <c r="BZ15" i="24" s="1"/>
  <c r="CA164" i="24"/>
  <c r="CC164" i="24" s="1"/>
  <c r="CD164" i="24" s="1"/>
  <c r="BX79" i="24"/>
  <c r="BZ79" i="24" s="1"/>
  <c r="BX89" i="24"/>
  <c r="BZ89" i="24" s="1"/>
  <c r="BX40" i="24"/>
  <c r="BZ40" i="24" s="1"/>
  <c r="BX91" i="24"/>
  <c r="BZ91" i="24" s="1"/>
  <c r="BX67" i="24"/>
  <c r="BZ67" i="24" s="1"/>
  <c r="BX58" i="24"/>
  <c r="BZ58" i="24" s="1"/>
  <c r="CA135" i="24"/>
  <c r="CC135" i="24" s="1"/>
  <c r="CD135" i="24" s="1"/>
  <c r="BX42" i="24"/>
  <c r="BZ42" i="24" s="1"/>
  <c r="BX37" i="24"/>
  <c r="BZ37" i="24" s="1"/>
  <c r="BX100" i="24"/>
  <c r="BZ100" i="24" s="1"/>
  <c r="BX27" i="24"/>
  <c r="BZ27" i="24" s="1"/>
  <c r="BX55" i="24"/>
  <c r="BZ55" i="24" s="1"/>
  <c r="BX48" i="24"/>
  <c r="BZ48" i="24" s="1"/>
  <c r="BX43" i="24"/>
  <c r="BZ43" i="24" s="1"/>
  <c r="BX57" i="24"/>
  <c r="BZ57" i="24" s="1"/>
  <c r="BX66" i="24"/>
  <c r="BZ66" i="24" s="1"/>
  <c r="BX31" i="24"/>
  <c r="BZ31" i="24" s="1"/>
  <c r="BX64" i="24"/>
  <c r="BZ64" i="24" s="1"/>
  <c r="BX39" i="24"/>
  <c r="BZ39" i="24" s="1"/>
  <c r="BX51" i="24"/>
  <c r="BZ51" i="24" s="1"/>
  <c r="BX103" i="24"/>
  <c r="BZ103" i="24" s="1"/>
  <c r="CA147" i="24"/>
  <c r="CC147" i="24" s="1"/>
  <c r="BX65" i="24"/>
  <c r="BZ65" i="24" s="1"/>
  <c r="BX54" i="24"/>
  <c r="BZ54" i="24" s="1"/>
  <c r="BX71" i="24"/>
  <c r="BZ71" i="24" s="1"/>
  <c r="BX95" i="24"/>
  <c r="BZ95" i="24" s="1"/>
  <c r="CF181" i="25"/>
  <c r="CJ181" i="25"/>
  <c r="CB176" i="25"/>
  <c r="CB111" i="25"/>
  <c r="CH92" i="24"/>
  <c r="CF149" i="25"/>
  <c r="CJ149" i="25"/>
  <c r="CF179" i="25"/>
  <c r="CJ179" i="25"/>
  <c r="CA97" i="24"/>
  <c r="CC97" i="24" s="1"/>
  <c r="CD97" i="24" s="1"/>
  <c r="CC43" i="25"/>
  <c r="CE43" i="25" s="1"/>
  <c r="CF43" i="25" s="1"/>
  <c r="CC47" i="25"/>
  <c r="CE47" i="25" s="1"/>
  <c r="CC49" i="25"/>
  <c r="CE49" i="25" s="1"/>
  <c r="CC81" i="25"/>
  <c r="CE81" i="25" s="1"/>
  <c r="CF81" i="25" s="1"/>
  <c r="CC14" i="25"/>
  <c r="CE14" i="25" s="1"/>
  <c r="CA35" i="24"/>
  <c r="CC35" i="24" s="1"/>
  <c r="CD35" i="24" s="1"/>
  <c r="CC21" i="25"/>
  <c r="CE21" i="25" s="1"/>
  <c r="CC56" i="25"/>
  <c r="CE56" i="25" s="1"/>
  <c r="CC76" i="25"/>
  <c r="CE76" i="25" s="1"/>
  <c r="CC72" i="25"/>
  <c r="CE72" i="25" s="1"/>
  <c r="CF72" i="25" s="1"/>
  <c r="CC69" i="25"/>
  <c r="CE69" i="25" s="1"/>
  <c r="CC18" i="25"/>
  <c r="CE18" i="25" s="1"/>
  <c r="CF18" i="25" s="1"/>
  <c r="CC100" i="25"/>
  <c r="CE100" i="25" s="1"/>
  <c r="CC38" i="25"/>
  <c r="CE38" i="25" s="1"/>
  <c r="CF38" i="25" s="1"/>
  <c r="CC94" i="25"/>
  <c r="CE94" i="25" s="1"/>
  <c r="CC17" i="25"/>
  <c r="CE17" i="25" s="1"/>
  <c r="CC35" i="25"/>
  <c r="CE35" i="25" s="1"/>
  <c r="CF35" i="25" s="1"/>
  <c r="CC79" i="25"/>
  <c r="CE79" i="25" s="1"/>
  <c r="CC70" i="25"/>
  <c r="CE70" i="25" s="1"/>
  <c r="CF70" i="25" s="1"/>
  <c r="CC68" i="25"/>
  <c r="CE68" i="25" s="1"/>
  <c r="CF68" i="25" s="1"/>
  <c r="CC45" i="25"/>
  <c r="CE45" i="25" s="1"/>
  <c r="CF45" i="25" s="1"/>
  <c r="CC60" i="25"/>
  <c r="CE60" i="25" s="1"/>
  <c r="CC90" i="25"/>
  <c r="CE90" i="25" s="1"/>
  <c r="CA99" i="24"/>
  <c r="CC99" i="24" s="1"/>
  <c r="CC84" i="25"/>
  <c r="CE84" i="25" s="1"/>
  <c r="CF84" i="25" s="1"/>
  <c r="CC93" i="25"/>
  <c r="CE93" i="25" s="1"/>
  <c r="CF93" i="25" s="1"/>
  <c r="CC10" i="25"/>
  <c r="CE10" i="25" s="1"/>
  <c r="CF10" i="25" s="1"/>
  <c r="CB131" i="25"/>
  <c r="CC48" i="25"/>
  <c r="CE48" i="25" s="1"/>
  <c r="CF48" i="25" s="1"/>
  <c r="CC105" i="25"/>
  <c r="CE105" i="25" s="1"/>
  <c r="CC39" i="25"/>
  <c r="CE39" i="25" s="1"/>
  <c r="CC19" i="25"/>
  <c r="CE19" i="25" s="1"/>
  <c r="CC96" i="25"/>
  <c r="CE96" i="25" s="1"/>
  <c r="CF96" i="25" s="1"/>
  <c r="CC37" i="25"/>
  <c r="CE37" i="25" s="1"/>
  <c r="CC33" i="25"/>
  <c r="CE33" i="25" s="1"/>
  <c r="CF33" i="25" s="1"/>
  <c r="CC32" i="25"/>
  <c r="CE32" i="25" s="1"/>
  <c r="CC74" i="25"/>
  <c r="CE74" i="25" s="1"/>
  <c r="CB182" i="25"/>
  <c r="CC34" i="25"/>
  <c r="CE34" i="25" s="1"/>
  <c r="CC88" i="25"/>
  <c r="CE88" i="25" s="1"/>
  <c r="CC20" i="25"/>
  <c r="CE20" i="25" s="1"/>
  <c r="CF20" i="25" s="1"/>
  <c r="CC87" i="25"/>
  <c r="CE87" i="25" s="1"/>
  <c r="CB135" i="25"/>
  <c r="CC92" i="25"/>
  <c r="CE92" i="25" s="1"/>
  <c r="CC11" i="25"/>
  <c r="CE11" i="25" s="1"/>
  <c r="CF11" i="25" s="1"/>
  <c r="CC78" i="25"/>
  <c r="CE78" i="25" s="1"/>
  <c r="CB173" i="25"/>
  <c r="CC103" i="25"/>
  <c r="CE103" i="25" s="1"/>
  <c r="CC62" i="25"/>
  <c r="CE62" i="25" s="1"/>
  <c r="CF62" i="25" s="1"/>
  <c r="CC27" i="25"/>
  <c r="CE27" i="25" s="1"/>
  <c r="CF27" i="25" s="1"/>
  <c r="CC58" i="25"/>
  <c r="CE58" i="25" s="1"/>
  <c r="CC192" i="25"/>
  <c r="CE192" i="25" s="1"/>
  <c r="CC12" i="25"/>
  <c r="CE12" i="25" s="1"/>
  <c r="CF12" i="25" s="1"/>
  <c r="CC86" i="25"/>
  <c r="CE86" i="25" s="1"/>
  <c r="CB140" i="25"/>
  <c r="CB208" i="25"/>
  <c r="CC15" i="25"/>
  <c r="CE15" i="25" s="1"/>
  <c r="CF15" i="25" s="1"/>
  <c r="CC53" i="25"/>
  <c r="CE53" i="25" s="1"/>
  <c r="CC30" i="25"/>
  <c r="CE30" i="25" s="1"/>
  <c r="CC75" i="25"/>
  <c r="CE75" i="25" s="1"/>
  <c r="CC8" i="25"/>
  <c r="CE8" i="25" s="1"/>
  <c r="CF8" i="25" s="1"/>
  <c r="CC73" i="25"/>
  <c r="CE73" i="25" s="1"/>
  <c r="CF73" i="25" s="1"/>
  <c r="CB133" i="25"/>
  <c r="CC52" i="25"/>
  <c r="CE52" i="25" s="1"/>
  <c r="CF52" i="25" s="1"/>
  <c r="CC6" i="25"/>
  <c r="CE6" i="25" s="1"/>
  <c r="CC99" i="25"/>
  <c r="CE99" i="25" s="1"/>
  <c r="CC41" i="25"/>
  <c r="CE41" i="25" s="1"/>
  <c r="CF41" i="25" s="1"/>
  <c r="CB121" i="25"/>
  <c r="CB130" i="25"/>
  <c r="CA69" i="24"/>
  <c r="CC69" i="24" s="1"/>
  <c r="CB194" i="25"/>
  <c r="CC59" i="25"/>
  <c r="CE59" i="25" s="1"/>
  <c r="CF59" i="25" s="1"/>
  <c r="CB118" i="25"/>
  <c r="CB180" i="25"/>
  <c r="CC91" i="25"/>
  <c r="CE91" i="25" s="1"/>
  <c r="CB123" i="25"/>
  <c r="CC71" i="25"/>
  <c r="CE71" i="25" s="1"/>
  <c r="CC140" i="25"/>
  <c r="CE140" i="25" s="1"/>
  <c r="CB152" i="25"/>
  <c r="CC98" i="25"/>
  <c r="CE98" i="25" s="1"/>
  <c r="CB134" i="25"/>
  <c r="CB110" i="25"/>
  <c r="CB154" i="25"/>
  <c r="CB139" i="25"/>
  <c r="CC40" i="25"/>
  <c r="CE40" i="25" s="1"/>
  <c r="CC55" i="25"/>
  <c r="CE55" i="25" s="1"/>
  <c r="CC97" i="25"/>
  <c r="CE97" i="25" s="1"/>
  <c r="CC80" i="25"/>
  <c r="CE80" i="25" s="1"/>
  <c r="CF80" i="25" s="1"/>
  <c r="CB153" i="25"/>
  <c r="CB190" i="25"/>
  <c r="CB120" i="25"/>
  <c r="CC25" i="25"/>
  <c r="CE25" i="25" s="1"/>
  <c r="CC83" i="25"/>
  <c r="CE83" i="25" s="1"/>
  <c r="CF83" i="25" s="1"/>
  <c r="CC85" i="25"/>
  <c r="CE85" i="25" s="1"/>
  <c r="CB200" i="25"/>
  <c r="CC194" i="25"/>
  <c r="CE194" i="25" s="1"/>
  <c r="CF194" i="25" s="1"/>
  <c r="CB141" i="25"/>
  <c r="CC64" i="25"/>
  <c r="CE64" i="25" s="1"/>
  <c r="CC28" i="25"/>
  <c r="CE28" i="25" s="1"/>
  <c r="CC121" i="25"/>
  <c r="CE121" i="25" s="1"/>
  <c r="CC208" i="25"/>
  <c r="CE208" i="25" s="1"/>
  <c r="CB150" i="25"/>
  <c r="CC7" i="25"/>
  <c r="CE7" i="25" s="1"/>
  <c r="CC63" i="25"/>
  <c r="CE63" i="25" s="1"/>
  <c r="CC23" i="25"/>
  <c r="CE23" i="25" s="1"/>
  <c r="CF23" i="25" s="1"/>
  <c r="CC153" i="25"/>
  <c r="CE153" i="25" s="1"/>
  <c r="CB184" i="25"/>
  <c r="CB179" i="25"/>
  <c r="CC65" i="25"/>
  <c r="CE65" i="25" s="1"/>
  <c r="CC36" i="25"/>
  <c r="CE36" i="25" s="1"/>
  <c r="CB210" i="25"/>
  <c r="CC120" i="25"/>
  <c r="CE120" i="25" s="1"/>
  <c r="CC16" i="25"/>
  <c r="CE16" i="25" s="1"/>
  <c r="CC101" i="25"/>
  <c r="CE101" i="25" s="1"/>
  <c r="CF101" i="25" s="1"/>
  <c r="CC67" i="25"/>
  <c r="CE67" i="25" s="1"/>
  <c r="CC89" i="25"/>
  <c r="CE89" i="25" s="1"/>
  <c r="CC13" i="25"/>
  <c r="CE13" i="25" s="1"/>
  <c r="CF13" i="25" s="1"/>
  <c r="CC24" i="25"/>
  <c r="CE24" i="25" s="1"/>
  <c r="CF24" i="25" s="1"/>
  <c r="CC154" i="25"/>
  <c r="CE154" i="25" s="1"/>
  <c r="CC134" i="25"/>
  <c r="CE134" i="25" s="1"/>
  <c r="CC51" i="25"/>
  <c r="CE51" i="25" s="1"/>
  <c r="CB116" i="25"/>
  <c r="CB189" i="25"/>
  <c r="CC61" i="25"/>
  <c r="CE61" i="25" s="1"/>
  <c r="CC139" i="25"/>
  <c r="CE139" i="25" s="1"/>
  <c r="CC82" i="25"/>
  <c r="CE82" i="25" s="1"/>
  <c r="CC57" i="25"/>
  <c r="CE57" i="25" s="1"/>
  <c r="CC110" i="25"/>
  <c r="CE110" i="25" s="1"/>
  <c r="CC22" i="25"/>
  <c r="CE22" i="25" s="1"/>
  <c r="CC54" i="25"/>
  <c r="CE54" i="25" s="1"/>
  <c r="CF54" i="25" s="1"/>
  <c r="CB113" i="25"/>
  <c r="CC133" i="25"/>
  <c r="CE133" i="25" s="1"/>
  <c r="CB159" i="25"/>
  <c r="CC66" i="25"/>
  <c r="CE66" i="25" s="1"/>
  <c r="CF66" i="25" s="1"/>
  <c r="CC50" i="25"/>
  <c r="CE50" i="25" s="1"/>
  <c r="CB183" i="25"/>
  <c r="CC46" i="25"/>
  <c r="CE46" i="25" s="1"/>
  <c r="CC31" i="25"/>
  <c r="CE31" i="25" s="1"/>
  <c r="CC77" i="25"/>
  <c r="CE77" i="25" s="1"/>
  <c r="CC180" i="25"/>
  <c r="CE180" i="25" s="1"/>
  <c r="CC42" i="25"/>
  <c r="CE42" i="25" s="1"/>
  <c r="CC44" i="25"/>
  <c r="CE44" i="25" s="1"/>
  <c r="CC104" i="25"/>
  <c r="CE104" i="25" s="1"/>
  <c r="CA93" i="24"/>
  <c r="CC93" i="24" s="1"/>
  <c r="CD93" i="24" s="1"/>
  <c r="BO95" i="25"/>
  <c r="CC95" i="25"/>
  <c r="CE95" i="25" s="1"/>
  <c r="BO29" i="25"/>
  <c r="CC29" i="25"/>
  <c r="CE29" i="25" s="1"/>
  <c r="CF29" i="25" s="1"/>
  <c r="BO26" i="25"/>
  <c r="CC26" i="25"/>
  <c r="CE26" i="25" s="1"/>
  <c r="BO9" i="25"/>
  <c r="CC9" i="25"/>
  <c r="CE9" i="25" s="1"/>
  <c r="CF9" i="25" s="1"/>
  <c r="CJ96" i="25"/>
  <c r="CH97" i="24"/>
  <c r="CF183" i="25"/>
  <c r="CJ183" i="25"/>
  <c r="BP194" i="24"/>
  <c r="BO194" i="24"/>
  <c r="BO54" i="24"/>
  <c r="BP54" i="24" s="1"/>
  <c r="CA151" i="24"/>
  <c r="CC151" i="24" s="1"/>
  <c r="BO151" i="24"/>
  <c r="BO94" i="24"/>
  <c r="CA94" i="24" s="1"/>
  <c r="CC94" i="24" s="1"/>
  <c r="BP160" i="24"/>
  <c r="BO160" i="24"/>
  <c r="CA12" i="24"/>
  <c r="CC12" i="24" s="1"/>
  <c r="CD12" i="24" s="1"/>
  <c r="CA74" i="24"/>
  <c r="CC74" i="24" s="1"/>
  <c r="CA134" i="24"/>
  <c r="CC134" i="24" s="1"/>
  <c r="BO134" i="24"/>
  <c r="BP147" i="24"/>
  <c r="BO147" i="24"/>
  <c r="BP174" i="24"/>
  <c r="BO174" i="24"/>
  <c r="BP153" i="24"/>
  <c r="BO153" i="24"/>
  <c r="CA124" i="24"/>
  <c r="CC124" i="24" s="1"/>
  <c r="BP130" i="24"/>
  <c r="BO130" i="24"/>
  <c r="BP186" i="24"/>
  <c r="BO186" i="24"/>
  <c r="CA142" i="24"/>
  <c r="CC142" i="24" s="1"/>
  <c r="BO142" i="24"/>
  <c r="BP117" i="24"/>
  <c r="BO117" i="24"/>
  <c r="BP134" i="24"/>
  <c r="CA160" i="24"/>
  <c r="CC160" i="24" s="1"/>
  <c r="CA49" i="24"/>
  <c r="CC49" i="24" s="1"/>
  <c r="CD49" i="24" s="1"/>
  <c r="BP151" i="24"/>
  <c r="CA80" i="24"/>
  <c r="CC80" i="24" s="1"/>
  <c r="CD80" i="24" s="1"/>
  <c r="CJ48" i="25"/>
  <c r="BP142" i="24"/>
  <c r="CA178" i="24"/>
  <c r="CC178" i="24" s="1"/>
  <c r="CA113" i="24"/>
  <c r="CC113" i="24" s="1"/>
  <c r="CD113" i="24" s="1"/>
  <c r="CH209" i="24"/>
  <c r="CJ101" i="25"/>
  <c r="CA130" i="24"/>
  <c r="CC130" i="24" s="1"/>
  <c r="CJ68" i="25"/>
  <c r="BP81" i="24"/>
  <c r="BP187" i="24"/>
  <c r="CA187" i="24"/>
  <c r="CC187" i="24" s="1"/>
  <c r="BP26" i="24"/>
  <c r="BP105" i="24"/>
  <c r="E46" i="1" s="1"/>
  <c r="E47" i="1" s="1"/>
  <c r="BP166" i="24"/>
  <c r="CA166" i="24"/>
  <c r="CC166" i="24" s="1"/>
  <c r="CA152" i="24"/>
  <c r="CC152" i="24" s="1"/>
  <c r="BP152" i="24"/>
  <c r="BP165" i="24"/>
  <c r="CA165" i="24"/>
  <c r="CC165" i="24" s="1"/>
  <c r="BP40" i="24"/>
  <c r="CA153" i="24"/>
  <c r="CC153" i="24" s="1"/>
  <c r="BZ153" i="24"/>
  <c r="BP139" i="24"/>
  <c r="CA139" i="24"/>
  <c r="CC139" i="24" s="1"/>
  <c r="BP66" i="24"/>
  <c r="BP182" i="24"/>
  <c r="CA182" i="24"/>
  <c r="CC182" i="24" s="1"/>
  <c r="BP200" i="24"/>
  <c r="CA200" i="24"/>
  <c r="CC200" i="24" s="1"/>
  <c r="BP21" i="24"/>
  <c r="BP89" i="24"/>
  <c r="BP65" i="24"/>
  <c r="BP23" i="24"/>
  <c r="CA167" i="24"/>
  <c r="CC167" i="24" s="1"/>
  <c r="BP167" i="24"/>
  <c r="BP83" i="24"/>
  <c r="BP175" i="24"/>
  <c r="CA175" i="24"/>
  <c r="CC175" i="24" s="1"/>
  <c r="BP43" i="24"/>
  <c r="CA186" i="24"/>
  <c r="CC186" i="24" s="1"/>
  <c r="BZ186" i="24"/>
  <c r="BP119" i="24"/>
  <c r="CA119" i="24"/>
  <c r="CC119" i="24" s="1"/>
  <c r="CD119" i="24" s="1"/>
  <c r="BP10" i="24"/>
  <c r="BP185" i="24"/>
  <c r="CA185" i="24"/>
  <c r="CC185" i="24" s="1"/>
  <c r="BP70" i="24"/>
  <c r="CA138" i="24"/>
  <c r="CC138" i="24" s="1"/>
  <c r="BP138" i="24"/>
  <c r="BP38" i="24"/>
  <c r="BP195" i="24"/>
  <c r="CA195" i="24"/>
  <c r="CC195" i="24" s="1"/>
  <c r="BP101" i="24"/>
  <c r="BP7" i="24"/>
  <c r="BP162" i="24"/>
  <c r="CA162" i="24"/>
  <c r="CC162" i="24" s="1"/>
  <c r="BP15" i="24"/>
  <c r="BP6" i="24"/>
  <c r="BP180" i="24"/>
  <c r="CA180" i="24"/>
  <c r="CC180" i="24" s="1"/>
  <c r="BP159" i="24"/>
  <c r="CA159" i="24"/>
  <c r="CC159" i="24" s="1"/>
  <c r="BP39" i="24"/>
  <c r="BP36" i="24"/>
  <c r="BP50" i="24"/>
  <c r="BP19" i="24"/>
  <c r="CA194" i="24"/>
  <c r="CC194" i="24" s="1"/>
  <c r="CA117" i="24"/>
  <c r="CC117" i="24" s="1"/>
  <c r="CD117" i="24" s="1"/>
  <c r="CA150" i="24"/>
  <c r="CC150" i="24" s="1"/>
  <c r="BP150" i="24"/>
  <c r="CA155" i="24"/>
  <c r="CC155" i="24" s="1"/>
  <c r="BP155" i="24"/>
  <c r="BP100" i="24"/>
  <c r="BP44" i="24"/>
  <c r="BP127" i="24"/>
  <c r="CA127" i="24"/>
  <c r="CC127" i="24" s="1"/>
  <c r="BP78" i="24"/>
  <c r="BP202" i="24"/>
  <c r="CA202" i="24"/>
  <c r="CC202" i="24" s="1"/>
  <c r="CA168" i="24"/>
  <c r="CC168" i="24" s="1"/>
  <c r="BP168" i="24"/>
  <c r="BP196" i="24"/>
  <c r="CA196" i="24"/>
  <c r="CC196" i="24" s="1"/>
  <c r="BP24" i="24"/>
  <c r="BP171" i="24"/>
  <c r="CA171" i="24"/>
  <c r="CC171" i="24" s="1"/>
  <c r="CA201" i="24"/>
  <c r="CC201" i="24" s="1"/>
  <c r="BP201" i="24"/>
  <c r="BP169" i="24"/>
  <c r="CA169" i="24"/>
  <c r="CC169" i="24" s="1"/>
  <c r="CA121" i="24"/>
  <c r="CC121" i="24" s="1"/>
  <c r="BP121" i="24"/>
  <c r="BP63" i="24"/>
  <c r="CA143" i="24"/>
  <c r="CC143" i="24" s="1"/>
  <c r="CD143" i="24" s="1"/>
  <c r="BP143" i="24"/>
  <c r="BP131" i="24"/>
  <c r="CA131" i="24"/>
  <c r="CC131" i="24" s="1"/>
  <c r="BP37" i="24"/>
  <c r="BP72" i="24"/>
  <c r="CA193" i="24"/>
  <c r="CC193" i="24" s="1"/>
  <c r="BP193" i="24"/>
  <c r="BP88" i="24"/>
  <c r="CA205" i="24"/>
  <c r="CC205" i="24" s="1"/>
  <c r="BP205" i="24"/>
  <c r="BP156" i="24"/>
  <c r="CA156" i="24"/>
  <c r="CC156" i="24" s="1"/>
  <c r="BP103" i="24"/>
  <c r="BP20" i="24"/>
  <c r="BP188" i="24"/>
  <c r="CA188" i="24"/>
  <c r="CC188" i="24" s="1"/>
  <c r="BP191" i="24"/>
  <c r="CA191" i="24"/>
  <c r="CC191" i="24" s="1"/>
  <c r="BP62" i="24"/>
  <c r="BP47" i="24"/>
  <c r="BP198" i="24"/>
  <c r="CA198" i="24"/>
  <c r="CC198" i="24" s="1"/>
  <c r="BP189" i="24"/>
  <c r="CA189" i="24"/>
  <c r="CC189" i="24" s="1"/>
  <c r="BP137" i="24"/>
  <c r="CA137" i="24"/>
  <c r="CC137" i="24" s="1"/>
  <c r="BP190" i="24"/>
  <c r="CA190" i="24"/>
  <c r="CC190" i="24" s="1"/>
  <c r="BP176" i="24"/>
  <c r="CA176" i="24"/>
  <c r="CC176" i="24" s="1"/>
  <c r="CA125" i="24"/>
  <c r="CC125" i="24" s="1"/>
  <c r="BP125" i="24"/>
  <c r="BP133" i="24"/>
  <c r="CA133" i="24"/>
  <c r="CC133" i="24" s="1"/>
  <c r="BP157" i="24"/>
  <c r="CA157" i="24"/>
  <c r="CC157" i="24" s="1"/>
  <c r="BP129" i="24"/>
  <c r="CA129" i="24"/>
  <c r="CC129" i="24" s="1"/>
  <c r="BP55" i="24"/>
  <c r="BP128" i="24"/>
  <c r="CA128" i="24"/>
  <c r="CC128" i="24" s="1"/>
  <c r="BP91" i="24"/>
  <c r="BP126" i="24"/>
  <c r="CA126" i="24"/>
  <c r="CC126" i="24" s="1"/>
  <c r="BP96" i="24"/>
  <c r="BP90" i="24"/>
  <c r="CA132" i="24"/>
  <c r="CC132" i="24" s="1"/>
  <c r="BP132" i="24"/>
  <c r="BP207" i="24"/>
  <c r="CA207" i="24"/>
  <c r="CC207" i="24" s="1"/>
  <c r="BP84" i="24"/>
  <c r="BP61" i="24"/>
  <c r="CA192" i="24"/>
  <c r="CC192" i="24" s="1"/>
  <c r="BP192" i="24"/>
  <c r="BP42" i="24"/>
  <c r="BP33" i="24"/>
  <c r="CA123" i="24"/>
  <c r="CC123" i="24" s="1"/>
  <c r="CD123" i="24" s="1"/>
  <c r="BP123" i="24"/>
  <c r="BP8" i="24"/>
  <c r="BP77" i="24"/>
  <c r="BP29" i="24"/>
  <c r="BP53" i="24"/>
  <c r="BP111" i="24"/>
  <c r="CA111" i="24"/>
  <c r="CC111" i="24" s="1"/>
  <c r="CD111" i="24" s="1"/>
  <c r="BP82" i="24"/>
  <c r="CA146" i="24"/>
  <c r="CC146" i="24" s="1"/>
  <c r="BP146" i="24"/>
  <c r="BP52" i="24"/>
  <c r="BP148" i="24"/>
  <c r="CA148" i="24"/>
  <c r="CC148" i="24" s="1"/>
  <c r="BP41" i="24"/>
  <c r="BP27" i="24"/>
  <c r="CA118" i="24"/>
  <c r="CC118" i="24" s="1"/>
  <c r="CD118" i="24" s="1"/>
  <c r="BP118" i="24"/>
  <c r="BP210" i="24"/>
  <c r="CA210" i="24"/>
  <c r="CC210" i="24" s="1"/>
  <c r="BP30" i="24"/>
  <c r="BP102" i="24"/>
  <c r="CA173" i="24"/>
  <c r="CC173" i="24" s="1"/>
  <c r="BP173" i="24"/>
  <c r="BP67" i="24"/>
  <c r="CA183" i="24"/>
  <c r="CC183" i="24" s="1"/>
  <c r="BP183" i="24"/>
  <c r="BP172" i="24"/>
  <c r="CA172" i="24"/>
  <c r="CC172" i="24" s="1"/>
  <c r="CA120" i="24"/>
  <c r="CC120" i="24" s="1"/>
  <c r="CD120" i="24" s="1"/>
  <c r="BP120" i="24"/>
  <c r="BP204" i="24"/>
  <c r="CA204" i="24"/>
  <c r="CC204" i="24" s="1"/>
  <c r="CA206" i="24"/>
  <c r="CC206" i="24" s="1"/>
  <c r="BP206" i="24"/>
  <c r="BP87" i="24"/>
  <c r="CA177" i="24"/>
  <c r="CC177" i="24" s="1"/>
  <c r="CD177" i="24" s="1"/>
  <c r="BP177" i="24"/>
  <c r="BP14" i="24"/>
  <c r="CA122" i="24"/>
  <c r="CC122" i="24" s="1"/>
  <c r="CD122" i="24" s="1"/>
  <c r="BP122" i="24"/>
  <c r="BP76" i="24"/>
  <c r="BP64" i="24"/>
  <c r="BP48" i="24"/>
  <c r="CA174" i="24"/>
  <c r="CC174" i="24" s="1"/>
  <c r="BP28" i="24"/>
  <c r="BP60" i="24"/>
  <c r="BP163" i="24"/>
  <c r="CA163" i="24"/>
  <c r="CC163" i="24" s="1"/>
  <c r="BP58" i="24"/>
  <c r="CA208" i="24"/>
  <c r="CC208" i="24" s="1"/>
  <c r="BP208" i="24"/>
  <c r="BP144" i="24"/>
  <c r="CA144" i="24"/>
  <c r="CC144" i="24" s="1"/>
  <c r="CD144" i="24" s="1"/>
  <c r="BP73" i="24"/>
  <c r="BP112" i="24"/>
  <c r="CA112" i="24"/>
  <c r="CC112" i="24" s="1"/>
  <c r="CD112" i="24" s="1"/>
  <c r="BP79" i="24"/>
  <c r="BP68" i="24"/>
  <c r="BP13" i="24"/>
  <c r="BP141" i="24"/>
  <c r="CA141" i="24"/>
  <c r="CC141" i="24" s="1"/>
  <c r="BP86" i="24"/>
  <c r="BP11" i="24"/>
  <c r="BP59" i="24"/>
  <c r="BP25" i="24"/>
  <c r="BP199" i="24"/>
  <c r="CA199" i="24"/>
  <c r="CC199" i="24" s="1"/>
  <c r="BP51" i="24"/>
  <c r="BP98" i="24"/>
  <c r="BP32" i="24"/>
  <c r="BP9" i="24"/>
  <c r="CA203" i="24"/>
  <c r="CC203" i="24" s="1"/>
  <c r="BP203" i="24"/>
  <c r="CA114" i="24"/>
  <c r="CC114" i="24" s="1"/>
  <c r="CD114" i="24" s="1"/>
  <c r="BP114" i="24"/>
  <c r="BP34" i="24"/>
  <c r="BP75" i="24"/>
  <c r="BP31" i="24"/>
  <c r="CA145" i="24"/>
  <c r="CC145" i="24" s="1"/>
  <c r="BP145" i="24"/>
  <c r="CA184" i="24"/>
  <c r="CC184" i="24" s="1"/>
  <c r="BP184" i="24"/>
  <c r="BP136" i="24"/>
  <c r="CA136" i="24"/>
  <c r="CC136" i="24" s="1"/>
  <c r="CD136" i="24" s="1"/>
  <c r="BP197" i="24"/>
  <c r="CA197" i="24"/>
  <c r="CC197" i="24" s="1"/>
  <c r="BP22" i="24"/>
  <c r="BP140" i="24"/>
  <c r="CA140" i="24"/>
  <c r="CC140" i="24" s="1"/>
  <c r="BP115" i="24"/>
  <c r="CA115" i="24"/>
  <c r="CC115" i="24" s="1"/>
  <c r="CD115" i="24" s="1"/>
  <c r="BP154" i="24"/>
  <c r="CA154" i="24"/>
  <c r="CC154" i="24" s="1"/>
  <c r="BP56" i="24"/>
  <c r="BP181" i="24"/>
  <c r="CA181" i="24"/>
  <c r="CC181" i="24" s="1"/>
  <c r="BP46" i="24"/>
  <c r="BP116" i="24"/>
  <c r="CA116" i="24"/>
  <c r="CC116" i="24" s="1"/>
  <c r="CD116" i="24" s="1"/>
  <c r="BP17" i="24"/>
  <c r="BP170" i="24"/>
  <c r="CA170" i="24"/>
  <c r="CC170" i="24" s="1"/>
  <c r="BP179" i="24"/>
  <c r="CA179" i="24"/>
  <c r="CC179" i="24" s="1"/>
  <c r="CA161" i="24"/>
  <c r="CC161" i="24" s="1"/>
  <c r="BP161" i="24"/>
  <c r="BP104" i="24"/>
  <c r="CD141" i="24" l="1"/>
  <c r="CH141" i="24"/>
  <c r="CF110" i="25"/>
  <c r="CJ110" i="25"/>
  <c r="CF133" i="25"/>
  <c r="CJ133" i="25"/>
  <c r="CD138" i="24"/>
  <c r="CH138" i="24"/>
  <c r="CJ194" i="25"/>
  <c r="CF120" i="25"/>
  <c r="CJ120" i="25"/>
  <c r="CF104" i="25"/>
  <c r="CJ104" i="25"/>
  <c r="CC5" i="25"/>
  <c r="CE5" i="25" s="1"/>
  <c r="CF5" i="25" s="1"/>
  <c r="CF100" i="25"/>
  <c r="CJ100" i="25"/>
  <c r="CD127" i="24"/>
  <c r="CH127" i="24"/>
  <c r="CF16" i="25"/>
  <c r="CJ16" i="25"/>
  <c r="CD137" i="24"/>
  <c r="CH137" i="24"/>
  <c r="CF31" i="25"/>
  <c r="CJ31" i="25"/>
  <c r="CD159" i="24"/>
  <c r="CH159" i="24"/>
  <c r="CF40" i="25"/>
  <c r="CJ40" i="25"/>
  <c r="CF55" i="25"/>
  <c r="CJ55" i="25"/>
  <c r="CD134" i="24"/>
  <c r="CH134" i="24"/>
  <c r="CF26" i="25"/>
  <c r="CJ26" i="25"/>
  <c r="CF32" i="25"/>
  <c r="CJ32" i="25"/>
  <c r="CD152" i="24"/>
  <c r="CH152" i="24"/>
  <c r="CF78" i="25"/>
  <c r="CJ78" i="25"/>
  <c r="CD185" i="24"/>
  <c r="CH185" i="24"/>
  <c r="CD176" i="24"/>
  <c r="CH176" i="24"/>
  <c r="CF79" i="25"/>
  <c r="CJ79" i="25"/>
  <c r="CD210" i="24"/>
  <c r="CH210" i="24"/>
  <c r="CD207" i="24"/>
  <c r="CH207" i="24"/>
  <c r="CD147" i="24"/>
  <c r="CH147" i="24"/>
  <c r="CF208" i="25"/>
  <c r="CJ208" i="25"/>
  <c r="CD192" i="24"/>
  <c r="CH192" i="24"/>
  <c r="CD140" i="24"/>
  <c r="CH140" i="24"/>
  <c r="CF39" i="25"/>
  <c r="CJ39" i="25"/>
  <c r="CF22" i="25"/>
  <c r="CJ22" i="25"/>
  <c r="CD128" i="24"/>
  <c r="CH128" i="24"/>
  <c r="CF25" i="25"/>
  <c r="CJ25" i="25"/>
  <c r="CH158" i="24"/>
  <c r="CF67" i="25"/>
  <c r="CJ67" i="25"/>
  <c r="CF61" i="25"/>
  <c r="CJ61" i="25"/>
  <c r="CD74" i="24"/>
  <c r="CH74" i="24"/>
  <c r="CF74" i="25"/>
  <c r="CJ74" i="25"/>
  <c r="CF30" i="25"/>
  <c r="CJ30" i="25"/>
  <c r="CD131" i="24"/>
  <c r="CH131" i="24"/>
  <c r="CJ70" i="25"/>
  <c r="CJ45" i="25"/>
  <c r="CD145" i="24"/>
  <c r="CH145" i="24"/>
  <c r="CD179" i="24"/>
  <c r="CH179" i="24"/>
  <c r="CA18" i="24"/>
  <c r="CC18" i="24" s="1"/>
  <c r="CD18" i="24" s="1"/>
  <c r="CF76" i="25"/>
  <c r="CJ76" i="25"/>
  <c r="CF85" i="25"/>
  <c r="CJ85" i="25"/>
  <c r="CD156" i="24"/>
  <c r="CH156" i="24"/>
  <c r="CF53" i="25"/>
  <c r="CJ53" i="25"/>
  <c r="CF7" i="25"/>
  <c r="CJ7" i="25"/>
  <c r="CF6" i="25"/>
  <c r="CJ6" i="25"/>
  <c r="CF97" i="25"/>
  <c r="CJ97" i="25"/>
  <c r="CF57" i="25"/>
  <c r="CJ57" i="25"/>
  <c r="CD193" i="24"/>
  <c r="CH193" i="24"/>
  <c r="CF36" i="25"/>
  <c r="CJ36" i="25"/>
  <c r="CF34" i="25"/>
  <c r="CJ34" i="25"/>
  <c r="CD151" i="24"/>
  <c r="CH151" i="24"/>
  <c r="CF47" i="25"/>
  <c r="CJ47" i="25"/>
  <c r="CF50" i="25"/>
  <c r="CJ50" i="25"/>
  <c r="CF140" i="25"/>
  <c r="CJ140" i="25"/>
  <c r="CD146" i="24"/>
  <c r="CH146" i="24"/>
  <c r="CF134" i="25"/>
  <c r="CJ134" i="25"/>
  <c r="CF42" i="25"/>
  <c r="CJ42" i="25"/>
  <c r="CD190" i="24"/>
  <c r="CH190" i="24"/>
  <c r="CD167" i="24"/>
  <c r="CH167" i="24"/>
  <c r="CD189" i="24"/>
  <c r="CH189" i="24"/>
  <c r="CF63" i="25"/>
  <c r="CJ63" i="25"/>
  <c r="CD178" i="24"/>
  <c r="CH178" i="24"/>
  <c r="CD184" i="24"/>
  <c r="CH184" i="24"/>
  <c r="CF90" i="25"/>
  <c r="CJ90" i="25"/>
  <c r="CD132" i="24"/>
  <c r="CH132" i="24"/>
  <c r="CF82" i="25"/>
  <c r="CJ82" i="25"/>
  <c r="CD181" i="24"/>
  <c r="CH181" i="24"/>
  <c r="CF99" i="25"/>
  <c r="CJ99" i="25"/>
  <c r="CF88" i="25"/>
  <c r="CJ88" i="25"/>
  <c r="CJ81" i="25"/>
  <c r="CD186" i="24"/>
  <c r="CH186" i="24"/>
  <c r="CD187" i="24"/>
  <c r="CH187" i="24"/>
  <c r="CD69" i="24"/>
  <c r="CH69" i="24"/>
  <c r="CF153" i="25"/>
  <c r="CJ153" i="25"/>
  <c r="CH49" i="24"/>
  <c r="CF60" i="25"/>
  <c r="CJ60" i="25"/>
  <c r="CD166" i="24"/>
  <c r="CH166" i="24"/>
  <c r="CF49" i="25"/>
  <c r="CJ49" i="25"/>
  <c r="CF139" i="25"/>
  <c r="CJ139" i="25"/>
  <c r="CF98" i="25"/>
  <c r="CJ98" i="25"/>
  <c r="CD199" i="24"/>
  <c r="CH199" i="24"/>
  <c r="CF65" i="25"/>
  <c r="CJ65" i="25"/>
  <c r="CF75" i="25"/>
  <c r="CJ75" i="25"/>
  <c r="CF89" i="25"/>
  <c r="CJ89" i="25"/>
  <c r="CF154" i="25"/>
  <c r="CJ154" i="25"/>
  <c r="CA68" i="24"/>
  <c r="CC68" i="24" s="1"/>
  <c r="CA83" i="24"/>
  <c r="CC83" i="24" s="1"/>
  <c r="CD83" i="24" s="1"/>
  <c r="CA82" i="24"/>
  <c r="CC82" i="24" s="1"/>
  <c r="CF105" i="25"/>
  <c r="CJ105" i="25"/>
  <c r="CA81" i="24"/>
  <c r="CC81" i="24" s="1"/>
  <c r="CD81" i="24" s="1"/>
  <c r="CF71" i="25"/>
  <c r="CJ71" i="25"/>
  <c r="CF121" i="25"/>
  <c r="CJ121" i="25"/>
  <c r="CD124" i="24"/>
  <c r="CH124" i="24"/>
  <c r="CF19" i="25"/>
  <c r="CJ19" i="25"/>
  <c r="CD125" i="24"/>
  <c r="CH125" i="24"/>
  <c r="CD121" i="24"/>
  <c r="CH121" i="24"/>
  <c r="CF14" i="25"/>
  <c r="CJ14" i="25"/>
  <c r="CA17" i="24"/>
  <c r="CC17" i="24" s="1"/>
  <c r="CD126" i="24"/>
  <c r="CH126" i="24"/>
  <c r="CF17" i="25"/>
  <c r="CJ17" i="25"/>
  <c r="CD130" i="24"/>
  <c r="CH130" i="24"/>
  <c r="CF21" i="25"/>
  <c r="CJ21" i="25"/>
  <c r="CF44" i="25"/>
  <c r="CJ44" i="25"/>
  <c r="CD175" i="24"/>
  <c r="CH175" i="24"/>
  <c r="CF58" i="25"/>
  <c r="CJ58" i="25"/>
  <c r="CD99" i="24"/>
  <c r="CH99" i="24"/>
  <c r="CF91" i="25"/>
  <c r="CJ91" i="25"/>
  <c r="CF56" i="25"/>
  <c r="CJ56" i="25"/>
  <c r="CF95" i="25"/>
  <c r="CJ95" i="25"/>
  <c r="CD188" i="24"/>
  <c r="CH188" i="24"/>
  <c r="CD173" i="24"/>
  <c r="CH173" i="24"/>
  <c r="CD200" i="24"/>
  <c r="CH200" i="24"/>
  <c r="CD196" i="24"/>
  <c r="CH196" i="24"/>
  <c r="CF28" i="25"/>
  <c r="CJ28" i="25"/>
  <c r="CD129" i="24"/>
  <c r="CH129" i="24"/>
  <c r="CD139" i="24"/>
  <c r="CH139" i="24"/>
  <c r="CF46" i="25"/>
  <c r="CJ46" i="25"/>
  <c r="CD168" i="24"/>
  <c r="CH168" i="24"/>
  <c r="CF87" i="25"/>
  <c r="CJ87" i="25"/>
  <c r="CD202" i="24"/>
  <c r="CH202" i="24"/>
  <c r="CD194" i="24"/>
  <c r="CH194" i="24"/>
  <c r="CA87" i="24"/>
  <c r="CC87" i="24" s="1"/>
  <c r="CD87" i="24" s="1"/>
  <c r="CD142" i="24"/>
  <c r="CH142" i="24"/>
  <c r="CD148" i="24"/>
  <c r="CH148" i="24"/>
  <c r="CF51" i="25"/>
  <c r="CJ51" i="25"/>
  <c r="CA53" i="24"/>
  <c r="CC53" i="24" s="1"/>
  <c r="CD208" i="24"/>
  <c r="CH208" i="24"/>
  <c r="CA46" i="24"/>
  <c r="CC46" i="24" s="1"/>
  <c r="CA75" i="24"/>
  <c r="CC75" i="24" s="1"/>
  <c r="CD163" i="24"/>
  <c r="CH163" i="24"/>
  <c r="CF69" i="25"/>
  <c r="CJ69" i="25"/>
  <c r="CD153" i="24"/>
  <c r="CH153" i="24"/>
  <c r="CA73" i="24"/>
  <c r="CC73" i="24" s="1"/>
  <c r="CD73" i="24" s="1"/>
  <c r="CA41" i="24"/>
  <c r="CC41" i="24" s="1"/>
  <c r="CD41" i="24" s="1"/>
  <c r="CA23" i="24"/>
  <c r="CC23" i="24" s="1"/>
  <c r="CA45" i="24"/>
  <c r="CC45" i="24" s="1"/>
  <c r="CD45" i="24" s="1"/>
  <c r="CA56" i="24"/>
  <c r="CC56" i="24" s="1"/>
  <c r="CA7" i="24"/>
  <c r="CC7" i="24" s="1"/>
  <c r="CD7" i="24" s="1"/>
  <c r="CA101" i="24"/>
  <c r="CC101" i="24" s="1"/>
  <c r="CD101" i="24" s="1"/>
  <c r="CA60" i="24"/>
  <c r="CC60" i="24" s="1"/>
  <c r="CA84" i="24"/>
  <c r="CC84" i="24" s="1"/>
  <c r="CD84" i="24" s="1"/>
  <c r="CA25" i="24"/>
  <c r="CC25" i="24" s="1"/>
  <c r="CD160" i="24"/>
  <c r="CH160" i="24"/>
  <c r="CF64" i="25"/>
  <c r="CJ64" i="25"/>
  <c r="CA44" i="24"/>
  <c r="CC44" i="24" s="1"/>
  <c r="CA20" i="24"/>
  <c r="CC20" i="24" s="1"/>
  <c r="CA95" i="24"/>
  <c r="CC95" i="24" s="1"/>
  <c r="CD161" i="24"/>
  <c r="CH161" i="24"/>
  <c r="CF103" i="25"/>
  <c r="CJ103" i="25"/>
  <c r="CA29" i="24"/>
  <c r="CC29" i="24" s="1"/>
  <c r="CA22" i="24"/>
  <c r="CC22" i="24" s="1"/>
  <c r="CA70" i="24"/>
  <c r="CC70" i="24" s="1"/>
  <c r="CD70" i="24" s="1"/>
  <c r="CF37" i="25"/>
  <c r="CJ37" i="25"/>
  <c r="CD133" i="24"/>
  <c r="CH133" i="24"/>
  <c r="CA76" i="24"/>
  <c r="CC76" i="24" s="1"/>
  <c r="CA32" i="24"/>
  <c r="CC32" i="24" s="1"/>
  <c r="CD32" i="24" s="1"/>
  <c r="CF94" i="25"/>
  <c r="CJ94" i="25"/>
  <c r="CD94" i="24"/>
  <c r="CH94" i="24"/>
  <c r="CA16" i="24"/>
  <c r="CC16" i="24" s="1"/>
  <c r="CD195" i="24"/>
  <c r="CH195" i="24"/>
  <c r="CA104" i="24"/>
  <c r="CC104" i="24" s="1"/>
  <c r="CD104" i="24" s="1"/>
  <c r="CA28" i="24"/>
  <c r="CC28" i="24" s="1"/>
  <c r="CA24" i="24"/>
  <c r="CC24" i="24" s="1"/>
  <c r="CA14" i="24"/>
  <c r="CC14" i="24" s="1"/>
  <c r="CD14" i="24" s="1"/>
  <c r="CA50" i="24"/>
  <c r="CC50" i="24" s="1"/>
  <c r="CA89" i="24"/>
  <c r="CC89" i="24" s="1"/>
  <c r="CA47" i="24"/>
  <c r="CC47" i="24" s="1"/>
  <c r="CA86" i="24"/>
  <c r="CC86" i="24" s="1"/>
  <c r="CD86" i="24" s="1"/>
  <c r="CA85" i="24"/>
  <c r="CC85" i="24" s="1"/>
  <c r="CA72" i="24"/>
  <c r="CC72" i="24" s="1"/>
  <c r="CD72" i="24" s="1"/>
  <c r="CA26" i="24"/>
  <c r="CC26" i="24" s="1"/>
  <c r="CD26" i="24" s="1"/>
  <c r="CA9" i="24"/>
  <c r="CC9" i="24" s="1"/>
  <c r="CD9" i="24" s="1"/>
  <c r="CA102" i="24"/>
  <c r="CC102" i="24" s="1"/>
  <c r="CD102" i="24" s="1"/>
  <c r="CA61" i="24"/>
  <c r="CC61" i="24" s="1"/>
  <c r="CA36" i="24"/>
  <c r="CC36" i="24" s="1"/>
  <c r="CD36" i="24" s="1"/>
  <c r="CA30" i="24"/>
  <c r="CC30" i="24" s="1"/>
  <c r="CD172" i="24"/>
  <c r="CH172" i="24"/>
  <c r="CA11" i="24"/>
  <c r="CC11" i="24" s="1"/>
  <c r="CD11" i="24" s="1"/>
  <c r="CA8" i="24"/>
  <c r="CC8" i="24" s="1"/>
  <c r="CD8" i="24" s="1"/>
  <c r="CA42" i="24"/>
  <c r="CC42" i="24" s="1"/>
  <c r="CA13" i="24"/>
  <c r="CC13" i="24" s="1"/>
  <c r="CD13" i="24" s="1"/>
  <c r="CA34" i="24"/>
  <c r="CC34" i="24" s="1"/>
  <c r="CA59" i="24"/>
  <c r="CC59" i="24" s="1"/>
  <c r="CD59" i="24" s="1"/>
  <c r="CA27" i="24"/>
  <c r="CC27" i="24" s="1"/>
  <c r="CD27" i="24" s="1"/>
  <c r="CA40" i="24"/>
  <c r="CC40" i="24" s="1"/>
  <c r="CD40" i="24" s="1"/>
  <c r="CA21" i="24"/>
  <c r="CC21" i="24" s="1"/>
  <c r="CD21" i="24" s="1"/>
  <c r="CA39" i="24"/>
  <c r="CC39" i="24" s="1"/>
  <c r="CA33" i="24"/>
  <c r="CC33" i="24" s="1"/>
  <c r="CA6" i="24"/>
  <c r="CC6" i="24" s="1"/>
  <c r="CD6" i="24" s="1"/>
  <c r="CA88" i="24"/>
  <c r="CC88" i="24" s="1"/>
  <c r="CA38" i="24"/>
  <c r="CC38" i="24" s="1"/>
  <c r="CD38" i="24" s="1"/>
  <c r="CA66" i="24"/>
  <c r="CC66" i="24" s="1"/>
  <c r="CD66" i="24" s="1"/>
  <c r="CA62" i="24"/>
  <c r="CC62" i="24" s="1"/>
  <c r="CD62" i="24" s="1"/>
  <c r="CA31" i="24"/>
  <c r="CC31" i="24" s="1"/>
  <c r="CD31" i="24" s="1"/>
  <c r="CA79" i="24"/>
  <c r="CC79" i="24" s="1"/>
  <c r="CD79" i="24" s="1"/>
  <c r="CA90" i="24"/>
  <c r="CC90" i="24" s="1"/>
  <c r="CA15" i="24"/>
  <c r="CC15" i="24" s="1"/>
  <c r="CD15" i="24" s="1"/>
  <c r="B264" i="2" s="1"/>
  <c r="CA63" i="24"/>
  <c r="CC63" i="24" s="1"/>
  <c r="CD63" i="24" s="1"/>
  <c r="CA96" i="24"/>
  <c r="CC96" i="24" s="1"/>
  <c r="CD169" i="24"/>
  <c r="CH169" i="24"/>
  <c r="CA65" i="24"/>
  <c r="CC65" i="24" s="1"/>
  <c r="CD65" i="24" s="1"/>
  <c r="CA57" i="24"/>
  <c r="CC57" i="24" s="1"/>
  <c r="CD57" i="24" s="1"/>
  <c r="CA77" i="24"/>
  <c r="CC77" i="24" s="1"/>
  <c r="CF86" i="25"/>
  <c r="CJ86" i="25"/>
  <c r="CA98" i="24"/>
  <c r="CC98" i="24" s="1"/>
  <c r="CA78" i="24"/>
  <c r="CC78" i="24" s="1"/>
  <c r="CA55" i="24"/>
  <c r="CC55" i="24" s="1"/>
  <c r="CD55" i="24" s="1"/>
  <c r="B263" i="2" s="1"/>
  <c r="CA105" i="24"/>
  <c r="CC105" i="24" s="1"/>
  <c r="CA51" i="24"/>
  <c r="CC51" i="24" s="1"/>
  <c r="CA91" i="24"/>
  <c r="CC91" i="24" s="1"/>
  <c r="CD91" i="24" s="1"/>
  <c r="CA52" i="24"/>
  <c r="CC52" i="24" s="1"/>
  <c r="CD52" i="24" s="1"/>
  <c r="CA103" i="24"/>
  <c r="CC103" i="24" s="1"/>
  <c r="CD103" i="24" s="1"/>
  <c r="CA10" i="24"/>
  <c r="CC10" i="24" s="1"/>
  <c r="CD10" i="24" s="1"/>
  <c r="CA19" i="24"/>
  <c r="CC19" i="24" s="1"/>
  <c r="CD19" i="24" s="1"/>
  <c r="CA58" i="24"/>
  <c r="CC58" i="24" s="1"/>
  <c r="CD58" i="24" s="1"/>
  <c r="CA48" i="24"/>
  <c r="CC48" i="24" s="1"/>
  <c r="CA67" i="24"/>
  <c r="CC67" i="24" s="1"/>
  <c r="CD157" i="24"/>
  <c r="CH157" i="24"/>
  <c r="CA43" i="24"/>
  <c r="CC43" i="24" s="1"/>
  <c r="CD43" i="24" s="1"/>
  <c r="CA37" i="24"/>
  <c r="CC37" i="24" s="1"/>
  <c r="CA71" i="24"/>
  <c r="CC71" i="24" s="1"/>
  <c r="CD71" i="24" s="1"/>
  <c r="CA100" i="24"/>
  <c r="CC100" i="24" s="1"/>
  <c r="CD100" i="24" s="1"/>
  <c r="CA64" i="24"/>
  <c r="CC64" i="24" s="1"/>
  <c r="CD204" i="24"/>
  <c r="CH204" i="24"/>
  <c r="CD203" i="24"/>
  <c r="CH203" i="24"/>
  <c r="CF180" i="25"/>
  <c r="CJ180" i="25"/>
  <c r="CD182" i="24"/>
  <c r="CH182" i="24"/>
  <c r="CD165" i="24"/>
  <c r="CH165" i="24"/>
  <c r="CD201" i="24"/>
  <c r="CH201" i="24"/>
  <c r="CH81" i="24"/>
  <c r="CD174" i="24"/>
  <c r="CH174" i="24"/>
  <c r="CD183" i="24"/>
  <c r="CH183" i="24"/>
  <c r="CF92" i="25"/>
  <c r="CJ92" i="25"/>
  <c r="CD205" i="24"/>
  <c r="CH205" i="24"/>
  <c r="CD155" i="24"/>
  <c r="CH155" i="24"/>
  <c r="CD162" i="24"/>
  <c r="CH162" i="24"/>
  <c r="CH102" i="24"/>
  <c r="CD191" i="24"/>
  <c r="CH191" i="24"/>
  <c r="CF192" i="25"/>
  <c r="CJ192" i="25"/>
  <c r="CD206" i="24"/>
  <c r="CH206" i="24"/>
  <c r="CH79" i="24"/>
  <c r="CD171" i="24"/>
  <c r="CH171" i="24"/>
  <c r="CF77" i="25"/>
  <c r="CJ77" i="25"/>
  <c r="CD198" i="24"/>
  <c r="CH198" i="24"/>
  <c r="CA54" i="24"/>
  <c r="CC54" i="24" s="1"/>
  <c r="CD180" i="24"/>
  <c r="CH180" i="24"/>
  <c r="CD170" i="24"/>
  <c r="CH170" i="24"/>
  <c r="CH71" i="24"/>
  <c r="BP94" i="24"/>
  <c r="CH45" i="24"/>
  <c r="CD154" i="24"/>
  <c r="CH154" i="24"/>
  <c r="CD150" i="24"/>
  <c r="CH150" i="24"/>
  <c r="CH103" i="24"/>
  <c r="CD197" i="24"/>
  <c r="CH197" i="24"/>
  <c r="CD23" i="24" l="1"/>
  <c r="CH23" i="24"/>
  <c r="CD17" i="24"/>
  <c r="CH17" i="24"/>
  <c r="CD33" i="24"/>
  <c r="CH33" i="24"/>
  <c r="CD29" i="24"/>
  <c r="CH29" i="24"/>
  <c r="CD34" i="24"/>
  <c r="CH34" i="24"/>
  <c r="CD48" i="24"/>
  <c r="CH48" i="24"/>
  <c r="CD68" i="24"/>
  <c r="CH68" i="24"/>
  <c r="CD78" i="24"/>
  <c r="CH78" i="24"/>
  <c r="CD96" i="24"/>
  <c r="CH96" i="24"/>
  <c r="CD39" i="24"/>
  <c r="CH39" i="24"/>
  <c r="CD25" i="24"/>
  <c r="CH25" i="24"/>
  <c r="CD67" i="24"/>
  <c r="CH67" i="24"/>
  <c r="CD61" i="24"/>
  <c r="CH61" i="24"/>
  <c r="CD30" i="24"/>
  <c r="CH30" i="24"/>
  <c r="CH70" i="24"/>
  <c r="CH87" i="24"/>
  <c r="CD85" i="24"/>
  <c r="CH85" i="24"/>
  <c r="CD53" i="24"/>
  <c r="CH53" i="24"/>
  <c r="CD54" i="24"/>
  <c r="CH54" i="24"/>
  <c r="CD47" i="24"/>
  <c r="CH47" i="24"/>
  <c r="CD50" i="24"/>
  <c r="CH50" i="24"/>
  <c r="CD42" i="24"/>
  <c r="CH42" i="24"/>
  <c r="CD90" i="24"/>
  <c r="CH90" i="24"/>
  <c r="CD82" i="24"/>
  <c r="CH82" i="24"/>
  <c r="CD89" i="24"/>
  <c r="CH89" i="24"/>
  <c r="CD75" i="24"/>
  <c r="CH75" i="24"/>
  <c r="CD88" i="24"/>
  <c r="CH88" i="24"/>
  <c r="CD60" i="24"/>
  <c r="CH60" i="24"/>
  <c r="CD98" i="24"/>
  <c r="CH98" i="24"/>
  <c r="CH86" i="24"/>
  <c r="CD105" i="24"/>
  <c r="B262" i="2" s="1"/>
  <c r="CH105" i="24"/>
  <c r="CD22" i="24"/>
  <c r="CH22" i="24"/>
  <c r="CD16" i="24"/>
  <c r="CH16" i="24"/>
  <c r="CD20" i="24"/>
  <c r="CH20" i="24"/>
  <c r="CD24" i="24"/>
  <c r="CH24" i="24"/>
  <c r="CD44" i="24"/>
  <c r="CH44" i="24"/>
  <c r="CD56" i="24"/>
  <c r="CH56" i="24"/>
  <c r="CD95" i="24"/>
  <c r="CH95" i="24"/>
  <c r="CD28" i="24"/>
  <c r="CH28" i="24"/>
  <c r="CD46" i="24"/>
  <c r="CH46" i="24"/>
  <c r="CD51" i="24"/>
  <c r="CH51" i="24"/>
  <c r="CD76" i="24"/>
  <c r="CH76" i="24"/>
  <c r="CD64" i="24"/>
  <c r="CH64" i="24"/>
  <c r="CD37" i="24"/>
  <c r="CH37" i="24"/>
  <c r="CD77" i="24"/>
  <c r="CH77" i="24"/>
  <c r="CJ211" i="25"/>
  <c r="CI211"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Timothy Hegarty</author>
    <author>Xi, Youhao</author>
    <author>Hegarty, Timothy</author>
  </authors>
  <commentList>
    <comment ref="A3" authorId="0" shapeId="0" xr:uid="{00000000-0006-0000-0000-000001000000}">
      <text>
        <r>
          <rPr>
            <b/>
            <sz val="11"/>
            <color indexed="10"/>
            <rFont val="Tahoma"/>
            <family val="2"/>
          </rPr>
          <t>Welcome to the LM5180/1 and LM25180/3/4 Design Tool</t>
        </r>
        <r>
          <rPr>
            <sz val="9"/>
            <color indexed="81"/>
            <rFont val="Tahoma"/>
            <family val="2"/>
          </rPr>
          <t xml:space="preserve">
This stand-alone tool facilitates and assists the power supply engineer with design of an isolated DC/DC regulator based on the </t>
        </r>
        <r>
          <rPr>
            <b/>
            <sz val="9"/>
            <color indexed="81"/>
            <rFont val="Tahoma"/>
            <family val="2"/>
          </rPr>
          <t>LM(2)5180/1/3/4 low-I</t>
        </r>
        <r>
          <rPr>
            <b/>
            <vertAlign val="subscript"/>
            <sz val="9"/>
            <color indexed="81"/>
            <rFont val="Tahoma"/>
            <family val="2"/>
          </rPr>
          <t>Q</t>
        </r>
        <r>
          <rPr>
            <b/>
            <sz val="9"/>
            <color indexed="81"/>
            <rFont val="Tahoma"/>
            <family val="2"/>
          </rPr>
          <t xml:space="preserve"> PSR flyback converter</t>
        </r>
        <r>
          <rPr>
            <sz val="9"/>
            <color indexed="81"/>
            <rFont val="Tahoma"/>
            <family val="2"/>
          </rPr>
          <t xml:space="preserve">. As such, the user can expeditiously arrive at an optimized design by virtue of the following:
- Select transformer parameters including turns ratio and mag inductance
- Determine input and output capacitances for specified ripple requirements (1% Vout and 5% Vin)
- Select components for feedback, soft-start, input UVLO, and temperature compensation
- Advise componnets (usually optional) for SW voltage clamp and and flyback diode snubber
- Optimize the design using efficiency and solution size as key performance metrics
- Inspect converter efficiency and switching frequency over load and line
- Analyze efficiency based on selected component parameters
- Review auto-generated schematic and BOM list
</t>
        </r>
        <r>
          <rPr>
            <b/>
            <sz val="9"/>
            <color indexed="81"/>
            <rFont val="Tahoma"/>
            <family val="2"/>
          </rPr>
          <t>IMPORTANT:</t>
        </r>
        <r>
          <rPr>
            <sz val="9"/>
            <color indexed="81"/>
            <rFont val="Tahoma"/>
            <family val="2"/>
          </rPr>
          <t xml:space="preserve"> You must enable macros if Microsoft EXCEL asks as the file is being opened.
U.S. English notation is used throughout.
</t>
        </r>
        <r>
          <rPr>
            <u/>
            <sz val="9"/>
            <color indexed="12"/>
            <rFont val="Tahoma"/>
            <family val="2"/>
          </rPr>
          <t>http://www.ti.com/widevin/</t>
        </r>
        <r>
          <rPr>
            <sz val="9"/>
            <color indexed="81"/>
            <rFont val="Tahoma"/>
            <family val="2"/>
          </rPr>
          <t xml:space="preserve">
</t>
        </r>
        <r>
          <rPr>
            <b/>
            <sz val="9"/>
            <color indexed="81"/>
            <rFont val="Tahoma"/>
            <family val="2"/>
          </rPr>
          <t xml:space="preserve">
Rev A1, Timothy Hegarty, Texas Instruments, Inc., August 2021
Rev B, Youhao Xi, Texas Instruments, Inc., November 2022</t>
        </r>
      </text>
    </comment>
    <comment ref="U3" authorId="0" shapeId="0" xr:uid="{00000000-0006-0000-0000-000002000000}">
      <text>
        <r>
          <rPr>
            <b/>
            <u/>
            <sz val="11"/>
            <color indexed="10"/>
            <rFont val="Tahoma"/>
            <family val="2"/>
          </rPr>
          <t>Texas Instruments</t>
        </r>
        <r>
          <rPr>
            <sz val="11"/>
            <color indexed="10"/>
            <rFont val="Tahoma"/>
            <family val="2"/>
          </rPr>
          <t>:</t>
        </r>
        <r>
          <rPr>
            <sz val="9"/>
            <color indexed="81"/>
            <rFont val="Tahoma"/>
            <family val="2"/>
          </rPr>
          <t xml:space="preserve">
</t>
        </r>
        <r>
          <rPr>
            <b/>
            <sz val="9"/>
            <color indexed="81"/>
            <rFont val="Tahoma"/>
            <family val="2"/>
          </rPr>
          <t>Limited Use Policy</t>
        </r>
        <r>
          <rPr>
            <sz val="9"/>
            <color indexed="81"/>
            <rFont val="Tahoma"/>
            <family val="2"/>
          </rPr>
          <t xml:space="preserve">
You must treat this software and documentation like any other copyrighted material.
</t>
        </r>
        <r>
          <rPr>
            <b/>
            <sz val="9"/>
            <color indexed="81"/>
            <rFont val="Tahoma"/>
            <family val="2"/>
          </rPr>
          <t>You may not:</t>
        </r>
        <r>
          <rPr>
            <sz val="9"/>
            <color indexed="81"/>
            <rFont val="Tahoma"/>
            <family val="2"/>
          </rPr>
          <t xml:space="preserve">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design tool and recommends that all designs be fully tested and carefully verified. Refer to the LM5180/1 and LM25180/3/4 product datasheets and EVM user's guides for more details.
</t>
        </r>
        <r>
          <rPr>
            <b/>
            <sz val="9"/>
            <color indexed="81"/>
            <rFont val="Tahoma"/>
            <family val="2"/>
          </rPr>
          <t>Rev A1, Timothy Hegarty, Texas Instruments, Inc.</t>
        </r>
      </text>
    </comment>
    <comment ref="F6" authorId="0" shapeId="0" xr:uid="{00000000-0006-0000-0000-000003000000}">
      <text>
        <r>
          <rPr>
            <b/>
            <u/>
            <sz val="9"/>
            <color indexed="81"/>
            <rFont val="Tahoma"/>
            <family val="2"/>
          </rPr>
          <t>Minimum Input Voltage</t>
        </r>
        <r>
          <rPr>
            <b/>
            <sz val="9"/>
            <color indexed="81"/>
            <rFont val="Tahoma"/>
            <family val="2"/>
          </rPr>
          <t>:</t>
        </r>
        <r>
          <rPr>
            <sz val="9"/>
            <color indexed="81"/>
            <rFont val="Tahoma"/>
            <family val="2"/>
          </rPr>
          <t xml:space="preserve">
Enter the minimum input operating voltage.
The LM(2)5180/1/3/4 input voltage operating range is 4.5V to (42V)65V.
</t>
        </r>
        <r>
          <rPr>
            <b/>
            <sz val="9"/>
            <color indexed="81"/>
            <rFont val="Tahoma"/>
            <family val="2"/>
          </rPr>
          <t xml:space="preserve">The text in this cell is </t>
        </r>
        <r>
          <rPr>
            <b/>
            <sz val="9"/>
            <color indexed="10"/>
            <rFont val="Tahoma"/>
            <family val="2"/>
          </rPr>
          <t>red</t>
        </r>
        <r>
          <rPr>
            <b/>
            <sz val="9"/>
            <color indexed="81"/>
            <rFont val="Tahoma"/>
            <family val="2"/>
          </rPr>
          <t xml:space="preserve"> if:</t>
        </r>
        <r>
          <rPr>
            <sz val="9"/>
            <color indexed="81"/>
            <rFont val="Tahoma"/>
            <family val="2"/>
          </rPr>
          <t xml:space="preserve">
-The input voltage is above </t>
        </r>
        <r>
          <rPr>
            <b/>
            <sz val="9"/>
            <color indexed="10"/>
            <rFont val="Tahoma"/>
            <family val="2"/>
          </rPr>
          <t>42V</t>
        </r>
        <r>
          <rPr>
            <b/>
            <sz val="9"/>
            <color indexed="81"/>
            <rFont val="Tahoma"/>
            <family val="2"/>
          </rPr>
          <t xml:space="preserve"> </t>
        </r>
        <r>
          <rPr>
            <sz val="9"/>
            <color indexed="81"/>
            <rFont val="Tahoma"/>
            <family val="2"/>
          </rPr>
          <t xml:space="preserve">(LM25180/3/4/-Q1) or </t>
        </r>
        <r>
          <rPr>
            <b/>
            <sz val="9"/>
            <color indexed="10"/>
            <rFont val="Tahoma"/>
            <family val="2"/>
          </rPr>
          <t>65V</t>
        </r>
        <r>
          <rPr>
            <sz val="9"/>
            <color indexed="81"/>
            <rFont val="Tahoma"/>
            <family val="2"/>
          </rPr>
          <t xml:space="preserve"> (LM5180/1/-Q1)
-The input voltage is below </t>
        </r>
        <r>
          <rPr>
            <b/>
            <sz val="9"/>
            <color indexed="10"/>
            <rFont val="Tahoma"/>
            <family val="2"/>
          </rPr>
          <t>4.5V</t>
        </r>
      </text>
    </comment>
    <comment ref="M6" authorId="0" shapeId="0" xr:uid="{00000000-0006-0000-0000-000004000000}">
      <text>
        <r>
          <rPr>
            <b/>
            <u/>
            <sz val="9"/>
            <color indexed="81"/>
            <rFont val="Tahoma"/>
            <family val="2"/>
          </rPr>
          <t>Minimum Magnetizing Inductance</t>
        </r>
        <r>
          <rPr>
            <b/>
            <sz val="9"/>
            <color indexed="81"/>
            <rFont val="Tahoma"/>
            <family val="2"/>
          </rPr>
          <t xml:space="preserve">:
</t>
        </r>
        <r>
          <rPr>
            <sz val="9"/>
            <color indexed="81"/>
            <rFont val="Tahoma"/>
            <family val="2"/>
          </rPr>
          <t>The minimum magnetizing inductance is set by the off-time constraint at light loads (in FFM). The requirement is that the magnetizing current must not decrease to zero in less than 500ns.</t>
        </r>
      </text>
    </comment>
    <comment ref="F7" authorId="0" shapeId="0" xr:uid="{00000000-0006-0000-0000-000005000000}">
      <text>
        <r>
          <rPr>
            <b/>
            <u/>
            <sz val="9"/>
            <color indexed="81"/>
            <rFont val="Tahoma"/>
            <family val="2"/>
          </rPr>
          <t>Nominal Input Voltage</t>
        </r>
        <r>
          <rPr>
            <b/>
            <sz val="9"/>
            <color indexed="81"/>
            <rFont val="Tahoma"/>
            <family val="2"/>
          </rPr>
          <t>:</t>
        </r>
        <r>
          <rPr>
            <sz val="9"/>
            <color indexed="81"/>
            <rFont val="Tahoma"/>
            <family val="2"/>
          </rPr>
          <t xml:space="preserve">
Enter the nominal input operating voltage.
The LM(2)51801/3/4 input voltage operating range is 4.5V to (42V)65V.
</t>
        </r>
        <r>
          <rPr>
            <b/>
            <sz val="9"/>
            <color indexed="81"/>
            <rFont val="Tahoma"/>
            <family val="2"/>
          </rPr>
          <t xml:space="preserve">The text in this cell is </t>
        </r>
        <r>
          <rPr>
            <b/>
            <sz val="9"/>
            <color indexed="10"/>
            <rFont val="Tahoma"/>
            <family val="2"/>
          </rPr>
          <t>red</t>
        </r>
        <r>
          <rPr>
            <b/>
            <sz val="9"/>
            <color indexed="81"/>
            <rFont val="Tahoma"/>
            <family val="2"/>
          </rPr>
          <t xml:space="preserve"> if:</t>
        </r>
        <r>
          <rPr>
            <sz val="9"/>
            <color indexed="81"/>
            <rFont val="Tahoma"/>
            <family val="2"/>
          </rPr>
          <t xml:space="preserve">
-The input voltage is above </t>
        </r>
        <r>
          <rPr>
            <b/>
            <sz val="9"/>
            <color indexed="10"/>
            <rFont val="Tahoma"/>
            <family val="2"/>
          </rPr>
          <t>42V</t>
        </r>
        <r>
          <rPr>
            <sz val="9"/>
            <color indexed="81"/>
            <rFont val="Tahoma"/>
            <family val="2"/>
          </rPr>
          <t xml:space="preserve"> (LM25180/3/4/-Q1) or </t>
        </r>
        <r>
          <rPr>
            <b/>
            <sz val="9"/>
            <color indexed="10"/>
            <rFont val="Tahoma"/>
            <family val="2"/>
          </rPr>
          <t>65V</t>
        </r>
        <r>
          <rPr>
            <sz val="9"/>
            <color indexed="81"/>
            <rFont val="Tahoma"/>
            <family val="2"/>
          </rPr>
          <t xml:space="preserve"> (LM5180/1/-Q1)
-The input voltage is below </t>
        </r>
        <r>
          <rPr>
            <b/>
            <sz val="9"/>
            <color indexed="10"/>
            <rFont val="Tahoma"/>
            <family val="2"/>
          </rPr>
          <t xml:space="preserve">4.5V
</t>
        </r>
        <r>
          <rPr>
            <sz val="9"/>
            <color indexed="8"/>
            <rFont val="Tahoma"/>
            <family val="2"/>
          </rPr>
          <t xml:space="preserve">-The nom input voltage is </t>
        </r>
        <r>
          <rPr>
            <b/>
            <i/>
            <sz val="9"/>
            <color indexed="10"/>
            <rFont val="Tahoma"/>
            <family val="2"/>
          </rPr>
          <t>smaller</t>
        </r>
        <r>
          <rPr>
            <sz val="9"/>
            <color indexed="8"/>
            <rFont val="Tahoma"/>
            <family val="2"/>
          </rPr>
          <t xml:space="preserve"> than the min input voltage.</t>
        </r>
      </text>
    </comment>
    <comment ref="M7" authorId="0" shapeId="0" xr:uid="{00000000-0006-0000-0000-000006000000}">
      <text>
        <r>
          <rPr>
            <b/>
            <u/>
            <sz val="9"/>
            <color indexed="81"/>
            <rFont val="Tahoma"/>
            <family val="2"/>
          </rPr>
          <t>Magnetizing Inductance</t>
        </r>
        <r>
          <rPr>
            <b/>
            <sz val="9"/>
            <color indexed="81"/>
            <rFont val="Tahoma"/>
            <family val="2"/>
          </rPr>
          <t xml:space="preserve">:
</t>
        </r>
        <r>
          <rPr>
            <sz val="9"/>
            <color indexed="81"/>
            <rFont val="Tahoma"/>
            <family val="2"/>
          </rPr>
          <t xml:space="preserve">Enter the transformer mag inductance here.
Lower inductance provides an earlier transition from FFM to DCM but pushes out (or entirely eliminates) BCM operation. The main priviso is that the rated output current is achieved at nominal input voltage. Allow at least a 10% margin here to allow 
</t>
        </r>
        <r>
          <rPr>
            <b/>
            <sz val="9"/>
            <color indexed="81"/>
            <rFont val="Tahoma"/>
            <family val="2"/>
          </rPr>
          <t xml:space="preserve">This cell is flagged </t>
        </r>
        <r>
          <rPr>
            <b/>
            <sz val="9"/>
            <color indexed="10"/>
            <rFont val="Tahoma"/>
            <family val="2"/>
          </rPr>
          <t>RED</t>
        </r>
        <r>
          <rPr>
            <b/>
            <sz val="9"/>
            <color indexed="81"/>
            <rFont val="Tahoma"/>
            <family val="2"/>
          </rPr>
          <t xml:space="preserve"> if:</t>
        </r>
        <r>
          <rPr>
            <b/>
            <sz val="9"/>
            <color indexed="39"/>
            <rFont val="Tahoma"/>
            <family val="2"/>
          </rPr>
          <t xml:space="preserve">
</t>
        </r>
        <r>
          <rPr>
            <b/>
            <sz val="9"/>
            <color indexed="10"/>
            <rFont val="Tahoma"/>
            <family val="2"/>
          </rPr>
          <t>-The chosen inductance causes the peak current at max input voltage...</t>
        </r>
      </text>
    </comment>
    <comment ref="F8" authorId="0" shapeId="0" xr:uid="{00000000-0006-0000-0000-000007000000}">
      <text>
        <r>
          <rPr>
            <b/>
            <u/>
            <sz val="9"/>
            <color indexed="81"/>
            <rFont val="Tahoma"/>
            <family val="2"/>
          </rPr>
          <t>Maximum Input Voltage</t>
        </r>
        <r>
          <rPr>
            <b/>
            <sz val="9"/>
            <color indexed="81"/>
            <rFont val="Tahoma"/>
            <family val="2"/>
          </rPr>
          <t>:</t>
        </r>
        <r>
          <rPr>
            <sz val="9"/>
            <color indexed="81"/>
            <rFont val="Tahoma"/>
            <family val="2"/>
          </rPr>
          <t xml:space="preserve">
Enter the maximum input operating voltage.
The LM(2)5180/1/3/4 input voltage operating range is 4.5V to (42V)65V.
</t>
        </r>
        <r>
          <rPr>
            <b/>
            <sz val="9"/>
            <color indexed="81"/>
            <rFont val="Tahoma"/>
            <family val="2"/>
          </rPr>
          <t xml:space="preserve">The text in this cell is </t>
        </r>
        <r>
          <rPr>
            <b/>
            <sz val="10"/>
            <color indexed="10"/>
            <rFont val="Arial"/>
            <family val="2"/>
          </rPr>
          <t>red</t>
        </r>
        <r>
          <rPr>
            <b/>
            <sz val="9"/>
            <color indexed="81"/>
            <rFont val="Tahoma"/>
            <family val="2"/>
          </rPr>
          <t xml:space="preserve"> if:</t>
        </r>
        <r>
          <rPr>
            <sz val="9"/>
            <color indexed="81"/>
            <rFont val="Tahoma"/>
            <family val="2"/>
          </rPr>
          <t xml:space="preserve">
-The input voltage is above </t>
        </r>
        <r>
          <rPr>
            <b/>
            <sz val="9"/>
            <color indexed="10"/>
            <rFont val="Tahoma"/>
            <family val="2"/>
          </rPr>
          <t xml:space="preserve">42V </t>
        </r>
        <r>
          <rPr>
            <sz val="9"/>
            <color indexed="81"/>
            <rFont val="Tahoma"/>
            <family val="2"/>
          </rPr>
          <t>(LM25180/3/4/-Q1) or</t>
        </r>
        <r>
          <rPr>
            <b/>
            <sz val="9"/>
            <color indexed="81"/>
            <rFont val="Tahoma"/>
            <family val="2"/>
          </rPr>
          <t xml:space="preserve"> </t>
        </r>
        <r>
          <rPr>
            <b/>
            <sz val="9"/>
            <color indexed="10"/>
            <rFont val="Tahoma"/>
            <family val="2"/>
          </rPr>
          <t xml:space="preserve">65V </t>
        </r>
        <r>
          <rPr>
            <sz val="9"/>
            <color indexed="81"/>
            <rFont val="Tahoma"/>
            <family val="2"/>
          </rPr>
          <t xml:space="preserve">(LM5180/1/-Q1)
-The input voltage is below </t>
        </r>
        <r>
          <rPr>
            <b/>
            <sz val="9"/>
            <color indexed="10"/>
            <rFont val="Tahoma"/>
            <family val="2"/>
          </rPr>
          <t xml:space="preserve">4.5V
</t>
        </r>
        <r>
          <rPr>
            <sz val="9"/>
            <color indexed="81"/>
            <rFont val="Tahoma"/>
            <family val="2"/>
          </rPr>
          <t xml:space="preserve">-The max input voltage is </t>
        </r>
        <r>
          <rPr>
            <b/>
            <i/>
            <sz val="9"/>
            <color indexed="10"/>
            <rFont val="Tahoma"/>
            <family val="2"/>
          </rPr>
          <t>smaller</t>
        </r>
        <r>
          <rPr>
            <sz val="9"/>
            <color indexed="81"/>
            <rFont val="Tahoma"/>
            <family val="2"/>
          </rPr>
          <t xml:space="preserve"> than the nominal input voltage.</t>
        </r>
      </text>
    </comment>
    <comment ref="M8" authorId="0" shapeId="0" xr:uid="{00000000-0006-0000-0000-000008000000}">
      <text>
        <r>
          <rPr>
            <b/>
            <u/>
            <sz val="9"/>
            <color indexed="81"/>
            <rFont val="Tahoma"/>
            <family val="2"/>
          </rPr>
          <t>Primary Winding DCR</t>
        </r>
        <r>
          <rPr>
            <b/>
            <sz val="9"/>
            <color indexed="81"/>
            <rFont val="Tahoma"/>
            <family val="2"/>
          </rPr>
          <t xml:space="preserve">:
</t>
        </r>
        <r>
          <rPr>
            <sz val="9"/>
            <color indexed="81"/>
            <rFont val="Tahoma"/>
            <family val="2"/>
          </rPr>
          <t>Enter the primary winding DC resistance (DCR) here. This is typically specified in the transformer datasheet at 25°C copper temperature.</t>
        </r>
      </text>
    </comment>
    <comment ref="M9" authorId="0" shapeId="0" xr:uid="{00000000-0006-0000-0000-000009000000}">
      <text>
        <r>
          <rPr>
            <b/>
            <u/>
            <sz val="9"/>
            <color indexed="81"/>
            <rFont val="Tahoma"/>
            <family val="2"/>
          </rPr>
          <t>Secondary Winding DCR</t>
        </r>
        <r>
          <rPr>
            <b/>
            <sz val="9"/>
            <color indexed="81"/>
            <rFont val="Tahoma"/>
            <family val="2"/>
          </rPr>
          <t xml:space="preserve">:
</t>
        </r>
        <r>
          <rPr>
            <sz val="9"/>
            <color indexed="81"/>
            <rFont val="Tahoma"/>
            <family val="2"/>
          </rPr>
          <t>Enter the secondary winding DCR here. This is typically specified in the transformer datasheet at 25°C copper temperature.</t>
        </r>
      </text>
    </comment>
    <comment ref="F10" authorId="0" shapeId="0" xr:uid="{00000000-0006-0000-0000-00000A000000}">
      <text>
        <r>
          <rPr>
            <b/>
            <u/>
            <sz val="9"/>
            <color indexed="81"/>
            <rFont val="Tahoma"/>
            <family val="2"/>
          </rPr>
          <t>Output Voltage</t>
        </r>
        <r>
          <rPr>
            <b/>
            <sz val="9"/>
            <color indexed="81"/>
            <rFont val="Tahoma"/>
            <family val="2"/>
          </rPr>
          <t xml:space="preserve">:
</t>
        </r>
        <r>
          <rPr>
            <sz val="9"/>
            <color indexed="81"/>
            <rFont val="Tahoma"/>
            <family val="2"/>
          </rPr>
          <t xml:space="preserve">Enter the desired </t>
        </r>
        <r>
          <rPr>
            <sz val="9"/>
            <color indexed="8"/>
            <rFont val="Tahoma"/>
            <family val="2"/>
          </rPr>
          <t>output</t>
        </r>
        <r>
          <rPr>
            <sz val="9"/>
            <color indexed="81"/>
            <rFont val="Tahoma"/>
            <family val="2"/>
          </rPr>
          <t xml:space="preserve"> voltage here.
</t>
        </r>
        <r>
          <rPr>
            <b/>
            <sz val="9"/>
            <color indexed="81"/>
            <rFont val="Tahoma"/>
            <family val="2"/>
          </rPr>
          <t xml:space="preserve">The cell turns </t>
        </r>
        <r>
          <rPr>
            <b/>
            <sz val="9"/>
            <color indexed="10"/>
            <rFont val="Tahoma"/>
            <family val="2"/>
          </rPr>
          <t>red</t>
        </r>
        <r>
          <rPr>
            <b/>
            <sz val="9"/>
            <color indexed="81"/>
            <rFont val="Tahoma"/>
            <family val="2"/>
          </rPr>
          <t xml:space="preserve"> if the voltage is set to be negative.  Please always use positive voltagae here.
</t>
        </r>
        <r>
          <rPr>
            <sz val="9"/>
            <color indexed="81"/>
            <rFont val="Tahoma"/>
            <family val="2"/>
          </rPr>
          <t xml:space="preserve">
</t>
        </r>
      </text>
    </comment>
    <comment ref="F11" authorId="0" shapeId="0" xr:uid="{00000000-0006-0000-0000-00000B000000}">
      <text>
        <r>
          <rPr>
            <b/>
            <u/>
            <sz val="9"/>
            <color indexed="81"/>
            <rFont val="Tahoma"/>
            <family val="2"/>
          </rPr>
          <t>Output Current</t>
        </r>
        <r>
          <rPr>
            <b/>
            <sz val="9"/>
            <color indexed="81"/>
            <rFont val="Tahoma"/>
            <family val="2"/>
          </rPr>
          <t xml:space="preserve">:
</t>
        </r>
        <r>
          <rPr>
            <sz val="9"/>
            <color indexed="81"/>
            <rFont val="Tahoma"/>
            <family val="2"/>
          </rPr>
          <t>Enter the desired output current here.</t>
        </r>
        <r>
          <rPr>
            <b/>
            <sz val="9"/>
            <color indexed="81"/>
            <rFont val="Tahoma"/>
            <family val="2"/>
          </rPr>
          <t xml:space="preserve">
</t>
        </r>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
        </r>
        <r>
          <rPr>
            <b/>
            <sz val="9"/>
            <color indexed="39"/>
            <rFont val="Tahoma"/>
            <family val="2"/>
          </rPr>
          <t xml:space="preserve">-The output current is below </t>
        </r>
        <r>
          <rPr>
            <b/>
            <sz val="9"/>
            <color indexed="10"/>
            <rFont val="Tahoma"/>
            <family val="2"/>
          </rPr>
          <t xml:space="preserve">10mA
</t>
        </r>
        <r>
          <rPr>
            <b/>
            <sz val="9"/>
            <color indexed="8"/>
            <rFont val="Tahoma"/>
            <family val="2"/>
          </rPr>
          <t xml:space="preserve">-The output current is </t>
        </r>
        <r>
          <rPr>
            <b/>
            <i/>
            <sz val="9"/>
            <color indexed="10"/>
            <rFont val="Tahoma"/>
            <family val="2"/>
          </rPr>
          <t>negative.</t>
        </r>
        <r>
          <rPr>
            <b/>
            <sz val="9"/>
            <color indexed="10"/>
            <rFont val="Tahoma"/>
            <family val="2"/>
          </rPr>
          <t xml:space="preserve">
</t>
        </r>
      </text>
    </comment>
    <comment ref="F13" authorId="1" shapeId="0" xr:uid="{CE1560BA-053F-4640-B5C0-B1A960C5168A}">
      <text>
        <r>
          <rPr>
            <sz val="9"/>
            <color indexed="81"/>
            <rFont val="Tahoma"/>
            <family val="2"/>
          </rPr>
          <t>The text in this cell is</t>
        </r>
        <r>
          <rPr>
            <b/>
            <sz val="9"/>
            <color indexed="81"/>
            <rFont val="Tahoma"/>
            <family val="2"/>
          </rPr>
          <t xml:space="preserve"> </t>
        </r>
        <r>
          <rPr>
            <b/>
            <sz val="9"/>
            <color indexed="10"/>
            <rFont val="Tahoma"/>
            <family val="2"/>
          </rPr>
          <t>red</t>
        </r>
        <r>
          <rPr>
            <sz val="9"/>
            <color indexed="81"/>
            <rFont val="Tahoma"/>
            <family val="2"/>
          </rPr>
          <t xml:space="preserve"> if</t>
        </r>
        <r>
          <rPr>
            <b/>
            <sz val="9"/>
            <color indexed="81"/>
            <rFont val="Tahoma"/>
            <family val="2"/>
          </rPr>
          <t xml:space="preserve">:
-IOUT2 is below </t>
        </r>
        <r>
          <rPr>
            <b/>
            <sz val="9"/>
            <color indexed="10"/>
            <rFont val="Tahoma"/>
            <family val="2"/>
          </rPr>
          <t>10mA</t>
        </r>
        <r>
          <rPr>
            <b/>
            <sz val="9"/>
            <color indexed="81"/>
            <rFont val="Tahoma"/>
            <family val="2"/>
          </rPr>
          <t xml:space="preserve">
-The sign of IOUT2 is </t>
        </r>
        <r>
          <rPr>
            <b/>
            <i/>
            <sz val="9"/>
            <color indexed="10"/>
            <rFont val="Tahoma"/>
            <family val="2"/>
          </rPr>
          <t>opposite</t>
        </r>
        <r>
          <rPr>
            <b/>
            <sz val="9"/>
            <color indexed="81"/>
            <rFont val="Tahoma"/>
            <family val="2"/>
          </rPr>
          <t xml:space="preserve"> to that of VOUT2</t>
        </r>
      </text>
    </comment>
    <comment ref="M15" authorId="0" shapeId="0" xr:uid="{00000000-0006-0000-0000-00000C000000}">
      <text>
        <r>
          <rPr>
            <b/>
            <u/>
            <sz val="9"/>
            <color indexed="81"/>
            <rFont val="Tahoma"/>
            <family val="2"/>
          </rPr>
          <t xml:space="preserve">Max Output Current at VIN(min):
</t>
        </r>
        <r>
          <rPr>
            <sz val="9"/>
            <color indexed="81"/>
            <rFont val="Tahoma"/>
            <family val="2"/>
          </rPr>
          <t>The output power is most limited at minimum input operating voltage. Adjust the transformer turns ratio if needed (or change to a higher current converter).</t>
        </r>
      </text>
    </comment>
    <comment ref="M16" authorId="0" shapeId="0" xr:uid="{00000000-0006-0000-0000-00000D000000}">
      <text>
        <r>
          <rPr>
            <b/>
            <u/>
            <sz val="9"/>
            <color indexed="81"/>
            <rFont val="Tahoma"/>
            <family val="2"/>
          </rPr>
          <t xml:space="preserve">Max Duty Cycle:
</t>
        </r>
        <r>
          <rPr>
            <sz val="9"/>
            <color indexed="81"/>
            <rFont val="Tahoma"/>
            <family val="2"/>
          </rPr>
          <t>The max operating duty cycle is preferably kept below 75% to prevent high peak/rms currents in the flyback diode(s) and secondary winding(s).</t>
        </r>
      </text>
    </comment>
    <comment ref="F17" authorId="0" shapeId="0" xr:uid="{00000000-0006-0000-0000-00000E000000}">
      <text>
        <r>
          <rPr>
            <b/>
            <u/>
            <sz val="9"/>
            <color indexed="81"/>
            <rFont val="Tahoma"/>
            <family val="2"/>
          </rPr>
          <t>Minimum Recommended Cin</t>
        </r>
        <r>
          <rPr>
            <b/>
            <sz val="9"/>
            <color indexed="81"/>
            <rFont val="Tahoma"/>
            <family val="2"/>
          </rPr>
          <t xml:space="preserve">:
</t>
        </r>
        <r>
          <rPr>
            <sz val="9"/>
            <color indexed="81"/>
            <rFont val="Tahoma"/>
            <family val="2"/>
          </rPr>
          <t xml:space="preserve">This is the minimum input cap based on 10% pk-pk voltage ripple at the input.
</t>
        </r>
        <r>
          <rPr>
            <sz val="9"/>
            <color indexed="39"/>
            <rFont val="Tahoma"/>
            <family val="2"/>
          </rPr>
          <t xml:space="preserve">
</t>
        </r>
        <r>
          <rPr>
            <b/>
            <sz val="9"/>
            <color indexed="39"/>
            <rFont val="Tahoma"/>
            <family val="2"/>
          </rPr>
          <t>This condition is derived at VIN(nom).</t>
        </r>
        <r>
          <rPr>
            <b/>
            <sz val="9"/>
            <color indexed="81"/>
            <rFont val="Tahoma"/>
            <family val="2"/>
          </rPr>
          <t xml:space="preserve">
</t>
        </r>
      </text>
    </comment>
    <comment ref="F18" authorId="0" shapeId="0" xr:uid="{00000000-0006-0000-0000-00000F000000}">
      <text>
        <r>
          <rPr>
            <b/>
            <u/>
            <sz val="9"/>
            <color indexed="81"/>
            <rFont val="Tahoma"/>
            <family val="2"/>
          </rPr>
          <t>Input Capacitance</t>
        </r>
        <r>
          <rPr>
            <b/>
            <sz val="9"/>
            <color indexed="81"/>
            <rFont val="Tahoma"/>
            <family val="2"/>
          </rPr>
          <t xml:space="preserve">:
</t>
        </r>
        <r>
          <rPr>
            <sz val="9"/>
            <color indexed="81"/>
            <rFont val="Tahoma"/>
            <family val="2"/>
          </rPr>
          <t xml:space="preserve">Enter the input capacitance here based on the minimum calculated result. Ensure that the nominal capacitance is appropriately </t>
        </r>
        <r>
          <rPr>
            <b/>
            <sz val="9"/>
            <color indexed="81"/>
            <rFont val="Tahoma"/>
            <family val="2"/>
          </rPr>
          <t>derated</t>
        </r>
        <r>
          <rPr>
            <sz val="9"/>
            <color indexed="81"/>
            <rFont val="Tahoma"/>
            <family val="2"/>
          </rPr>
          <t xml:space="preserve"> for applied voltage.
</t>
        </r>
        <r>
          <rPr>
            <b/>
            <sz val="9"/>
            <color indexed="81"/>
            <rFont val="Tahoma"/>
            <family val="2"/>
          </rPr>
          <t xml:space="preserve">The text in this cell is flagged </t>
        </r>
        <r>
          <rPr>
            <b/>
            <sz val="9"/>
            <color indexed="10"/>
            <rFont val="Tahoma"/>
            <family val="2"/>
          </rPr>
          <t>red</t>
        </r>
        <r>
          <rPr>
            <b/>
            <sz val="9"/>
            <color indexed="81"/>
            <rFont val="Tahoma"/>
            <family val="2"/>
          </rPr>
          <t xml:space="preserve"> if:
</t>
        </r>
        <r>
          <rPr>
            <b/>
            <sz val="9"/>
            <color indexed="10"/>
            <rFont val="Tahoma"/>
            <family val="2"/>
          </rPr>
          <t>-The chosen input capacitor is smaller than the minimum ideal capacitance.</t>
        </r>
      </text>
    </comment>
    <comment ref="F19" authorId="0" shapeId="0" xr:uid="{00000000-0006-0000-0000-000010000000}">
      <text>
        <r>
          <rPr>
            <b/>
            <u/>
            <sz val="9"/>
            <color indexed="81"/>
            <rFont val="Tahoma"/>
            <family val="2"/>
          </rPr>
          <t>Input Capacitor ESR</t>
        </r>
        <r>
          <rPr>
            <b/>
            <sz val="9"/>
            <color indexed="81"/>
            <rFont val="Tahoma"/>
            <family val="2"/>
          </rPr>
          <t xml:space="preserve">:
</t>
        </r>
        <r>
          <rPr>
            <sz val="9"/>
            <color indexed="81"/>
            <rFont val="Tahoma"/>
            <family val="2"/>
          </rPr>
          <t>Enter the input capacitor ESR here based on the maximum allowed input capacitor ESR to meet the ripple voltage specification.</t>
        </r>
        <r>
          <rPr>
            <b/>
            <sz val="9"/>
            <color indexed="81"/>
            <rFont val="Tahoma"/>
            <family val="2"/>
          </rPr>
          <t xml:space="preserve">
The text in this cell will be </t>
        </r>
        <r>
          <rPr>
            <b/>
            <sz val="9"/>
            <color indexed="10"/>
            <rFont val="Tahoma"/>
            <family val="2"/>
          </rPr>
          <t>red</t>
        </r>
        <r>
          <rPr>
            <b/>
            <sz val="9"/>
            <color indexed="81"/>
            <rFont val="Tahoma"/>
            <family val="2"/>
          </rPr>
          <t xml:space="preserve"> if:
</t>
        </r>
        <r>
          <rPr>
            <b/>
            <sz val="9"/>
            <color indexed="10"/>
            <rFont val="Tahoma"/>
            <family val="2"/>
          </rPr>
          <t>-ESR is zero, or
-ESR exceeds maximum allowable ESR to meet the voltage ripple specification.</t>
        </r>
        <r>
          <rPr>
            <sz val="11"/>
            <color indexed="81"/>
            <rFont val="Tahoma"/>
            <family val="2"/>
          </rPr>
          <t xml:space="preserve">
</t>
        </r>
      </text>
    </comment>
    <comment ref="F21" authorId="0" shapeId="0" xr:uid="{00000000-0006-0000-0000-000011000000}">
      <text>
        <r>
          <rPr>
            <b/>
            <u/>
            <sz val="9"/>
            <color indexed="81"/>
            <rFont val="Tahoma"/>
            <family val="2"/>
          </rPr>
          <t>Minimum Recommneded Cout</t>
        </r>
        <r>
          <rPr>
            <b/>
            <sz val="9"/>
            <color indexed="81"/>
            <rFont val="Tahoma"/>
            <family val="2"/>
          </rPr>
          <t xml:space="preserve">:
</t>
        </r>
        <r>
          <rPr>
            <sz val="9"/>
            <color indexed="81"/>
            <rFont val="Tahoma"/>
            <family val="2"/>
          </rPr>
          <t xml:space="preserve">This is the minimum output cap based on 1% ripple at Vin(nom), full load
</t>
        </r>
        <r>
          <rPr>
            <sz val="9"/>
            <color indexed="39"/>
            <rFont val="Tahoma"/>
            <family val="2"/>
          </rPr>
          <t xml:space="preserve">
</t>
        </r>
        <r>
          <rPr>
            <b/>
            <sz val="9"/>
            <color indexed="39"/>
            <rFont val="Tahoma"/>
            <family val="2"/>
          </rPr>
          <t>NB: this condition is derived at VIN(nom).</t>
        </r>
        <r>
          <rPr>
            <b/>
            <sz val="9"/>
            <color indexed="81"/>
            <rFont val="Tahoma"/>
            <family val="2"/>
          </rPr>
          <t xml:space="preserve">
</t>
        </r>
      </text>
    </comment>
    <comment ref="F22" authorId="0" shapeId="0" xr:uid="{00000000-0006-0000-0000-000012000000}">
      <text>
        <r>
          <rPr>
            <b/>
            <u/>
            <sz val="9"/>
            <color indexed="81"/>
            <rFont val="Tahoma"/>
            <family val="2"/>
          </rPr>
          <t>Output Capacitance</t>
        </r>
        <r>
          <rPr>
            <b/>
            <sz val="9"/>
            <color indexed="81"/>
            <rFont val="Tahoma"/>
            <family val="2"/>
          </rPr>
          <t>:</t>
        </r>
        <r>
          <rPr>
            <sz val="9"/>
            <color indexed="81"/>
            <rFont val="Tahoma"/>
            <family val="2"/>
          </rPr>
          <t xml:space="preserve">
Enter the output capacitance here based on the minimum calculated result. Make sure that the nominal capacitance is appropriately derated for applied voltage, particularly with </t>
        </r>
        <r>
          <rPr>
            <sz val="9"/>
            <color indexed="39"/>
            <rFont val="Tahoma"/>
            <family val="2"/>
          </rPr>
          <t>ceramics</t>
        </r>
        <r>
          <rPr>
            <sz val="9"/>
            <color indexed="81"/>
            <rFont val="Tahoma"/>
            <family val="2"/>
          </rPr>
          <t xml:space="preserve">.
</t>
        </r>
        <r>
          <rPr>
            <b/>
            <sz val="9"/>
            <color indexed="81"/>
            <rFont val="Tahoma"/>
            <family val="2"/>
          </rPr>
          <t>The text in this cell is flagged red if:</t>
        </r>
        <r>
          <rPr>
            <sz val="9"/>
            <color indexed="81"/>
            <rFont val="Tahoma"/>
            <family val="2"/>
          </rPr>
          <t xml:space="preserve">
</t>
        </r>
        <r>
          <rPr>
            <b/>
            <sz val="9"/>
            <color indexed="10"/>
            <rFont val="Tahoma"/>
            <family val="2"/>
          </rPr>
          <t>-The chosen output capacitor is smaller than the minimum ideal capacitance.</t>
        </r>
      </text>
    </comment>
    <comment ref="F23" authorId="0" shapeId="0" xr:uid="{00000000-0006-0000-0000-000013000000}">
      <text>
        <r>
          <rPr>
            <b/>
            <u/>
            <sz val="9"/>
            <color indexed="81"/>
            <rFont val="Tahoma"/>
            <family val="2"/>
          </rPr>
          <t>Output Capacitor ESR</t>
        </r>
        <r>
          <rPr>
            <b/>
            <sz val="9"/>
            <color indexed="81"/>
            <rFont val="Tahoma"/>
            <family val="2"/>
          </rPr>
          <t xml:space="preserve">:
</t>
        </r>
        <r>
          <rPr>
            <sz val="9"/>
            <color indexed="81"/>
            <rFont val="Tahoma"/>
            <family val="2"/>
          </rPr>
          <t>Enter the output capacitor ESR here based on the maximum allowed output capacitor ESR to meet the ripple voltage specification.</t>
        </r>
        <r>
          <rPr>
            <b/>
            <sz val="9"/>
            <color indexed="81"/>
            <rFont val="Tahoma"/>
            <family val="2"/>
          </rPr>
          <t xml:space="preserve">
The text in this cell will be </t>
        </r>
        <r>
          <rPr>
            <b/>
            <sz val="9"/>
            <color indexed="10"/>
            <rFont val="Tahoma"/>
            <family val="2"/>
          </rPr>
          <t>red</t>
        </r>
        <r>
          <rPr>
            <b/>
            <sz val="9"/>
            <color indexed="81"/>
            <rFont val="Tahoma"/>
            <family val="2"/>
          </rPr>
          <t xml:space="preserve"> if:
</t>
        </r>
        <r>
          <rPr>
            <b/>
            <sz val="9"/>
            <color indexed="10"/>
            <rFont val="Tahoma"/>
            <family val="2"/>
          </rPr>
          <t>-ESR is zero, or
-ESR exceeds maximum allowable ESR to meet the voltage ripple specification.</t>
        </r>
        <r>
          <rPr>
            <sz val="11"/>
            <color indexed="81"/>
            <rFont val="Tahoma"/>
            <family val="2"/>
          </rPr>
          <t xml:space="preserve">
</t>
        </r>
      </text>
    </comment>
    <comment ref="F29" authorId="0" shapeId="0" xr:uid="{00000000-0006-0000-0000-000014000000}">
      <text>
        <r>
          <rPr>
            <b/>
            <u/>
            <sz val="9"/>
            <color indexed="81"/>
            <rFont val="Tahoma"/>
            <family val="2"/>
          </rPr>
          <t>Soft-Start Time</t>
        </r>
        <r>
          <rPr>
            <b/>
            <sz val="9"/>
            <color indexed="81"/>
            <rFont val="Tahoma"/>
            <family val="2"/>
          </rPr>
          <t xml:space="preserve">:
</t>
        </r>
        <r>
          <rPr>
            <sz val="9"/>
            <color indexed="81"/>
            <rFont val="Tahoma"/>
            <family val="2"/>
          </rPr>
          <t xml:space="preserve">Enter the </t>
        </r>
        <r>
          <rPr>
            <b/>
            <sz val="9"/>
            <color indexed="39"/>
            <rFont val="Tahoma"/>
            <family val="2"/>
          </rPr>
          <t>desired soft-start time</t>
        </r>
        <r>
          <rPr>
            <sz val="9"/>
            <color indexed="81"/>
            <rFont val="Tahoma"/>
            <family val="2"/>
          </rPr>
          <t xml:space="preserve"> as required (must be greater than 6ms).
Leave the </t>
        </r>
        <r>
          <rPr>
            <b/>
            <sz val="9"/>
            <color indexed="39"/>
            <rFont val="Tahoma"/>
            <family val="2"/>
          </rPr>
          <t>SS/BIAS pin open circuit</t>
        </r>
        <r>
          <rPr>
            <sz val="9"/>
            <color indexed="81"/>
            <rFont val="Tahoma"/>
            <family val="2"/>
          </rPr>
          <t xml:space="preserve"> to provide a soft-start time of </t>
        </r>
        <r>
          <rPr>
            <b/>
            <sz val="9"/>
            <color indexed="81"/>
            <rFont val="Tahoma"/>
            <family val="2"/>
          </rPr>
          <t>6ms</t>
        </r>
        <r>
          <rPr>
            <sz val="9"/>
            <color indexed="81"/>
            <rFont val="Tahoma"/>
            <family val="2"/>
          </rPr>
          <t>.
Connect an auxiliary bias rail to SS/BIAS to reduce quiescent current and bias power dissipation (use a 22nF cap from SS/BIAS to GND).</t>
        </r>
        <r>
          <rPr>
            <b/>
            <sz val="9"/>
            <color indexed="81"/>
            <rFont val="Tahoma"/>
            <family val="2"/>
          </rPr>
          <t xml:space="preserve">
The text in the cell below becomes red if:
</t>
        </r>
        <r>
          <rPr>
            <b/>
            <sz val="9"/>
            <color indexed="10"/>
            <rFont val="Tahoma"/>
            <family val="2"/>
          </rPr>
          <t>-The specified programmable soft-start time is less than 6ms.</t>
        </r>
        <r>
          <rPr>
            <sz val="9"/>
            <color indexed="81"/>
            <rFont val="Tahoma"/>
            <family val="2"/>
          </rPr>
          <t xml:space="preserve">
</t>
        </r>
      </text>
    </comment>
    <comment ref="F35" authorId="0" shapeId="0" xr:uid="{00000000-0006-0000-0000-000015000000}">
      <text>
        <r>
          <rPr>
            <b/>
            <u/>
            <sz val="9"/>
            <color indexed="81"/>
            <rFont val="Tahoma"/>
            <family val="2"/>
          </rPr>
          <t>Nominal Input UVLO Turn-On/Off Threshold Levels</t>
        </r>
        <r>
          <rPr>
            <b/>
            <sz val="9"/>
            <color indexed="81"/>
            <rFont val="Tahoma"/>
            <family val="2"/>
          </rPr>
          <t>:</t>
        </r>
        <r>
          <rPr>
            <sz val="9"/>
            <color indexed="81"/>
            <rFont val="Tahoma"/>
            <family val="2"/>
          </rPr>
          <t xml:space="preserve">
Enter the nominal input voltages for UVLO turn-on and turn-off. 
Note that the LM(2)5180/1/3/4/-Q1 input operating voltage range is</t>
        </r>
        <r>
          <rPr>
            <b/>
            <sz val="9"/>
            <color indexed="81"/>
            <rFont val="Tahoma"/>
            <family val="2"/>
          </rPr>
          <t xml:space="preserve"> 4.5V to (42V)65V</t>
        </r>
        <r>
          <rPr>
            <sz val="9"/>
            <color indexed="81"/>
            <rFont val="Tahoma"/>
            <family val="2"/>
          </rPr>
          <t xml:space="preserve">.
</t>
        </r>
        <r>
          <rPr>
            <b/>
            <sz val="9"/>
            <color indexed="81"/>
            <rFont val="Tahoma"/>
            <family val="2"/>
          </rPr>
          <t>The text in the cell below becomes red if:</t>
        </r>
        <r>
          <rPr>
            <sz val="9"/>
            <color indexed="81"/>
            <rFont val="Tahoma"/>
            <family val="2"/>
          </rPr>
          <t xml:space="preserve">
-The input voltage UVLO turn-on is above </t>
        </r>
        <r>
          <rPr>
            <b/>
            <sz val="9"/>
            <color indexed="10"/>
            <rFont val="Tahoma"/>
            <family val="2"/>
          </rPr>
          <t>42V</t>
        </r>
        <r>
          <rPr>
            <b/>
            <sz val="9"/>
            <color indexed="81"/>
            <rFont val="Tahoma"/>
            <family val="2"/>
          </rPr>
          <t xml:space="preserve"> (LM25180/3/4/-Q1) or </t>
        </r>
        <r>
          <rPr>
            <b/>
            <sz val="9"/>
            <color indexed="10"/>
            <rFont val="Tahoma"/>
            <family val="2"/>
          </rPr>
          <t xml:space="preserve">65V </t>
        </r>
        <r>
          <rPr>
            <b/>
            <sz val="9"/>
            <color indexed="81"/>
            <rFont val="Tahoma"/>
            <family val="2"/>
          </rPr>
          <t>(LM5180//1-Q1)</t>
        </r>
        <r>
          <rPr>
            <sz val="9"/>
            <color indexed="81"/>
            <rFont val="Tahoma"/>
            <family val="2"/>
          </rPr>
          <t xml:space="preserve">
-The input voltage UVLO turn-on is below </t>
        </r>
        <r>
          <rPr>
            <b/>
            <sz val="9"/>
            <color indexed="10"/>
            <rFont val="Tahoma"/>
            <family val="2"/>
          </rPr>
          <t xml:space="preserve">4.5V
</t>
        </r>
        <r>
          <rPr>
            <sz val="9"/>
            <color indexed="81"/>
            <rFont val="Tahoma"/>
            <family val="2"/>
          </rPr>
          <t>-The input voltage UVLO turn-off is below</t>
        </r>
        <r>
          <rPr>
            <b/>
            <sz val="9"/>
            <color indexed="10"/>
            <rFont val="Tahoma"/>
            <family val="2"/>
          </rPr>
          <t xml:space="preserve"> 3.5V
</t>
        </r>
        <r>
          <rPr>
            <b/>
            <sz val="9"/>
            <color indexed="39"/>
            <rFont val="Tahoma"/>
            <family val="2"/>
          </rPr>
          <t>If the internal UVLO is sufficient, connect EN to logic high or VIN.</t>
        </r>
      </text>
    </comment>
    <comment ref="F36" authorId="1" shapeId="0" xr:uid="{A675EEE8-6413-4FFB-8288-E4CF74D76E71}">
      <text>
        <r>
          <rPr>
            <sz val="9"/>
            <color indexed="81"/>
            <rFont val="Tahoma"/>
            <family val="2"/>
          </rPr>
          <t xml:space="preserve">The text in this cell is </t>
        </r>
        <r>
          <rPr>
            <b/>
            <sz val="9"/>
            <color indexed="10"/>
            <rFont val="Tahoma"/>
            <family val="2"/>
          </rPr>
          <t>red</t>
        </r>
        <r>
          <rPr>
            <sz val="9"/>
            <color indexed="81"/>
            <rFont val="Tahoma"/>
            <family val="2"/>
          </rPr>
          <t xml:space="preserve"> if:
</t>
        </r>
        <r>
          <rPr>
            <b/>
            <sz val="9"/>
            <color indexed="81"/>
            <rFont val="Tahoma"/>
            <family val="2"/>
          </rPr>
          <t xml:space="preserve">
-The UVLO Turn-on threshold is </t>
        </r>
        <r>
          <rPr>
            <b/>
            <sz val="9"/>
            <color indexed="10"/>
            <rFont val="Tahoma"/>
            <family val="2"/>
          </rPr>
          <t>greater</t>
        </r>
        <r>
          <rPr>
            <b/>
            <sz val="9"/>
            <color indexed="81"/>
            <rFont val="Tahoma"/>
            <family val="2"/>
          </rPr>
          <t xml:space="preserve"> than Vin_min</t>
        </r>
        <r>
          <rPr>
            <sz val="9"/>
            <color indexed="81"/>
            <rFont val="Tahoma"/>
            <family val="2"/>
          </rPr>
          <t xml:space="preserve">
</t>
        </r>
      </text>
    </comment>
    <comment ref="F37" authorId="1" shapeId="0" xr:uid="{A2C1BBD7-D15F-477C-9EA8-8C8665B45B7D}">
      <text>
        <r>
          <rPr>
            <sz val="9"/>
            <color indexed="81"/>
            <rFont val="Tahoma"/>
            <family val="2"/>
          </rPr>
          <t xml:space="preserve">The text in this cell is </t>
        </r>
        <r>
          <rPr>
            <b/>
            <sz val="9"/>
            <color indexed="10"/>
            <rFont val="Tahoma"/>
            <family val="2"/>
          </rPr>
          <t>red</t>
        </r>
        <r>
          <rPr>
            <sz val="9"/>
            <color indexed="81"/>
            <rFont val="Tahoma"/>
            <family val="2"/>
          </rPr>
          <t xml:space="preserve"> if:
</t>
        </r>
        <r>
          <rPr>
            <b/>
            <sz val="9"/>
            <color indexed="81"/>
            <rFont val="Tahoma"/>
            <family val="2"/>
          </rPr>
          <t xml:space="preserve">
-The UVLO Turn-off threshold is </t>
        </r>
        <r>
          <rPr>
            <b/>
            <sz val="9"/>
            <color indexed="10"/>
            <rFont val="Tahoma"/>
            <family val="2"/>
          </rPr>
          <t>greater</t>
        </r>
        <r>
          <rPr>
            <b/>
            <sz val="9"/>
            <color indexed="81"/>
            <rFont val="Tahoma"/>
            <family val="2"/>
          </rPr>
          <t xml:space="preserve"> than Turn-on threshold.</t>
        </r>
        <r>
          <rPr>
            <sz val="9"/>
            <color indexed="81"/>
            <rFont val="Tahoma"/>
            <family val="2"/>
          </rPr>
          <t xml:space="preserve">
</t>
        </r>
      </text>
    </comment>
    <comment ref="F42" authorId="2" shapeId="0" xr:uid="{00000000-0006-0000-0000-000016000000}">
      <text>
        <r>
          <rPr>
            <b/>
            <u/>
            <sz val="9"/>
            <color indexed="81"/>
            <rFont val="Tahoma"/>
            <family val="2"/>
          </rPr>
          <t>Diode Drop</t>
        </r>
        <r>
          <rPr>
            <b/>
            <sz val="9"/>
            <color indexed="81"/>
            <rFont val="Tahoma"/>
            <family val="2"/>
          </rPr>
          <t>:</t>
        </r>
        <r>
          <rPr>
            <sz val="9"/>
            <color indexed="81"/>
            <rFont val="Tahoma"/>
            <family val="2"/>
          </rPr>
          <t xml:space="preserve">
Enter the voltage drop of the flyback diode at no load, 25°C (used for the feedback resistance calculation and determinatoin of diode drop series resistance)</t>
        </r>
      </text>
    </comment>
    <comment ref="F43" authorId="2" shapeId="0" xr:uid="{00000000-0006-0000-0000-000017000000}">
      <text>
        <r>
          <rPr>
            <b/>
            <u/>
            <sz val="9"/>
            <color indexed="81"/>
            <rFont val="Tahoma"/>
            <family val="2"/>
          </rPr>
          <t>Diode Drop</t>
        </r>
        <r>
          <rPr>
            <b/>
            <sz val="9"/>
            <color indexed="81"/>
            <rFont val="Tahoma"/>
            <family val="2"/>
          </rPr>
          <t>:</t>
        </r>
        <r>
          <rPr>
            <sz val="9"/>
            <color indexed="81"/>
            <rFont val="Tahoma"/>
            <family val="2"/>
          </rPr>
          <t xml:space="preserve">
Enter the voltage drop of the flyback diode at full load, 25°C (used for power loss calculations)</t>
        </r>
      </text>
    </comment>
    <comment ref="F44" authorId="0" shapeId="0" xr:uid="{00000000-0006-0000-0000-000018000000}">
      <text>
        <r>
          <rPr>
            <b/>
            <u/>
            <sz val="9"/>
            <color indexed="81"/>
            <rFont val="Tahoma"/>
            <family val="2"/>
          </rPr>
          <t>Estimated Thermal Impedance</t>
        </r>
        <r>
          <rPr>
            <b/>
            <sz val="9"/>
            <color indexed="81"/>
            <rFont val="Tahoma"/>
            <family val="2"/>
          </rPr>
          <t xml:space="preserve">:
</t>
        </r>
        <r>
          <rPr>
            <sz val="9"/>
            <color indexed="81"/>
            <rFont val="Tahoma"/>
            <family val="2"/>
          </rPr>
          <t xml:space="preserve">Enter the converter IC junction-to-ambient thermal impedance, which relates to PCB copper weight and area for heatsinking, local ariflow rate, and other factors.
</t>
        </r>
      </text>
    </comment>
    <comment ref="F45" authorId="0" shapeId="0" xr:uid="{00000000-0006-0000-0000-000019000000}">
      <text>
        <r>
          <rPr>
            <b/>
            <u/>
            <sz val="9"/>
            <color indexed="81"/>
            <rFont val="Tahoma"/>
            <family val="2"/>
          </rPr>
          <t>Ambient Operating Temperature</t>
        </r>
        <r>
          <rPr>
            <b/>
            <sz val="9"/>
            <color indexed="81"/>
            <rFont val="Tahoma"/>
            <family val="2"/>
          </rPr>
          <t xml:space="preserve">:
</t>
        </r>
        <r>
          <rPr>
            <sz val="9"/>
            <color indexed="81"/>
            <rFont val="Tahoma"/>
            <family val="2"/>
          </rPr>
          <t>Enter the LM5180's local ambient temperature (T</t>
        </r>
        <r>
          <rPr>
            <vertAlign val="subscript"/>
            <sz val="9"/>
            <color indexed="81"/>
            <rFont val="Tahoma"/>
            <family val="2"/>
          </rPr>
          <t>A</t>
        </r>
        <r>
          <rPr>
            <sz val="9"/>
            <color indexed="81"/>
            <rFont val="Tahoma"/>
            <family val="2"/>
          </rPr>
          <t xml:space="preserve">) here.
</t>
        </r>
        <r>
          <rPr>
            <b/>
            <sz val="9"/>
            <color indexed="81"/>
            <rFont val="Tahoma"/>
            <family val="2"/>
          </rPr>
          <t xml:space="preserve">The text in this cell is flagged </t>
        </r>
        <r>
          <rPr>
            <b/>
            <sz val="9"/>
            <color indexed="10"/>
            <rFont val="Tahoma"/>
            <family val="2"/>
          </rPr>
          <t>red</t>
        </r>
        <r>
          <rPr>
            <b/>
            <sz val="9"/>
            <color indexed="81"/>
            <rFont val="Tahoma"/>
            <family val="2"/>
          </rPr>
          <t xml:space="preserve"> if:
</t>
        </r>
        <r>
          <rPr>
            <b/>
            <sz val="9"/>
            <color indexed="10"/>
            <rFont val="Tahoma"/>
            <family val="2"/>
          </rPr>
          <t>-The chosen ambient temperature is below -40°C or above 150°C.</t>
        </r>
      </text>
    </comment>
    <comment ref="F47" authorId="0" shapeId="0" xr:uid="{00000000-0006-0000-0000-00001A000000}">
      <text>
        <r>
          <rPr>
            <b/>
            <u/>
            <sz val="9"/>
            <color indexed="81"/>
            <rFont val="Tahoma"/>
            <family val="2"/>
          </rPr>
          <t>Operating Junction Temperature</t>
        </r>
        <r>
          <rPr>
            <b/>
            <sz val="9"/>
            <color indexed="81"/>
            <rFont val="Tahoma"/>
            <family val="2"/>
          </rPr>
          <t xml:space="preserve">:
</t>
        </r>
        <r>
          <rPr>
            <sz val="9"/>
            <color indexed="81"/>
            <rFont val="Tahoma"/>
            <family val="2"/>
          </rPr>
          <t>Here is an estimate of the LM5180's opertaing junction temperature (T</t>
        </r>
        <r>
          <rPr>
            <vertAlign val="subscript"/>
            <sz val="9"/>
            <color indexed="81"/>
            <rFont val="Tahoma"/>
            <family val="2"/>
          </rPr>
          <t>J</t>
        </r>
        <r>
          <rPr>
            <sz val="9"/>
            <color indexed="81"/>
            <rFont val="Tahoma"/>
            <family val="2"/>
          </rPr>
          <t xml:space="preserve">) at full load and nominal input voltage.
</t>
        </r>
        <r>
          <rPr>
            <b/>
            <sz val="9"/>
            <color indexed="81"/>
            <rFont val="Tahoma"/>
            <family val="2"/>
          </rPr>
          <t xml:space="preserve">The text in this cell is flagged </t>
        </r>
        <r>
          <rPr>
            <b/>
            <sz val="9"/>
            <color indexed="10"/>
            <rFont val="Tahoma"/>
            <family val="2"/>
          </rPr>
          <t>red</t>
        </r>
        <r>
          <rPr>
            <b/>
            <sz val="9"/>
            <color indexed="81"/>
            <rFont val="Tahoma"/>
            <family val="2"/>
          </rPr>
          <t xml:space="preserve"> if:
</t>
        </r>
        <r>
          <rPr>
            <b/>
            <sz val="9"/>
            <color indexed="10"/>
            <rFont val="Tahoma"/>
            <family val="2"/>
          </rPr>
          <t>-The calculated junction temperature is below -40°C or above 150°C.</t>
        </r>
      </text>
    </comment>
    <comment ref="F57" authorId="1" shapeId="0" xr:uid="{94A31DF6-697E-49D4-BADD-B18F464CAA6A}">
      <text>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-The mininum load current is </t>
        </r>
        <r>
          <rPr>
            <b/>
            <sz val="9"/>
            <color indexed="10"/>
            <rFont val="Tahoma"/>
            <family val="2"/>
          </rPr>
          <t>negative.</t>
        </r>
      </text>
    </comment>
    <comment ref="M57" authorId="1" shapeId="0" xr:uid="{739626B0-1E5B-43F4-B3D4-085AA1DC3236}">
      <text>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-The load current has a sign opposite to that of VOUT2.</t>
        </r>
      </text>
    </comment>
    <comment ref="F58" authorId="1" shapeId="0" xr:uid="{31DE92A8-9A44-49F2-A805-360F3EC9A7E8}">
      <text>
        <r>
          <rPr>
            <sz val="9"/>
            <color indexed="81"/>
            <rFont val="Tahoma"/>
            <family val="2"/>
          </rPr>
          <t xml:space="preserve">The text in this cell is </t>
        </r>
        <r>
          <rPr>
            <b/>
            <sz val="10"/>
            <color indexed="10"/>
            <rFont val="Arial"/>
            <family val="2"/>
          </rPr>
          <t>red</t>
        </r>
        <r>
          <rPr>
            <sz val="9"/>
            <color indexed="81"/>
            <rFont val="Tahoma"/>
            <family val="2"/>
          </rPr>
          <t xml:space="preserve"> if:</t>
        </r>
        <r>
          <rPr>
            <b/>
            <sz val="9"/>
            <color indexed="81"/>
            <rFont val="Tahoma"/>
            <family val="2"/>
          </rPr>
          <t xml:space="preserve">
-The max voltage limit is &lt;105% of the output voltage setting.</t>
        </r>
      </text>
    </comment>
    <comment ref="M58" authorId="1" shapeId="0" xr:uid="{F819D4BA-35A1-43C3-B3FB-E0C47A0A7BBD}">
      <text>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-The max voltage limit is &lt;105% of the output voltage setting.
-The max voltage limit has a sign opposite to that to VOUT2.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Timothy Hegarty</author>
  </authors>
  <commentList>
    <comment ref="A1" authorId="0" shapeId="0" xr:uid="{00000000-0006-0000-0800-000001000000}">
      <text>
        <r>
          <rPr>
            <sz val="11"/>
            <color indexed="81"/>
            <rFont val="Tahoma"/>
            <family val="2"/>
          </rPr>
          <t>This efficiency calculator is aimed towards low current, COT-type architectures. Specifically, the "On Time" is programmed by the timing resistor, Rt. Meanwhile, the "Off Time" is determined by zero crossing of the inductor current crosses (in DCM) or when FB touches VREF (in CCM). In the DCM configuration, it is assumed that the effective switching frequency is proportional to output current.</t>
        </r>
      </text>
    </comment>
    <comment ref="G2" authorId="0" shapeId="0" xr:uid="{00000000-0006-0000-0800-000002000000}">
      <text>
        <r>
          <rPr>
            <b/>
            <u/>
            <sz val="11"/>
            <color indexed="10"/>
            <rFont val="Tahoma"/>
            <family val="2"/>
          </rPr>
          <t>Texas Instruments</t>
        </r>
        <r>
          <rPr>
            <sz val="11"/>
            <color indexed="10"/>
            <rFont val="Tahoma"/>
            <family val="2"/>
          </rPr>
          <t>:</t>
        </r>
        <r>
          <rPr>
            <sz val="9"/>
            <color indexed="81"/>
            <rFont val="Tahoma"/>
            <family val="2"/>
          </rPr>
          <t xml:space="preserve">
</t>
        </r>
        <r>
          <rPr>
            <b/>
            <sz val="9"/>
            <color indexed="81"/>
            <rFont val="Tahoma"/>
            <family val="2"/>
          </rPr>
          <t>Limited Use Policy</t>
        </r>
        <r>
          <rPr>
            <sz val="9"/>
            <color indexed="81"/>
            <rFont val="Tahoma"/>
            <family val="2"/>
          </rPr>
          <t xml:space="preserve">
You must treat this software and documentation like any other copyrighted material.
</t>
        </r>
        <r>
          <rPr>
            <b/>
            <sz val="9"/>
            <color indexed="81"/>
            <rFont val="Tahoma"/>
            <family val="2"/>
          </rPr>
          <t>You may not:</t>
        </r>
        <r>
          <rPr>
            <sz val="9"/>
            <color indexed="81"/>
            <rFont val="Tahoma"/>
            <family val="2"/>
          </rPr>
          <t xml:space="preserve">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Refer to the LM5165 product datasheet and EVM user guides for more details.
</t>
        </r>
        <r>
          <rPr>
            <b/>
            <sz val="9"/>
            <color indexed="81"/>
            <rFont val="Tahoma"/>
            <family val="2"/>
          </rPr>
          <t>Rev. 1, Timothy Hegarty, Texas Instruments, Inc.</t>
        </r>
      </text>
    </comment>
  </commentList>
</comments>
</file>

<file path=xl/sharedStrings.xml><?xml version="1.0" encoding="utf-8"?>
<sst xmlns="http://schemas.openxmlformats.org/spreadsheetml/2006/main" count="1554" uniqueCount="862">
  <si>
    <t>V</t>
  </si>
  <si>
    <t>A</t>
  </si>
  <si>
    <t>kHz</t>
  </si>
  <si>
    <t>Vin</t>
  </si>
  <si>
    <t>Vout</t>
  </si>
  <si>
    <t>Iout</t>
  </si>
  <si>
    <t>Value</t>
  </si>
  <si>
    <t>STD Units</t>
  </si>
  <si>
    <t>Hz</t>
  </si>
  <si>
    <t>Notes</t>
  </si>
  <si>
    <t>Nominal input voltage</t>
  </si>
  <si>
    <t>H</t>
  </si>
  <si>
    <t>Coutmin</t>
  </si>
  <si>
    <t>F</t>
  </si>
  <si>
    <t>Cout</t>
  </si>
  <si>
    <t>pF</t>
  </si>
  <si>
    <t>Pi</t>
  </si>
  <si>
    <t>Rfb2</t>
  </si>
  <si>
    <t>Vref</t>
  </si>
  <si>
    <t>Variable Name</t>
  </si>
  <si>
    <t>mΩ</t>
  </si>
  <si>
    <t>kΩ</t>
  </si>
  <si>
    <t>TERMS OF USE</t>
  </si>
  <si>
    <t>Currents</t>
  </si>
  <si>
    <t>IQ</t>
  </si>
  <si>
    <t>Step</t>
  </si>
  <si>
    <t>Design</t>
  </si>
  <si>
    <t>L</t>
  </si>
  <si>
    <t>Cin</t>
  </si>
  <si>
    <t>Components</t>
  </si>
  <si>
    <t>mA</t>
  </si>
  <si>
    <t>nC</t>
  </si>
  <si>
    <t>ns</t>
  </si>
  <si>
    <t>Units</t>
  </si>
  <si>
    <t>Outputs</t>
  </si>
  <si>
    <t>LTc</t>
  </si>
  <si>
    <t>Ta</t>
  </si>
  <si>
    <t>RCinEsr</t>
  </si>
  <si>
    <t>Tr</t>
  </si>
  <si>
    <t>Tf</t>
  </si>
  <si>
    <t>Ambient Temperature</t>
  </si>
  <si>
    <t>Description</t>
  </si>
  <si>
    <t>Input Parameters</t>
  </si>
  <si>
    <t>Input Value</t>
  </si>
  <si>
    <t>Power Dis</t>
  </si>
  <si>
    <t>W</t>
  </si>
  <si>
    <t>Temp rise</t>
  </si>
  <si>
    <t>Efficiency</t>
  </si>
  <si>
    <t>Duty Cycle</t>
  </si>
  <si>
    <t xml:space="preserve">IQ </t>
  </si>
  <si>
    <t>Quiescent Current Of Controller (Not Switching!)</t>
  </si>
  <si>
    <t>s</t>
  </si>
  <si>
    <t>Part Characteristics</t>
  </si>
  <si>
    <t>Rfb2_u</t>
  </si>
  <si>
    <t>CoutEsr</t>
  </si>
  <si>
    <t>Step 5: Input Capacitor</t>
  </si>
  <si>
    <t>nF</t>
  </si>
  <si>
    <t>VIN</t>
  </si>
  <si>
    <t>Icinrms</t>
  </si>
  <si>
    <t>= Input Box</t>
  </si>
  <si>
    <t>Input capacitance</t>
  </si>
  <si>
    <t>Step 1: Operational Specs</t>
  </si>
  <si>
    <t>Step 6: Soft Start</t>
  </si>
  <si>
    <t>ms</t>
  </si>
  <si>
    <t>Tss</t>
  </si>
  <si>
    <t>Iss</t>
  </si>
  <si>
    <t>Css</t>
  </si>
  <si>
    <t>Part Number</t>
  </si>
  <si>
    <t>Capacitors</t>
  </si>
  <si>
    <t>(pF)</t>
  </si>
  <si>
    <t>Standard Result</t>
  </si>
  <si>
    <t>Inputs</t>
  </si>
  <si>
    <t>Css_u</t>
  </si>
  <si>
    <t>Resistors</t>
  </si>
  <si>
    <t>inputs</t>
  </si>
  <si>
    <t>Cb</t>
  </si>
  <si>
    <t>Rs</t>
  </si>
  <si>
    <t xml:space="preserve">                </t>
  </si>
  <si>
    <t xml:space="preserve"> </t>
  </si>
  <si>
    <t>Rc1ea</t>
  </si>
  <si>
    <t>Blank out</t>
  </si>
  <si>
    <t>Input from user =</t>
  </si>
  <si>
    <t>Constant</t>
  </si>
  <si>
    <t>Step 8: Efficiency</t>
  </si>
  <si>
    <t>°C/W</t>
  </si>
  <si>
    <t>SCHEMATIC LABELS</t>
  </si>
  <si>
    <t>OUTPUT CURRENT</t>
  </si>
  <si>
    <t>Current (switching)</t>
  </si>
  <si>
    <t>Qrr Current</t>
  </si>
  <si>
    <t>Diode Current</t>
  </si>
  <si>
    <t>Std Units</t>
  </si>
  <si>
    <t>Total Application Switching IQ</t>
  </si>
  <si>
    <t>GND</t>
  </si>
  <si>
    <t>FB</t>
  </si>
  <si>
    <t>SW</t>
  </si>
  <si>
    <t>CIN</t>
  </si>
  <si>
    <t>µH</t>
  </si>
  <si>
    <t>µF</t>
  </si>
  <si>
    <t>Cinmin</t>
  </si>
  <si>
    <t>CinEsrMax</t>
  </si>
  <si>
    <t>Output =</t>
  </si>
  <si>
    <t>Step 1: Operating Specifications</t>
  </si>
  <si>
    <t>°C</t>
  </si>
  <si>
    <r>
      <t>mV</t>
    </r>
    <r>
      <rPr>
        <vertAlign val="subscript"/>
        <sz val="10"/>
        <rFont val="Arial"/>
        <family val="2"/>
      </rPr>
      <t>pk-pk</t>
    </r>
  </si>
  <si>
    <t xml:space="preserve">Input Capacitor ESR </t>
  </si>
  <si>
    <t>About</t>
  </si>
  <si>
    <t>xx</t>
  </si>
  <si>
    <t>Max ESR before ripple exceeds Vripple1</t>
  </si>
  <si>
    <t>Chosen ESR</t>
  </si>
  <si>
    <t>Input capacitance series resistance (ESR)</t>
  </si>
  <si>
    <r>
      <t>VIN</t>
    </r>
    <r>
      <rPr>
        <vertAlign val="subscript"/>
        <sz val="10"/>
        <rFont val="Arial"/>
        <family val="2"/>
      </rPr>
      <t>UVLO_ON</t>
    </r>
  </si>
  <si>
    <t>Rising UVLO/EN Threshold</t>
  </si>
  <si>
    <t>Falling UVLO/EN Threshold</t>
  </si>
  <si>
    <t>kΩ</t>
  </si>
  <si>
    <r>
      <t>VIN</t>
    </r>
    <r>
      <rPr>
        <vertAlign val="subscript"/>
        <sz val="10"/>
        <rFont val="Arial"/>
        <family val="2"/>
      </rPr>
      <t>UVLO_ON_ACTUAL</t>
    </r>
  </si>
  <si>
    <r>
      <t>VIN</t>
    </r>
    <r>
      <rPr>
        <vertAlign val="subscript"/>
        <sz val="10"/>
        <rFont val="Arial"/>
        <family val="2"/>
      </rPr>
      <t>UVLO_OFF_ACTUAL</t>
    </r>
  </si>
  <si>
    <t>Size</t>
  </si>
  <si>
    <t>MFR</t>
  </si>
  <si>
    <t>Std</t>
  </si>
  <si>
    <t>0603</t>
  </si>
  <si>
    <r>
      <t>C</t>
    </r>
    <r>
      <rPr>
        <vertAlign val="subscript"/>
        <sz val="10"/>
        <rFont val="Arial"/>
        <family val="2"/>
      </rPr>
      <t>IN</t>
    </r>
  </si>
  <si>
    <r>
      <t>C</t>
    </r>
    <r>
      <rPr>
        <vertAlign val="subscript"/>
        <sz val="10"/>
        <rFont val="Arial"/>
        <family val="2"/>
      </rPr>
      <t>OUT</t>
    </r>
  </si>
  <si>
    <t>Ref Des</t>
  </si>
  <si>
    <t>Count</t>
  </si>
  <si>
    <t>Various</t>
  </si>
  <si>
    <t>-</t>
  </si>
  <si>
    <r>
      <t>R</t>
    </r>
    <r>
      <rPr>
        <vertAlign val="subscript"/>
        <sz val="10"/>
        <rFont val="Arial"/>
        <family val="2"/>
      </rPr>
      <t>UV1</t>
    </r>
  </si>
  <si>
    <r>
      <t>R</t>
    </r>
    <r>
      <rPr>
        <vertAlign val="subscript"/>
        <sz val="10"/>
        <rFont val="Arial"/>
        <family val="2"/>
      </rPr>
      <t>UV2</t>
    </r>
  </si>
  <si>
    <r>
      <t>U</t>
    </r>
    <r>
      <rPr>
        <b/>
        <vertAlign val="subscript"/>
        <sz val="10"/>
        <rFont val="Arial"/>
        <family val="2"/>
      </rPr>
      <t>1</t>
    </r>
  </si>
  <si>
    <t>Rpgood</t>
  </si>
  <si>
    <t>Ruv1</t>
  </si>
  <si>
    <t>Ruv2</t>
  </si>
  <si>
    <t># of input caps</t>
  </si>
  <si>
    <t>Capacitance per component (Cin)</t>
  </si>
  <si>
    <t>Capacitance per component (Cout)</t>
  </si>
  <si>
    <t># of output caps</t>
  </si>
  <si>
    <t>Ω</t>
  </si>
  <si>
    <r>
      <rPr>
        <b/>
        <u/>
        <sz val="10"/>
        <rFont val="Arial"/>
        <family val="2"/>
      </rPr>
      <t>NOTES</t>
    </r>
    <r>
      <rPr>
        <b/>
        <sz val="10"/>
        <rFont val="Arial"/>
        <family val="2"/>
      </rPr>
      <t>:</t>
    </r>
  </si>
  <si>
    <t>%/°C</t>
  </si>
  <si>
    <t>Rt</t>
  </si>
  <si>
    <r>
      <t>Output Capacitance, C</t>
    </r>
    <r>
      <rPr>
        <b/>
        <vertAlign val="subscript"/>
        <sz val="10"/>
        <rFont val="Arial"/>
        <family val="2"/>
      </rPr>
      <t>OUT</t>
    </r>
    <r>
      <rPr>
        <b/>
        <sz val="10"/>
        <rFont val="Arial"/>
        <family val="2"/>
      </rPr>
      <t xml:space="preserve"> </t>
    </r>
  </si>
  <si>
    <r>
      <t>Input Capacitance, C</t>
    </r>
    <r>
      <rPr>
        <b/>
        <vertAlign val="subscript"/>
        <sz val="10"/>
        <color theme="1"/>
        <rFont val="Arial"/>
        <family val="2"/>
      </rPr>
      <t>IN</t>
    </r>
    <r>
      <rPr>
        <b/>
        <sz val="10"/>
        <color theme="1"/>
        <rFont val="Arial"/>
        <family val="2"/>
      </rPr>
      <t xml:space="preserve"> </t>
    </r>
  </si>
  <si>
    <r>
      <t>Soft-Start Capacitance, C</t>
    </r>
    <r>
      <rPr>
        <vertAlign val="subscript"/>
        <sz val="10"/>
        <rFont val="Arial"/>
        <family val="2"/>
      </rPr>
      <t>SS</t>
    </r>
    <r>
      <rPr>
        <sz val="10"/>
        <rFont val="Arial"/>
        <family val="2"/>
      </rPr>
      <t xml:space="preserve"> </t>
    </r>
  </si>
  <si>
    <t>VIN_nom</t>
  </si>
  <si>
    <t>VIN_max</t>
  </si>
  <si>
    <t>VIN_min</t>
  </si>
  <si>
    <t>Minimum input voltage</t>
  </si>
  <si>
    <t>Maximum input voltage</t>
  </si>
  <si>
    <t>Voltage Hysteresis</t>
  </si>
  <si>
    <t>mV</t>
  </si>
  <si>
    <t>Don_Vinmin</t>
  </si>
  <si>
    <t>Don_Vinmax</t>
  </si>
  <si>
    <t>Pout</t>
  </si>
  <si>
    <t>Iin_Vinmin</t>
  </si>
  <si>
    <t>Iin_Vinnom</t>
  </si>
  <si>
    <t>Iin_Vinmax</t>
  </si>
  <si>
    <t>Pin</t>
  </si>
  <si>
    <t>Don_Vinnom</t>
  </si>
  <si>
    <t>Output power</t>
  </si>
  <si>
    <t>Input currents at min, nom, max Vin</t>
  </si>
  <si>
    <t>Cslope_ideal</t>
  </si>
  <si>
    <t>mΩ</t>
  </si>
  <si>
    <t>Rshunt</t>
  </si>
  <si>
    <t>Output Cap RMS current</t>
  </si>
  <si>
    <t>Icoutrms_VINmin</t>
  </si>
  <si>
    <t>Icoutrms_VINnom</t>
  </si>
  <si>
    <t>Icoutrms_VINmax</t>
  </si>
  <si>
    <t>Chosen Output Capacitance</t>
  </si>
  <si>
    <t>Rout</t>
  </si>
  <si>
    <t>Load resistance</t>
  </si>
  <si>
    <t>p</t>
  </si>
  <si>
    <t>EXCEL Variables Names/Calculations</t>
  </si>
  <si>
    <t>IC Power Disipation</t>
  </si>
  <si>
    <t>Iteration</t>
  </si>
  <si>
    <t>Output Ripple Spec (pk-pk)</t>
  </si>
  <si>
    <t>Estimate of efficiency</t>
  </si>
  <si>
    <t>Soft-start time</t>
  </si>
  <si>
    <r>
      <rPr>
        <sz val="10"/>
        <rFont val="Calibri"/>
        <family val="2"/>
      </rPr>
      <t>θ</t>
    </r>
    <r>
      <rPr>
        <vertAlign val="subscript"/>
        <sz val="10"/>
        <rFont val="Arial"/>
        <family val="2"/>
      </rPr>
      <t>CA</t>
    </r>
  </si>
  <si>
    <t>Input Capacitor ESR</t>
  </si>
  <si>
    <t>RESULTS</t>
  </si>
  <si>
    <t>Reported Cinmin</t>
  </si>
  <si>
    <t>Reported Cout ESR max</t>
  </si>
  <si>
    <t>Reported Cin ESR max</t>
  </si>
  <si>
    <t>Full-load efficiency</t>
  </si>
  <si>
    <t>sec</t>
  </si>
  <si>
    <t>Toff_Vinmax</t>
  </si>
  <si>
    <t>Ton_Vinmin</t>
  </si>
  <si>
    <t>VIN range</t>
  </si>
  <si>
    <t>Current Limit</t>
  </si>
  <si>
    <t>Miscellaneous</t>
  </si>
  <si>
    <t>Inductor</t>
  </si>
  <si>
    <t xml:space="preserve">High-side MOSFET Losses </t>
  </si>
  <si>
    <t xml:space="preserve">Low-side MOSFET Losses </t>
  </si>
  <si>
    <t>Diode</t>
  </si>
  <si>
    <t>Iout (A)</t>
  </si>
  <si>
    <t>Ripple Current pk-pk (A)</t>
  </si>
  <si>
    <t>Off Time (sec)</t>
  </si>
  <si>
    <t>Switching Frequency (Hz)</t>
  </si>
  <si>
    <t>Active Mode Duration (sec)</t>
  </si>
  <si>
    <t>Sleep Mode Duration (sec)</t>
  </si>
  <si>
    <t>Irms (A)</t>
  </si>
  <si>
    <t>Inductor DCR Loss @ 25°C (W)</t>
  </si>
  <si>
    <t>Inductor Core Loss  (W)</t>
  </si>
  <si>
    <t>Total Inductor Loss (W)</t>
  </si>
  <si>
    <t>Cout ESR Loss (W)</t>
  </si>
  <si>
    <t>Total Cout Loss (W)</t>
  </si>
  <si>
    <t>Cin ESR Loss (W)</t>
  </si>
  <si>
    <t>Total Cin Loss (W)</t>
  </si>
  <si>
    <t>Rdson HS Loss @ 25°C (W)</t>
  </si>
  <si>
    <t xml:space="preserve">HS Gate Qg Loss (W)     </t>
  </si>
  <si>
    <t>HS Switching  Loss (W)</t>
  </si>
  <si>
    <t>Coss Loss (W)</t>
  </si>
  <si>
    <t>Total HS FET Loss (W)</t>
  </si>
  <si>
    <t>Rdson LS Loss @ 25°C (W)</t>
  </si>
  <si>
    <t>LS Gate Qg Loss (W)</t>
  </si>
  <si>
    <t>Reverse Recovery &amp; Leakage Losses</t>
  </si>
  <si>
    <t>DeadTime Loss @ 25°C (W)</t>
  </si>
  <si>
    <t>Total LS FET Loss (W)</t>
  </si>
  <si>
    <t>Quiescent Loss (W)</t>
  </si>
  <si>
    <t>LDO + Quiescent Loss (W)</t>
  </si>
  <si>
    <t>Total Gate Drive Loss (W)</t>
  </si>
  <si>
    <t>Total Power Loss in IC (W)</t>
  </si>
  <si>
    <t>Total Converter Power Loss (W)</t>
  </si>
  <si>
    <t>Pout (W)</t>
  </si>
  <si>
    <t>EFF (%)</t>
  </si>
  <si>
    <t>High-side MOSFET Rdson %</t>
  </si>
  <si>
    <t>Low-side MOSFET Rdson %</t>
  </si>
  <si>
    <t>Gate Drive (Qg) Loss from Vin %</t>
  </si>
  <si>
    <t>High-side MOSFET Switching Loss %</t>
  </si>
  <si>
    <t>Reverse Recovery &amp; Leakage Loss %</t>
  </si>
  <si>
    <t>Deadtime Loss %</t>
  </si>
  <si>
    <t>Inductor Cu Loss %</t>
  </si>
  <si>
    <t>Inductor Core Loss %</t>
  </si>
  <si>
    <t>Cin Cout ESR %</t>
  </si>
  <si>
    <t>Quiescent Current Loss %</t>
  </si>
  <si>
    <t>Total Loss %</t>
  </si>
  <si>
    <t>Overall Eff</t>
  </si>
  <si>
    <t>Current (mA)</t>
  </si>
  <si>
    <t>Keep for "previous" data series</t>
  </si>
  <si>
    <t>Frequency (kHz)</t>
  </si>
  <si>
    <t>Coss</t>
  </si>
  <si>
    <t>Iout(max)</t>
  </si>
  <si>
    <r>
      <rPr>
        <sz val="10"/>
        <rFont val="Arial"/>
        <family val="2"/>
      </rPr>
      <t>k</t>
    </r>
    <r>
      <rPr>
        <sz val="10"/>
        <rFont val="Symbol"/>
        <family val="1"/>
        <charset val="2"/>
      </rPr>
      <t>W</t>
    </r>
  </si>
  <si>
    <t>Tamb</t>
  </si>
  <si>
    <t>Ambient temperature</t>
  </si>
  <si>
    <t>VDD</t>
  </si>
  <si>
    <t>On-Time</t>
  </si>
  <si>
    <t>µs</t>
  </si>
  <si>
    <t>On Time - fixed</t>
  </si>
  <si>
    <t>Off Time</t>
  </si>
  <si>
    <t>Off Time - depends on Vout, L, Iout, DCR, etc.</t>
  </si>
  <si>
    <r>
      <rPr>
        <sz val="10"/>
        <rFont val="Symbol"/>
        <family val="1"/>
        <charset val="2"/>
      </rPr>
      <t>D</t>
    </r>
    <r>
      <rPr>
        <sz val="10"/>
        <rFont val="Arial"/>
        <family val="2"/>
      </rPr>
      <t>I</t>
    </r>
    <r>
      <rPr>
        <vertAlign val="subscript"/>
        <sz val="10"/>
        <rFont val="Arial"/>
        <family val="2"/>
      </rPr>
      <t>L</t>
    </r>
  </si>
  <si>
    <t>Inductor pk-pk ripple current in CCM</t>
  </si>
  <si>
    <t>CCM Freq</t>
  </si>
  <si>
    <t>Frequency in CCM</t>
  </si>
  <si>
    <t>Switch rise time</t>
  </si>
  <si>
    <t>Switch fall time</t>
  </si>
  <si>
    <t>Filter inductance</t>
  </si>
  <si>
    <r>
      <rPr>
        <sz val="10"/>
        <rFont val="Arial"/>
        <family val="2"/>
      </rPr>
      <t>m</t>
    </r>
    <r>
      <rPr>
        <sz val="10"/>
        <rFont val="Symbol"/>
        <family val="1"/>
        <charset val="2"/>
      </rPr>
      <t>W</t>
    </r>
  </si>
  <si>
    <t>Kcore</t>
  </si>
  <si>
    <t>RCinESR</t>
  </si>
  <si>
    <t>Input capacitor ESR</t>
  </si>
  <si>
    <t>Output capacitance</t>
  </si>
  <si>
    <t>RCoutESR</t>
  </si>
  <si>
    <t>Output capacitor ESR</t>
  </si>
  <si>
    <t>µA</t>
  </si>
  <si>
    <t>FOM</t>
  </si>
  <si>
    <r>
      <t>m</t>
    </r>
    <r>
      <rPr>
        <sz val="10"/>
        <rFont val="Times New Roman"/>
        <family val="1"/>
      </rPr>
      <t>Ω*</t>
    </r>
    <r>
      <rPr>
        <sz val="10"/>
        <rFont val="Arial"/>
        <family val="2"/>
      </rPr>
      <t>nC</t>
    </r>
  </si>
  <si>
    <t>BDserR</t>
  </si>
  <si>
    <t>Reverse recovery charge of body diode at 100mA</t>
  </si>
  <si>
    <t>Reverse recovery time of body diode (not used)</t>
  </si>
  <si>
    <t>μA</t>
  </si>
  <si>
    <t>Leakage current of low-side device</t>
  </si>
  <si>
    <t>Eff (%)</t>
  </si>
  <si>
    <t>Iout (mA)</t>
  </si>
  <si>
    <t>min_I</t>
  </si>
  <si>
    <t>max_I</t>
  </si>
  <si>
    <t>100mA</t>
  </si>
  <si>
    <t>rr</t>
  </si>
  <si>
    <t>1mA</t>
  </si>
  <si>
    <t>Overall Eff %</t>
  </si>
  <si>
    <t>Total Inductor Loss (mW)</t>
  </si>
  <si>
    <t>Total Power Loss in IC (mW)</t>
  </si>
  <si>
    <t>LDO + Quiescent Loss (mW)</t>
  </si>
  <si>
    <t>Vdd</t>
  </si>
  <si>
    <t>MODE</t>
  </si>
  <si>
    <t>MODE_ILIM</t>
  </si>
  <si>
    <t>MODE_SS</t>
  </si>
  <si>
    <t>COT / PFM Overall Eff</t>
  </si>
  <si>
    <t>COT / PFM Total Inductor Loss (mW)</t>
  </si>
  <si>
    <t>COT / PFM LDO + Quiescent Loss (mW)</t>
  </si>
  <si>
    <t>Soft-Start Configuration</t>
  </si>
  <si>
    <t>mW</t>
  </si>
  <si>
    <r>
      <t>Lower UVLO Resistor, R</t>
    </r>
    <r>
      <rPr>
        <vertAlign val="subscript"/>
        <sz val="10"/>
        <rFont val="Arial"/>
        <family val="2"/>
      </rPr>
      <t>UV2</t>
    </r>
  </si>
  <si>
    <r>
      <t>VIN</t>
    </r>
    <r>
      <rPr>
        <vertAlign val="subscript"/>
        <sz val="10"/>
        <rFont val="Arial"/>
        <family val="2"/>
      </rPr>
      <t>UVLO_OFF</t>
    </r>
  </si>
  <si>
    <t>Rhys</t>
  </si>
  <si>
    <t>Soft Start</t>
  </si>
  <si>
    <t>Step 3: Input &amp; Output Capacitors</t>
  </si>
  <si>
    <t>PLOT_TYPE</t>
  </si>
  <si>
    <t>FB resistor ref des shown or not?</t>
  </si>
  <si>
    <t>SHORT_ILIM</t>
  </si>
  <si>
    <t>ILIM pin shorted if 240mA selected</t>
  </si>
  <si>
    <t>ILIM resistor needed (60/120/180mA)</t>
  </si>
  <si>
    <t>Show Rt resistor ref des?</t>
  </si>
  <si>
    <t>Input UVLO Configuration</t>
  </si>
  <si>
    <t>MODE_UVLO</t>
  </si>
  <si>
    <t>Adjustable UVLO?</t>
  </si>
  <si>
    <t>Soft-start current</t>
  </si>
  <si>
    <t>10% load efficiency</t>
  </si>
  <si>
    <t>Required soft-start cap</t>
  </si>
  <si>
    <t>User selected SS cap</t>
  </si>
  <si>
    <t>100kΩ</t>
  </si>
  <si>
    <t>1% load efficiency</t>
  </si>
  <si>
    <t>linear scale only</t>
  </si>
  <si>
    <t>log scale only</t>
  </si>
  <si>
    <t xml:space="preserve">Minimum Input Capacitance </t>
  </si>
  <si>
    <t>Terms Of Use</t>
  </si>
  <si>
    <r>
      <rPr>
        <b/>
        <sz val="10"/>
        <rFont val="Arial"/>
        <family val="2"/>
      </rPr>
      <t>Iout</t>
    </r>
    <r>
      <rPr>
        <sz val="10"/>
        <rFont val="Arial"/>
        <family val="2"/>
      </rPr>
      <t xml:space="preserve"> Linear Axis</t>
    </r>
  </si>
  <si>
    <r>
      <rPr>
        <b/>
        <sz val="10"/>
        <rFont val="Arial"/>
        <family val="2"/>
      </rPr>
      <t>Iout</t>
    </r>
    <r>
      <rPr>
        <sz val="10"/>
        <rFont val="Arial"/>
        <family val="2"/>
      </rPr>
      <t xml:space="preserve"> Log Axis</t>
    </r>
  </si>
  <si>
    <t>UVLO</t>
  </si>
  <si>
    <t>n</t>
  </si>
  <si>
    <r>
      <t>Pk-to-Pk Ripple Current at V</t>
    </r>
    <r>
      <rPr>
        <vertAlign val="subscript"/>
        <sz val="10"/>
        <rFont val="Arial"/>
        <family val="2"/>
      </rPr>
      <t>IN(nom)</t>
    </r>
    <r>
      <rPr>
        <sz val="10"/>
        <rFont val="Arial"/>
        <family val="2"/>
      </rPr>
      <t xml:space="preserve">, </t>
    </r>
    <r>
      <rPr>
        <sz val="10"/>
        <rFont val="Symbol"/>
        <family val="1"/>
        <charset val="2"/>
      </rPr>
      <t>D</t>
    </r>
    <r>
      <rPr>
        <sz val="10"/>
        <rFont val="Arial"/>
        <family val="2"/>
      </rPr>
      <t>IL</t>
    </r>
  </si>
  <si>
    <t>SW Fall Time (ns)</t>
  </si>
  <si>
    <t>Peak Current (A)</t>
  </si>
  <si>
    <t>Valley Current (A)</t>
  </si>
  <si>
    <t>SW Rise Time (ns)</t>
  </si>
  <si>
    <t>Csw</t>
  </si>
  <si>
    <t>Capacitance (Coss)</t>
  </si>
  <si>
    <t>Operating Quiescent Current (A)</t>
  </si>
  <si>
    <t>6.3V</t>
  </si>
  <si>
    <t>10V</t>
  </si>
  <si>
    <t>16V</t>
  </si>
  <si>
    <t>25V</t>
  </si>
  <si>
    <t>Cout Voltage Rating</t>
  </si>
  <si>
    <t>Vout&lt;=5V</t>
  </si>
  <si>
    <t>Vout&lt;=20V</t>
  </si>
  <si>
    <t>Vout&lt;=8V</t>
  </si>
  <si>
    <t>Vout&lt;=12V</t>
  </si>
  <si>
    <t>50V</t>
  </si>
  <si>
    <t>Vout&gt;20V</t>
  </si>
  <si>
    <t>BOM display</t>
  </si>
  <si>
    <t>COT / PFM Total Power Loss in IC (mW)</t>
  </si>
  <si>
    <t>0402</t>
  </si>
  <si>
    <t>0805</t>
  </si>
  <si>
    <t>1206</t>
  </si>
  <si>
    <t>1210</t>
  </si>
  <si>
    <t>Component Size</t>
  </si>
  <si>
    <t>Footprint (mm)</t>
  </si>
  <si>
    <t>1.0 x 0.5</t>
  </si>
  <si>
    <t>6mm x 6mm</t>
  </si>
  <si>
    <t>7mm x 7mm</t>
  </si>
  <si>
    <t>3.2 x 1.6</t>
  </si>
  <si>
    <t>1.6 x 0.8</t>
  </si>
  <si>
    <t>2.0 x 1.25</t>
  </si>
  <si>
    <t>3.2 x 2.5</t>
  </si>
  <si>
    <t>4.0 x 4.0</t>
  </si>
  <si>
    <r>
      <t>Area (mm</t>
    </r>
    <r>
      <rPr>
        <b/>
        <vertAlign val="superscript"/>
        <sz val="10"/>
        <color theme="0"/>
        <rFont val="Arial"/>
        <family val="2"/>
      </rPr>
      <t>2</t>
    </r>
    <r>
      <rPr>
        <b/>
        <sz val="10"/>
        <color theme="0"/>
        <rFont val="Arial"/>
        <family val="2"/>
      </rPr>
      <t>)</t>
    </r>
  </si>
  <si>
    <t>TI</t>
  </si>
  <si>
    <r>
      <t>in</t>
    </r>
    <r>
      <rPr>
        <b/>
        <vertAlign val="superscript"/>
        <sz val="12"/>
        <color rgb="FFFF0000"/>
        <rFont val="Arial"/>
        <family val="2"/>
      </rPr>
      <t>2</t>
    </r>
  </si>
  <si>
    <t>Total Solution Size (buffered by 25%)</t>
  </si>
  <si>
    <r>
      <t>mm</t>
    </r>
    <r>
      <rPr>
        <b/>
        <vertAlign val="superscript"/>
        <sz val="12"/>
        <color rgb="FFFF0000"/>
        <rFont val="Arial"/>
        <family val="2"/>
      </rPr>
      <t>2</t>
    </r>
    <r>
      <rPr>
        <b/>
        <sz val="12"/>
        <color rgb="FFFF0000"/>
        <rFont val="Arial"/>
        <family val="2"/>
      </rPr>
      <t xml:space="preserve">  =</t>
    </r>
  </si>
  <si>
    <t>Std Value Lower Feedback Resistance</t>
  </si>
  <si>
    <t>Step 2: Flyback Transformer</t>
  </si>
  <si>
    <t>SINGLE/DUAL OUTPUT</t>
  </si>
  <si>
    <t>SINGLE</t>
  </si>
  <si>
    <t>DUAL</t>
  </si>
  <si>
    <t>YES</t>
  </si>
  <si>
    <t>NO</t>
  </si>
  <si>
    <r>
      <t>Magnetizing Inductance, L</t>
    </r>
    <r>
      <rPr>
        <b/>
        <vertAlign val="subscript"/>
        <sz val="10"/>
        <color theme="1"/>
        <rFont val="Arial"/>
        <family val="2"/>
      </rPr>
      <t>MAG</t>
    </r>
    <r>
      <rPr>
        <b/>
        <sz val="10"/>
        <color theme="1"/>
        <rFont val="Arial"/>
        <family val="2"/>
      </rPr>
      <t xml:space="preserve"> </t>
    </r>
  </si>
  <si>
    <t>Single Output or Dual Outputs</t>
  </si>
  <si>
    <r>
      <t>Input Voltage – Min, V</t>
    </r>
    <r>
      <rPr>
        <b/>
        <vertAlign val="subscript"/>
        <sz val="10"/>
        <color theme="1"/>
        <rFont val="Arial"/>
        <family val="2"/>
      </rPr>
      <t>IN(min)</t>
    </r>
    <r>
      <rPr>
        <b/>
        <sz val="10"/>
        <color theme="1"/>
        <rFont val="Arial"/>
        <family val="2"/>
      </rPr>
      <t xml:space="preserve"> </t>
    </r>
  </si>
  <si>
    <r>
      <t>Input Voltage – Nom, V</t>
    </r>
    <r>
      <rPr>
        <b/>
        <vertAlign val="subscript"/>
        <sz val="10"/>
        <color theme="1"/>
        <rFont val="Arial"/>
        <family val="2"/>
      </rPr>
      <t>IN(nom)</t>
    </r>
  </si>
  <si>
    <r>
      <t>Input Voltage – Max, V</t>
    </r>
    <r>
      <rPr>
        <b/>
        <vertAlign val="subscript"/>
        <sz val="10"/>
        <color theme="1"/>
        <rFont val="Arial"/>
        <family val="2"/>
      </rPr>
      <t>IN(max)</t>
    </r>
  </si>
  <si>
    <r>
      <t>Selected Feedback Resistor, R</t>
    </r>
    <r>
      <rPr>
        <b/>
        <vertAlign val="subscript"/>
        <sz val="10"/>
        <rFont val="Arial"/>
        <family val="2"/>
      </rPr>
      <t>FB</t>
    </r>
  </si>
  <si>
    <t>Recommended Feedback Resistor</t>
  </si>
  <si>
    <t>Current Hysteresis</t>
  </si>
  <si>
    <t>Current after UVLO (rising)</t>
  </si>
  <si>
    <t>Current before UVLO (rising)</t>
  </si>
  <si>
    <r>
      <t>Upper UVLO Resistor, R</t>
    </r>
    <r>
      <rPr>
        <vertAlign val="subscript"/>
        <sz val="10"/>
        <rFont val="Arial"/>
        <family val="2"/>
      </rPr>
      <t>UV1</t>
    </r>
  </si>
  <si>
    <t>12.1 kΩ</t>
  </si>
  <si>
    <t>Show TC resistor ref des?</t>
  </si>
  <si>
    <t>TC YES/NO</t>
  </si>
  <si>
    <t>MODE_TC</t>
  </si>
  <si>
    <t>Rtc</t>
  </si>
  <si>
    <t>RSET resistor</t>
  </si>
  <si>
    <t>SS Cap</t>
  </si>
  <si>
    <t>mV/°C</t>
  </si>
  <si>
    <t>VOUT Thermal Compensation</t>
  </si>
  <si>
    <r>
      <t>Thermal Compensation Resistor, R</t>
    </r>
    <r>
      <rPr>
        <vertAlign val="subscript"/>
        <sz val="10"/>
        <rFont val="Arial"/>
        <family val="2"/>
      </rPr>
      <t>TC</t>
    </r>
  </si>
  <si>
    <t>Step 4: Feedback, Soft-start, TC, UVLO</t>
  </si>
  <si>
    <t>FB resistor</t>
  </si>
  <si>
    <t>Turns Ratio</t>
  </si>
  <si>
    <t>Rdcr_pri</t>
  </si>
  <si>
    <t>Rfb</t>
  </si>
  <si>
    <r>
      <t>Internal P</t>
    </r>
    <r>
      <rPr>
        <vertAlign val="subscript"/>
        <sz val="10"/>
        <rFont val="Arial"/>
        <family val="2"/>
      </rPr>
      <t>DISS</t>
    </r>
    <r>
      <rPr>
        <sz val="10"/>
        <rFont val="Arial"/>
        <family val="2"/>
      </rPr>
      <t xml:space="preserve"> at Full Load</t>
    </r>
  </si>
  <si>
    <t>Turns_Ratio</t>
  </si>
  <si>
    <t>Transformer Turns Ratio</t>
  </si>
  <si>
    <t>Schematic variable defined:</t>
  </si>
  <si>
    <t>Flyback MOSFET</t>
  </si>
  <si>
    <t>Rdson</t>
  </si>
  <si>
    <t>Qg</t>
  </si>
  <si>
    <t>Converter</t>
  </si>
  <si>
    <t>Gate charge of MOSFET @ VDD</t>
  </si>
  <si>
    <t>Drain-source resistance of MOSFET @ VDD, 25°C</t>
  </si>
  <si>
    <t>Flyback Diode</t>
  </si>
  <si>
    <t>Peak switch current</t>
  </si>
  <si>
    <t>Isw_max</t>
  </si>
  <si>
    <t>Qrr_Dfly</t>
  </si>
  <si>
    <t>Trr_Dfly</t>
  </si>
  <si>
    <t>Pout-max (W)</t>
  </si>
  <si>
    <t>Iout-max (A)</t>
  </si>
  <si>
    <t>Pout-max (W) at Vin-nom</t>
  </si>
  <si>
    <t>Iout-max (A) at Vin-nom</t>
  </si>
  <si>
    <t>Vsw-max (V) at Vin-nom</t>
  </si>
  <si>
    <t>Isw_min</t>
  </si>
  <si>
    <t>Min peak switch current</t>
  </si>
  <si>
    <t>Efficiency estimate</t>
  </si>
  <si>
    <t>Fsw_max</t>
  </si>
  <si>
    <t>Max Fsw</t>
  </si>
  <si>
    <t>Vin (V)</t>
  </si>
  <si>
    <t>Vsw-max (V)</t>
  </si>
  <si>
    <t>Isw (A)</t>
  </si>
  <si>
    <t>Ton-BCM (us)</t>
  </si>
  <si>
    <t>Toff-BCM (us)</t>
  </si>
  <si>
    <t>Ipri-min-BCM (A)</t>
  </si>
  <si>
    <t>Vout-Reflected (V)</t>
  </si>
  <si>
    <t>Fsw-BCM (kHz) at Iout-max</t>
  </si>
  <si>
    <t>Fsw-max-BCM (kHz)</t>
  </si>
  <si>
    <t>Voltages</t>
  </si>
  <si>
    <t>Toff-min-BCM (us)</t>
  </si>
  <si>
    <t>Iout-min-BCM (A)</t>
  </si>
  <si>
    <t>Toff-FFB (us)</t>
  </si>
  <si>
    <t xml:space="preserve">Fsw-BCM (kHz) </t>
  </si>
  <si>
    <t>Fsw-FFB (kHz)</t>
  </si>
  <si>
    <t>Iout-max-FFB (A)</t>
  </si>
  <si>
    <t>Fsw_DCM</t>
  </si>
  <si>
    <t>Ipri-DCM (A)</t>
  </si>
  <si>
    <t>Ipri (A)</t>
  </si>
  <si>
    <t>COMP (V)</t>
  </si>
  <si>
    <t>Fsw (kHz)</t>
  </si>
  <si>
    <t>Vout-actual (V)</t>
  </si>
  <si>
    <t>VIN-min</t>
  </si>
  <si>
    <t>VIN-max</t>
  </si>
  <si>
    <t>Vout_ripple</t>
  </si>
  <si>
    <t>Actual Output Ripple</t>
  </si>
  <si>
    <t>Ton at Full Load, Vin-nom</t>
  </si>
  <si>
    <t>Input voltage ripple spec (pk-pk) at Vin(nom) = 5%</t>
  </si>
  <si>
    <t>Input voltage ripple - Vinripple2</t>
  </si>
  <si>
    <t>Input current, full load, Vin(nom)</t>
  </si>
  <si>
    <t>Toff, Vin(nom)</t>
  </si>
  <si>
    <t>mVpk-pk</t>
  </si>
  <si>
    <t>Vpk-pk</t>
  </si>
  <si>
    <t>Peak primary current, full load, Vin(nom)</t>
  </si>
  <si>
    <t>Vinripple2</t>
  </si>
  <si>
    <t>Nps</t>
  </si>
  <si>
    <t>Rdcr_sec</t>
  </si>
  <si>
    <t>Rdcr_sec2</t>
  </si>
  <si>
    <t>Primary winding DCR</t>
  </si>
  <si>
    <t>Secondary winding DCR</t>
  </si>
  <si>
    <t>Chosen mag inductance</t>
  </si>
  <si>
    <t>Transformer Size</t>
  </si>
  <si>
    <t>1% Vout ripple spec</t>
  </si>
  <si>
    <t>Calculate input power assuming initial efficiency estimate</t>
  </si>
  <si>
    <t>Ipri-rms (A)</t>
  </si>
  <si>
    <t>Isec-rms (A)</t>
  </si>
  <si>
    <t>PCu-pri (W)</t>
  </si>
  <si>
    <t>PCu-sec (W)</t>
  </si>
  <si>
    <t>On/Off Times and Eff Duty Cycle</t>
  </si>
  <si>
    <t>Ton (µs)</t>
  </si>
  <si>
    <t>Toff (µs)</t>
  </si>
  <si>
    <t>Toff-FFB (µs)</t>
  </si>
  <si>
    <t>Toff-min-BCM (µs)</t>
  </si>
  <si>
    <t>Toff-BCM (µs)</t>
  </si>
  <si>
    <t>Ton-BCM (µs)</t>
  </si>
  <si>
    <t>Tsw (µs)</t>
  </si>
  <si>
    <t>Core Loss (W)</t>
  </si>
  <si>
    <t>P-FET-Coss (W)</t>
  </si>
  <si>
    <t>Cin / Cout</t>
  </si>
  <si>
    <t>RMS Currents</t>
  </si>
  <si>
    <t>Effective SW node capacitance (Ctr + Cdiode_refl)</t>
  </si>
  <si>
    <t>P-FET-Qg (W)</t>
  </si>
  <si>
    <t>P-FET-Cond (W)</t>
  </si>
  <si>
    <t>P-FET-Sw (W)</t>
  </si>
  <si>
    <t>P-Diode-Cond (W)</t>
  </si>
  <si>
    <t>P-Diode-Leak (W)</t>
  </si>
  <si>
    <r>
      <t>P-I</t>
    </r>
    <r>
      <rPr>
        <b/>
        <vertAlign val="subscript"/>
        <sz val="10"/>
        <rFont val="Arial"/>
        <family val="2"/>
      </rPr>
      <t>Q</t>
    </r>
    <r>
      <rPr>
        <b/>
        <sz val="10"/>
        <rFont val="Arial"/>
        <family val="2"/>
      </rPr>
      <t xml:space="preserve"> (W)</t>
    </r>
  </si>
  <si>
    <t>Core loss constant - consult transformer vendor</t>
  </si>
  <si>
    <t>Transformer primary winding DCR at 25°C</t>
  </si>
  <si>
    <t>LM5180 quiescent current</t>
  </si>
  <si>
    <t>Cout (µF) for 1% ripple</t>
  </si>
  <si>
    <t>Cin (µF) for 10% ripple</t>
  </si>
  <si>
    <t>P-Loss-Total (W)</t>
  </si>
  <si>
    <t>P-Diode-Snubber (W)</t>
  </si>
  <si>
    <t>P-LeakL-Clamp/Snub (W)</t>
  </si>
  <si>
    <t>Efficiency (%)</t>
  </si>
  <si>
    <t>P-Trans-Total (W)</t>
  </si>
  <si>
    <t>P-Diode-Total (W)</t>
  </si>
  <si>
    <t>I_LEAK</t>
  </si>
  <si>
    <t>Flyback Diode Loss</t>
  </si>
  <si>
    <t>Transformer Loss</t>
  </si>
  <si>
    <t>P-IC-Total (mW)</t>
  </si>
  <si>
    <t>Half-load efficiency</t>
  </si>
  <si>
    <t>IC Loss</t>
  </si>
  <si>
    <t>Nps1</t>
  </si>
  <si>
    <t>Nps2</t>
  </si>
  <si>
    <t>Step 5: Power Losses &amp; Thermals</t>
  </si>
  <si>
    <t xml:space="preserve">Resulting Input Voltage Ripple </t>
  </si>
  <si>
    <t>Check Iout-max</t>
  </si>
  <si>
    <t>Iout2</t>
  </si>
  <si>
    <t>Rout2</t>
  </si>
  <si>
    <t>Pout2</t>
  </si>
  <si>
    <t>Load resistance #2</t>
  </si>
  <si>
    <t>Output power #2</t>
  </si>
  <si>
    <t xml:space="preserve">Total Output Power </t>
  </si>
  <si>
    <t>Total power</t>
  </si>
  <si>
    <t>LM5180 Parameters</t>
  </si>
  <si>
    <r>
      <t>Ambient Temperature, T</t>
    </r>
    <r>
      <rPr>
        <b/>
        <vertAlign val="subscript"/>
        <sz val="10"/>
        <rFont val="Arial"/>
        <family val="2"/>
      </rPr>
      <t>A</t>
    </r>
  </si>
  <si>
    <t>BIPOLAR</t>
  </si>
  <si>
    <t>Vinripple1 - Input ripple spec</t>
  </si>
  <si>
    <t>OUTPUT CURRENT #2 - BIPOLAR</t>
  </si>
  <si>
    <t>OUTPUT CURRENT #2 - DUAL</t>
  </si>
  <si>
    <t>Output Cap(s)</t>
  </si>
  <si>
    <t>Input Cap(s)</t>
  </si>
  <si>
    <t>Diode Ref Des</t>
  </si>
  <si>
    <r>
      <t>D</t>
    </r>
    <r>
      <rPr>
        <vertAlign val="subscript"/>
        <sz val="10"/>
        <rFont val="Arial"/>
        <family val="2"/>
      </rPr>
      <t>FLY1</t>
    </r>
  </si>
  <si>
    <t>Cin (µF) for 5% ripple</t>
  </si>
  <si>
    <t>Calculations are performed at Vin(nom), Vin(min) and Vin(max) below</t>
  </si>
  <si>
    <r>
      <t>R</t>
    </r>
    <r>
      <rPr>
        <vertAlign val="subscript"/>
        <sz val="10"/>
        <rFont val="Arial"/>
        <family val="2"/>
      </rPr>
      <t>TC</t>
    </r>
  </si>
  <si>
    <t>Feedback Resistance - chosen by user</t>
  </si>
  <si>
    <t>Step 8: FB and TC Resistors</t>
  </si>
  <si>
    <t>Selected Rfb</t>
  </si>
  <si>
    <t>Feedback Resistance - recommneded to user</t>
  </si>
  <si>
    <t>Diode TC</t>
  </si>
  <si>
    <t>Standard Value RTC</t>
  </si>
  <si>
    <t>WSON-8</t>
  </si>
  <si>
    <r>
      <t>T</t>
    </r>
    <r>
      <rPr>
        <vertAlign val="subscript"/>
        <sz val="10"/>
        <rFont val="Arial"/>
        <family val="2"/>
      </rPr>
      <t>1</t>
    </r>
  </si>
  <si>
    <r>
      <t>R</t>
    </r>
    <r>
      <rPr>
        <vertAlign val="subscript"/>
        <sz val="10"/>
        <rFont val="Arial"/>
        <family val="2"/>
      </rPr>
      <t>FB</t>
    </r>
  </si>
  <si>
    <t>Primary Winding DCR</t>
  </si>
  <si>
    <t>FUNCTIONAL</t>
  </si>
  <si>
    <t>BASIC</t>
  </si>
  <si>
    <t>REINFORCED</t>
  </si>
  <si>
    <t>Isolation Grade</t>
  </si>
  <si>
    <t>Output #1</t>
  </si>
  <si>
    <t>Output #2</t>
  </si>
  <si>
    <t>12.1kΩ</t>
  </si>
  <si>
    <r>
      <t>Output Capacitance, C</t>
    </r>
    <r>
      <rPr>
        <b/>
        <vertAlign val="subscript"/>
        <sz val="10"/>
        <rFont val="Arial"/>
        <family val="2"/>
      </rPr>
      <t>OUT2</t>
    </r>
    <r>
      <rPr>
        <b/>
        <sz val="10"/>
        <rFont val="Arial"/>
        <family val="2"/>
      </rPr>
      <t xml:space="preserve"> </t>
    </r>
  </si>
  <si>
    <t>Output Capacitor ESR</t>
  </si>
  <si>
    <t>Adjustable</t>
  </si>
  <si>
    <t>Internal</t>
  </si>
  <si>
    <t>Primary winding DCR at hot</t>
  </si>
  <si>
    <t>Secondary winding DCR at hot</t>
  </si>
  <si>
    <t>Secondary winding #2 DCR at hot</t>
  </si>
  <si>
    <t>Temp - Hot</t>
  </si>
  <si>
    <t>Secondary winding #2 DCR</t>
  </si>
  <si>
    <t>Output Ripple Spec (pk-pk) #2</t>
  </si>
  <si>
    <t>Cout2</t>
  </si>
  <si>
    <t>Coutmin2</t>
  </si>
  <si>
    <t>Reported Cout ESR max #2</t>
  </si>
  <si>
    <t>CoutEsr2</t>
  </si>
  <si>
    <t>1% Vout2 ripple spec</t>
  </si>
  <si>
    <t>Vout_ripple2</t>
  </si>
  <si>
    <t>Check min Ton and Toff times</t>
  </si>
  <si>
    <t>Transformer DCR Temp Co</t>
  </si>
  <si>
    <t>Transformer Core-to-Ambient Thermal Resistance</t>
  </si>
  <si>
    <r>
      <t>D</t>
    </r>
    <r>
      <rPr>
        <vertAlign val="subscript"/>
        <sz val="10"/>
        <rFont val="Arial"/>
        <family val="2"/>
      </rPr>
      <t>FLY2</t>
    </r>
    <r>
      <rPr>
        <sz val="11"/>
        <color theme="1"/>
        <rFont val="Arial"/>
        <family val="2"/>
      </rPr>
      <t/>
    </r>
  </si>
  <si>
    <t>EN/UVLO</t>
  </si>
  <si>
    <t>SS/BIAS</t>
  </si>
  <si>
    <t>TC</t>
  </si>
  <si>
    <t>RSET</t>
  </si>
  <si>
    <t>Step 7: UVLO Resistors</t>
  </si>
  <si>
    <t>Step 2: Circuit Configuration for Single/Dual Output, Int/Adj UVLO, Int/Adj SS, Yes/No TC</t>
  </si>
  <si>
    <t>Step 3: Flyback Transformer</t>
  </si>
  <si>
    <t>Step 3: Output Capacitor(s)</t>
  </si>
  <si>
    <t>DUAL OUTPUT</t>
  </si>
  <si>
    <t>check Ton for dual output…</t>
  </si>
  <si>
    <t>check Vripple variable name…</t>
  </si>
  <si>
    <t>Output voltage</t>
  </si>
  <si>
    <t>Maximum output current #2</t>
  </si>
  <si>
    <t>Output voltage #2</t>
  </si>
  <si>
    <t>DCM switching frequency</t>
  </si>
  <si>
    <t>Reference voltage</t>
  </si>
  <si>
    <t>Feedback resistor</t>
  </si>
  <si>
    <t>Power dissipation</t>
  </si>
  <si>
    <t>check…</t>
  </si>
  <si>
    <t>Turns_Ratio2</t>
  </si>
  <si>
    <t>Single Output or Dual 1st Output</t>
  </si>
  <si>
    <t>SEC1 to SEC2</t>
  </si>
  <si>
    <t>Nsec1sec2</t>
  </si>
  <si>
    <t>Scale</t>
  </si>
  <si>
    <t>PRI : SEC1 : SEC2</t>
  </si>
  <si>
    <t>Turns Ratio, PRI : SEC2</t>
  </si>
  <si>
    <t>TR primary-secondary2 (dual output) = Np/Nsec2</t>
  </si>
  <si>
    <t>TR sec1-sec2 (dual output) = Nsec1/Nsec2</t>
  </si>
  <si>
    <t>Iout2 (A)</t>
  </si>
  <si>
    <t>Iout1 (A)</t>
  </si>
  <si>
    <t>Pout1 (W)</t>
  </si>
  <si>
    <t>Pout2 (W)</t>
  </si>
  <si>
    <t>Iout1-max (A)</t>
  </si>
  <si>
    <t>Iout2-max (A)</t>
  </si>
  <si>
    <t>Vout1-actual (V)</t>
  </si>
  <si>
    <t>Vout1-Reflected (V)</t>
  </si>
  <si>
    <t>Iout1-min-BCM (A)</t>
  </si>
  <si>
    <t>Iout1-max-FFB (A)</t>
  </si>
  <si>
    <t>Turns Ratio, SEC1 : SEC2</t>
  </si>
  <si>
    <t>Pout1-max (W)</t>
  </si>
  <si>
    <t>Cout1 (µF) for 1% ripple</t>
  </si>
  <si>
    <t>Cout2 (µF) for 1% ripple</t>
  </si>
  <si>
    <t>Min 1uF</t>
  </si>
  <si>
    <t>Vripple1_spec</t>
  </si>
  <si>
    <t>Vripple2_actual</t>
  </si>
  <si>
    <t>Vripple1_actual</t>
  </si>
  <si>
    <t>Vripple2_spec</t>
  </si>
  <si>
    <t>Isec2-rms (A)</t>
  </si>
  <si>
    <t>Isec1-rms (A)</t>
  </si>
  <si>
    <t>P-Diode2-Cond (W)</t>
  </si>
  <si>
    <t>P-Diode1-Cond (W)</t>
  </si>
  <si>
    <t>PCu-sec2 (W)</t>
  </si>
  <si>
    <t>PCu-sec1 (W)</t>
  </si>
  <si>
    <t>Iout1 (%)</t>
  </si>
  <si>
    <t>Pout2-max (W)</t>
  </si>
  <si>
    <t>Max Pout at Vin-min</t>
  </si>
  <si>
    <t>Vout2 - absolute value</t>
  </si>
  <si>
    <t>Vout2 - with polarity</t>
  </si>
  <si>
    <t xml:space="preserve">Diode reverse voltage </t>
  </si>
  <si>
    <t>8mm x 8mm</t>
  </si>
  <si>
    <t>9mm x 9mm</t>
  </si>
  <si>
    <t>10mm x 10mm</t>
  </si>
  <si>
    <t>10mm x 12mm</t>
  </si>
  <si>
    <t>11mm x 13mm</t>
  </si>
  <si>
    <t>10 x 12</t>
  </si>
  <si>
    <t>10 x 10</t>
  </si>
  <si>
    <t>9 x 9</t>
  </si>
  <si>
    <t>8 x 8</t>
  </si>
  <si>
    <t>7 x 7</t>
  </si>
  <si>
    <t>6 x 6</t>
  </si>
  <si>
    <t>11 x 13</t>
  </si>
  <si>
    <r>
      <t>D</t>
    </r>
    <r>
      <rPr>
        <vertAlign val="subscript"/>
        <sz val="10"/>
        <rFont val="Arial"/>
        <family val="2"/>
      </rPr>
      <t>CLAMP</t>
    </r>
  </si>
  <si>
    <r>
      <t>C</t>
    </r>
    <r>
      <rPr>
        <vertAlign val="subscript"/>
        <sz val="10"/>
        <rFont val="Arial"/>
        <family val="2"/>
      </rPr>
      <t>OUT2</t>
    </r>
  </si>
  <si>
    <r>
      <t>D</t>
    </r>
    <r>
      <rPr>
        <vertAlign val="subscript"/>
        <sz val="10"/>
        <rFont val="Arial"/>
        <family val="2"/>
      </rPr>
      <t>FLY2</t>
    </r>
  </si>
  <si>
    <r>
      <t>D</t>
    </r>
    <r>
      <rPr>
        <vertAlign val="subscript"/>
        <sz val="10"/>
        <rFont val="Arial"/>
        <family val="2"/>
      </rPr>
      <t>FLY</t>
    </r>
  </si>
  <si>
    <r>
      <t>D</t>
    </r>
    <r>
      <rPr>
        <vertAlign val="subscript"/>
        <sz val="10"/>
        <rFont val="Arial"/>
        <family val="2"/>
      </rPr>
      <t>F</t>
    </r>
    <r>
      <rPr>
        <sz val="11"/>
        <color theme="1"/>
        <rFont val="Arial"/>
        <family val="2"/>
      </rPr>
      <t/>
    </r>
  </si>
  <si>
    <r>
      <t>R</t>
    </r>
    <r>
      <rPr>
        <vertAlign val="subscript"/>
        <sz val="10"/>
        <rFont val="Arial"/>
        <family val="2"/>
      </rPr>
      <t>SET</t>
    </r>
  </si>
  <si>
    <t>SOD323</t>
  </si>
  <si>
    <t>SOD123</t>
  </si>
  <si>
    <t>SMA</t>
  </si>
  <si>
    <t>Footprint</t>
  </si>
  <si>
    <t>Area</t>
  </si>
  <si>
    <t>Diode Size</t>
  </si>
  <si>
    <r>
      <t>D</t>
    </r>
    <r>
      <rPr>
        <vertAlign val="subscript"/>
        <sz val="10"/>
        <rFont val="Arial"/>
        <family val="2"/>
      </rPr>
      <t>OUT</t>
    </r>
  </si>
  <si>
    <t>5.0 x 2.5</t>
  </si>
  <si>
    <t>3.6 x 1.8</t>
  </si>
  <si>
    <t>2.5 x 1.25</t>
  </si>
  <si>
    <t>SOD523</t>
  </si>
  <si>
    <t>Flyback Diode - forward current rating</t>
  </si>
  <si>
    <t>Flyback Diode - reverse voltage rating</t>
  </si>
  <si>
    <r>
      <t>Flyback Diode Voltage Drop, V</t>
    </r>
    <r>
      <rPr>
        <b/>
        <vertAlign val="subscript"/>
        <sz val="10"/>
        <rFont val="Arial"/>
        <family val="2"/>
      </rPr>
      <t>D(no-load)</t>
    </r>
  </si>
  <si>
    <r>
      <t>Flyback Diode Voltage Drop, V</t>
    </r>
    <r>
      <rPr>
        <b/>
        <vertAlign val="subscript"/>
        <sz val="10"/>
        <rFont val="Arial"/>
        <family val="2"/>
      </rPr>
      <t>D(full-load)</t>
    </r>
  </si>
  <si>
    <t>Flyback diode forward voltage at full load</t>
  </si>
  <si>
    <t>Flyback diode forward voltage at no load</t>
  </si>
  <si>
    <t>Vfwd1</t>
  </si>
  <si>
    <t>Vfwd2</t>
  </si>
  <si>
    <t>Transformer secondary winding DCR at 25°C</t>
  </si>
  <si>
    <t>Iout2_actual</t>
  </si>
  <si>
    <t>Maximum output current #1</t>
  </si>
  <si>
    <t>6ms Fixed</t>
  </si>
  <si>
    <t>Iout actual (A)</t>
  </si>
  <si>
    <t>Pout actual (W)</t>
  </si>
  <si>
    <t>Vout actual (V)</t>
  </si>
  <si>
    <t>Ton-diode (µs)</t>
  </si>
  <si>
    <t>Iout-actual</t>
  </si>
  <si>
    <t>Vout-actual -?</t>
  </si>
  <si>
    <t>Pout-actual (W)</t>
  </si>
  <si>
    <t>Vout-calc?</t>
  </si>
  <si>
    <r>
      <t>Duty Cycle at V</t>
    </r>
    <r>
      <rPr>
        <vertAlign val="subscript"/>
        <sz val="10"/>
        <rFont val="Arial"/>
        <family val="2"/>
      </rPr>
      <t>IN(min)</t>
    </r>
  </si>
  <si>
    <t>%</t>
  </si>
  <si>
    <t>Minimum Magnetizing Inductance</t>
  </si>
  <si>
    <t>Lmin</t>
  </si>
  <si>
    <t>Lleak</t>
  </si>
  <si>
    <t>nH</t>
  </si>
  <si>
    <t>Pri-Sec Leakage Inductance</t>
  </si>
  <si>
    <t>LM5180EVM-DUAL PCB design, 2.1" x 1.5" (55mm x 38mm)</t>
  </si>
  <si>
    <t>Check Fsw at  Iout-max</t>
  </si>
  <si>
    <t>Check Pout-max at  Iout-max</t>
  </si>
  <si>
    <t>LM5180EVM-S05 PCB Design, 2" x 1.4" (50mm x 35mm)</t>
  </si>
  <si>
    <t>P-Transforer (W)</t>
  </si>
  <si>
    <t>P-Trans-Total (mW)</t>
  </si>
  <si>
    <t>P-IC-Total (W)</t>
  </si>
  <si>
    <t>RdsonTC</t>
  </si>
  <si>
    <t>ppm/°C</t>
  </si>
  <si>
    <t>Drain to Source Resistance Temp Co</t>
  </si>
  <si>
    <t>IC thermal impedance</t>
  </si>
  <si>
    <t>ThetaJA</t>
  </si>
  <si>
    <t>P-trans (W)</t>
  </si>
  <si>
    <t>ILIM_delay</t>
  </si>
  <si>
    <t>Current lmit comparator delay</t>
  </si>
  <si>
    <t>Lmag</t>
  </si>
  <si>
    <t>Fsw-FFM (kHz)</t>
  </si>
  <si>
    <t xml:space="preserve">  </t>
  </si>
  <si>
    <t>Modulator</t>
  </si>
  <si>
    <t>Power Stage Poles/Zeros</t>
  </si>
  <si>
    <t>Total System</t>
  </si>
  <si>
    <t>V/V</t>
  </si>
  <si>
    <t>Acs</t>
  </si>
  <si>
    <t>A/V</t>
  </si>
  <si>
    <t>gm</t>
  </si>
  <si>
    <t>z_ESR</t>
  </si>
  <si>
    <t>p3</t>
  </si>
  <si>
    <t>Adc</t>
  </si>
  <si>
    <t>EA zero, z1</t>
  </si>
  <si>
    <t>Am</t>
  </si>
  <si>
    <t>p_dom</t>
  </si>
  <si>
    <t>Crossover</t>
  </si>
  <si>
    <t>EA pole, p1</t>
  </si>
  <si>
    <t>Phase Margin</t>
  </si>
  <si>
    <t>°</t>
  </si>
  <si>
    <t>Aea</t>
  </si>
  <si>
    <t>radconv</t>
  </si>
  <si>
    <t>XOVER SEARCH</t>
  </si>
  <si>
    <t>EA pole, p2</t>
  </si>
  <si>
    <t>xover</t>
  </si>
  <si>
    <t>phase margin</t>
  </si>
  <si>
    <t>Freq (Hz)</t>
  </si>
  <si>
    <t>Power Stage</t>
  </si>
  <si>
    <t>Error Amplifier</t>
  </si>
  <si>
    <t>System Response</t>
  </si>
  <si>
    <t>ERROR AMP Response</t>
  </si>
  <si>
    <t>PLANT Response</t>
  </si>
  <si>
    <t>z_RHP</t>
  </si>
  <si>
    <t>p1</t>
  </si>
  <si>
    <t>z1</t>
  </si>
  <si>
    <t>p2</t>
  </si>
  <si>
    <t>Gain(V/V)</t>
  </si>
  <si>
    <t>Phase(rad)</t>
  </si>
  <si>
    <t>Gain (dB)</t>
  </si>
  <si>
    <t>Phase (°)</t>
  </si>
  <si>
    <t>Phase Margin (°)</t>
  </si>
  <si>
    <t>Fsquare</t>
  </si>
  <si>
    <t>Gain(dB)</t>
  </si>
  <si>
    <t>Phase(Deg)</t>
  </si>
  <si>
    <t>Pole/Zero Locations for Chart</t>
  </si>
  <si>
    <t>crossover</t>
  </si>
  <si>
    <t>z2</t>
  </si>
  <si>
    <t>p4</t>
  </si>
  <si>
    <t>System</t>
  </si>
  <si>
    <t>Plant</t>
  </si>
  <si>
    <t>p-dom</t>
  </si>
  <si>
    <t>ESR zero</t>
  </si>
  <si>
    <t>EA pole</t>
  </si>
  <si>
    <t>EA zero</t>
  </si>
  <si>
    <t>p_sampling</t>
  </si>
  <si>
    <t>Iout_eff</t>
  </si>
  <si>
    <t>Vout_eff</t>
  </si>
  <si>
    <t>Rload-pri</t>
  </si>
  <si>
    <t>Rload-sec</t>
  </si>
  <si>
    <t>Npri-sec</t>
  </si>
  <si>
    <t>Cout-pri</t>
  </si>
  <si>
    <t>REAout</t>
  </si>
  <si>
    <t>M</t>
  </si>
  <si>
    <t>Rcomp</t>
  </si>
  <si>
    <t>Ccomp</t>
  </si>
  <si>
    <t>gmEA</t>
  </si>
  <si>
    <t>ESR</t>
  </si>
  <si>
    <r>
      <rPr>
        <sz val="10"/>
        <rFont val="Arial"/>
        <family val="2"/>
      </rPr>
      <t>M</t>
    </r>
    <r>
      <rPr>
        <sz val="10"/>
        <rFont val="Symbol"/>
        <family val="1"/>
        <charset val="2"/>
      </rPr>
      <t>W</t>
    </r>
  </si>
  <si>
    <r>
      <t>m</t>
    </r>
    <r>
      <rPr>
        <sz val="10"/>
        <rFont val="Symbol"/>
        <family val="1"/>
        <charset val="2"/>
      </rPr>
      <t>W</t>
    </r>
  </si>
  <si>
    <r>
      <rPr>
        <sz val="10"/>
        <rFont val="Symbol"/>
        <family val="1"/>
        <charset val="2"/>
      </rPr>
      <t>m</t>
    </r>
    <r>
      <rPr>
        <sz val="10"/>
        <rFont val="Arial"/>
        <family val="2"/>
      </rPr>
      <t>F</t>
    </r>
  </si>
  <si>
    <t>Chf</t>
  </si>
  <si>
    <t>Cout-sec</t>
  </si>
  <si>
    <t>Rcs-gain</t>
  </si>
  <si>
    <r>
      <rPr>
        <sz val="10"/>
        <rFont val="Symbol"/>
        <family val="1"/>
        <charset val="2"/>
      </rPr>
      <t>m</t>
    </r>
    <r>
      <rPr>
        <sz val="10"/>
        <rFont val="Arial"/>
        <family val="2"/>
      </rPr>
      <t>S</t>
    </r>
  </si>
  <si>
    <t>S</t>
  </si>
  <si>
    <t>Ro</t>
  </si>
  <si>
    <t>Freq (kHz)</t>
  </si>
  <si>
    <t>Afb</t>
  </si>
  <si>
    <t>=&gt; Enter parameter</t>
  </si>
  <si>
    <t>Tsw</t>
  </si>
  <si>
    <t>Sampling Term</t>
  </si>
  <si>
    <t>Complex number calculations for sampling gain terms</t>
  </si>
  <si>
    <t>=&gt; constant or calculated value</t>
  </si>
  <si>
    <t>Vout1 + Vout2</t>
  </si>
  <si>
    <t>Feedback Gain &amp; EA Poles/Zeros</t>
  </si>
  <si>
    <t>S &amp; H Expression - see Mathcad file</t>
  </si>
  <si>
    <r>
      <t xml:space="preserve">Pri to </t>
    </r>
    <r>
      <rPr>
        <b/>
        <sz val="10"/>
        <rFont val="Arial"/>
        <family val="2"/>
      </rPr>
      <t>total</t>
    </r>
    <r>
      <rPr>
        <sz val="10"/>
        <rFont val="Arial"/>
        <family val="2"/>
      </rPr>
      <t xml:space="preserve"> sec turns ratio</t>
    </r>
  </si>
  <si>
    <t>BCM</t>
  </si>
  <si>
    <t>DCM</t>
  </si>
  <si>
    <t>Mode</t>
  </si>
  <si>
    <t>Choose Mode:</t>
  </si>
  <si>
    <t>V_SW_max</t>
  </si>
  <si>
    <t>dB</t>
  </si>
  <si>
    <t>1V/1.5A</t>
  </si>
  <si>
    <t>VARIANT</t>
  </si>
  <si>
    <t>LM5180</t>
  </si>
  <si>
    <t>LM25180</t>
  </si>
  <si>
    <t>VIN-MAX</t>
  </si>
  <si>
    <t>P-LDO (W)</t>
  </si>
  <si>
    <t>Output Pk-Pk Ripple (mV)</t>
  </si>
  <si>
    <t>Input Pk-Pk Ripple (mV)</t>
  </si>
  <si>
    <t>Output #1 Pk-Pk Ripple (mV)</t>
  </si>
  <si>
    <t>Output #2 Pk-Pk Ripple (mV)</t>
  </si>
  <si>
    <r>
      <t>Power Dissipation at Full Load, P</t>
    </r>
    <r>
      <rPr>
        <vertAlign val="subscript"/>
        <sz val="10"/>
        <rFont val="Arial"/>
        <family val="2"/>
      </rPr>
      <t>D</t>
    </r>
  </si>
  <si>
    <r>
      <t>Junction Temperature at Full Load, T</t>
    </r>
    <r>
      <rPr>
        <vertAlign val="subscript"/>
        <sz val="10"/>
        <rFont val="Arial"/>
        <family val="2"/>
      </rPr>
      <t>J</t>
    </r>
  </si>
  <si>
    <t>P-trans-No-TC (W)</t>
  </si>
  <si>
    <t>LM5181</t>
  </si>
  <si>
    <t>LM25183</t>
  </si>
  <si>
    <t>LM25184</t>
  </si>
  <si>
    <t xml:space="preserve">                    LM5180/1 and LM25180/3/4 PSR Flyback Design Tool  </t>
  </si>
  <si>
    <t>toff-max</t>
  </si>
  <si>
    <t>uH</t>
  </si>
  <si>
    <t>Max Iout at Vin-min</t>
  </si>
  <si>
    <r>
      <t>Primary Winding DCR Loss at Vin</t>
    </r>
    <r>
      <rPr>
        <vertAlign val="subscript"/>
        <sz val="10"/>
        <color theme="1"/>
        <rFont val="Arial"/>
        <family val="2"/>
      </rPr>
      <t>(nom)</t>
    </r>
  </si>
  <si>
    <r>
      <t>Peak Primary Current at Vin</t>
    </r>
    <r>
      <rPr>
        <vertAlign val="subscript"/>
        <sz val="10"/>
        <color theme="1"/>
        <rFont val="Arial"/>
        <family val="2"/>
      </rPr>
      <t>(nom)</t>
    </r>
  </si>
  <si>
    <r>
      <t>Peak Secondary Current at Vin</t>
    </r>
    <r>
      <rPr>
        <vertAlign val="subscript"/>
        <sz val="10"/>
        <color theme="1"/>
        <rFont val="Arial"/>
        <family val="2"/>
      </rPr>
      <t>(nom)</t>
    </r>
  </si>
  <si>
    <t>Series resistance of the flyback diode</t>
  </si>
  <si>
    <r>
      <t xml:space="preserve">Estimated IC Thermal Impedance, </t>
    </r>
    <r>
      <rPr>
        <b/>
        <sz val="11"/>
        <rFont val="Symbol"/>
        <family val="1"/>
        <charset val="2"/>
      </rPr>
      <t>J</t>
    </r>
    <r>
      <rPr>
        <b/>
        <vertAlign val="subscript"/>
        <sz val="10"/>
        <rFont val="Arial"/>
        <family val="2"/>
      </rPr>
      <t>JA</t>
    </r>
  </si>
  <si>
    <t>SMB</t>
  </si>
  <si>
    <t>5.0 x 3.3</t>
  </si>
  <si>
    <t>Isat</t>
  </si>
  <si>
    <t>P-Diode-Total (mW)</t>
  </si>
  <si>
    <t xml:space="preserve"> LM5180/1 and LM25180/3/4 PSR Flyback Converter Design Tool</t>
  </si>
  <si>
    <t>LM25184EVM-S12 PCB design, 2.2" x 1.4" (56mm x 36mm)</t>
  </si>
  <si>
    <t>1.  Choose a transformer with saturation current rating higher than the max peak current limit setting (1.73A) for all operating temperatures</t>
  </si>
  <si>
    <t>2.  Appropriately derate the effective input and output capacitances for applied voltage and temperature, particularly with ceramics</t>
  </si>
  <si>
    <t>3.  Use a primary-side RC snubber from SW to VIN to dampen leakage inductance spike</t>
  </si>
  <si>
    <t>4.  Use a flyback diode RC snubber to dampen ringing if needed</t>
  </si>
  <si>
    <t>5.  Use an output zener to clamp the output at no load</t>
  </si>
  <si>
    <t>Rev A2</t>
  </si>
  <si>
    <t>Po-min</t>
  </si>
  <si>
    <t>Iout_min</t>
  </si>
  <si>
    <t>Po_min</t>
  </si>
  <si>
    <t>Required Po_min</t>
  </si>
  <si>
    <t>Min On time</t>
  </si>
  <si>
    <t>Min Freq</t>
  </si>
  <si>
    <t xml:space="preserve">Customer Min Load </t>
  </si>
  <si>
    <t>Required min load</t>
  </si>
  <si>
    <t>Ton Min</t>
  </si>
  <si>
    <t>Vin_max</t>
  </si>
  <si>
    <t>Fsw_min</t>
  </si>
  <si>
    <t>Po_cal</t>
  </si>
  <si>
    <t>Do you need a  Dummy Load</t>
  </si>
  <si>
    <t>Rdym</t>
  </si>
  <si>
    <t xml:space="preserve">Selected Device Min Power Rating&gt;  </t>
  </si>
  <si>
    <t>Customer Min Load 1</t>
  </si>
  <si>
    <t>Iout_min1</t>
  </si>
  <si>
    <t>Po-min1</t>
  </si>
  <si>
    <t>Do you need a  Dummy Load1</t>
  </si>
  <si>
    <t>Customer Min Load 2</t>
  </si>
  <si>
    <t>Iout_min2</t>
  </si>
  <si>
    <t>Po-min2</t>
  </si>
  <si>
    <t>Do you need a  Dummy Load2</t>
  </si>
  <si>
    <t>Rdym2</t>
  </si>
  <si>
    <t>Rdym1</t>
  </si>
  <si>
    <t>Step 7:  Optional Output Zener Clamp or Dummy Load</t>
  </si>
  <si>
    <t>VSW-MAX</t>
  </si>
  <si>
    <t>(Always reserve the Zener clamp and dummy load position on PCB)</t>
  </si>
  <si>
    <t>Snubber Capacitor Voltage Rating &gt;</t>
  </si>
  <si>
    <t>Snubber Resistor Power Dissipation Rating &gt;</t>
  </si>
  <si>
    <t>(Always reserve the snubber positions on PCB, and validate by experiments.)</t>
  </si>
  <si>
    <t>1.2 : 1</t>
  </si>
  <si>
    <t>1 : 1.2</t>
  </si>
  <si>
    <t>Step 6:  Optional RC Snubber across Rectifier Diode</t>
  </si>
  <si>
    <t>min Load</t>
  </si>
  <si>
    <t>min Load1</t>
  </si>
  <si>
    <t>min Load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</si>
</sst>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_(* \(#,##0.00\);_(* &quot;-&quot;??_);_(@_)"/>
    <numFmt numFmtId="164" formatCode="0.00000"/>
    <numFmt numFmtId="165" formatCode="0.0000"/>
    <numFmt numFmtId="166" formatCode="0.000"/>
    <numFmt numFmtId="167" formatCode="0.0"/>
    <numFmt numFmtId="168" formatCode="0.000E+00"/>
    <numFmt numFmtId="169" formatCode="#0.0#"/>
    <numFmt numFmtId="170" formatCode="General&quot;k&quot;"/>
    <numFmt numFmtId="171" formatCode="General&quot;µF&quot;"/>
    <numFmt numFmtId="172" formatCode="General&quot;µH&quot;"/>
    <numFmt numFmtId="173" formatCode="&quot;Inductor, &quot;General&quot;-µH, 10%&quot;"/>
    <numFmt numFmtId="174" formatCode="&quot;Resistor, Chip, &quot;General&quot;-kΩ, 1/16W, 1%&quot;"/>
    <numFmt numFmtId="175" formatCode="0.E+00"/>
    <numFmt numFmtId="176" formatCode="0.0E+00"/>
    <numFmt numFmtId="177" formatCode="&quot;Capacitor, Ceramic, &quot;General&quot;-µF, 100V, X7R, 20%&quot;"/>
    <numFmt numFmtId="178" formatCode="0.000%"/>
    <numFmt numFmtId="179" formatCode="&quot;Capacitor, Ceramic, &quot;General&quot;-µF, 16V, X7R, 20%&quot;"/>
    <numFmt numFmtId="180" formatCode="&quot;Resistor, Chip, &quot;General&quot; kΩ, 1/16W, 1%&quot;"/>
    <numFmt numFmtId="181" formatCode="General&quot;M&quot;"/>
    <numFmt numFmtId="182" formatCode="&quot;Resistor, Chip, &quot;General&quot;kΩ, 1/16W, 1%&quot;"/>
    <numFmt numFmtId="183" formatCode="0E+00"/>
    <numFmt numFmtId="184" formatCode="0.000000"/>
  </numFmts>
  <fonts count="88" x14ac:knownFonts="1">
    <font>
      <sz val="10"/>
      <name val="Arial"/>
    </font>
    <font>
      <sz val="11"/>
      <color theme="1"/>
      <name val="Arial"/>
      <family val="2"/>
    </font>
    <font>
      <sz val="11"/>
      <color theme="1"/>
      <name val="Calibri"/>
      <family val="2"/>
      <scheme val="minor"/>
    </font>
    <font>
      <sz val="10"/>
      <name val="Arial"/>
      <family val="2"/>
    </font>
    <font>
      <b/>
      <sz val="10"/>
      <name val="Arial"/>
      <family val="2"/>
    </font>
    <font>
      <b/>
      <sz val="22"/>
      <color indexed="44"/>
      <name val="Arial"/>
      <family val="2"/>
    </font>
    <font>
      <sz val="8"/>
      <name val="Arial"/>
      <family val="2"/>
    </font>
    <font>
      <b/>
      <i/>
      <sz val="10"/>
      <name val="Arial"/>
      <family val="2"/>
    </font>
    <font>
      <sz val="10"/>
      <name val="Arial"/>
      <family val="2"/>
    </font>
    <font>
      <vertAlign val="subscript"/>
      <sz val="10"/>
      <name val="Arial"/>
      <family val="2"/>
    </font>
    <font>
      <u/>
      <sz val="10"/>
      <color indexed="12"/>
      <name val="Arial"/>
      <family val="2"/>
    </font>
    <font>
      <b/>
      <sz val="16"/>
      <name val="Arial"/>
      <family val="2"/>
    </font>
    <font>
      <sz val="10"/>
      <color indexed="44"/>
      <name val="Arial"/>
      <family val="2"/>
    </font>
    <font>
      <b/>
      <sz val="28"/>
      <color indexed="44"/>
      <name val="Arial"/>
      <family val="2"/>
    </font>
    <font>
      <b/>
      <sz val="10"/>
      <color indexed="44"/>
      <name val="Arial"/>
      <family val="2"/>
    </font>
    <font>
      <sz val="10"/>
      <color indexed="8"/>
      <name val="Arial"/>
      <family val="2"/>
    </font>
    <font>
      <b/>
      <sz val="24"/>
      <color indexed="44"/>
      <name val="Arial"/>
      <family val="2"/>
    </font>
    <font>
      <sz val="10"/>
      <name val="Calibri"/>
      <family val="2"/>
    </font>
    <font>
      <b/>
      <sz val="10"/>
      <name val="Calibri"/>
      <family val="2"/>
    </font>
    <font>
      <sz val="10"/>
      <color indexed="55"/>
      <name val="Calibri"/>
      <family val="2"/>
    </font>
    <font>
      <b/>
      <sz val="10"/>
      <color indexed="9"/>
      <name val="Calibri"/>
      <family val="2"/>
    </font>
    <font>
      <b/>
      <sz val="12"/>
      <color indexed="48"/>
      <name val="Arial"/>
      <family val="2"/>
    </font>
    <font>
      <b/>
      <sz val="12"/>
      <color indexed="12"/>
      <name val="Arial"/>
      <family val="2"/>
    </font>
    <font>
      <b/>
      <sz val="12"/>
      <color indexed="9"/>
      <name val="Calibri"/>
      <family val="2"/>
    </font>
    <font>
      <b/>
      <sz val="22"/>
      <color indexed="9"/>
      <name val="Calibri"/>
      <family val="2"/>
    </font>
    <font>
      <b/>
      <sz val="10"/>
      <color indexed="13"/>
      <name val="Calibri"/>
      <family val="2"/>
    </font>
    <font>
      <sz val="10"/>
      <color indexed="56"/>
      <name val="Calibri"/>
      <family val="2"/>
    </font>
    <font>
      <sz val="10"/>
      <color indexed="8"/>
      <name val="Arial"/>
      <family val="2"/>
    </font>
    <font>
      <b/>
      <sz val="14"/>
      <color indexed="9"/>
      <name val="Calibri"/>
      <family val="2"/>
    </font>
    <font>
      <sz val="11"/>
      <color indexed="81"/>
      <name val="Tahoma"/>
      <family val="2"/>
    </font>
    <font>
      <b/>
      <i/>
      <sz val="14"/>
      <color indexed="12"/>
      <name val="Calibri"/>
      <family val="2"/>
    </font>
    <font>
      <b/>
      <sz val="9"/>
      <color indexed="81"/>
      <name val="Tahoma"/>
      <family val="2"/>
    </font>
    <font>
      <sz val="9"/>
      <color indexed="81"/>
      <name val="Tahoma"/>
      <family val="2"/>
    </font>
    <font>
      <b/>
      <u/>
      <sz val="9"/>
      <color indexed="81"/>
      <name val="Tahoma"/>
      <family val="2"/>
    </font>
    <font>
      <sz val="11"/>
      <color indexed="10"/>
      <name val="Tahoma"/>
      <family val="2"/>
    </font>
    <font>
      <b/>
      <sz val="11"/>
      <color indexed="10"/>
      <name val="Tahoma"/>
      <family val="2"/>
    </font>
    <font>
      <b/>
      <sz val="9"/>
      <color indexed="10"/>
      <name val="Tahoma"/>
      <family val="2"/>
    </font>
    <font>
      <sz val="9"/>
      <color indexed="39"/>
      <name val="Tahoma"/>
      <family val="2"/>
    </font>
    <font>
      <b/>
      <sz val="9"/>
      <color indexed="39"/>
      <name val="Tahoma"/>
      <family val="2"/>
    </font>
    <font>
      <b/>
      <vertAlign val="subscript"/>
      <sz val="9"/>
      <color indexed="81"/>
      <name val="Tahoma"/>
      <family val="2"/>
    </font>
    <font>
      <b/>
      <u/>
      <sz val="11"/>
      <color indexed="10"/>
      <name val="Tahoma"/>
      <family val="2"/>
    </font>
    <font>
      <sz val="16"/>
      <color theme="0"/>
      <name val="Arial"/>
      <family val="2"/>
    </font>
    <font>
      <b/>
      <vertAlign val="subscript"/>
      <sz val="10"/>
      <name val="Arial"/>
      <family val="2"/>
    </font>
    <font>
      <sz val="10"/>
      <color indexed="23"/>
      <name val="Arial"/>
      <family val="2"/>
    </font>
    <font>
      <sz val="10"/>
      <color indexed="55"/>
      <name val="Arial"/>
      <family val="2"/>
    </font>
    <font>
      <b/>
      <i/>
      <sz val="10"/>
      <color indexed="55"/>
      <name val="Arial"/>
      <family val="2"/>
    </font>
    <font>
      <b/>
      <i/>
      <sz val="14"/>
      <color indexed="12"/>
      <name val="Arial"/>
      <family val="2"/>
    </font>
    <font>
      <b/>
      <sz val="10"/>
      <color rgb="FFFF0000"/>
      <name val="Arial"/>
      <family val="2"/>
    </font>
    <font>
      <sz val="10"/>
      <color theme="1"/>
      <name val="Arial"/>
      <family val="2"/>
    </font>
    <font>
      <b/>
      <sz val="10"/>
      <color theme="1"/>
      <name val="Arial"/>
      <family val="2"/>
    </font>
    <font>
      <b/>
      <vertAlign val="subscript"/>
      <sz val="10"/>
      <color theme="1"/>
      <name val="Arial"/>
      <family val="2"/>
    </font>
    <font>
      <b/>
      <sz val="12"/>
      <color rgb="FF003366"/>
      <name val="Calibri"/>
      <family val="2"/>
    </font>
    <font>
      <sz val="10"/>
      <name val="Symbol"/>
      <family val="1"/>
      <charset val="2"/>
    </font>
    <font>
      <b/>
      <sz val="10"/>
      <color indexed="9"/>
      <name val="Arial"/>
      <family val="2"/>
    </font>
    <font>
      <b/>
      <sz val="12"/>
      <color rgb="FF0000FF"/>
      <name val="Arial"/>
      <family val="2"/>
    </font>
    <font>
      <b/>
      <u/>
      <sz val="10"/>
      <name val="Arial"/>
      <family val="2"/>
    </font>
    <font>
      <u/>
      <sz val="9"/>
      <color indexed="12"/>
      <name val="Tahoma"/>
      <family val="2"/>
    </font>
    <font>
      <sz val="10"/>
      <color rgb="FFFF0000"/>
      <name val="Arial"/>
      <family val="2"/>
    </font>
    <font>
      <sz val="10"/>
      <color theme="0"/>
      <name val="Arial"/>
      <family val="2"/>
    </font>
    <font>
      <sz val="30"/>
      <color theme="0"/>
      <name val="Arial"/>
      <family val="2"/>
    </font>
    <font>
      <sz val="10"/>
      <name val="Cambria"/>
      <family val="1"/>
      <scheme val="major"/>
    </font>
    <font>
      <b/>
      <sz val="10"/>
      <color indexed="8"/>
      <name val="Arial"/>
      <family val="2"/>
    </font>
    <font>
      <sz val="10"/>
      <name val="Times New Roman"/>
      <family val="1"/>
    </font>
    <font>
      <sz val="18"/>
      <name val="Arial"/>
      <family val="2"/>
    </font>
    <font>
      <b/>
      <sz val="11"/>
      <name val="Symbol"/>
      <family val="1"/>
      <charset val="2"/>
    </font>
    <font>
      <b/>
      <sz val="10"/>
      <color rgb="FF0000FF"/>
      <name val="Arial"/>
      <family val="2"/>
    </font>
    <font>
      <u/>
      <sz val="10"/>
      <color theme="0" tint="-0.499984740745262"/>
      <name val="Arial"/>
      <family val="2"/>
    </font>
    <font>
      <vertAlign val="subscript"/>
      <sz val="9"/>
      <color indexed="81"/>
      <name val="Tahoma"/>
      <family val="2"/>
    </font>
    <font>
      <b/>
      <sz val="10"/>
      <color rgb="FF33CC33"/>
      <name val="Arial"/>
      <family val="2"/>
    </font>
    <font>
      <sz val="10"/>
      <name val="Arial"/>
      <family val="2"/>
    </font>
    <font>
      <sz val="9"/>
      <color indexed="8"/>
      <name val="Tahoma"/>
      <family val="2"/>
    </font>
    <font>
      <b/>
      <sz val="10"/>
      <color theme="0"/>
      <name val="Arial"/>
      <family val="2"/>
    </font>
    <font>
      <b/>
      <vertAlign val="superscript"/>
      <sz val="10"/>
      <color theme="0"/>
      <name val="Arial"/>
      <family val="2"/>
    </font>
    <font>
      <b/>
      <sz val="11"/>
      <color rgb="FFFF0000"/>
      <name val="Arial"/>
      <family val="2"/>
    </font>
    <font>
      <b/>
      <sz val="12"/>
      <color rgb="FFFF0000"/>
      <name val="Arial"/>
      <family val="2"/>
    </font>
    <font>
      <b/>
      <vertAlign val="superscript"/>
      <sz val="12"/>
      <color rgb="FFFF0000"/>
      <name val="Arial"/>
      <family val="2"/>
    </font>
    <font>
      <sz val="34"/>
      <color theme="0"/>
      <name val="Arial"/>
      <family val="2"/>
    </font>
    <font>
      <b/>
      <sz val="10"/>
      <color theme="6" tint="-0.249977111117893"/>
      <name val="Arial"/>
      <family val="2"/>
    </font>
    <font>
      <sz val="10"/>
      <color rgb="FF0000FF"/>
      <name val="Arial"/>
      <family val="2"/>
    </font>
    <font>
      <b/>
      <sz val="12"/>
      <color theme="9" tint="-0.249977111117893"/>
      <name val="Arial"/>
      <family val="2"/>
    </font>
    <font>
      <b/>
      <sz val="11"/>
      <name val="Arial"/>
      <family val="2"/>
    </font>
    <font>
      <b/>
      <sz val="10"/>
      <name val="Symbol"/>
      <family val="1"/>
      <charset val="2"/>
    </font>
    <font>
      <vertAlign val="subscript"/>
      <sz val="10"/>
      <color theme="1"/>
      <name val="Arial"/>
      <family val="2"/>
    </font>
    <font>
      <sz val="10"/>
      <color rgb="FF009900"/>
      <name val="Arial"/>
      <family val="2"/>
    </font>
    <font>
      <sz val="28"/>
      <color rgb="FFFF0000"/>
      <name val="Arial"/>
      <family val="2"/>
    </font>
    <font>
      <b/>
      <sz val="10"/>
      <color indexed="10"/>
      <name val="Arial"/>
      <family val="2"/>
    </font>
    <font>
      <b/>
      <sz val="9"/>
      <color indexed="8"/>
      <name val="Tahoma"/>
      <family val="2"/>
    </font>
    <font>
      <b/>
      <i/>
      <sz val="9"/>
      <color indexed="10"/>
      <name val="Tahoma"/>
      <family val="2"/>
    </font>
  </fonts>
  <fills count="31">
    <fill>
      <patternFill patternType="none"/>
    </fill>
    <fill>
      <patternFill patternType="gray125"/>
    </fill>
    <fill>
      <patternFill patternType="solid">
        <fgColor indexed="44"/>
        <bgColor indexed="64"/>
      </patternFill>
    </fill>
    <fill>
      <patternFill patternType="solid">
        <fgColor indexed="8"/>
        <bgColor indexed="64"/>
      </patternFill>
    </fill>
    <fill>
      <patternFill patternType="solid">
        <fgColor indexed="22"/>
        <bgColor indexed="64"/>
      </patternFill>
    </fill>
    <fill>
      <patternFill patternType="solid">
        <fgColor indexed="55"/>
        <bgColor indexed="64"/>
      </patternFill>
    </fill>
    <fill>
      <patternFill patternType="solid">
        <fgColor indexed="45"/>
        <bgColor indexed="64"/>
      </patternFill>
    </fill>
    <fill>
      <patternFill patternType="solid">
        <fgColor indexed="46"/>
        <bgColor indexed="64"/>
      </patternFill>
    </fill>
    <fill>
      <patternFill patternType="solid">
        <fgColor indexed="9"/>
        <bgColor indexed="64"/>
      </patternFill>
    </fill>
    <fill>
      <patternFill patternType="solid">
        <fgColor indexed="13"/>
        <bgColor indexed="64"/>
      </patternFill>
    </fill>
    <fill>
      <patternFill patternType="solid">
        <fgColor indexed="52"/>
        <bgColor indexed="64"/>
      </patternFill>
    </fill>
    <fill>
      <patternFill patternType="solid">
        <fgColor indexed="50"/>
        <bgColor indexed="64"/>
      </patternFill>
    </fill>
    <fill>
      <patternFill patternType="solid">
        <fgColor theme="0"/>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indexed="43"/>
        <bgColor indexed="64"/>
      </patternFill>
    </fill>
    <fill>
      <patternFill patternType="solid">
        <fgColor rgb="FFFFFF99"/>
        <bgColor indexed="64"/>
      </patternFill>
    </fill>
    <fill>
      <patternFill patternType="solid">
        <fgColor rgb="FFFF9900"/>
        <bgColor indexed="64"/>
      </patternFill>
    </fill>
    <fill>
      <patternFill patternType="solid">
        <fgColor rgb="FF99CC00"/>
        <bgColor indexed="64"/>
      </patternFill>
    </fill>
    <fill>
      <patternFill patternType="solid">
        <fgColor rgb="FFC0C0C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33CC33"/>
        <bgColor indexed="64"/>
      </patternFill>
    </fill>
    <fill>
      <patternFill patternType="solid">
        <fgColor rgb="FF00B0F0"/>
        <bgColor indexed="64"/>
      </patternFill>
    </fill>
    <fill>
      <patternFill patternType="solid">
        <fgColor theme="3" tint="0.79998168889431442"/>
        <bgColor indexed="64"/>
      </patternFill>
    </fill>
    <fill>
      <patternFill patternType="solid">
        <fgColor rgb="FFFF00FF"/>
        <bgColor indexed="64"/>
      </patternFill>
    </fill>
    <fill>
      <patternFill patternType="solid">
        <fgColor rgb="FF92D050"/>
        <bgColor indexed="64"/>
      </patternFill>
    </fill>
    <fill>
      <patternFill patternType="solid">
        <fgColor rgb="FF00FFFF"/>
        <bgColor indexed="64"/>
      </patternFill>
    </fill>
  </fills>
  <borders count="9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55"/>
      </top>
      <bottom/>
      <diagonal/>
    </border>
    <border>
      <left/>
      <right/>
      <top/>
      <bottom style="medium">
        <color indexed="55"/>
      </bottom>
      <diagonal/>
    </border>
    <border>
      <left/>
      <right style="medium">
        <color indexed="55"/>
      </right>
      <top style="medium">
        <color indexed="55"/>
      </top>
      <bottom/>
      <diagonal/>
    </border>
    <border>
      <left/>
      <right style="medium">
        <color indexed="55"/>
      </right>
      <top/>
      <bottom/>
      <diagonal/>
    </border>
    <border>
      <left/>
      <right style="medium">
        <color indexed="55"/>
      </right>
      <top/>
      <bottom style="medium">
        <color indexed="55"/>
      </bottom>
      <diagonal/>
    </border>
    <border>
      <left style="medium">
        <color indexed="55"/>
      </left>
      <right/>
      <top style="medium">
        <color indexed="55"/>
      </top>
      <bottom/>
      <diagonal/>
    </border>
    <border>
      <left style="medium">
        <color indexed="55"/>
      </left>
      <right/>
      <top/>
      <bottom/>
      <diagonal/>
    </border>
    <border>
      <left style="medium">
        <color indexed="55"/>
      </left>
      <right/>
      <top/>
      <bottom style="medium">
        <color indexed="55"/>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indexed="64"/>
      </top>
      <bottom style="medium">
        <color indexed="64"/>
      </bottom>
      <diagonal/>
    </border>
    <border>
      <left/>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55"/>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double">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8">
    <xf numFmtId="0" fontId="0" fillId="0" borderId="0"/>
    <xf numFmtId="0" fontId="4" fillId="0" borderId="0" applyNumberForma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alignment vertical="top"/>
      <protection locked="0"/>
    </xf>
    <xf numFmtId="0" fontId="3" fillId="0" borderId="0"/>
    <xf numFmtId="0" fontId="2" fillId="0" borderId="0"/>
    <xf numFmtId="43" fontId="2" fillId="0" borderId="0" applyFont="0" applyFill="0" applyBorder="0" applyAlignment="0" applyProtection="0"/>
    <xf numFmtId="9" fontId="69" fillId="0" borderId="0" applyFont="0" applyFill="0" applyBorder="0" applyAlignment="0" applyProtection="0"/>
  </cellStyleXfs>
  <cellXfs count="736">
    <xf numFmtId="0" fontId="0" fillId="0" borderId="0" xfId="0"/>
    <xf numFmtId="0" fontId="23" fillId="24" borderId="0" xfId="0" applyFont="1" applyFill="1" applyAlignment="1">
      <alignment horizontal="center" vertical="center"/>
    </xf>
    <xf numFmtId="0" fontId="7" fillId="0" borderId="0" xfId="0" applyFont="1"/>
    <xf numFmtId="0" fontId="4" fillId="0" borderId="0" xfId="0" applyFont="1"/>
    <xf numFmtId="0" fontId="8" fillId="0" borderId="0" xfId="0" applyFont="1"/>
    <xf numFmtId="2" fontId="0" fillId="0" borderId="0" xfId="0" applyNumberFormat="1"/>
    <xf numFmtId="0" fontId="4" fillId="2" borderId="0" xfId="0" applyFont="1" applyFill="1"/>
    <xf numFmtId="0" fontId="0" fillId="4" borderId="2" xfId="0" applyFill="1" applyBorder="1"/>
    <xf numFmtId="0" fontId="0" fillId="4" borderId="0" xfId="0" applyFill="1"/>
    <xf numFmtId="0" fontId="15" fillId="0" borderId="0" xfId="0" applyFont="1"/>
    <xf numFmtId="0" fontId="0" fillId="9" borderId="0" xfId="0" applyFill="1"/>
    <xf numFmtId="0" fontId="0" fillId="0" borderId="0" xfId="0" applyAlignment="1">
      <alignment horizontal="right"/>
    </xf>
    <xf numFmtId="0" fontId="17" fillId="0" borderId="0" xfId="0" applyFont="1"/>
    <xf numFmtId="11" fontId="7" fillId="0" borderId="0" xfId="0" applyNumberFormat="1" applyFont="1"/>
    <xf numFmtId="0" fontId="4" fillId="0" borderId="0" xfId="0" applyFont="1" applyAlignment="1">
      <alignment horizontal="center"/>
    </xf>
    <xf numFmtId="0" fontId="4" fillId="4" borderId="0" xfId="0" applyFont="1" applyFill="1" applyAlignment="1">
      <alignment horizontal="center"/>
    </xf>
    <xf numFmtId="0" fontId="4" fillId="10" borderId="0" xfId="0" applyFont="1" applyFill="1" applyAlignment="1">
      <alignment horizontal="center"/>
    </xf>
    <xf numFmtId="0" fontId="4" fillId="11" borderId="0" xfId="0" applyFont="1" applyFill="1" applyAlignment="1">
      <alignment horizontal="center"/>
    </xf>
    <xf numFmtId="169" fontId="17" fillId="3" borderId="0" xfId="0" applyNumberFormat="1" applyFont="1" applyFill="1" applyAlignment="1">
      <alignment horizontal="center"/>
    </xf>
    <xf numFmtId="0" fontId="0" fillId="0" borderId="22" xfId="0" applyBorder="1"/>
    <xf numFmtId="0" fontId="0" fillId="0" borderId="23" xfId="0" applyBorder="1"/>
    <xf numFmtId="0" fontId="8" fillId="0" borderId="22" xfId="0" applyFont="1" applyBorder="1"/>
    <xf numFmtId="0" fontId="0" fillId="11" borderId="0" xfId="0" applyFill="1"/>
    <xf numFmtId="0" fontId="0" fillId="0" borderId="24" xfId="0" applyBorder="1"/>
    <xf numFmtId="0" fontId="0" fillId="0" borderId="25" xfId="0" applyBorder="1"/>
    <xf numFmtId="0" fontId="0" fillId="0" borderId="26" xfId="0" applyBorder="1"/>
    <xf numFmtId="0" fontId="0" fillId="0" borderId="2" xfId="0" applyBorder="1"/>
    <xf numFmtId="0" fontId="0" fillId="0" borderId="3" xfId="0" applyBorder="1"/>
    <xf numFmtId="0" fontId="7" fillId="0" borderId="22" xfId="0" applyFont="1" applyBorder="1"/>
    <xf numFmtId="0" fontId="4" fillId="0" borderId="22" xfId="0" applyFont="1" applyBorder="1"/>
    <xf numFmtId="11" fontId="0" fillId="11" borderId="0" xfId="0" applyNumberFormat="1" applyFill="1"/>
    <xf numFmtId="0" fontId="0" fillId="10" borderId="0" xfId="0" applyFill="1"/>
    <xf numFmtId="0" fontId="0" fillId="0" borderId="25" xfId="0" applyBorder="1" applyAlignment="1">
      <alignment horizontal="right"/>
    </xf>
    <xf numFmtId="11" fontId="7" fillId="0" borderId="25" xfId="0" applyNumberFormat="1" applyFont="1" applyBorder="1"/>
    <xf numFmtId="11" fontId="0" fillId="4" borderId="0" xfId="0" applyNumberFormat="1" applyFill="1"/>
    <xf numFmtId="0" fontId="17" fillId="3" borderId="0" xfId="0" applyFont="1" applyFill="1"/>
    <xf numFmtId="0" fontId="18" fillId="8" borderId="0" xfId="0" applyFont="1" applyFill="1"/>
    <xf numFmtId="0" fontId="18" fillId="8" borderId="0" xfId="0" applyFont="1" applyFill="1" applyAlignment="1">
      <alignment horizontal="right"/>
    </xf>
    <xf numFmtId="0" fontId="17" fillId="8" borderId="0" xfId="0" applyFont="1" applyFill="1"/>
    <xf numFmtId="0" fontId="21" fillId="0" borderId="0" xfId="0" applyFont="1"/>
    <xf numFmtId="0" fontId="0" fillId="0" borderId="1" xfId="0" applyBorder="1"/>
    <xf numFmtId="0" fontId="0" fillId="0" borderId="2" xfId="0" applyBorder="1" applyAlignment="1">
      <alignment horizontal="right"/>
    </xf>
    <xf numFmtId="0" fontId="22" fillId="0" borderId="0" xfId="0" applyFont="1"/>
    <xf numFmtId="0" fontId="27" fillId="0" borderId="0" xfId="0" applyFont="1"/>
    <xf numFmtId="0" fontId="27" fillId="4" borderId="0" xfId="0" applyFont="1" applyFill="1"/>
    <xf numFmtId="0" fontId="21" fillId="0" borderId="32" xfId="0" applyFont="1" applyBorder="1"/>
    <xf numFmtId="0" fontId="0" fillId="0" borderId="27" xfId="0" applyBorder="1"/>
    <xf numFmtId="0" fontId="0" fillId="0" borderId="29" xfId="0" applyBorder="1"/>
    <xf numFmtId="0" fontId="8" fillId="0" borderId="33" xfId="0" applyFont="1" applyBorder="1"/>
    <xf numFmtId="0" fontId="0" fillId="0" borderId="30" xfId="0" applyBorder="1"/>
    <xf numFmtId="0" fontId="27" fillId="0" borderId="33" xfId="0" applyFont="1" applyBorder="1"/>
    <xf numFmtId="0" fontId="27" fillId="0" borderId="34" xfId="0" applyFont="1" applyBorder="1"/>
    <xf numFmtId="0" fontId="27" fillId="0" borderId="28" xfId="0" applyFont="1" applyBorder="1"/>
    <xf numFmtId="0" fontId="0" fillId="0" borderId="28" xfId="0" applyBorder="1"/>
    <xf numFmtId="0" fontId="0" fillId="0" borderId="31" xfId="0" applyBorder="1"/>
    <xf numFmtId="0" fontId="19" fillId="8" borderId="0" xfId="0" applyFont="1" applyFill="1"/>
    <xf numFmtId="2" fontId="17" fillId="8" borderId="0" xfId="0" applyNumberFormat="1" applyFont="1" applyFill="1"/>
    <xf numFmtId="165" fontId="17" fillId="8" borderId="0" xfId="0" applyNumberFormat="1" applyFont="1" applyFill="1"/>
    <xf numFmtId="0" fontId="17" fillId="12" borderId="0" xfId="0" applyFont="1" applyFill="1"/>
    <xf numFmtId="0" fontId="3" fillId="0" borderId="0" xfId="0" applyFont="1"/>
    <xf numFmtId="0" fontId="0" fillId="0" borderId="0" xfId="0" applyAlignment="1">
      <alignment horizontal="left"/>
    </xf>
    <xf numFmtId="0" fontId="3" fillId="0" borderId="2" xfId="0" applyFont="1" applyBorder="1"/>
    <xf numFmtId="0" fontId="3" fillId="0" borderId="25" xfId="0" applyFont="1" applyBorder="1"/>
    <xf numFmtId="0" fontId="30" fillId="8" borderId="0" xfId="0" applyFont="1" applyFill="1"/>
    <xf numFmtId="0" fontId="20" fillId="15" borderId="0" xfId="0" applyFont="1" applyFill="1" applyAlignment="1">
      <alignment vertical="center"/>
    </xf>
    <xf numFmtId="0" fontId="0" fillId="14" borderId="0" xfId="0" applyFill="1"/>
    <xf numFmtId="0" fontId="41" fillId="14" borderId="0" xfId="0" applyFont="1" applyFill="1"/>
    <xf numFmtId="0" fontId="4" fillId="8" borderId="0" xfId="0" applyFont="1" applyFill="1" applyAlignment="1">
      <alignment horizontal="right"/>
    </xf>
    <xf numFmtId="0" fontId="3" fillId="8" borderId="0" xfId="0" applyFont="1" applyFill="1" applyAlignment="1">
      <alignment horizontal="right"/>
    </xf>
    <xf numFmtId="0" fontId="3" fillId="8" borderId="22" xfId="0" applyFont="1" applyFill="1" applyBorder="1"/>
    <xf numFmtId="0" fontId="3" fillId="8" borderId="0" xfId="0" applyFont="1" applyFill="1"/>
    <xf numFmtId="0" fontId="44" fillId="8" borderId="0" xfId="0" applyFont="1" applyFill="1"/>
    <xf numFmtId="0" fontId="45" fillId="8" borderId="0" xfId="0" applyFont="1" applyFill="1"/>
    <xf numFmtId="0" fontId="46" fillId="8" borderId="0" xfId="0" applyFont="1" applyFill="1"/>
    <xf numFmtId="0" fontId="4" fillId="8" borderId="0" xfId="0" applyFont="1" applyFill="1"/>
    <xf numFmtId="167" fontId="4" fillId="8" borderId="0" xfId="0" applyNumberFormat="1" applyFont="1" applyFill="1"/>
    <xf numFmtId="0" fontId="4" fillId="8" borderId="22" xfId="0" applyFont="1" applyFill="1" applyBorder="1"/>
    <xf numFmtId="0" fontId="4" fillId="15" borderId="0" xfId="0" applyFont="1" applyFill="1" applyProtection="1">
      <protection locked="0"/>
    </xf>
    <xf numFmtId="1" fontId="43" fillId="8" borderId="0" xfId="0" applyNumberFormat="1" applyFont="1" applyFill="1" applyAlignment="1">
      <alignment horizontal="right"/>
    </xf>
    <xf numFmtId="0" fontId="49" fillId="8" borderId="0" xfId="0" applyFont="1" applyFill="1" applyAlignment="1">
      <alignment horizontal="right"/>
    </xf>
    <xf numFmtId="0" fontId="3" fillId="8" borderId="24" xfId="0" applyFont="1" applyFill="1" applyBorder="1"/>
    <xf numFmtId="0" fontId="3" fillId="8" borderId="25" xfId="0" applyFont="1" applyFill="1" applyBorder="1"/>
    <xf numFmtId="0" fontId="3" fillId="8" borderId="23" xfId="0" applyFont="1" applyFill="1" applyBorder="1"/>
    <xf numFmtId="0" fontId="3" fillId="8" borderId="39" xfId="0" applyFont="1" applyFill="1" applyBorder="1"/>
    <xf numFmtId="0" fontId="3" fillId="8" borderId="40" xfId="0" applyFont="1" applyFill="1" applyBorder="1"/>
    <xf numFmtId="0" fontId="22" fillId="8" borderId="22" xfId="0" applyFont="1" applyFill="1" applyBorder="1" applyAlignment="1">
      <alignment vertical="center"/>
    </xf>
    <xf numFmtId="0" fontId="17" fillId="3" borderId="22" xfId="0" applyFont="1" applyFill="1" applyBorder="1"/>
    <xf numFmtId="0" fontId="4" fillId="8" borderId="39" xfId="0" applyFont="1" applyFill="1" applyBorder="1"/>
    <xf numFmtId="0" fontId="3" fillId="0" borderId="1" xfId="0" applyFont="1" applyBorder="1"/>
    <xf numFmtId="0" fontId="3" fillId="0" borderId="22" xfId="0" applyFont="1" applyBorder="1"/>
    <xf numFmtId="2" fontId="0" fillId="0" borderId="0" xfId="0" applyNumberFormat="1" applyAlignment="1">
      <alignment horizontal="right"/>
    </xf>
    <xf numFmtId="0" fontId="52" fillId="0" borderId="0" xfId="0" applyFont="1"/>
    <xf numFmtId="0" fontId="3" fillId="8" borderId="0" xfId="4" applyFill="1"/>
    <xf numFmtId="0" fontId="11" fillId="8" borderId="0" xfId="4" applyFont="1" applyFill="1" applyAlignment="1">
      <alignment vertical="center"/>
    </xf>
    <xf numFmtId="0" fontId="3" fillId="16" borderId="17" xfId="4" applyFill="1" applyBorder="1" applyAlignment="1">
      <alignment horizontal="center" vertical="center"/>
    </xf>
    <xf numFmtId="0" fontId="3" fillId="8" borderId="0" xfId="4" applyFill="1" applyAlignment="1">
      <alignment vertical="center"/>
    </xf>
    <xf numFmtId="0" fontId="3" fillId="17" borderId="17" xfId="4" applyFill="1" applyBorder="1" applyAlignment="1">
      <alignment horizontal="center" vertical="center"/>
    </xf>
    <xf numFmtId="0" fontId="3" fillId="17" borderId="11" xfId="4" applyFill="1" applyBorder="1" applyAlignment="1">
      <alignment vertical="center" wrapText="1"/>
    </xf>
    <xf numFmtId="170" fontId="3" fillId="17" borderId="11" xfId="4" applyNumberFormat="1" applyFill="1" applyBorder="1" applyAlignment="1">
      <alignment horizontal="center" vertical="center"/>
    </xf>
    <xf numFmtId="0" fontId="3" fillId="17" borderId="11" xfId="4" quotePrefix="1" applyFill="1" applyBorder="1" applyAlignment="1">
      <alignment horizontal="left" vertical="center"/>
    </xf>
    <xf numFmtId="0" fontId="3" fillId="17" borderId="11" xfId="4" applyFill="1" applyBorder="1" applyAlignment="1">
      <alignment horizontal="left" vertical="center"/>
    </xf>
    <xf numFmtId="0" fontId="3" fillId="12" borderId="17" xfId="4" applyFill="1" applyBorder="1" applyAlignment="1">
      <alignment horizontal="center" vertical="center"/>
    </xf>
    <xf numFmtId="0" fontId="3" fillId="12" borderId="11" xfId="4" applyFill="1" applyBorder="1" applyAlignment="1">
      <alignment vertical="center" wrapText="1"/>
    </xf>
    <xf numFmtId="170" fontId="3" fillId="12" borderId="11" xfId="4" applyNumberFormat="1" applyFill="1" applyBorder="1" applyAlignment="1">
      <alignment horizontal="center" vertical="center"/>
    </xf>
    <xf numFmtId="0" fontId="3" fillId="12" borderId="11" xfId="4" quotePrefix="1" applyFill="1" applyBorder="1" applyAlignment="1">
      <alignment horizontal="left" vertical="center"/>
    </xf>
    <xf numFmtId="0" fontId="3" fillId="12" borderId="11" xfId="4" applyFill="1" applyBorder="1" applyAlignment="1">
      <alignment horizontal="left" vertical="center"/>
    </xf>
    <xf numFmtId="0" fontId="3" fillId="16" borderId="11" xfId="4" applyFill="1" applyBorder="1" applyAlignment="1">
      <alignment vertical="center" wrapText="1"/>
    </xf>
    <xf numFmtId="0" fontId="3" fillId="16" borderId="11" xfId="4" quotePrefix="1" applyFill="1" applyBorder="1" applyAlignment="1">
      <alignment horizontal="left" vertical="center"/>
    </xf>
    <xf numFmtId="0" fontId="3" fillId="16" borderId="11" xfId="4" applyFill="1" applyBorder="1" applyAlignment="1">
      <alignment horizontal="left" vertical="center"/>
    </xf>
    <xf numFmtId="171" fontId="3" fillId="16" borderId="11" xfId="4" applyNumberFormat="1" applyFill="1" applyBorder="1" applyAlignment="1">
      <alignment horizontal="center" vertical="center"/>
    </xf>
    <xf numFmtId="0" fontId="3" fillId="12" borderId="0" xfId="4" applyFill="1"/>
    <xf numFmtId="1" fontId="0" fillId="4" borderId="0" xfId="0" applyNumberFormat="1" applyFill="1"/>
    <xf numFmtId="0" fontId="3" fillId="8" borderId="0" xfId="0" applyFont="1" applyFill="1" applyAlignment="1">
      <alignment vertical="center"/>
    </xf>
    <xf numFmtId="0" fontId="3" fillId="8" borderId="22" xfId="0" applyFont="1" applyFill="1" applyBorder="1" applyAlignment="1">
      <alignment vertical="center"/>
    </xf>
    <xf numFmtId="0" fontId="3" fillId="8" borderId="0" xfId="0" applyFont="1" applyFill="1" applyAlignment="1">
      <alignment horizontal="right" vertical="center"/>
    </xf>
    <xf numFmtId="0" fontId="3" fillId="8" borderId="23" xfId="0" applyFont="1" applyFill="1" applyBorder="1" applyAlignment="1">
      <alignment vertical="center"/>
    </xf>
    <xf numFmtId="0" fontId="3" fillId="8" borderId="24" xfId="0" applyFont="1" applyFill="1" applyBorder="1" applyAlignment="1">
      <alignment vertical="center"/>
    </xf>
    <xf numFmtId="0" fontId="3" fillId="8" borderId="25" xfId="0" applyFont="1" applyFill="1" applyBorder="1" applyAlignment="1">
      <alignment vertical="center"/>
    </xf>
    <xf numFmtId="0" fontId="3" fillId="8" borderId="26" xfId="0" applyFont="1" applyFill="1" applyBorder="1" applyAlignment="1">
      <alignment vertical="center"/>
    </xf>
    <xf numFmtId="0" fontId="3" fillId="8" borderId="37" xfId="0" applyFont="1" applyFill="1" applyBorder="1" applyAlignment="1">
      <alignment vertical="center"/>
    </xf>
    <xf numFmtId="0" fontId="3" fillId="8" borderId="2" xfId="0" applyFont="1" applyFill="1" applyBorder="1" applyAlignment="1">
      <alignment vertical="center"/>
    </xf>
    <xf numFmtId="0" fontId="3" fillId="8" borderId="2" xfId="0" applyFont="1" applyFill="1" applyBorder="1" applyAlignment="1">
      <alignment horizontal="right" vertical="center"/>
    </xf>
    <xf numFmtId="0" fontId="49" fillId="8" borderId="2" xfId="0" applyFont="1" applyFill="1" applyBorder="1" applyAlignment="1">
      <alignment horizontal="right" vertical="center"/>
    </xf>
    <xf numFmtId="0" fontId="4" fillId="15" borderId="2" xfId="0" applyFont="1" applyFill="1" applyBorder="1" applyAlignment="1" applyProtection="1">
      <alignment vertical="center"/>
      <protection locked="0"/>
    </xf>
    <xf numFmtId="0" fontId="49" fillId="8" borderId="0" xfId="0" applyFont="1" applyFill="1" applyAlignment="1">
      <alignment horizontal="right" vertical="center"/>
    </xf>
    <xf numFmtId="0" fontId="4" fillId="15" borderId="0" xfId="0" applyFont="1" applyFill="1" applyAlignment="1" applyProtection="1">
      <alignment vertical="center"/>
      <protection locked="0"/>
    </xf>
    <xf numFmtId="0" fontId="4" fillId="8" borderId="23" xfId="0" applyFont="1" applyFill="1" applyBorder="1" applyAlignment="1">
      <alignment vertical="center"/>
    </xf>
    <xf numFmtId="1" fontId="3" fillId="8" borderId="0" xfId="0" applyNumberFormat="1" applyFont="1" applyFill="1" applyAlignment="1">
      <alignment horizontal="right" vertical="center"/>
    </xf>
    <xf numFmtId="0" fontId="49" fillId="12" borderId="0" xfId="0" applyFont="1" applyFill="1" applyAlignment="1">
      <alignment horizontal="right" vertical="center"/>
    </xf>
    <xf numFmtId="0" fontId="4" fillId="8" borderId="0" xfId="0" applyFont="1" applyFill="1" applyAlignment="1">
      <alignment vertical="center"/>
    </xf>
    <xf numFmtId="0" fontId="4" fillId="8" borderId="0" xfId="0" applyFont="1" applyFill="1" applyAlignment="1">
      <alignment horizontal="right" vertical="center"/>
    </xf>
    <xf numFmtId="0" fontId="4" fillId="15" borderId="0" xfId="0" applyFont="1" applyFill="1" applyAlignment="1" applyProtection="1">
      <alignment horizontal="right" vertical="center"/>
      <protection locked="0"/>
    </xf>
    <xf numFmtId="0" fontId="3" fillId="8" borderId="39" xfId="0" applyFont="1" applyFill="1" applyBorder="1" applyAlignment="1">
      <alignment vertical="center"/>
    </xf>
    <xf numFmtId="0" fontId="0" fillId="0" borderId="35" xfId="0" applyBorder="1"/>
    <xf numFmtId="0" fontId="0" fillId="18" borderId="0" xfId="0" applyFill="1"/>
    <xf numFmtId="0" fontId="3" fillId="0" borderId="0" xfId="0" applyFont="1" applyAlignment="1">
      <alignment horizontal="right"/>
    </xf>
    <xf numFmtId="0" fontId="4" fillId="0" borderId="35" xfId="0" applyFont="1" applyBorder="1" applyAlignment="1">
      <alignment horizontal="right"/>
    </xf>
    <xf numFmtId="0" fontId="4" fillId="0" borderId="25" xfId="0" applyFont="1" applyBorder="1" applyAlignment="1">
      <alignment horizontal="right"/>
    </xf>
    <xf numFmtId="0" fontId="4" fillId="0" borderId="0" xfId="0" applyFont="1" applyAlignment="1">
      <alignment horizontal="right"/>
    </xf>
    <xf numFmtId="0" fontId="4" fillId="0" borderId="35" xfId="0" applyFont="1" applyBorder="1"/>
    <xf numFmtId="0" fontId="4" fillId="0" borderId="25" xfId="0" applyFont="1" applyBorder="1"/>
    <xf numFmtId="0" fontId="4" fillId="0" borderId="0" xfId="0" applyFont="1" applyAlignment="1">
      <alignment horizontal="left"/>
    </xf>
    <xf numFmtId="166" fontId="7" fillId="10" borderId="0" xfId="0" applyNumberFormat="1" applyFont="1" applyFill="1"/>
    <xf numFmtId="2" fontId="0" fillId="18" borderId="0" xfId="0" applyNumberFormat="1" applyFill="1"/>
    <xf numFmtId="1" fontId="0" fillId="10" borderId="0" xfId="0" applyNumberFormat="1" applyFill="1"/>
    <xf numFmtId="0" fontId="3" fillId="0" borderId="35" xfId="0" applyFont="1" applyBorder="1"/>
    <xf numFmtId="0" fontId="3" fillId="0" borderId="24" xfId="0" applyFont="1" applyBorder="1"/>
    <xf numFmtId="167" fontId="0" fillId="0" borderId="0" xfId="0" applyNumberFormat="1"/>
    <xf numFmtId="0" fontId="4" fillId="0" borderId="45" xfId="0" applyFont="1" applyBorder="1"/>
    <xf numFmtId="0" fontId="0" fillId="20" borderId="0" xfId="0" applyFill="1"/>
    <xf numFmtId="0" fontId="3" fillId="0" borderId="0" xfId="4"/>
    <xf numFmtId="0" fontId="3" fillId="0" borderId="11" xfId="4" applyBorder="1"/>
    <xf numFmtId="2" fontId="3" fillId="0" borderId="0" xfId="4" applyNumberFormat="1"/>
    <xf numFmtId="166" fontId="0" fillId="0" borderId="0" xfId="0" applyNumberFormat="1"/>
    <xf numFmtId="1" fontId="7" fillId="10" borderId="0" xfId="0" applyNumberFormat="1" applyFont="1" applyFill="1"/>
    <xf numFmtId="0" fontId="3" fillId="0" borderId="49" xfId="0" applyFont="1" applyBorder="1"/>
    <xf numFmtId="166" fontId="3" fillId="0" borderId="50" xfId="0" applyNumberFormat="1" applyFont="1" applyBorder="1"/>
    <xf numFmtId="11" fontId="7" fillId="0" borderId="50" xfId="0" applyNumberFormat="1" applyFont="1" applyBorder="1"/>
    <xf numFmtId="0" fontId="52" fillId="0" borderId="50" xfId="0" applyFont="1" applyBorder="1"/>
    <xf numFmtId="0" fontId="48" fillId="0" borderId="0" xfId="0" applyFont="1"/>
    <xf numFmtId="0" fontId="0" fillId="0" borderId="39" xfId="0" applyBorder="1"/>
    <xf numFmtId="0" fontId="49" fillId="0" borderId="0" xfId="0" applyFont="1"/>
    <xf numFmtId="0" fontId="47" fillId="0" borderId="0" xfId="0" applyFont="1"/>
    <xf numFmtId="165" fontId="7" fillId="10" borderId="0" xfId="0" applyNumberFormat="1" applyFont="1" applyFill="1"/>
    <xf numFmtId="0" fontId="0" fillId="20" borderId="0" xfId="0" applyFill="1" applyAlignment="1">
      <alignment horizontal="right"/>
    </xf>
    <xf numFmtId="166" fontId="27" fillId="18" borderId="0" xfId="0" applyNumberFormat="1" applyFont="1" applyFill="1"/>
    <xf numFmtId="0" fontId="0" fillId="19" borderId="0" xfId="0" applyFill="1" applyAlignment="1">
      <alignment horizontal="right"/>
    </xf>
    <xf numFmtId="2" fontId="0" fillId="18" borderId="0" xfId="0" applyNumberFormat="1" applyFill="1" applyAlignment="1">
      <alignment horizontal="right"/>
    </xf>
    <xf numFmtId="166" fontId="3" fillId="0" borderId="11" xfId="4" applyNumberFormat="1" applyBorder="1"/>
    <xf numFmtId="0" fontId="0" fillId="19" borderId="0" xfId="0" applyFill="1"/>
    <xf numFmtId="2" fontId="3" fillId="0" borderId="0" xfId="0" applyNumberFormat="1" applyFont="1"/>
    <xf numFmtId="0" fontId="3" fillId="20" borderId="0" xfId="0" applyFont="1" applyFill="1"/>
    <xf numFmtId="0" fontId="3" fillId="0" borderId="8" xfId="4" applyBorder="1"/>
    <xf numFmtId="176" fontId="0" fillId="10" borderId="0" xfId="0" applyNumberFormat="1" applyFill="1"/>
    <xf numFmtId="176" fontId="0" fillId="4" borderId="25" xfId="0" applyNumberFormat="1" applyFill="1" applyBorder="1"/>
    <xf numFmtId="1" fontId="3" fillId="0" borderId="0" xfId="4" applyNumberFormat="1"/>
    <xf numFmtId="0" fontId="15" fillId="0" borderId="33" xfId="0" applyFont="1" applyBorder="1"/>
    <xf numFmtId="0" fontId="53" fillId="3" borderId="43" xfId="4" applyFont="1" applyFill="1" applyBorder="1" applyAlignment="1">
      <alignment horizontal="center" vertical="center"/>
    </xf>
    <xf numFmtId="0" fontId="53" fillId="3" borderId="44" xfId="4" applyFont="1" applyFill="1" applyBorder="1" applyAlignment="1">
      <alignment horizontal="center" vertical="center"/>
    </xf>
    <xf numFmtId="11" fontId="48" fillId="0" borderId="0" xfId="0" applyNumberFormat="1" applyFont="1"/>
    <xf numFmtId="0" fontId="58" fillId="0" borderId="0" xfId="0" applyFont="1"/>
    <xf numFmtId="0" fontId="3" fillId="8" borderId="35" xfId="0" applyFont="1" applyFill="1" applyBorder="1" applyAlignment="1">
      <alignment horizontal="right" vertical="center"/>
    </xf>
    <xf numFmtId="0" fontId="3" fillId="8" borderId="39" xfId="0" applyFont="1" applyFill="1" applyBorder="1" applyAlignment="1">
      <alignment horizontal="right"/>
    </xf>
    <xf numFmtId="1" fontId="3" fillId="8" borderId="39" xfId="0" applyNumberFormat="1" applyFont="1" applyFill="1" applyBorder="1"/>
    <xf numFmtId="166" fontId="17" fillId="12" borderId="0" xfId="0" applyNumberFormat="1" applyFont="1" applyFill="1"/>
    <xf numFmtId="0" fontId="3" fillId="12" borderId="0" xfId="0" applyFont="1" applyFill="1" applyAlignment="1">
      <alignment horizontal="right" vertical="center"/>
    </xf>
    <xf numFmtId="165" fontId="17" fillId="12" borderId="0" xfId="0" applyNumberFormat="1" applyFont="1" applyFill="1"/>
    <xf numFmtId="0" fontId="3" fillId="12" borderId="0" xfId="0" applyFont="1" applyFill="1" applyAlignment="1">
      <alignment vertical="center"/>
    </xf>
    <xf numFmtId="0" fontId="4" fillId="12" borderId="0" xfId="0" applyFont="1" applyFill="1" applyAlignment="1">
      <alignment vertical="center"/>
    </xf>
    <xf numFmtId="0" fontId="60" fillId="8" borderId="0" xfId="0" applyFont="1" applyFill="1" applyAlignment="1">
      <alignment horizontal="right" vertical="center"/>
    </xf>
    <xf numFmtId="165" fontId="3" fillId="0" borderId="0" xfId="4" applyNumberFormat="1"/>
    <xf numFmtId="166" fontId="3" fillId="0" borderId="0" xfId="4" applyNumberFormat="1"/>
    <xf numFmtId="164" fontId="3" fillId="0" borderId="0" xfId="4" applyNumberFormat="1"/>
    <xf numFmtId="10" fontId="3" fillId="0" borderId="0" xfId="4" applyNumberFormat="1"/>
    <xf numFmtId="0" fontId="4" fillId="4" borderId="49" xfId="4" applyFont="1" applyFill="1" applyBorder="1"/>
    <xf numFmtId="0" fontId="7" fillId="4" borderId="35" xfId="4" applyFont="1" applyFill="1" applyBorder="1"/>
    <xf numFmtId="165" fontId="3" fillId="4" borderId="52" xfId="4" applyNumberFormat="1" applyFill="1" applyBorder="1"/>
    <xf numFmtId="165" fontId="4" fillId="4" borderId="49" xfId="4" applyNumberFormat="1" applyFont="1" applyFill="1" applyBorder="1"/>
    <xf numFmtId="165" fontId="7" fillId="4" borderId="50" xfId="4" applyNumberFormat="1" applyFont="1" applyFill="1" applyBorder="1"/>
    <xf numFmtId="0" fontId="7" fillId="4" borderId="50" xfId="4" applyFont="1" applyFill="1" applyBorder="1"/>
    <xf numFmtId="165" fontId="15" fillId="4" borderId="52" xfId="4" applyNumberFormat="1" applyFont="1" applyFill="1" applyBorder="1"/>
    <xf numFmtId="166" fontId="4" fillId="4" borderId="50" xfId="4" applyNumberFormat="1" applyFont="1" applyFill="1" applyBorder="1" applyAlignment="1">
      <alignment horizontal="left"/>
    </xf>
    <xf numFmtId="165" fontId="7" fillId="4" borderId="50" xfId="4" applyNumberFormat="1" applyFont="1" applyFill="1" applyBorder="1" applyAlignment="1">
      <alignment horizontal="center"/>
    </xf>
    <xf numFmtId="164" fontId="3" fillId="4" borderId="50" xfId="4" applyNumberFormat="1" applyFill="1" applyBorder="1"/>
    <xf numFmtId="164" fontId="3" fillId="4" borderId="52" xfId="4" applyNumberFormat="1" applyFill="1" applyBorder="1"/>
    <xf numFmtId="165" fontId="4" fillId="4" borderId="41" xfId="4" applyNumberFormat="1" applyFont="1" applyFill="1" applyBorder="1"/>
    <xf numFmtId="165" fontId="3" fillId="4" borderId="42" xfId="4" applyNumberFormat="1" applyFill="1" applyBorder="1"/>
    <xf numFmtId="165" fontId="4" fillId="4" borderId="41" xfId="4" applyNumberFormat="1" applyFont="1" applyFill="1" applyBorder="1" applyAlignment="1">
      <alignment horizontal="left"/>
    </xf>
    <xf numFmtId="165" fontId="4" fillId="4" borderId="42" xfId="4" applyNumberFormat="1" applyFont="1" applyFill="1" applyBorder="1" applyAlignment="1">
      <alignment horizontal="left"/>
    </xf>
    <xf numFmtId="165" fontId="3" fillId="4" borderId="54" xfId="4" applyNumberFormat="1" applyFill="1" applyBorder="1"/>
    <xf numFmtId="0" fontId="16" fillId="3" borderId="4" xfId="4" applyFont="1" applyFill="1" applyBorder="1" applyAlignment="1">
      <alignment vertical="center"/>
    </xf>
    <xf numFmtId="0" fontId="16" fillId="3" borderId="4" xfId="4" applyFont="1" applyFill="1" applyBorder="1"/>
    <xf numFmtId="0" fontId="12" fillId="3" borderId="0" xfId="4" applyFont="1" applyFill="1"/>
    <xf numFmtId="0" fontId="3" fillId="3" borderId="0" xfId="4" applyFill="1"/>
    <xf numFmtId="0" fontId="4" fillId="2" borderId="5" xfId="4" applyFont="1" applyFill="1" applyBorder="1" applyAlignment="1">
      <alignment horizontal="center" vertical="center" wrapText="1"/>
    </xf>
    <xf numFmtId="0" fontId="4" fillId="2" borderId="6" xfId="4" applyFont="1" applyFill="1" applyBorder="1" applyAlignment="1">
      <alignment horizontal="center" vertical="center" wrapText="1"/>
    </xf>
    <xf numFmtId="165" fontId="4" fillId="2" borderId="7" xfId="4" applyNumberFormat="1" applyFont="1" applyFill="1" applyBorder="1" applyAlignment="1">
      <alignment horizontal="center" vertical="center" wrapText="1"/>
    </xf>
    <xf numFmtId="165" fontId="4" fillId="2" borderId="6" xfId="4" applyNumberFormat="1" applyFont="1" applyFill="1" applyBorder="1" applyAlignment="1">
      <alignment horizontal="center" vertical="center" wrapText="1"/>
    </xf>
    <xf numFmtId="1" fontId="4" fillId="2" borderId="55" xfId="4" applyNumberFormat="1" applyFont="1" applyFill="1" applyBorder="1" applyAlignment="1">
      <alignment horizontal="center" vertical="center" wrapText="1"/>
    </xf>
    <xf numFmtId="1" fontId="4" fillId="2" borderId="6" xfId="4" applyNumberFormat="1" applyFont="1" applyFill="1" applyBorder="1" applyAlignment="1">
      <alignment horizontal="center" vertical="center" wrapText="1"/>
    </xf>
    <xf numFmtId="165" fontId="4" fillId="2" borderId="5" xfId="4" applyNumberFormat="1" applyFont="1" applyFill="1" applyBorder="1" applyAlignment="1">
      <alignment horizontal="center" vertical="center" wrapText="1"/>
    </xf>
    <xf numFmtId="166" fontId="4" fillId="2" borderId="20" xfId="4" applyNumberFormat="1" applyFont="1" applyFill="1" applyBorder="1" applyAlignment="1">
      <alignment horizontal="center" vertical="center" wrapText="1"/>
    </xf>
    <xf numFmtId="164" fontId="4" fillId="2" borderId="6" xfId="4" applyNumberFormat="1" applyFont="1" applyFill="1" applyBorder="1" applyAlignment="1">
      <alignment horizontal="center" vertical="center" wrapText="1"/>
    </xf>
    <xf numFmtId="164" fontId="4" fillId="2" borderId="7" xfId="4" applyNumberFormat="1" applyFont="1" applyFill="1" applyBorder="1" applyAlignment="1">
      <alignment horizontal="center" vertical="center" wrapText="1"/>
    </xf>
    <xf numFmtId="165" fontId="4" fillId="2" borderId="19" xfId="4" applyNumberFormat="1" applyFont="1" applyFill="1" applyBorder="1" applyAlignment="1">
      <alignment horizontal="center" vertical="center" wrapText="1"/>
    </xf>
    <xf numFmtId="165" fontId="4" fillId="2" borderId="21" xfId="4" applyNumberFormat="1" applyFont="1" applyFill="1" applyBorder="1" applyAlignment="1">
      <alignment horizontal="center" vertical="center" wrapText="1"/>
    </xf>
    <xf numFmtId="165" fontId="4" fillId="2" borderId="56" xfId="4" applyNumberFormat="1" applyFont="1" applyFill="1" applyBorder="1" applyAlignment="1">
      <alignment horizontal="center" vertical="center" wrapText="1"/>
    </xf>
    <xf numFmtId="165" fontId="4" fillId="2" borderId="57" xfId="4" applyNumberFormat="1" applyFont="1" applyFill="1" applyBorder="1" applyAlignment="1">
      <alignment horizontal="center" vertical="center" wrapText="1"/>
    </xf>
    <xf numFmtId="165" fontId="4" fillId="2" borderId="58" xfId="4" applyNumberFormat="1" applyFont="1" applyFill="1" applyBorder="1" applyAlignment="1">
      <alignment horizontal="center" vertical="center" wrapText="1"/>
    </xf>
    <xf numFmtId="2" fontId="4" fillId="7" borderId="14" xfId="4" applyNumberFormat="1" applyFont="1" applyFill="1" applyBorder="1" applyAlignment="1">
      <alignment horizontal="center" vertical="center" wrapText="1"/>
    </xf>
    <xf numFmtId="0" fontId="4" fillId="2" borderId="53" xfId="4" applyFont="1" applyFill="1" applyBorder="1" applyAlignment="1">
      <alignment horizontal="center" vertical="center" wrapText="1"/>
    </xf>
    <xf numFmtId="1" fontId="4" fillId="2" borderId="0" xfId="4" quotePrefix="1" applyNumberFormat="1" applyFont="1" applyFill="1" applyAlignment="1">
      <alignment horizontal="center" vertical="center" wrapText="1"/>
    </xf>
    <xf numFmtId="0" fontId="3" fillId="0" borderId="0" xfId="4" quotePrefix="1"/>
    <xf numFmtId="0" fontId="4" fillId="2" borderId="0" xfId="4" applyFont="1" applyFill="1" applyAlignment="1">
      <alignment horizontal="center" vertical="center" wrapText="1"/>
    </xf>
    <xf numFmtId="0" fontId="4" fillId="5" borderId="8" xfId="4" applyFont="1" applyFill="1" applyBorder="1"/>
    <xf numFmtId="0" fontId="4" fillId="5" borderId="9" xfId="4" applyFont="1" applyFill="1" applyBorder="1"/>
    <xf numFmtId="0" fontId="4" fillId="5" borderId="10" xfId="4" applyFont="1" applyFill="1" applyBorder="1"/>
    <xf numFmtId="0" fontId="4" fillId="5" borderId="11" xfId="4" applyFont="1" applyFill="1" applyBorder="1"/>
    <xf numFmtId="0" fontId="4" fillId="0" borderId="0" xfId="4" applyFont="1"/>
    <xf numFmtId="168" fontId="3" fillId="0" borderId="0" xfId="4" applyNumberFormat="1"/>
    <xf numFmtId="11" fontId="3" fillId="0" borderId="0" xfId="4" applyNumberFormat="1"/>
    <xf numFmtId="2" fontId="3" fillId="0" borderId="11" xfId="4" applyNumberFormat="1" applyBorder="1"/>
    <xf numFmtId="1" fontId="3" fillId="0" borderId="0" xfId="4" applyNumberFormat="1" applyProtection="1">
      <protection locked="0"/>
    </xf>
    <xf numFmtId="10" fontId="3" fillId="0" borderId="0" xfId="4" applyNumberFormat="1" applyProtection="1">
      <protection locked="0"/>
    </xf>
    <xf numFmtId="0" fontId="4" fillId="6" borderId="12" xfId="4" applyFont="1" applyFill="1" applyBorder="1"/>
    <xf numFmtId="0" fontId="3" fillId="2" borderId="11" xfId="4" applyFill="1" applyBorder="1" applyProtection="1">
      <protection locked="0"/>
    </xf>
    <xf numFmtId="0" fontId="4" fillId="6" borderId="11" xfId="4" applyFont="1" applyFill="1" applyBorder="1"/>
    <xf numFmtId="0" fontId="52" fillId="0" borderId="11" xfId="4" applyFont="1" applyBorder="1"/>
    <xf numFmtId="0" fontId="3" fillId="4" borderId="11" xfId="4" applyFill="1" applyBorder="1"/>
    <xf numFmtId="0" fontId="3" fillId="4" borderId="11" xfId="4" applyFill="1" applyBorder="1" applyProtection="1">
      <protection locked="0"/>
    </xf>
    <xf numFmtId="0" fontId="14" fillId="3" borderId="0" xfId="4" applyFont="1" applyFill="1"/>
    <xf numFmtId="0" fontId="4" fillId="5" borderId="15" xfId="4" applyFont="1" applyFill="1" applyBorder="1"/>
    <xf numFmtId="166" fontId="15" fillId="22" borderId="11" xfId="4" applyNumberFormat="1" applyFont="1" applyFill="1" applyBorder="1"/>
    <xf numFmtId="0" fontId="3" fillId="0" borderId="15" xfId="4" applyBorder="1"/>
    <xf numFmtId="11" fontId="3" fillId="0" borderId="8" xfId="4" applyNumberFormat="1" applyBorder="1"/>
    <xf numFmtId="11" fontId="3" fillId="0" borderId="11" xfId="4" applyNumberFormat="1" applyBorder="1"/>
    <xf numFmtId="1" fontId="15" fillId="22" borderId="11" xfId="4" applyNumberFormat="1" applyFont="1" applyFill="1" applyBorder="1"/>
    <xf numFmtId="1" fontId="61" fillId="22" borderId="11" xfId="4" applyNumberFormat="1" applyFont="1" applyFill="1" applyBorder="1"/>
    <xf numFmtId="1" fontId="3" fillId="0" borderId="8" xfId="4" applyNumberFormat="1" applyBorder="1"/>
    <xf numFmtId="0" fontId="3" fillId="23" borderId="11" xfId="4" applyFill="1" applyBorder="1"/>
    <xf numFmtId="1" fontId="15" fillId="22" borderId="11" xfId="4" applyNumberFormat="1" applyFont="1" applyFill="1" applyBorder="1" applyProtection="1">
      <protection locked="0"/>
    </xf>
    <xf numFmtId="175" fontId="3" fillId="0" borderId="11" xfId="4" applyNumberFormat="1" applyBorder="1"/>
    <xf numFmtId="0" fontId="4" fillId="6" borderId="8" xfId="4" applyFont="1" applyFill="1" applyBorder="1"/>
    <xf numFmtId="0" fontId="4" fillId="0" borderId="0" xfId="4" applyFont="1" applyAlignment="1">
      <alignment horizontal="right"/>
    </xf>
    <xf numFmtId="0" fontId="3" fillId="6" borderId="8" xfId="4" applyFill="1" applyBorder="1"/>
    <xf numFmtId="0" fontId="3" fillId="0" borderId="47" xfId="4" applyBorder="1"/>
    <xf numFmtId="0" fontId="52" fillId="0" borderId="15" xfId="4" applyFont="1" applyBorder="1"/>
    <xf numFmtId="176" fontId="3" fillId="0" borderId="47" xfId="4" applyNumberFormat="1" applyBorder="1"/>
    <xf numFmtId="0" fontId="4" fillId="0" borderId="11" xfId="4" applyFont="1" applyBorder="1"/>
    <xf numFmtId="0" fontId="4" fillId="6" borderId="48" xfId="4" applyFont="1" applyFill="1" applyBorder="1"/>
    <xf numFmtId="0" fontId="3" fillId="0" borderId="16" xfId="4" applyBorder="1"/>
    <xf numFmtId="11" fontId="3" fillId="0" borderId="48" xfId="4" applyNumberFormat="1" applyBorder="1"/>
    <xf numFmtId="0" fontId="3" fillId="0" borderId="12" xfId="4" applyBorder="1"/>
    <xf numFmtId="0" fontId="4" fillId="5" borderId="0" xfId="4" applyFont="1" applyFill="1"/>
    <xf numFmtId="0" fontId="4" fillId="5" borderId="14" xfId="4" applyFont="1" applyFill="1" applyBorder="1"/>
    <xf numFmtId="0" fontId="3" fillId="0" borderId="11" xfId="4" applyBorder="1" applyProtection="1">
      <protection locked="0"/>
    </xf>
    <xf numFmtId="0" fontId="3" fillId="6" borderId="9" xfId="4" applyFill="1" applyBorder="1"/>
    <xf numFmtId="0" fontId="3" fillId="0" borderId="47" xfId="4" applyBorder="1" applyProtection="1">
      <protection locked="0"/>
    </xf>
    <xf numFmtId="0" fontId="4" fillId="5" borderId="4" xfId="4" applyFont="1" applyFill="1" applyBorder="1"/>
    <xf numFmtId="0" fontId="4" fillId="5" borderId="12" xfId="4" applyFont="1" applyFill="1" applyBorder="1"/>
    <xf numFmtId="0" fontId="3" fillId="6" borderId="11" xfId="4" applyFill="1" applyBorder="1"/>
    <xf numFmtId="0" fontId="3" fillId="0" borderId="51" xfId="4" applyBorder="1" applyProtection="1">
      <protection locked="0"/>
    </xf>
    <xf numFmtId="0" fontId="3" fillId="21" borderId="51" xfId="4" applyFill="1" applyBorder="1" applyProtection="1">
      <protection locked="0"/>
    </xf>
    <xf numFmtId="176" fontId="3" fillId="0" borderId="11" xfId="4" applyNumberFormat="1" applyBorder="1"/>
    <xf numFmtId="0" fontId="4" fillId="5" borderId="0" xfId="4" applyFont="1" applyFill="1" applyProtection="1">
      <protection locked="0"/>
    </xf>
    <xf numFmtId="0" fontId="4" fillId="5" borderId="13" xfId="4" applyFont="1" applyFill="1" applyBorder="1"/>
    <xf numFmtId="167" fontId="57" fillId="0" borderId="0" xfId="4" applyNumberFormat="1" applyFont="1"/>
    <xf numFmtId="0" fontId="57" fillId="0" borderId="0" xfId="4" applyFont="1"/>
    <xf numFmtId="0" fontId="47" fillId="0" borderId="0" xfId="4" applyFont="1"/>
    <xf numFmtId="2" fontId="4" fillId="0" borderId="0" xfId="4" applyNumberFormat="1" applyFont="1"/>
    <xf numFmtId="165" fontId="47" fillId="0" borderId="0" xfId="4" applyNumberFormat="1" applyFont="1"/>
    <xf numFmtId="1" fontId="4" fillId="0" borderId="0" xfId="4" applyNumberFormat="1" applyFont="1"/>
    <xf numFmtId="165" fontId="4" fillId="0" borderId="0" xfId="4" applyNumberFormat="1" applyFont="1"/>
    <xf numFmtId="2" fontId="7" fillId="4" borderId="50" xfId="4" applyNumberFormat="1" applyFont="1" applyFill="1" applyBorder="1"/>
    <xf numFmtId="2" fontId="4" fillId="2" borderId="53" xfId="4" applyNumberFormat="1" applyFont="1" applyFill="1" applyBorder="1" applyAlignment="1">
      <alignment horizontal="center" vertical="center" wrapText="1"/>
    </xf>
    <xf numFmtId="2" fontId="7" fillId="4" borderId="52" xfId="4" applyNumberFormat="1" applyFont="1" applyFill="1" applyBorder="1"/>
    <xf numFmtId="2" fontId="4" fillId="2" borderId="18" xfId="4" applyNumberFormat="1" applyFont="1" applyFill="1" applyBorder="1" applyAlignment="1">
      <alignment horizontal="center" vertical="center" wrapText="1"/>
    </xf>
    <xf numFmtId="166" fontId="7" fillId="4" borderId="50" xfId="4" applyNumberFormat="1" applyFont="1" applyFill="1" applyBorder="1"/>
    <xf numFmtId="166" fontId="4" fillId="2" borderId="42" xfId="4" applyNumberFormat="1" applyFont="1" applyFill="1" applyBorder="1" applyAlignment="1">
      <alignment horizontal="center" vertical="center" wrapText="1"/>
    </xf>
    <xf numFmtId="178" fontId="3" fillId="0" borderId="0" xfId="4" applyNumberFormat="1"/>
    <xf numFmtId="178" fontId="7" fillId="4" borderId="50" xfId="4" applyNumberFormat="1" applyFont="1" applyFill="1" applyBorder="1"/>
    <xf numFmtId="178" fontId="4" fillId="2" borderId="6" xfId="4" applyNumberFormat="1" applyFont="1" applyFill="1" applyBorder="1" applyAlignment="1">
      <alignment horizontal="center" vertical="center" wrapText="1"/>
    </xf>
    <xf numFmtId="178" fontId="4" fillId="2" borderId="19" xfId="4" applyNumberFormat="1" applyFont="1" applyFill="1" applyBorder="1" applyAlignment="1">
      <alignment horizontal="center" vertical="center" wrapText="1"/>
    </xf>
    <xf numFmtId="178" fontId="4" fillId="2" borderId="41" xfId="4" applyNumberFormat="1" applyFont="1" applyFill="1" applyBorder="1" applyAlignment="1">
      <alignment horizontal="center" vertical="center" wrapText="1"/>
    </xf>
    <xf numFmtId="178" fontId="4" fillId="2" borderId="53" xfId="4" applyNumberFormat="1" applyFont="1" applyFill="1" applyBorder="1" applyAlignment="1">
      <alignment horizontal="center" vertical="center" wrapText="1"/>
    </xf>
    <xf numFmtId="178" fontId="4" fillId="2" borderId="42" xfId="4" applyNumberFormat="1" applyFont="1" applyFill="1" applyBorder="1" applyAlignment="1">
      <alignment horizontal="center" vertical="center" wrapText="1"/>
    </xf>
    <xf numFmtId="178" fontId="4" fillId="0" borderId="0" xfId="4" applyNumberFormat="1" applyFont="1"/>
    <xf numFmtId="2" fontId="4" fillId="2" borderId="58" xfId="4" applyNumberFormat="1" applyFont="1" applyFill="1" applyBorder="1" applyAlignment="1">
      <alignment horizontal="center" vertical="center" wrapText="1"/>
    </xf>
    <xf numFmtId="2" fontId="4" fillId="2" borderId="21" xfId="4" applyNumberFormat="1" applyFont="1" applyFill="1" applyBorder="1" applyAlignment="1">
      <alignment horizontal="center" vertical="center" wrapText="1"/>
    </xf>
    <xf numFmtId="0" fontId="4" fillId="8" borderId="0" xfId="0" applyFont="1" applyFill="1" applyAlignment="1">
      <alignment vertical="top"/>
    </xf>
    <xf numFmtId="167" fontId="3" fillId="2" borderId="11" xfId="4" applyNumberFormat="1" applyFill="1" applyBorder="1" applyProtection="1">
      <protection locked="0"/>
    </xf>
    <xf numFmtId="1" fontId="3" fillId="0" borderId="47" xfId="4" applyNumberFormat="1" applyBorder="1"/>
    <xf numFmtId="0" fontId="0" fillId="12" borderId="0" xfId="0" applyFill="1"/>
    <xf numFmtId="0" fontId="63" fillId="0" borderId="0" xfId="0" applyFont="1"/>
    <xf numFmtId="0" fontId="61" fillId="0" borderId="0" xfId="1" applyFont="1" applyFill="1"/>
    <xf numFmtId="1" fontId="15" fillId="4" borderId="0" xfId="0" applyNumberFormat="1" applyFont="1" applyFill="1" applyAlignment="1">
      <alignment horizontal="right"/>
    </xf>
    <xf numFmtId="1" fontId="48" fillId="8" borderId="0" xfId="0" applyNumberFormat="1" applyFont="1" applyFill="1" applyAlignment="1">
      <alignment horizontal="right"/>
    </xf>
    <xf numFmtId="1" fontId="0" fillId="0" borderId="0" xfId="0" applyNumberFormat="1"/>
    <xf numFmtId="0" fontId="3" fillId="8" borderId="25" xfId="0" applyFont="1" applyFill="1" applyBorder="1" applyAlignment="1">
      <alignment horizontal="right"/>
    </xf>
    <xf numFmtId="0" fontId="47" fillId="0" borderId="0" xfId="0" applyFont="1" applyAlignment="1">
      <alignment horizontal="left"/>
    </xf>
    <xf numFmtId="0" fontId="47" fillId="0" borderId="0" xfId="0" applyFont="1" applyAlignment="1">
      <alignment horizontal="right"/>
    </xf>
    <xf numFmtId="0" fontId="0" fillId="0" borderId="22" xfId="0" applyBorder="1" applyAlignment="1">
      <alignment horizontal="right"/>
    </xf>
    <xf numFmtId="0" fontId="47" fillId="0" borderId="0" xfId="4" applyFont="1" applyAlignment="1">
      <alignment horizontal="left"/>
    </xf>
    <xf numFmtId="0" fontId="47" fillId="0" borderId="0" xfId="0" applyFont="1" applyAlignment="1">
      <alignment horizontal="center"/>
    </xf>
    <xf numFmtId="0" fontId="21" fillId="0" borderId="49" xfId="0" applyFont="1" applyBorder="1"/>
    <xf numFmtId="0" fontId="0" fillId="0" borderId="50" xfId="0" applyBorder="1"/>
    <xf numFmtId="0" fontId="4" fillId="0" borderId="50" xfId="0" applyFont="1" applyBorder="1"/>
    <xf numFmtId="0" fontId="4" fillId="0" borderId="22" xfId="4" applyFont="1" applyBorder="1" applyAlignment="1">
      <alignment horizontal="right"/>
    </xf>
    <xf numFmtId="0" fontId="3" fillId="0" borderId="22" xfId="4" applyBorder="1" applyAlignment="1">
      <alignment horizontal="right"/>
    </xf>
    <xf numFmtId="0" fontId="3" fillId="12" borderId="49" xfId="0" applyFont="1" applyFill="1" applyBorder="1"/>
    <xf numFmtId="0" fontId="3" fillId="0" borderId="0" xfId="0" applyFont="1" applyAlignment="1">
      <alignment horizontal="left"/>
    </xf>
    <xf numFmtId="0" fontId="3" fillId="12" borderId="0" xfId="0" applyFont="1" applyFill="1"/>
    <xf numFmtId="1" fontId="3" fillId="8" borderId="25" xfId="0" applyNumberFormat="1" applyFont="1" applyFill="1" applyBorder="1" applyAlignment="1">
      <alignment horizontal="right" vertical="center"/>
    </xf>
    <xf numFmtId="0" fontId="3" fillId="8" borderId="59" xfId="0" applyFont="1" applyFill="1" applyBorder="1" applyAlignment="1">
      <alignment vertical="center"/>
    </xf>
    <xf numFmtId="0" fontId="3" fillId="8" borderId="60" xfId="0" applyFont="1" applyFill="1" applyBorder="1" applyAlignment="1">
      <alignment vertical="center"/>
    </xf>
    <xf numFmtId="0" fontId="3" fillId="8" borderId="60" xfId="0" applyFont="1" applyFill="1" applyBorder="1" applyAlignment="1">
      <alignment horizontal="right" vertical="center"/>
    </xf>
    <xf numFmtId="0" fontId="4" fillId="8" borderId="60" xfId="0" applyFont="1" applyFill="1" applyBorder="1" applyAlignment="1">
      <alignment horizontal="right" vertical="center"/>
    </xf>
    <xf numFmtId="0" fontId="3" fillId="8" borderId="61" xfId="0" applyFont="1" applyFill="1" applyBorder="1" applyAlignment="1">
      <alignment vertical="center"/>
    </xf>
    <xf numFmtId="0" fontId="65" fillId="0" borderId="22" xfId="0" applyFont="1" applyBorder="1"/>
    <xf numFmtId="0" fontId="3" fillId="15" borderId="0" xfId="0" applyFont="1" applyFill="1"/>
    <xf numFmtId="0" fontId="24" fillId="24" borderId="22" xfId="0" applyFont="1" applyFill="1" applyBorder="1" applyAlignment="1">
      <alignment horizontal="left"/>
    </xf>
    <xf numFmtId="0" fontId="24" fillId="24" borderId="0" xfId="0" applyFont="1" applyFill="1" applyAlignment="1">
      <alignment horizontal="left"/>
    </xf>
    <xf numFmtId="0" fontId="23" fillId="24" borderId="22" xfId="0" applyFont="1" applyFill="1" applyBorder="1" applyAlignment="1">
      <alignment horizontal="left" vertical="center"/>
    </xf>
    <xf numFmtId="0" fontId="23" fillId="24" borderId="0" xfId="0" applyFont="1" applyFill="1" applyAlignment="1">
      <alignment horizontal="left" vertical="center"/>
    </xf>
    <xf numFmtId="0" fontId="51" fillId="24" borderId="0" xfId="0" applyFont="1" applyFill="1" applyAlignment="1">
      <alignment horizontal="left" vertical="center"/>
    </xf>
    <xf numFmtId="0" fontId="20" fillId="24" borderId="0" xfId="0" applyFont="1" applyFill="1" applyAlignment="1">
      <alignment vertical="center"/>
    </xf>
    <xf numFmtId="0" fontId="23" fillId="24" borderId="0" xfId="0" quotePrefix="1" applyFont="1" applyFill="1" applyAlignment="1">
      <alignment vertical="center"/>
    </xf>
    <xf numFmtId="0" fontId="26" fillId="24" borderId="0" xfId="0" applyFont="1" applyFill="1" applyAlignment="1">
      <alignment vertical="center"/>
    </xf>
    <xf numFmtId="0" fontId="26" fillId="24" borderId="0" xfId="0" applyFont="1" applyFill="1"/>
    <xf numFmtId="0" fontId="17" fillId="24" borderId="0" xfId="0" applyFont="1" applyFill="1"/>
    <xf numFmtId="0" fontId="28" fillId="24" borderId="24" xfId="0" applyFont="1" applyFill="1" applyBorder="1"/>
    <xf numFmtId="0" fontId="28" fillId="24" borderId="25" xfId="0" applyFont="1" applyFill="1" applyBorder="1"/>
    <xf numFmtId="0" fontId="20" fillId="24" borderId="25" xfId="0" applyFont="1" applyFill="1" applyBorder="1"/>
    <xf numFmtId="0" fontId="25" fillId="24" borderId="25" xfId="0" applyFont="1" applyFill="1" applyBorder="1"/>
    <xf numFmtId="0" fontId="66" fillId="24" borderId="0" xfId="3" applyFont="1" applyFill="1" applyAlignment="1" applyProtection="1"/>
    <xf numFmtId="0" fontId="66" fillId="24" borderId="0" xfId="3" applyFont="1" applyFill="1" applyBorder="1" applyAlignment="1" applyProtection="1">
      <alignment horizontal="left" vertical="center"/>
    </xf>
    <xf numFmtId="169" fontId="17" fillId="24" borderId="0" xfId="0" applyNumberFormat="1" applyFont="1" applyFill="1" applyAlignment="1">
      <alignment horizontal="center"/>
    </xf>
    <xf numFmtId="0" fontId="20" fillId="24" borderId="37" xfId="0" applyFont="1" applyFill="1" applyBorder="1"/>
    <xf numFmtId="0" fontId="20" fillId="24" borderId="35" xfId="0" applyFont="1" applyFill="1" applyBorder="1"/>
    <xf numFmtId="0" fontId="17" fillId="24" borderId="35" xfId="0" applyFont="1" applyFill="1" applyBorder="1"/>
    <xf numFmtId="0" fontId="4" fillId="5" borderId="48" xfId="4" applyFont="1" applyFill="1" applyBorder="1"/>
    <xf numFmtId="166" fontId="0" fillId="10" borderId="2" xfId="0" applyNumberFormat="1" applyFill="1" applyBorder="1"/>
    <xf numFmtId="166" fontId="0" fillId="18" borderId="0" xfId="0" applyNumberFormat="1" applyFill="1"/>
    <xf numFmtId="166" fontId="27" fillId="10" borderId="0" xfId="0" applyNumberFormat="1" applyFont="1" applyFill="1"/>
    <xf numFmtId="0" fontId="3" fillId="8" borderId="62" xfId="0" applyFont="1" applyFill="1" applyBorder="1"/>
    <xf numFmtId="0" fontId="3" fillId="8" borderId="63" xfId="0" applyFont="1" applyFill="1" applyBorder="1"/>
    <xf numFmtId="0" fontId="3" fillId="8" borderId="63" xfId="0" applyFont="1" applyFill="1" applyBorder="1" applyAlignment="1">
      <alignment horizontal="right"/>
    </xf>
    <xf numFmtId="0" fontId="17" fillId="12" borderId="22" xfId="0" applyFont="1" applyFill="1" applyBorder="1"/>
    <xf numFmtId="166" fontId="27" fillId="0" borderId="0" xfId="0" applyNumberFormat="1" applyFont="1"/>
    <xf numFmtId="0" fontId="49" fillId="12" borderId="61" xfId="0" applyFont="1" applyFill="1" applyBorder="1" applyAlignment="1">
      <alignment vertical="center"/>
    </xf>
    <xf numFmtId="0" fontId="4" fillId="12" borderId="23" xfId="0" applyFont="1" applyFill="1" applyBorder="1" applyAlignment="1">
      <alignment vertical="center"/>
    </xf>
    <xf numFmtId="1" fontId="3" fillId="0" borderId="64" xfId="0" applyNumberFormat="1" applyFont="1" applyBorder="1" applyAlignment="1">
      <alignment vertical="center"/>
    </xf>
    <xf numFmtId="0" fontId="4" fillId="12" borderId="23" xfId="0" applyFont="1" applyFill="1" applyBorder="1"/>
    <xf numFmtId="0" fontId="3" fillId="12" borderId="26" xfId="0" applyFont="1" applyFill="1" applyBorder="1"/>
    <xf numFmtId="0" fontId="4" fillId="8" borderId="39" xfId="0" applyFont="1" applyFill="1" applyBorder="1" applyAlignment="1">
      <alignment horizontal="right" vertical="center"/>
    </xf>
    <xf numFmtId="0" fontId="4" fillId="15" borderId="39" xfId="0" applyFont="1" applyFill="1" applyBorder="1" applyAlignment="1" applyProtection="1">
      <alignment horizontal="right" vertical="center"/>
      <protection locked="0"/>
    </xf>
    <xf numFmtId="0" fontId="4" fillId="8" borderId="26" xfId="0" applyFont="1" applyFill="1" applyBorder="1" applyAlignment="1">
      <alignment vertical="center"/>
    </xf>
    <xf numFmtId="1" fontId="3" fillId="8" borderId="0" xfId="0" applyNumberFormat="1" applyFont="1" applyFill="1"/>
    <xf numFmtId="0" fontId="0" fillId="0" borderId="63" xfId="0" applyBorder="1"/>
    <xf numFmtId="0" fontId="4" fillId="0" borderId="0" xfId="4" applyFont="1" applyAlignment="1">
      <alignment horizontal="left"/>
    </xf>
    <xf numFmtId="0" fontId="47" fillId="0" borderId="0" xfId="4" applyFont="1" applyAlignment="1">
      <alignment horizontal="center"/>
    </xf>
    <xf numFmtId="0" fontId="68" fillId="0" borderId="0" xfId="4" applyFont="1" applyAlignment="1">
      <alignment horizontal="right"/>
    </xf>
    <xf numFmtId="0" fontId="68" fillId="0" borderId="22" xfId="4" applyFont="1" applyBorder="1" applyAlignment="1">
      <alignment horizontal="right"/>
    </xf>
    <xf numFmtId="0" fontId="68" fillId="0" borderId="0" xfId="0" applyFont="1" applyAlignment="1">
      <alignment horizontal="right"/>
    </xf>
    <xf numFmtId="0" fontId="65" fillId="0" borderId="0" xfId="0" applyFont="1"/>
    <xf numFmtId="165" fontId="7" fillId="4" borderId="63" xfId="4" applyNumberFormat="1" applyFont="1" applyFill="1" applyBorder="1"/>
    <xf numFmtId="167" fontId="3" fillId="0" borderId="0" xfId="4" applyNumberFormat="1"/>
    <xf numFmtId="0" fontId="4" fillId="2" borderId="20" xfId="4" applyFont="1" applyFill="1" applyBorder="1" applyAlignment="1">
      <alignment horizontal="center" vertical="center" wrapText="1"/>
    </xf>
    <xf numFmtId="2" fontId="4" fillId="2" borderId="56" xfId="4" applyNumberFormat="1" applyFont="1" applyFill="1" applyBorder="1" applyAlignment="1">
      <alignment horizontal="center" vertical="center" wrapText="1"/>
    </xf>
    <xf numFmtId="2" fontId="4" fillId="2" borderId="57" xfId="4" applyNumberFormat="1" applyFont="1" applyFill="1" applyBorder="1" applyAlignment="1">
      <alignment horizontal="center" vertical="center" wrapText="1"/>
    </xf>
    <xf numFmtId="2" fontId="7" fillId="4" borderId="41" xfId="4" applyNumberFormat="1" applyFont="1" applyFill="1" applyBorder="1"/>
    <xf numFmtId="2" fontId="7" fillId="4" borderId="67" xfId="4" applyNumberFormat="1" applyFont="1" applyFill="1" applyBorder="1"/>
    <xf numFmtId="2" fontId="7" fillId="4" borderId="18" xfId="4" applyNumberFormat="1" applyFont="1" applyFill="1" applyBorder="1"/>
    <xf numFmtId="165" fontId="3" fillId="4" borderId="67" xfId="4" applyNumberFormat="1" applyFill="1" applyBorder="1"/>
    <xf numFmtId="0" fontId="3" fillId="8" borderId="62" xfId="0" applyFont="1" applyFill="1" applyBorder="1" applyAlignment="1">
      <alignment vertical="center"/>
    </xf>
    <xf numFmtId="0" fontId="22" fillId="8" borderId="24" xfId="0" applyFont="1" applyFill="1" applyBorder="1" applyAlignment="1">
      <alignment vertical="center"/>
    </xf>
    <xf numFmtId="181" fontId="3" fillId="17" borderId="11" xfId="4" applyNumberFormat="1" applyFill="1" applyBorder="1" applyAlignment="1">
      <alignment horizontal="center" vertical="center"/>
    </xf>
    <xf numFmtId="164" fontId="3" fillId="0" borderId="0" xfId="7" applyNumberFormat="1" applyFont="1"/>
    <xf numFmtId="0" fontId="3" fillId="0" borderId="0" xfId="0" quotePrefix="1" applyFont="1"/>
    <xf numFmtId="0" fontId="4" fillId="8" borderId="11" xfId="4" applyFont="1" applyFill="1" applyBorder="1" applyAlignment="1">
      <alignment horizontal="center" vertical="center"/>
    </xf>
    <xf numFmtId="0" fontId="3" fillId="8" borderId="0" xfId="4" applyFill="1" applyAlignment="1">
      <alignment horizontal="left"/>
    </xf>
    <xf numFmtId="49" fontId="3" fillId="8" borderId="0" xfId="4" applyNumberFormat="1" applyFill="1" applyAlignment="1">
      <alignment horizontal="left"/>
    </xf>
    <xf numFmtId="0" fontId="3" fillId="8" borderId="0" xfId="4" applyFill="1" applyAlignment="1">
      <alignment horizontal="left" vertical="center"/>
    </xf>
    <xf numFmtId="0" fontId="4" fillId="8" borderId="11" xfId="4" applyFont="1" applyFill="1" applyBorder="1" applyAlignment="1">
      <alignment vertical="center"/>
    </xf>
    <xf numFmtId="0" fontId="4" fillId="8" borderId="11" xfId="4" applyFont="1" applyFill="1" applyBorder="1" applyAlignment="1">
      <alignment vertical="center" wrapText="1"/>
    </xf>
    <xf numFmtId="0" fontId="4" fillId="8" borderId="8" xfId="4" applyFont="1" applyFill="1" applyBorder="1" applyAlignment="1">
      <alignment vertical="center"/>
    </xf>
    <xf numFmtId="0" fontId="4" fillId="8" borderId="9" xfId="4" applyFont="1" applyFill="1" applyBorder="1" applyAlignment="1">
      <alignment vertical="center"/>
    </xf>
    <xf numFmtId="0" fontId="4" fillId="8" borderId="15" xfId="4" applyFont="1" applyFill="1" applyBorder="1" applyAlignment="1">
      <alignment vertical="center"/>
    </xf>
    <xf numFmtId="0" fontId="3" fillId="12" borderId="0" xfId="4" applyFill="1" applyAlignment="1">
      <alignment horizontal="left"/>
    </xf>
    <xf numFmtId="49" fontId="3" fillId="12" borderId="0" xfId="4" applyNumberFormat="1" applyFill="1" applyAlignment="1">
      <alignment horizontal="left"/>
    </xf>
    <xf numFmtId="167" fontId="3" fillId="8" borderId="0" xfId="4" applyNumberFormat="1" applyFill="1" applyAlignment="1">
      <alignment horizontal="left"/>
    </xf>
    <xf numFmtId="0" fontId="4" fillId="8" borderId="0" xfId="4" applyFont="1" applyFill="1" applyAlignment="1">
      <alignment vertical="center"/>
    </xf>
    <xf numFmtId="167" fontId="3" fillId="8" borderId="0" xfId="4" applyNumberFormat="1" applyFill="1" applyAlignment="1">
      <alignment horizontal="right" vertical="center"/>
    </xf>
    <xf numFmtId="0" fontId="3" fillId="16" borderId="8" xfId="4" applyFill="1" applyBorder="1" applyAlignment="1">
      <alignment horizontal="left" vertical="center"/>
    </xf>
    <xf numFmtId="0" fontId="3" fillId="17" borderId="8" xfId="4" applyFill="1" applyBorder="1" applyAlignment="1">
      <alignment horizontal="left" vertical="center"/>
    </xf>
    <xf numFmtId="0" fontId="3" fillId="12" borderId="8" xfId="4" applyFill="1" applyBorder="1" applyAlignment="1">
      <alignment horizontal="left" vertical="center"/>
    </xf>
    <xf numFmtId="0" fontId="73" fillId="8" borderId="0" xfId="4" applyFont="1" applyFill="1"/>
    <xf numFmtId="167" fontId="73" fillId="8" borderId="0" xfId="4" applyNumberFormat="1" applyFont="1" applyFill="1" applyAlignment="1">
      <alignment horizontal="right"/>
    </xf>
    <xf numFmtId="0" fontId="73" fillId="8" borderId="0" xfId="4" applyFont="1" applyFill="1" applyAlignment="1">
      <alignment horizontal="left" vertical="center"/>
    </xf>
    <xf numFmtId="165" fontId="73" fillId="8" borderId="0" xfId="4" applyNumberFormat="1" applyFont="1" applyFill="1"/>
    <xf numFmtId="167" fontId="3" fillId="17" borderId="11" xfId="4" applyNumberFormat="1" applyFill="1" applyBorder="1" applyAlignment="1">
      <alignment horizontal="center" vertical="center"/>
    </xf>
    <xf numFmtId="167" fontId="3" fillId="8" borderId="11" xfId="4" applyNumberFormat="1" applyFill="1" applyBorder="1" applyAlignment="1">
      <alignment horizontal="center" vertical="center"/>
    </xf>
    <xf numFmtId="0" fontId="3" fillId="17" borderId="70" xfId="4" applyFill="1" applyBorder="1" applyAlignment="1">
      <alignment horizontal="center" vertical="center"/>
    </xf>
    <xf numFmtId="0" fontId="3" fillId="8" borderId="70" xfId="4" applyFill="1" applyBorder="1" applyAlignment="1">
      <alignment horizontal="center" vertical="center"/>
    </xf>
    <xf numFmtId="0" fontId="47" fillId="8" borderId="11" xfId="4" applyFont="1" applyFill="1" applyBorder="1" applyAlignment="1">
      <alignment horizontal="center" vertical="center"/>
    </xf>
    <xf numFmtId="0" fontId="58" fillId="8" borderId="0" xfId="4" applyFont="1" applyFill="1" applyAlignment="1">
      <alignment horizontal="left" vertical="center"/>
    </xf>
    <xf numFmtId="0" fontId="53" fillId="3" borderId="69" xfId="4" applyFont="1" applyFill="1" applyBorder="1" applyAlignment="1">
      <alignment horizontal="center" vertical="center"/>
    </xf>
    <xf numFmtId="49" fontId="71" fillId="14" borderId="68" xfId="4" applyNumberFormat="1" applyFont="1" applyFill="1" applyBorder="1" applyAlignment="1">
      <alignment horizontal="center" vertical="center"/>
    </xf>
    <xf numFmtId="0" fontId="71" fillId="14" borderId="47" xfId="4" applyFont="1" applyFill="1" applyBorder="1" applyAlignment="1">
      <alignment horizontal="center" vertical="center"/>
    </xf>
    <xf numFmtId="167" fontId="74" fillId="0" borderId="0" xfId="4" applyNumberFormat="1" applyFont="1" applyAlignment="1">
      <alignment horizontal="right" vertical="center"/>
    </xf>
    <xf numFmtId="165" fontId="74" fillId="8" borderId="0" xfId="4" applyNumberFormat="1" applyFont="1" applyFill="1" applyAlignment="1">
      <alignment vertical="center"/>
    </xf>
    <xf numFmtId="0" fontId="54" fillId="12" borderId="0" xfId="0" applyFont="1" applyFill="1"/>
    <xf numFmtId="0" fontId="58" fillId="8" borderId="0" xfId="4" applyFont="1" applyFill="1"/>
    <xf numFmtId="0" fontId="74" fillId="8" borderId="0" xfId="4" applyFont="1" applyFill="1" applyAlignment="1">
      <alignment horizontal="left"/>
    </xf>
    <xf numFmtId="0" fontId="47" fillId="0" borderId="22" xfId="0" applyFont="1" applyBorder="1"/>
    <xf numFmtId="0" fontId="17" fillId="12" borderId="35" xfId="0" applyFont="1" applyFill="1" applyBorder="1"/>
    <xf numFmtId="0" fontId="17" fillId="12" borderId="39" xfId="0" applyFont="1" applyFill="1" applyBorder="1"/>
    <xf numFmtId="0" fontId="17" fillId="8" borderId="39" xfId="0" applyFont="1" applyFill="1" applyBorder="1"/>
    <xf numFmtId="0" fontId="17" fillId="12" borderId="36" xfId="0" applyFont="1" applyFill="1" applyBorder="1"/>
    <xf numFmtId="0" fontId="17" fillId="12" borderId="23" xfId="0" applyFont="1" applyFill="1" applyBorder="1"/>
    <xf numFmtId="0" fontId="3" fillId="8" borderId="39" xfId="0" applyFont="1" applyFill="1" applyBorder="1" applyAlignment="1">
      <alignment horizontal="right" vertical="center"/>
    </xf>
    <xf numFmtId="0" fontId="3" fillId="8" borderId="35" xfId="0" applyFont="1" applyFill="1" applyBorder="1" applyAlignment="1">
      <alignment vertical="center"/>
    </xf>
    <xf numFmtId="0" fontId="3" fillId="8" borderId="35" xfId="0" applyFont="1" applyFill="1" applyBorder="1" applyAlignment="1">
      <alignment horizontal="right"/>
    </xf>
    <xf numFmtId="0" fontId="3" fillId="8" borderId="35" xfId="0" applyFont="1" applyFill="1" applyBorder="1"/>
    <xf numFmtId="0" fontId="49" fillId="8" borderId="39" xfId="0" applyFont="1" applyFill="1" applyBorder="1" applyAlignment="1">
      <alignment horizontal="right" vertical="center"/>
    </xf>
    <xf numFmtId="0" fontId="4" fillId="15" borderId="39" xfId="0" applyFont="1" applyFill="1" applyBorder="1" applyAlignment="1" applyProtection="1">
      <alignment vertical="center"/>
      <protection locked="0"/>
    </xf>
    <xf numFmtId="0" fontId="4" fillId="12" borderId="26" xfId="0" applyFont="1" applyFill="1" applyBorder="1" applyAlignment="1">
      <alignment vertical="center"/>
    </xf>
    <xf numFmtId="1" fontId="48" fillId="8" borderId="25" xfId="0" applyNumberFormat="1" applyFont="1" applyFill="1" applyBorder="1" applyAlignment="1">
      <alignment horizontal="right"/>
    </xf>
    <xf numFmtId="0" fontId="3" fillId="8" borderId="36" xfId="0" applyFont="1" applyFill="1" applyBorder="1" applyAlignment="1">
      <alignment vertical="center"/>
    </xf>
    <xf numFmtId="0" fontId="59" fillId="13" borderId="35" xfId="0" applyFont="1" applyFill="1" applyBorder="1" applyAlignment="1">
      <alignment vertical="center"/>
    </xf>
    <xf numFmtId="0" fontId="17" fillId="13" borderId="35" xfId="0" applyFont="1" applyFill="1" applyBorder="1"/>
    <xf numFmtId="0" fontId="76" fillId="13" borderId="62" xfId="0" applyFont="1" applyFill="1" applyBorder="1" applyAlignment="1">
      <alignment vertical="center"/>
    </xf>
    <xf numFmtId="0" fontId="23" fillId="24" borderId="0" xfId="0" applyFont="1" applyFill="1" applyAlignment="1">
      <alignment horizontal="right" vertical="center"/>
    </xf>
    <xf numFmtId="20" fontId="0" fillId="0" borderId="0" xfId="0" applyNumberFormat="1"/>
    <xf numFmtId="183" fontId="0" fillId="0" borderId="0" xfId="0" applyNumberFormat="1" applyAlignment="1">
      <alignment horizontal="right"/>
    </xf>
    <xf numFmtId="183" fontId="0" fillId="19" borderId="0" xfId="0" applyNumberFormat="1" applyFill="1" applyAlignment="1">
      <alignment horizontal="right"/>
    </xf>
    <xf numFmtId="0" fontId="0" fillId="0" borderId="22" xfId="0" applyBorder="1" applyAlignment="1">
      <alignment horizontal="left"/>
    </xf>
    <xf numFmtId="1" fontId="3" fillId="8" borderId="39" xfId="0" applyNumberFormat="1" applyFont="1" applyFill="1" applyBorder="1" applyAlignment="1">
      <alignment horizontal="right" vertical="center"/>
    </xf>
    <xf numFmtId="0" fontId="3" fillId="8" borderId="40" xfId="0" applyFont="1" applyFill="1" applyBorder="1" applyAlignment="1">
      <alignment vertical="center"/>
    </xf>
    <xf numFmtId="165" fontId="3" fillId="4" borderId="35" xfId="4" applyNumberFormat="1" applyFill="1" applyBorder="1"/>
    <xf numFmtId="165" fontId="3" fillId="27" borderId="0" xfId="4" applyNumberFormat="1" applyFill="1" applyAlignment="1">
      <alignment horizontal="center" vertical="center" wrapText="1"/>
    </xf>
    <xf numFmtId="9" fontId="3" fillId="0" borderId="47" xfId="4" applyNumberFormat="1" applyBorder="1" applyProtection="1">
      <protection locked="0"/>
    </xf>
    <xf numFmtId="165" fontId="4" fillId="26" borderId="0" xfId="4" applyNumberFormat="1" applyFont="1" applyFill="1" applyAlignment="1">
      <alignment horizontal="center" vertical="center" wrapText="1"/>
    </xf>
    <xf numFmtId="165" fontId="0" fillId="0" borderId="0" xfId="0" applyNumberFormat="1"/>
    <xf numFmtId="2" fontId="3" fillId="0" borderId="0" xfId="7" applyNumberFormat="1" applyFont="1"/>
    <xf numFmtId="2" fontId="4" fillId="0" borderId="0" xfId="0" applyNumberFormat="1" applyFont="1"/>
    <xf numFmtId="167" fontId="4" fillId="0" borderId="0" xfId="4" applyNumberFormat="1" applyFont="1"/>
    <xf numFmtId="166" fontId="4" fillId="0" borderId="0" xfId="4" applyNumberFormat="1" applyFont="1"/>
    <xf numFmtId="0" fontId="4" fillId="4" borderId="0" xfId="4" applyFont="1" applyFill="1" applyAlignment="1">
      <alignment horizontal="left"/>
    </xf>
    <xf numFmtId="166" fontId="3" fillId="0" borderId="0" xfId="0" applyNumberFormat="1" applyFont="1"/>
    <xf numFmtId="166" fontId="4" fillId="0" borderId="0" xfId="0" applyNumberFormat="1" applyFont="1"/>
    <xf numFmtId="0" fontId="4" fillId="4" borderId="35" xfId="4" applyFont="1" applyFill="1" applyBorder="1"/>
    <xf numFmtId="167" fontId="3" fillId="0" borderId="0" xfId="7" applyNumberFormat="1" applyFont="1"/>
    <xf numFmtId="1" fontId="4" fillId="17" borderId="6" xfId="4" applyNumberFormat="1" applyFont="1" applyFill="1" applyBorder="1" applyAlignment="1">
      <alignment horizontal="center" vertical="center" wrapText="1"/>
    </xf>
    <xf numFmtId="1" fontId="4" fillId="25" borderId="55" xfId="4" applyNumberFormat="1" applyFont="1" applyFill="1" applyBorder="1" applyAlignment="1">
      <alignment horizontal="center" vertical="center" wrapText="1"/>
    </xf>
    <xf numFmtId="1" fontId="4" fillId="0" borderId="55" xfId="4" applyNumberFormat="1" applyFont="1" applyBorder="1" applyAlignment="1">
      <alignment horizontal="center" vertical="center" wrapText="1"/>
    </xf>
    <xf numFmtId="1" fontId="4" fillId="17" borderId="55" xfId="4" applyNumberFormat="1" applyFont="1" applyFill="1" applyBorder="1" applyAlignment="1">
      <alignment horizontal="center" vertical="center" wrapText="1"/>
    </xf>
    <xf numFmtId="1" fontId="4" fillId="28" borderId="55" xfId="4" applyNumberFormat="1" applyFont="1" applyFill="1" applyBorder="1" applyAlignment="1">
      <alignment horizontal="center" vertical="center" wrapText="1"/>
    </xf>
    <xf numFmtId="1" fontId="4" fillId="12" borderId="55" xfId="4" applyNumberFormat="1" applyFont="1" applyFill="1" applyBorder="1" applyAlignment="1">
      <alignment horizontal="center" vertical="center" wrapText="1"/>
    </xf>
    <xf numFmtId="1" fontId="3" fillId="20" borderId="0" xfId="0" applyNumberFormat="1" applyFont="1" applyFill="1"/>
    <xf numFmtId="167" fontId="15" fillId="18" borderId="0" xfId="0" applyNumberFormat="1" applyFont="1" applyFill="1" applyAlignment="1">
      <alignment horizontal="right"/>
    </xf>
    <xf numFmtId="176" fontId="27" fillId="0" borderId="0" xfId="0" applyNumberFormat="1" applyFont="1"/>
    <xf numFmtId="0" fontId="3" fillId="0" borderId="33" xfId="0" applyFont="1" applyBorder="1"/>
    <xf numFmtId="167" fontId="27" fillId="4" borderId="0" xfId="0" applyNumberFormat="1" applyFont="1" applyFill="1"/>
    <xf numFmtId="165" fontId="27" fillId="0" borderId="0" xfId="0" applyNumberFormat="1" applyFont="1"/>
    <xf numFmtId="166" fontId="3" fillId="5" borderId="0" xfId="0" applyNumberFormat="1" applyFont="1" applyFill="1"/>
    <xf numFmtId="1" fontId="4" fillId="2" borderId="73" xfId="4" applyNumberFormat="1" applyFont="1" applyFill="1" applyBorder="1" applyAlignment="1">
      <alignment horizontal="center" vertical="center" wrapText="1"/>
    </xf>
    <xf numFmtId="0" fontId="4" fillId="4" borderId="22" xfId="4" applyFont="1" applyFill="1" applyBorder="1" applyAlignment="1">
      <alignment horizontal="left"/>
    </xf>
    <xf numFmtId="0" fontId="4" fillId="4" borderId="74" xfId="4" applyFont="1" applyFill="1" applyBorder="1" applyAlignment="1">
      <alignment horizontal="left"/>
    </xf>
    <xf numFmtId="0" fontId="3" fillId="12" borderId="39" xfId="0" applyFont="1" applyFill="1" applyBorder="1"/>
    <xf numFmtId="0" fontId="77" fillId="0" borderId="0" xfId="0" applyFont="1" applyAlignment="1">
      <alignment horizontal="right"/>
    </xf>
    <xf numFmtId="1" fontId="3" fillId="0" borderId="0" xfId="0" applyNumberFormat="1" applyFont="1"/>
    <xf numFmtId="167" fontId="3" fillId="0" borderId="0" xfId="0" applyNumberFormat="1" applyFont="1"/>
    <xf numFmtId="1" fontId="49" fillId="15" borderId="0" xfId="0" applyNumberFormat="1" applyFont="1" applyFill="1" applyAlignment="1" applyProtection="1">
      <alignment horizontal="right" vertical="center"/>
      <protection locked="0"/>
    </xf>
    <xf numFmtId="0" fontId="17" fillId="12" borderId="62" xfId="0" applyFont="1" applyFill="1" applyBorder="1"/>
    <xf numFmtId="0" fontId="4" fillId="12" borderId="35" xfId="0" applyFont="1" applyFill="1" applyBorder="1" applyAlignment="1">
      <alignment horizontal="right"/>
    </xf>
    <xf numFmtId="0" fontId="4" fillId="12" borderId="64" xfId="0" applyFont="1" applyFill="1" applyBorder="1"/>
    <xf numFmtId="0" fontId="78" fillId="0" borderId="0" xfId="0" applyFont="1" applyAlignment="1">
      <alignment vertical="center" wrapText="1"/>
    </xf>
    <xf numFmtId="0" fontId="3" fillId="0" borderId="0" xfId="0" applyFont="1" applyAlignment="1">
      <alignment horizontal="right" vertical="center"/>
    </xf>
    <xf numFmtId="0" fontId="4" fillId="15" borderId="35" xfId="0" applyFont="1" applyFill="1" applyBorder="1" applyProtection="1">
      <protection locked="0"/>
    </xf>
    <xf numFmtId="0" fontId="0" fillId="23" borderId="0" xfId="0" applyFill="1"/>
    <xf numFmtId="0" fontId="4" fillId="8" borderId="35" xfId="0" applyFont="1" applyFill="1" applyBorder="1"/>
    <xf numFmtId="49" fontId="3" fillId="0" borderId="0" xfId="0" applyNumberFormat="1" applyFont="1" applyAlignment="1">
      <alignment horizontal="left"/>
    </xf>
    <xf numFmtId="167" fontId="48" fillId="12" borderId="35" xfId="0" applyNumberFormat="1" applyFont="1" applyFill="1" applyBorder="1" applyAlignment="1">
      <alignment vertical="center"/>
    </xf>
    <xf numFmtId="165" fontId="3" fillId="0" borderId="0" xfId="0" applyNumberFormat="1" applyFont="1"/>
    <xf numFmtId="1" fontId="4" fillId="12" borderId="0" xfId="0" applyNumberFormat="1" applyFont="1" applyFill="1" applyAlignment="1">
      <alignment vertical="center"/>
    </xf>
    <xf numFmtId="1" fontId="65" fillId="0" borderId="0" xfId="0" applyNumberFormat="1" applyFont="1" applyAlignment="1">
      <alignment horizontal="right" vertical="center"/>
    </xf>
    <xf numFmtId="167" fontId="4" fillId="15" borderId="0" xfId="0" applyNumberFormat="1" applyFont="1" applyFill="1" applyAlignment="1" applyProtection="1">
      <alignment horizontal="right" vertical="center"/>
      <protection locked="0"/>
    </xf>
    <xf numFmtId="0" fontId="22" fillId="8" borderId="67" xfId="0" applyFont="1" applyFill="1" applyBorder="1" applyAlignment="1">
      <alignment vertical="center"/>
    </xf>
    <xf numFmtId="0" fontId="17" fillId="8" borderId="35" xfId="0" applyFont="1" applyFill="1" applyBorder="1"/>
    <xf numFmtId="0" fontId="44" fillId="8" borderId="75" xfId="0" applyFont="1" applyFill="1" applyBorder="1"/>
    <xf numFmtId="0" fontId="44" fillId="8" borderId="76" xfId="0" applyFont="1" applyFill="1" applyBorder="1"/>
    <xf numFmtId="0" fontId="44" fillId="8" borderId="77" xfId="0" applyFont="1" applyFill="1" applyBorder="1"/>
    <xf numFmtId="2" fontId="3" fillId="18" borderId="0" xfId="0" applyNumberFormat="1" applyFont="1" applyFill="1"/>
    <xf numFmtId="2" fontId="4" fillId="0" borderId="0" xfId="0" applyNumberFormat="1" applyFont="1" applyAlignment="1">
      <alignment horizontal="right"/>
    </xf>
    <xf numFmtId="1" fontId="3" fillId="4" borderId="0" xfId="0" applyNumberFormat="1" applyFont="1" applyFill="1"/>
    <xf numFmtId="2" fontId="7" fillId="0" borderId="2" xfId="0" applyNumberFormat="1" applyFont="1" applyBorder="1"/>
    <xf numFmtId="166" fontId="4" fillId="0" borderId="2" xfId="0" applyNumberFormat="1" applyFont="1" applyBorder="1"/>
    <xf numFmtId="0" fontId="27" fillId="18" borderId="0" xfId="0" applyFont="1" applyFill="1" applyAlignment="1">
      <alignment horizontal="right"/>
    </xf>
    <xf numFmtId="179" fontId="3" fillId="16" borderId="8" xfId="4" applyNumberFormat="1" applyFill="1" applyBorder="1" applyAlignment="1">
      <alignment horizontal="left" vertical="center"/>
    </xf>
    <xf numFmtId="179" fontId="3" fillId="16" borderId="9" xfId="4" applyNumberFormat="1" applyFill="1" applyBorder="1" applyAlignment="1">
      <alignment horizontal="left" vertical="center"/>
    </xf>
    <xf numFmtId="0" fontId="3" fillId="8" borderId="0" xfId="0" applyFont="1" applyFill="1" applyAlignment="1">
      <alignment horizontal="right" vertical="top"/>
    </xf>
    <xf numFmtId="0" fontId="4" fillId="2" borderId="19" xfId="4" applyFont="1" applyFill="1" applyBorder="1" applyAlignment="1">
      <alignment horizontal="center" vertical="center" wrapText="1"/>
    </xf>
    <xf numFmtId="165" fontId="4" fillId="26" borderId="19" xfId="4" applyNumberFormat="1" applyFont="1" applyFill="1" applyBorder="1" applyAlignment="1">
      <alignment horizontal="center" vertical="center" wrapText="1"/>
    </xf>
    <xf numFmtId="165" fontId="4" fillId="26" borderId="20" xfId="4" applyNumberFormat="1" applyFont="1" applyFill="1" applyBorder="1" applyAlignment="1">
      <alignment horizontal="center" vertical="center" wrapText="1"/>
    </xf>
    <xf numFmtId="165" fontId="4" fillId="26" borderId="73" xfId="4" applyNumberFormat="1" applyFont="1" applyFill="1" applyBorder="1" applyAlignment="1">
      <alignment horizontal="center" vertical="center" wrapText="1"/>
    </xf>
    <xf numFmtId="165" fontId="4" fillId="26" borderId="39" xfId="4" applyNumberFormat="1" applyFont="1" applyFill="1" applyBorder="1" applyAlignment="1">
      <alignment horizontal="center" vertical="center" wrapText="1"/>
    </xf>
    <xf numFmtId="1" fontId="4" fillId="15" borderId="55" xfId="4" applyNumberFormat="1" applyFont="1" applyFill="1" applyBorder="1" applyAlignment="1">
      <alignment horizontal="center" vertical="center" wrapText="1"/>
    </xf>
    <xf numFmtId="1" fontId="4" fillId="15" borderId="6" xfId="4" applyNumberFormat="1" applyFont="1" applyFill="1" applyBorder="1" applyAlignment="1">
      <alignment horizontal="center" vertical="center" wrapText="1"/>
    </xf>
    <xf numFmtId="167" fontId="3" fillId="8" borderId="35" xfId="0" applyNumberFormat="1" applyFont="1" applyFill="1" applyBorder="1" applyAlignment="1">
      <alignment horizontal="right" vertical="center"/>
    </xf>
    <xf numFmtId="2" fontId="47" fillId="0" borderId="0" xfId="0" applyNumberFormat="1" applyFont="1" applyAlignment="1">
      <alignment horizontal="left"/>
    </xf>
    <xf numFmtId="2" fontId="47" fillId="0" borderId="0" xfId="0" applyNumberFormat="1" applyFont="1" applyAlignment="1">
      <alignment horizontal="right"/>
    </xf>
    <xf numFmtId="166" fontId="4" fillId="0" borderId="0" xfId="0" applyNumberFormat="1" applyFont="1" applyAlignment="1">
      <alignment horizontal="right"/>
    </xf>
    <xf numFmtId="166" fontId="0" fillId="0" borderId="0" xfId="0" applyNumberFormat="1" applyAlignment="1">
      <alignment horizontal="right"/>
    </xf>
    <xf numFmtId="0" fontId="3" fillId="23" borderId="0" xfId="0" applyFont="1" applyFill="1"/>
    <xf numFmtId="9" fontId="0" fillId="19" borderId="0" xfId="0" applyNumberFormat="1" applyFill="1"/>
    <xf numFmtId="172" fontId="3" fillId="12" borderId="11" xfId="4" applyNumberFormat="1" applyFill="1" applyBorder="1" applyAlignment="1">
      <alignment horizontal="center" vertical="center"/>
    </xf>
    <xf numFmtId="0" fontId="3" fillId="12" borderId="70" xfId="4" applyFill="1" applyBorder="1" applyAlignment="1">
      <alignment horizontal="center" vertical="center"/>
    </xf>
    <xf numFmtId="167" fontId="3" fillId="12" borderId="11" xfId="4" applyNumberFormat="1" applyFill="1" applyBorder="1" applyAlignment="1">
      <alignment horizontal="center" vertical="center"/>
    </xf>
    <xf numFmtId="0" fontId="58" fillId="12" borderId="0" xfId="4" applyFont="1" applyFill="1" applyAlignment="1">
      <alignment horizontal="left" vertical="center"/>
    </xf>
    <xf numFmtId="0" fontId="3" fillId="12" borderId="0" xfId="4" applyFill="1" applyAlignment="1">
      <alignment vertical="center"/>
    </xf>
    <xf numFmtId="180" fontId="3" fillId="12" borderId="8" xfId="4" applyNumberFormat="1" applyFill="1" applyBorder="1" applyAlignment="1">
      <alignment horizontal="left" vertical="center"/>
    </xf>
    <xf numFmtId="180" fontId="3" fillId="12" borderId="9" xfId="4" applyNumberFormat="1" applyFill="1" applyBorder="1" applyAlignment="1">
      <alignment horizontal="left" vertical="center"/>
    </xf>
    <xf numFmtId="0" fontId="3" fillId="17" borderId="11" xfId="4" applyFill="1" applyBorder="1" applyAlignment="1">
      <alignment horizontal="center" vertical="center"/>
    </xf>
    <xf numFmtId="1" fontId="3" fillId="12" borderId="11" xfId="4" applyNumberFormat="1" applyFill="1" applyBorder="1" applyAlignment="1">
      <alignment horizontal="center" vertical="center"/>
    </xf>
    <xf numFmtId="0" fontId="4" fillId="12" borderId="0" xfId="0" applyFont="1" applyFill="1" applyAlignment="1">
      <alignment horizontal="right"/>
    </xf>
    <xf numFmtId="166" fontId="47" fillId="0" borderId="0" xfId="0" applyNumberFormat="1" applyFont="1" applyAlignment="1">
      <alignment horizontal="left"/>
    </xf>
    <xf numFmtId="167" fontId="3" fillId="8" borderId="63" xfId="0" applyNumberFormat="1" applyFont="1" applyFill="1" applyBorder="1" applyAlignment="1">
      <alignment horizontal="right" vertical="center"/>
    </xf>
    <xf numFmtId="0" fontId="3" fillId="12" borderId="64" xfId="0" applyFont="1" applyFill="1" applyBorder="1" applyAlignment="1">
      <alignment vertical="center"/>
    </xf>
    <xf numFmtId="164" fontId="0" fillId="0" borderId="0" xfId="0" applyNumberFormat="1"/>
    <xf numFmtId="0" fontId="3" fillId="12" borderId="23" xfId="0" applyFont="1" applyFill="1" applyBorder="1"/>
    <xf numFmtId="168" fontId="7" fillId="0" borderId="0" xfId="0" applyNumberFormat="1" applyFont="1"/>
    <xf numFmtId="0" fontId="3" fillId="0" borderId="11" xfId="0" applyFont="1" applyBorder="1"/>
    <xf numFmtId="0" fontId="0" fillId="0" borderId="11" xfId="0" applyBorder="1"/>
    <xf numFmtId="0" fontId="79" fillId="0" borderId="22" xfId="0" applyFont="1" applyBorder="1"/>
    <xf numFmtId="0" fontId="3" fillId="21" borderId="0" xfId="4" applyFill="1"/>
    <xf numFmtId="0" fontId="4" fillId="0" borderId="65" xfId="4" applyFont="1" applyBorder="1" applyAlignment="1">
      <alignment horizontal="center"/>
    </xf>
    <xf numFmtId="0" fontId="4" fillId="0" borderId="66" xfId="4" applyFont="1" applyBorder="1" applyAlignment="1">
      <alignment horizontal="center"/>
    </xf>
    <xf numFmtId="0" fontId="3" fillId="0" borderId="17" xfId="4" applyBorder="1" applyAlignment="1">
      <alignment horizontal="left"/>
    </xf>
    <xf numFmtId="0" fontId="3" fillId="0" borderId="79" xfId="4" applyBorder="1"/>
    <xf numFmtId="0" fontId="3" fillId="0" borderId="17" xfId="4" applyBorder="1"/>
    <xf numFmtId="0" fontId="3" fillId="0" borderId="8" xfId="4" applyBorder="1" applyAlignment="1">
      <alignment horizontal="left"/>
    </xf>
    <xf numFmtId="1" fontId="3" fillId="0" borderId="11" xfId="4" applyNumberFormat="1" applyBorder="1"/>
    <xf numFmtId="167" fontId="3" fillId="0" borderId="8" xfId="4" applyNumberFormat="1" applyBorder="1"/>
    <xf numFmtId="0" fontId="3" fillId="2" borderId="0" xfId="4" applyFill="1"/>
    <xf numFmtId="0" fontId="3" fillId="0" borderId="21" xfId="4" applyBorder="1" applyAlignment="1">
      <alignment horizontal="left"/>
    </xf>
    <xf numFmtId="1" fontId="3" fillId="0" borderId="39" xfId="4" applyNumberFormat="1" applyBorder="1"/>
    <xf numFmtId="0" fontId="3" fillId="0" borderId="40" xfId="4" applyBorder="1"/>
    <xf numFmtId="0" fontId="3" fillId="0" borderId="39" xfId="4" applyBorder="1"/>
    <xf numFmtId="166" fontId="3" fillId="0" borderId="39" xfId="4" applyNumberFormat="1" applyBorder="1"/>
    <xf numFmtId="166" fontId="3" fillId="0" borderId="38" xfId="4" applyNumberFormat="1" applyBorder="1"/>
    <xf numFmtId="0" fontId="3" fillId="0" borderId="0" xfId="4" applyAlignment="1">
      <alignment horizontal="left"/>
    </xf>
    <xf numFmtId="2" fontId="3" fillId="0" borderId="79" xfId="4" applyNumberFormat="1" applyBorder="1"/>
    <xf numFmtId="0" fontId="3" fillId="4" borderId="73" xfId="4" applyFill="1" applyBorder="1" applyAlignment="1">
      <alignment vertical="center"/>
    </xf>
    <xf numFmtId="0" fontId="7" fillId="0" borderId="5" xfId="4" applyFont="1" applyBorder="1" applyAlignment="1">
      <alignment horizontal="center"/>
    </xf>
    <xf numFmtId="0" fontId="7" fillId="0" borderId="6" xfId="4" applyFont="1" applyBorder="1" applyAlignment="1">
      <alignment horizontal="center"/>
    </xf>
    <xf numFmtId="0" fontId="7" fillId="0" borderId="7" xfId="4" applyFont="1" applyBorder="1" applyAlignment="1">
      <alignment horizontal="center"/>
    </xf>
    <xf numFmtId="2" fontId="7" fillId="0" borderId="7" xfId="4" applyNumberFormat="1" applyFont="1" applyBorder="1" applyAlignment="1">
      <alignment horizontal="center"/>
    </xf>
    <xf numFmtId="0" fontId="7" fillId="0" borderId="0" xfId="4" applyFont="1" applyAlignment="1">
      <alignment horizontal="center"/>
    </xf>
    <xf numFmtId="0" fontId="7" fillId="0" borderId="17" xfId="4" applyFont="1" applyBorder="1"/>
    <xf numFmtId="0" fontId="7" fillId="0" borderId="79" xfId="4" applyFont="1" applyBorder="1"/>
    <xf numFmtId="0" fontId="3" fillId="0" borderId="82" xfId="4" applyBorder="1" applyAlignment="1">
      <alignment horizontal="center"/>
    </xf>
    <xf numFmtId="0" fontId="3" fillId="0" borderId="74" xfId="4" applyBorder="1" applyAlignment="1">
      <alignment horizontal="center"/>
    </xf>
    <xf numFmtId="165" fontId="3" fillId="0" borderId="84" xfId="4" applyNumberFormat="1" applyBorder="1" applyAlignment="1">
      <alignment horizontal="center"/>
    </xf>
    <xf numFmtId="165" fontId="3" fillId="0" borderId="12" xfId="4" applyNumberFormat="1" applyBorder="1" applyAlignment="1">
      <alignment horizontal="center"/>
    </xf>
    <xf numFmtId="165" fontId="3" fillId="0" borderId="85" xfId="4" applyNumberFormat="1" applyBorder="1" applyAlignment="1">
      <alignment horizontal="center"/>
    </xf>
    <xf numFmtId="165" fontId="3" fillId="0" borderId="48" xfId="4" applyNumberFormat="1" applyBorder="1" applyAlignment="1">
      <alignment horizontal="center"/>
    </xf>
    <xf numFmtId="184" fontId="3" fillId="0" borderId="84" xfId="4" applyNumberFormat="1" applyBorder="1" applyAlignment="1">
      <alignment horizontal="center"/>
    </xf>
    <xf numFmtId="184" fontId="3" fillId="0" borderId="85" xfId="4" applyNumberFormat="1" applyBorder="1" applyAlignment="1">
      <alignment horizontal="center"/>
    </xf>
    <xf numFmtId="2" fontId="3" fillId="0" borderId="84" xfId="4" applyNumberFormat="1" applyBorder="1" applyAlignment="1">
      <alignment horizontal="center"/>
    </xf>
    <xf numFmtId="2" fontId="3" fillId="0" borderId="12" xfId="4" applyNumberFormat="1" applyBorder="1" applyAlignment="1">
      <alignment horizontal="center"/>
    </xf>
    <xf numFmtId="2" fontId="3" fillId="0" borderId="85" xfId="4" applyNumberFormat="1" applyBorder="1" applyAlignment="1">
      <alignment horizontal="center"/>
    </xf>
    <xf numFmtId="2" fontId="3" fillId="0" borderId="17" xfId="4" applyNumberFormat="1" applyBorder="1" applyAlignment="1">
      <alignment horizontal="center"/>
    </xf>
    <xf numFmtId="2" fontId="3" fillId="0" borderId="79" xfId="4" applyNumberFormat="1" applyBorder="1" applyAlignment="1">
      <alignment horizontal="center"/>
    </xf>
    <xf numFmtId="0" fontId="3" fillId="0" borderId="86" xfId="4" applyBorder="1" applyAlignment="1">
      <alignment horizontal="center"/>
    </xf>
    <xf numFmtId="165" fontId="3" fillId="0" borderId="11" xfId="4" applyNumberFormat="1" applyBorder="1" applyAlignment="1">
      <alignment horizontal="center"/>
    </xf>
    <xf numFmtId="165" fontId="3" fillId="0" borderId="79" xfId="4" applyNumberFormat="1" applyBorder="1" applyAlignment="1">
      <alignment horizontal="center"/>
    </xf>
    <xf numFmtId="0" fontId="3" fillId="0" borderId="0" xfId="4" applyAlignment="1">
      <alignment horizontal="center"/>
    </xf>
    <xf numFmtId="165" fontId="3" fillId="0" borderId="0" xfId="4" applyNumberFormat="1" applyAlignment="1">
      <alignment horizontal="center"/>
    </xf>
    <xf numFmtId="184" fontId="3" fillId="0" borderId="0" xfId="4" applyNumberFormat="1" applyAlignment="1">
      <alignment horizontal="center"/>
    </xf>
    <xf numFmtId="2" fontId="3" fillId="0" borderId="87" xfId="4" applyNumberFormat="1" applyBorder="1" applyAlignment="1">
      <alignment horizontal="center"/>
    </xf>
    <xf numFmtId="2" fontId="3" fillId="0" borderId="0" xfId="4" applyNumberFormat="1" applyAlignment="1">
      <alignment horizontal="center"/>
    </xf>
    <xf numFmtId="0" fontId="3" fillId="0" borderId="0" xfId="4" applyAlignment="1">
      <alignment horizontal="right"/>
    </xf>
    <xf numFmtId="165" fontId="3" fillId="0" borderId="17" xfId="4" applyNumberFormat="1" applyBorder="1" applyAlignment="1">
      <alignment horizontal="center"/>
    </xf>
    <xf numFmtId="165" fontId="3" fillId="0" borderId="8" xfId="4" applyNumberFormat="1" applyBorder="1" applyAlignment="1">
      <alignment horizontal="center"/>
    </xf>
    <xf numFmtId="184" fontId="3" fillId="0" borderId="79" xfId="4" applyNumberFormat="1" applyBorder="1" applyAlignment="1">
      <alignment horizontal="center"/>
    </xf>
    <xf numFmtId="1" fontId="3" fillId="0" borderId="0" xfId="4" applyNumberFormat="1" applyAlignment="1">
      <alignment horizontal="right"/>
    </xf>
    <xf numFmtId="2" fontId="3" fillId="0" borderId="5" xfId="4" applyNumberFormat="1" applyBorder="1" applyAlignment="1">
      <alignment horizontal="center"/>
    </xf>
    <xf numFmtId="2" fontId="3" fillId="0" borderId="7" xfId="4" applyNumberFormat="1" applyBorder="1" applyAlignment="1">
      <alignment horizontal="center"/>
    </xf>
    <xf numFmtId="0" fontId="52" fillId="0" borderId="0" xfId="4" applyFont="1"/>
    <xf numFmtId="0" fontId="3" fillId="0" borderId="23" xfId="4" applyBorder="1"/>
    <xf numFmtId="2" fontId="3" fillId="29" borderId="0" xfId="4" applyNumberFormat="1" applyFill="1"/>
    <xf numFmtId="0" fontId="3" fillId="29" borderId="0" xfId="4" applyFill="1"/>
    <xf numFmtId="176" fontId="3" fillId="0" borderId="0" xfId="4" applyNumberFormat="1"/>
    <xf numFmtId="1" fontId="3" fillId="0" borderId="8" xfId="4" applyNumberFormat="1" applyBorder="1" applyAlignment="1">
      <alignment horizontal="left"/>
    </xf>
    <xf numFmtId="0" fontId="3" fillId="18" borderId="0" xfId="4" applyFill="1"/>
    <xf numFmtId="166" fontId="3" fillId="18" borderId="0" xfId="4" applyNumberFormat="1" applyFill="1"/>
    <xf numFmtId="2" fontId="3" fillId="18" borderId="0" xfId="4" applyNumberFormat="1" applyFill="1"/>
    <xf numFmtId="167" fontId="3" fillId="18" borderId="0" xfId="4" applyNumberFormat="1" applyFill="1"/>
    <xf numFmtId="0" fontId="47" fillId="0" borderId="15" xfId="4" applyFont="1" applyBorder="1"/>
    <xf numFmtId="2" fontId="4" fillId="0" borderId="11" xfId="4" applyNumberFormat="1" applyFont="1" applyBorder="1"/>
    <xf numFmtId="0" fontId="4" fillId="0" borderId="79" xfId="4" applyFont="1" applyBorder="1"/>
    <xf numFmtId="167" fontId="4" fillId="0" borderId="11" xfId="4" applyNumberFormat="1" applyFont="1" applyBorder="1"/>
    <xf numFmtId="0" fontId="81" fillId="0" borderId="79" xfId="4" applyFont="1" applyBorder="1"/>
    <xf numFmtId="0" fontId="3" fillId="0" borderId="80" xfId="4" applyBorder="1"/>
    <xf numFmtId="0" fontId="3" fillId="8" borderId="22" xfId="0" applyFont="1" applyFill="1" applyBorder="1" applyAlignment="1">
      <alignment horizontal="right"/>
    </xf>
    <xf numFmtId="167" fontId="3" fillId="18" borderId="0" xfId="0" applyNumberFormat="1" applyFont="1" applyFill="1"/>
    <xf numFmtId="167" fontId="48" fillId="8" borderId="35" xfId="2" applyNumberFormat="1" applyFont="1" applyFill="1" applyBorder="1" applyAlignment="1" applyProtection="1">
      <alignment horizontal="right" vertical="center"/>
    </xf>
    <xf numFmtId="167" fontId="7" fillId="10" borderId="0" xfId="0" applyNumberFormat="1" applyFont="1" applyFill="1"/>
    <xf numFmtId="1" fontId="3" fillId="8" borderId="63" xfId="0" applyNumberFormat="1" applyFont="1" applyFill="1" applyBorder="1" applyAlignment="1">
      <alignment horizontal="right" vertical="center"/>
    </xf>
    <xf numFmtId="0" fontId="48" fillId="8" borderId="0" xfId="0" applyFont="1" applyFill="1" applyAlignment="1">
      <alignment horizontal="right" vertical="center"/>
    </xf>
    <xf numFmtId="2" fontId="3" fillId="8" borderId="0" xfId="0" applyNumberFormat="1" applyFont="1" applyFill="1"/>
    <xf numFmtId="0" fontId="48" fillId="8" borderId="39" xfId="0" applyFont="1" applyFill="1" applyBorder="1" applyAlignment="1">
      <alignment horizontal="right" vertical="center"/>
    </xf>
    <xf numFmtId="2" fontId="3" fillId="8" borderId="39" xfId="0" applyNumberFormat="1" applyFont="1" applyFill="1" applyBorder="1"/>
    <xf numFmtId="2" fontId="3" fillId="12" borderId="0" xfId="0" applyNumberFormat="1" applyFont="1" applyFill="1" applyAlignment="1">
      <alignment horizontal="right"/>
    </xf>
    <xf numFmtId="167" fontId="3" fillId="8" borderId="39" xfId="0" applyNumberFormat="1" applyFont="1" applyFill="1" applyBorder="1" applyAlignment="1">
      <alignment horizontal="right"/>
    </xf>
    <xf numFmtId="0" fontId="83" fillId="12" borderId="0" xfId="4" applyFont="1" applyFill="1"/>
    <xf numFmtId="0" fontId="83" fillId="8" borderId="0" xfId="4" applyFont="1" applyFill="1"/>
    <xf numFmtId="0" fontId="83" fillId="8" borderId="0" xfId="4" applyFont="1" applyFill="1" applyAlignment="1" applyProtection="1">
      <alignment vertical="center"/>
      <protection locked="0" hidden="1"/>
    </xf>
    <xf numFmtId="0" fontId="83" fillId="8" borderId="0" xfId="4" applyFont="1" applyFill="1" applyAlignment="1">
      <alignment vertical="center"/>
    </xf>
    <xf numFmtId="0" fontId="83" fillId="12" borderId="0" xfId="4" applyFont="1" applyFill="1" applyAlignment="1">
      <alignment vertical="center"/>
    </xf>
    <xf numFmtId="0" fontId="58" fillId="8" borderId="0" xfId="4" applyFont="1" applyFill="1" applyAlignment="1">
      <alignment vertical="center"/>
    </xf>
    <xf numFmtId="49" fontId="58" fillId="8" borderId="0" xfId="4" applyNumberFormat="1" applyFont="1" applyFill="1" applyAlignment="1" applyProtection="1">
      <alignment horizontal="left" vertical="center"/>
      <protection locked="0" hidden="1"/>
    </xf>
    <xf numFmtId="0" fontId="58" fillId="8" borderId="0" xfId="4" applyFont="1" applyFill="1" applyAlignment="1" applyProtection="1">
      <alignment horizontal="left" vertical="center"/>
      <protection locked="0" hidden="1"/>
    </xf>
    <xf numFmtId="0" fontId="58" fillId="12" borderId="0" xfId="4" applyFont="1" applyFill="1" applyAlignment="1">
      <alignment vertical="center"/>
    </xf>
    <xf numFmtId="0" fontId="58" fillId="12" borderId="0" xfId="4" applyFont="1" applyFill="1" applyAlignment="1" applyProtection="1">
      <alignment horizontal="left" vertical="center"/>
      <protection locked="0" hidden="1"/>
    </xf>
    <xf numFmtId="0" fontId="3" fillId="8" borderId="38" xfId="0" applyFont="1" applyFill="1" applyBorder="1"/>
    <xf numFmtId="1" fontId="48" fillId="8" borderId="39" xfId="0" applyNumberFormat="1" applyFont="1" applyFill="1" applyBorder="1" applyAlignment="1">
      <alignment horizontal="right"/>
    </xf>
    <xf numFmtId="11" fontId="0" fillId="0" borderId="0" xfId="0" applyNumberFormat="1"/>
    <xf numFmtId="166" fontId="0" fillId="30" borderId="0" xfId="0" applyNumberFormat="1" applyFill="1"/>
    <xf numFmtId="0" fontId="3" fillId="8" borderId="48" xfId="0" applyFont="1" applyFill="1" applyBorder="1"/>
    <xf numFmtId="0" fontId="3" fillId="8" borderId="4" xfId="0" applyFont="1" applyFill="1" applyBorder="1"/>
    <xf numFmtId="2" fontId="48" fillId="8" borderId="4" xfId="0" applyNumberFormat="1" applyFont="1" applyFill="1" applyBorder="1" applyAlignment="1">
      <alignment horizontal="right"/>
    </xf>
    <xf numFmtId="0" fontId="3" fillId="12" borderId="16" xfId="0" applyFont="1" applyFill="1" applyBorder="1"/>
    <xf numFmtId="0" fontId="3" fillId="8" borderId="88" xfId="0" applyFont="1" applyFill="1" applyBorder="1"/>
    <xf numFmtId="0" fontId="3" fillId="8" borderId="10" xfId="0" applyFont="1" applyFill="1" applyBorder="1"/>
    <xf numFmtId="0" fontId="49" fillId="8" borderId="10" xfId="0" applyFont="1" applyFill="1" applyBorder="1" applyAlignment="1">
      <alignment horizontal="right" vertical="center"/>
    </xf>
    <xf numFmtId="0" fontId="3" fillId="12" borderId="89" xfId="0" applyFont="1" applyFill="1" applyBorder="1"/>
    <xf numFmtId="0" fontId="3" fillId="8" borderId="90" xfId="0" applyFont="1" applyFill="1" applyBorder="1"/>
    <xf numFmtId="0" fontId="3" fillId="12" borderId="91" xfId="0" applyFont="1" applyFill="1" applyBorder="1"/>
    <xf numFmtId="0" fontId="17" fillId="12" borderId="91" xfId="0" applyFont="1" applyFill="1" applyBorder="1"/>
    <xf numFmtId="0" fontId="17" fillId="8" borderId="10" xfId="0" applyFont="1" applyFill="1" applyBorder="1"/>
    <xf numFmtId="0" fontId="17" fillId="8" borderId="89" xfId="0" applyFont="1" applyFill="1" applyBorder="1"/>
    <xf numFmtId="0" fontId="17" fillId="8" borderId="91" xfId="0" applyFont="1" applyFill="1" applyBorder="1"/>
    <xf numFmtId="0" fontId="17" fillId="8" borderId="4" xfId="0" applyFont="1" applyFill="1" applyBorder="1"/>
    <xf numFmtId="0" fontId="47" fillId="8" borderId="0" xfId="0" applyFont="1" applyFill="1" applyAlignment="1">
      <alignment horizontal="center"/>
    </xf>
    <xf numFmtId="0" fontId="3" fillId="8" borderId="0" xfId="0" applyFont="1" applyFill="1" applyAlignment="1">
      <alignment horizontal="left"/>
    </xf>
    <xf numFmtId="0" fontId="3" fillId="8" borderId="10" xfId="0" applyFont="1" applyFill="1" applyBorder="1" applyAlignment="1">
      <alignment horizontal="right"/>
    </xf>
    <xf numFmtId="1" fontId="48" fillId="8" borderId="10" xfId="0" applyNumberFormat="1" applyFont="1" applyFill="1" applyBorder="1" applyAlignment="1">
      <alignment horizontal="right"/>
    </xf>
    <xf numFmtId="0" fontId="3" fillId="8" borderId="4" xfId="0" applyFont="1" applyFill="1" applyBorder="1" applyAlignment="1">
      <alignment horizontal="right"/>
    </xf>
    <xf numFmtId="166" fontId="48" fillId="8" borderId="4" xfId="0" applyNumberFormat="1" applyFont="1" applyFill="1" applyBorder="1" applyAlignment="1">
      <alignment horizontal="right"/>
    </xf>
    <xf numFmtId="0" fontId="0" fillId="0" borderId="0" xfId="0" quotePrefix="1"/>
    <xf numFmtId="11" fontId="48" fillId="8" borderId="0" xfId="0" applyNumberFormat="1" applyFont="1" applyFill="1" applyAlignment="1">
      <alignment horizontal="right"/>
    </xf>
    <xf numFmtId="166" fontId="49" fillId="15" borderId="10" xfId="0" applyNumberFormat="1" applyFont="1" applyFill="1" applyBorder="1" applyAlignment="1" applyProtection="1">
      <alignment horizontal="right"/>
      <protection locked="0"/>
    </xf>
    <xf numFmtId="2" fontId="49" fillId="15" borderId="0" xfId="0" applyNumberFormat="1" applyFont="1" applyFill="1" applyAlignment="1" applyProtection="1">
      <alignment horizontal="right"/>
      <protection locked="0"/>
    </xf>
    <xf numFmtId="0" fontId="49" fillId="0" borderId="10" xfId="0" applyFont="1" applyBorder="1" applyProtection="1">
      <protection locked="0"/>
    </xf>
    <xf numFmtId="0" fontId="49" fillId="0" borderId="0" xfId="0" applyFont="1" applyProtection="1">
      <protection locked="0"/>
    </xf>
    <xf numFmtId="2" fontId="65" fillId="8" borderId="0" xfId="0" applyNumberFormat="1" applyFont="1" applyFill="1" applyAlignment="1">
      <alignment horizontal="right"/>
    </xf>
    <xf numFmtId="11" fontId="3" fillId="8" borderId="0" xfId="0" applyNumberFormat="1" applyFont="1" applyFill="1" applyAlignment="1">
      <alignment horizontal="right"/>
    </xf>
    <xf numFmtId="0" fontId="74" fillId="8" borderId="0" xfId="4" applyFont="1" applyFill="1" applyAlignment="1">
      <alignment horizontal="right" wrapText="1"/>
    </xf>
    <xf numFmtId="177" fontId="3" fillId="16" borderId="8" xfId="4" applyNumberFormat="1" applyFill="1" applyBorder="1" applyAlignment="1">
      <alignment horizontal="left" vertical="center"/>
    </xf>
    <xf numFmtId="177" fontId="3" fillId="16" borderId="9" xfId="4" applyNumberFormat="1" applyFill="1" applyBorder="1" applyAlignment="1">
      <alignment horizontal="left" vertical="center"/>
    </xf>
    <xf numFmtId="0" fontId="53" fillId="3" borderId="69" xfId="4" applyFont="1" applyFill="1" applyBorder="1" applyAlignment="1">
      <alignment horizontal="center" vertical="center"/>
    </xf>
    <xf numFmtId="0" fontId="53" fillId="3" borderId="71" xfId="4" applyFont="1" applyFill="1" applyBorder="1" applyAlignment="1">
      <alignment horizontal="center" vertical="center"/>
    </xf>
    <xf numFmtId="0" fontId="53" fillId="3" borderId="72" xfId="4" applyFont="1" applyFill="1" applyBorder="1" applyAlignment="1">
      <alignment horizontal="center" vertical="center"/>
    </xf>
    <xf numFmtId="182" fontId="3" fillId="17" borderId="8" xfId="4" applyNumberFormat="1" applyFill="1" applyBorder="1" applyAlignment="1">
      <alignment horizontal="left" vertical="center"/>
    </xf>
    <xf numFmtId="182" fontId="3" fillId="17" borderId="9" xfId="4" applyNumberFormat="1" applyFill="1" applyBorder="1" applyAlignment="1">
      <alignment horizontal="left" vertical="center"/>
    </xf>
    <xf numFmtId="180" fontId="3" fillId="12" borderId="8" xfId="4" applyNumberFormat="1" applyFill="1" applyBorder="1" applyAlignment="1">
      <alignment horizontal="left" vertical="center"/>
    </xf>
    <xf numFmtId="180" fontId="3" fillId="12" borderId="9" xfId="4" applyNumberFormat="1" applyFill="1" applyBorder="1" applyAlignment="1">
      <alignment horizontal="left" vertical="center"/>
    </xf>
    <xf numFmtId="174" fontId="3" fillId="12" borderId="8" xfId="4" applyNumberFormat="1" applyFill="1" applyBorder="1" applyAlignment="1">
      <alignment horizontal="left" vertical="center"/>
    </xf>
    <xf numFmtId="174" fontId="3" fillId="12" borderId="9" xfId="4" applyNumberFormat="1" applyFill="1" applyBorder="1" applyAlignment="1">
      <alignment horizontal="left" vertical="center"/>
    </xf>
    <xf numFmtId="173" fontId="3" fillId="12" borderId="8" xfId="4" applyNumberFormat="1" applyFill="1" applyBorder="1" applyAlignment="1">
      <alignment horizontal="left" vertical="center" wrapText="1"/>
    </xf>
    <xf numFmtId="173" fontId="3" fillId="12" borderId="9" xfId="4" applyNumberFormat="1" applyFill="1" applyBorder="1" applyAlignment="1">
      <alignment horizontal="left" vertical="center" wrapText="1"/>
    </xf>
    <xf numFmtId="173" fontId="3" fillId="12" borderId="15" xfId="4" applyNumberFormat="1" applyFill="1" applyBorder="1" applyAlignment="1">
      <alignment horizontal="left" vertical="center" wrapText="1"/>
    </xf>
    <xf numFmtId="180" fontId="3" fillId="17" borderId="8" xfId="4" applyNumberFormat="1" applyFill="1" applyBorder="1" applyAlignment="1">
      <alignment horizontal="left" vertical="center"/>
    </xf>
    <xf numFmtId="180" fontId="3" fillId="17" borderId="9" xfId="4" applyNumberFormat="1" applyFill="1" applyBorder="1" applyAlignment="1">
      <alignment horizontal="left" vertical="center"/>
    </xf>
    <xf numFmtId="179" fontId="3" fillId="16" borderId="8" xfId="4" applyNumberFormat="1" applyFill="1" applyBorder="1" applyAlignment="1">
      <alignment horizontal="left" vertical="center"/>
    </xf>
    <xf numFmtId="179" fontId="3" fillId="16" borderId="9" xfId="4" applyNumberFormat="1" applyFill="1" applyBorder="1" applyAlignment="1">
      <alignment horizontal="left" vertical="center"/>
    </xf>
    <xf numFmtId="174" fontId="3" fillId="17" borderId="8" xfId="4" applyNumberFormat="1" applyFill="1" applyBorder="1" applyAlignment="1">
      <alignment horizontal="left" vertical="center"/>
    </xf>
    <xf numFmtId="174" fontId="3" fillId="17" borderId="9" xfId="4" applyNumberFormat="1" applyFill="1" applyBorder="1" applyAlignment="1">
      <alignment horizontal="left" vertical="center"/>
    </xf>
    <xf numFmtId="0" fontId="84" fillId="12" borderId="22" xfId="0" applyFont="1" applyFill="1" applyBorder="1" applyAlignment="1">
      <alignment horizontal="left" vertical="center"/>
    </xf>
    <xf numFmtId="0" fontId="84" fillId="12" borderId="0" xfId="0" applyFont="1" applyFill="1" applyAlignment="1">
      <alignment horizontal="left" vertical="center"/>
    </xf>
    <xf numFmtId="0" fontId="4" fillId="0" borderId="0" xfId="0" applyFont="1" applyAlignment="1">
      <alignment horizontal="center"/>
    </xf>
    <xf numFmtId="0" fontId="5" fillId="3" borderId="0" xfId="0" applyFont="1" applyFill="1" applyAlignment="1">
      <alignment horizontal="left"/>
    </xf>
    <xf numFmtId="0" fontId="80" fillId="4" borderId="76" xfId="4" applyFont="1" applyFill="1" applyBorder="1" applyAlignment="1">
      <alignment horizontal="center" vertical="top" shrinkToFit="1"/>
    </xf>
    <xf numFmtId="0" fontId="3" fillId="4" borderId="75" xfId="4" applyFill="1" applyBorder="1" applyAlignment="1">
      <alignment horizontal="center" vertical="top" shrinkToFit="1"/>
    </xf>
    <xf numFmtId="0" fontId="3" fillId="4" borderId="77" xfId="4" applyFill="1" applyBorder="1" applyAlignment="1">
      <alignment horizontal="center" vertical="top" shrinkToFit="1"/>
    </xf>
    <xf numFmtId="0" fontId="80" fillId="4" borderId="76" xfId="4" applyFont="1" applyFill="1" applyBorder="1" applyAlignment="1">
      <alignment horizontal="center" vertical="top"/>
    </xf>
    <xf numFmtId="0" fontId="80" fillId="4" borderId="82" xfId="4" applyFont="1" applyFill="1" applyBorder="1" applyAlignment="1">
      <alignment horizontal="center" vertical="top"/>
    </xf>
    <xf numFmtId="0" fontId="80" fillId="4" borderId="65" xfId="4" applyFont="1" applyFill="1" applyBorder="1" applyAlignment="1">
      <alignment horizontal="center"/>
    </xf>
    <xf numFmtId="0" fontId="80" fillId="4" borderId="78" xfId="4" applyFont="1" applyFill="1" applyBorder="1" applyAlignment="1">
      <alignment horizontal="center"/>
    </xf>
    <xf numFmtId="0" fontId="80" fillId="4" borderId="66" xfId="4" applyFont="1" applyFill="1" applyBorder="1" applyAlignment="1">
      <alignment horizontal="center"/>
    </xf>
    <xf numFmtId="0" fontId="80" fillId="4" borderId="43" xfId="4" applyFont="1" applyFill="1" applyBorder="1" applyAlignment="1">
      <alignment horizontal="center"/>
    </xf>
    <xf numFmtId="0" fontId="80" fillId="4" borderId="81" xfId="4" applyFont="1" applyFill="1" applyBorder="1" applyAlignment="1">
      <alignment horizontal="center"/>
    </xf>
    <xf numFmtId="0" fontId="4" fillId="0" borderId="65" xfId="4" applyFont="1" applyBorder="1" applyAlignment="1">
      <alignment horizontal="center"/>
    </xf>
    <xf numFmtId="0" fontId="4" fillId="0" borderId="78" xfId="4" applyFont="1" applyBorder="1" applyAlignment="1">
      <alignment horizontal="center"/>
    </xf>
    <xf numFmtId="0" fontId="3" fillId="0" borderId="78" xfId="4" applyBorder="1" applyAlignment="1">
      <alignment horizontal="center"/>
    </xf>
    <xf numFmtId="0" fontId="3" fillId="0" borderId="66" xfId="4" applyBorder="1" applyAlignment="1">
      <alignment horizontal="center"/>
    </xf>
    <xf numFmtId="0" fontId="4" fillId="0" borderId="66" xfId="4" applyFont="1" applyBorder="1" applyAlignment="1">
      <alignment horizontal="center"/>
    </xf>
    <xf numFmtId="0" fontId="3" fillId="4" borderId="47" xfId="4" applyFill="1" applyBorder="1" applyAlignment="1">
      <alignment horizontal="center"/>
    </xf>
    <xf numFmtId="0" fontId="3" fillId="4" borderId="81" xfId="4" applyFill="1" applyBorder="1" applyAlignment="1">
      <alignment horizontal="center"/>
    </xf>
    <xf numFmtId="0" fontId="4" fillId="4" borderId="43" xfId="4" applyFont="1" applyFill="1" applyBorder="1"/>
    <xf numFmtId="0" fontId="4" fillId="4" borderId="81" xfId="4" applyFont="1" applyFill="1" applyBorder="1"/>
    <xf numFmtId="0" fontId="4" fillId="0" borderId="17" xfId="4" applyFont="1" applyBorder="1" applyAlignment="1">
      <alignment horizontal="center"/>
    </xf>
    <xf numFmtId="0" fontId="4" fillId="0" borderId="11" xfId="4" applyFont="1" applyBorder="1" applyAlignment="1">
      <alignment horizontal="center"/>
    </xf>
    <xf numFmtId="0" fontId="4" fillId="0" borderId="79" xfId="4" applyFont="1" applyBorder="1" applyAlignment="1">
      <alignment horizontal="center"/>
    </xf>
    <xf numFmtId="0" fontId="4" fillId="0" borderId="80" xfId="4" applyFont="1" applyBorder="1" applyAlignment="1">
      <alignment horizontal="center"/>
    </xf>
    <xf numFmtId="0" fontId="4" fillId="0" borderId="83" xfId="4" applyFont="1" applyBorder="1" applyAlignment="1">
      <alignment horizontal="center"/>
    </xf>
    <xf numFmtId="0" fontId="4" fillId="4" borderId="71" xfId="4" applyFont="1" applyFill="1" applyBorder="1" applyAlignment="1">
      <alignment horizontal="left"/>
    </xf>
    <xf numFmtId="0" fontId="4" fillId="4" borderId="46" xfId="4" applyFont="1" applyFill="1" applyBorder="1" applyAlignment="1">
      <alignment horizontal="left"/>
    </xf>
    <xf numFmtId="0" fontId="4" fillId="4" borderId="78" xfId="4" applyFont="1" applyFill="1" applyBorder="1" applyAlignment="1">
      <alignment horizontal="left"/>
    </xf>
    <xf numFmtId="0" fontId="4" fillId="4" borderId="66" xfId="4" applyFont="1" applyFill="1" applyBorder="1" applyAlignment="1">
      <alignment horizontal="left"/>
    </xf>
    <xf numFmtId="0" fontId="13" fillId="3" borderId="0" xfId="4" applyFont="1" applyFill="1" applyAlignment="1">
      <alignment horizontal="left" vertical="center"/>
    </xf>
    <xf numFmtId="0" fontId="23" fillId="21" borderId="0" xfId="4" applyFont="1" applyFill="1" applyAlignment="1">
      <alignment horizontal="center" vertical="center"/>
    </xf>
    <xf numFmtId="0" fontId="4" fillId="0" borderId="0" xfId="4" applyFont="1" applyAlignment="1">
      <alignment horizontal="left" vertical="center" wrapText="1"/>
    </xf>
    <xf numFmtId="0" fontId="4" fillId="4" borderId="65" xfId="4" applyFont="1" applyFill="1" applyBorder="1" applyAlignment="1">
      <alignment horizontal="left"/>
    </xf>
  </cellXfs>
  <cellStyles count="8">
    <cellStyle name="Comma" xfId="2" builtinId="3"/>
    <cellStyle name="Comma 2" xfId="6" xr:uid="{00000000-0005-0000-0000-000001000000}"/>
    <cellStyle name="Hyperlink" xfId="3" builtinId="8"/>
    <cellStyle name="Normal" xfId="0" builtinId="0"/>
    <cellStyle name="Normal 2" xfId="4" xr:uid="{00000000-0005-0000-0000-000004000000}"/>
    <cellStyle name="Normal 3" xfId="5" xr:uid="{00000000-0005-0000-0000-000005000000}"/>
    <cellStyle name="Percent" xfId="7" builtinId="5"/>
    <cellStyle name="RowLevel_1" xfId="1" builtinId="1" iLevel="0"/>
  </cellStyles>
  <dxfs count="75">
    <dxf>
      <border>
        <left style="thin">
          <color indexed="64"/>
        </left>
        <right style="thin">
          <color indexed="64"/>
        </right>
        <top style="thin">
          <color indexed="64"/>
        </top>
        <bottom style="thin">
          <color indexed="64"/>
        </bottom>
      </border>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theme="0"/>
      </font>
    </dxf>
    <dxf>
      <font>
        <color rgb="FFFFFF99"/>
      </font>
    </dxf>
    <dxf>
      <font>
        <color rgb="FFFF0000"/>
      </font>
    </dxf>
    <dxf>
      <font>
        <b/>
        <i val="0"/>
        <color theme="0"/>
      </font>
      <fill>
        <patternFill>
          <bgColor rgb="FFFF0000"/>
        </patternFill>
      </fill>
    </dxf>
    <dxf>
      <font>
        <strike val="0"/>
        <color theme="0"/>
      </font>
      <fill>
        <patternFill>
          <bgColor rgb="FFFF0000"/>
        </patternFill>
      </fill>
    </dxf>
    <dxf>
      <font>
        <color rgb="FFFF0000"/>
      </font>
    </dxf>
    <dxf>
      <font>
        <color rgb="FFFF0000"/>
      </font>
    </dxf>
    <dxf>
      <font>
        <color theme="1"/>
      </font>
      <fill>
        <patternFill>
          <fgColor rgb="FFFFFF00"/>
          <bgColor rgb="FFFFFF00"/>
        </patternFill>
      </fill>
    </dxf>
    <dxf>
      <font>
        <color theme="0"/>
      </font>
    </dxf>
    <dxf>
      <font>
        <color rgb="FFFF0000"/>
      </font>
    </dxf>
    <dxf>
      <font>
        <color rgb="FFFF0000"/>
      </font>
    </dxf>
    <dxf>
      <font>
        <color rgb="FFFF0000"/>
      </font>
    </dxf>
    <dxf>
      <font>
        <color rgb="FFFF0000"/>
      </font>
    </dxf>
    <dxf>
      <font>
        <b/>
        <i val="0"/>
        <color rgb="FFFF0000"/>
      </font>
    </dxf>
    <dxf>
      <font>
        <color theme="0"/>
      </font>
      <fill>
        <patternFill>
          <bgColor theme="0"/>
        </patternFill>
      </fill>
    </dxf>
    <dxf>
      <font>
        <color rgb="FFFF0000"/>
      </font>
    </dxf>
    <dxf>
      <font>
        <color theme="0"/>
      </font>
      <fill>
        <patternFill>
          <bgColor theme="0"/>
        </patternFill>
      </fill>
      <border>
        <right/>
        <top/>
        <bottom/>
      </border>
    </dxf>
    <dxf>
      <font>
        <color theme="0"/>
      </font>
    </dxf>
    <dxf>
      <font>
        <b/>
        <i val="0"/>
        <condense val="0"/>
        <extend val="0"/>
        <color indexed="12"/>
      </font>
    </dxf>
    <dxf>
      <font>
        <b/>
        <i val="0"/>
        <condense val="0"/>
        <extend val="0"/>
        <color indexed="10"/>
      </font>
    </dxf>
    <dxf>
      <border>
        <left/>
        <right/>
        <top/>
        <bottom/>
        <vertical/>
        <horizontal/>
      </border>
    </dxf>
    <dxf>
      <border>
        <top/>
        <bottom/>
        <vertical/>
        <horizontal/>
      </border>
    </dxf>
    <dxf>
      <border>
        <right/>
        <vertical/>
        <horizontal/>
      </border>
    </dxf>
    <dxf>
      <font>
        <color rgb="FFFF0000"/>
      </font>
    </dxf>
    <dxf>
      <font>
        <color rgb="FFFF0000"/>
      </font>
    </dxf>
    <dxf>
      <font>
        <color theme="0"/>
      </font>
    </dxf>
    <dxf>
      <border>
        <right/>
        <vertical/>
        <horizontal/>
      </border>
    </dxf>
    <dxf>
      <font>
        <color theme="0"/>
      </font>
      <fill>
        <patternFill>
          <bgColor theme="0"/>
        </patternFill>
      </fill>
    </dxf>
    <dxf>
      <font>
        <color theme="0"/>
      </font>
      <fill>
        <patternFill>
          <bgColor theme="0"/>
        </patternFill>
      </fill>
    </dxf>
    <dxf>
      <font>
        <color theme="0"/>
      </font>
      <fill>
        <patternFill>
          <bgColor theme="0"/>
        </patternFill>
      </fill>
    </dxf>
    <dxf>
      <font>
        <strike/>
        <color rgb="FFFF0000"/>
      </font>
    </dxf>
    <dxf>
      <font>
        <strike/>
        <color rgb="FFFF0000"/>
      </font>
    </dxf>
    <dxf>
      <font>
        <color rgb="FFFF0000"/>
      </font>
    </dxf>
    <dxf>
      <font>
        <color rgb="FFFF0000"/>
      </font>
    </dxf>
    <dxf>
      <font>
        <color rgb="FFFF0000"/>
      </font>
    </dxf>
    <dxf>
      <font>
        <strike/>
        <color rgb="FFFF0000"/>
      </font>
    </dxf>
    <dxf>
      <font>
        <color rgb="FFFF0000"/>
      </font>
    </dxf>
    <dxf>
      <font>
        <strike/>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strike val="0"/>
        <color theme="0"/>
      </font>
      <fill>
        <patternFill>
          <bgColor theme="0"/>
        </patternFill>
      </fill>
    </dxf>
    <dxf>
      <font>
        <b/>
        <i val="0"/>
        <color rgb="FFFF0000"/>
      </font>
    </dxf>
    <dxf>
      <font>
        <color rgb="FFFF0000"/>
      </font>
    </dxf>
    <dxf>
      <font>
        <color rgb="FFFF0000"/>
      </font>
    </dxf>
    <dxf>
      <font>
        <color rgb="FFFF0000"/>
      </font>
    </dxf>
    <dxf>
      <font>
        <b/>
        <i val="0"/>
        <color rgb="FFFF0000"/>
      </font>
    </dxf>
    <dxf>
      <font>
        <b/>
        <i val="0"/>
        <strike/>
        <color indexed="10"/>
      </font>
    </dxf>
    <dxf>
      <font>
        <strike/>
        <color rgb="FFFF0000"/>
      </font>
    </dxf>
    <dxf>
      <font>
        <color rgb="FFFF0000"/>
      </font>
    </dxf>
    <dxf>
      <font>
        <strike/>
        <color rgb="FFFF0000"/>
      </font>
    </dxf>
    <dxf>
      <font>
        <strike/>
        <color rgb="FFFF0000"/>
      </font>
    </dxf>
    <dxf>
      <font>
        <color theme="0"/>
      </font>
    </dxf>
    <dxf>
      <font>
        <b/>
        <i val="0"/>
        <color rgb="FFC00000"/>
      </font>
    </dxf>
    <dxf>
      <font>
        <b/>
        <i val="0"/>
        <color rgb="FFC00000"/>
      </font>
    </dxf>
    <dxf>
      <font>
        <b/>
        <i val="0"/>
        <color rgb="FFC00000"/>
      </font>
    </dxf>
    <dxf>
      <border>
        <left/>
        <right/>
        <top/>
        <bottom/>
        <vertical/>
        <horizontal/>
      </border>
    </dxf>
    <dxf>
      <border>
        <bottom/>
        <vertical/>
        <horizontal/>
      </border>
    </dxf>
    <dxf>
      <border>
        <bottom/>
        <vertical/>
        <horizontal/>
      </border>
    </dxf>
    <dxf>
      <border>
        <bottom/>
        <vertical/>
        <horizontal/>
      </border>
    </dxf>
  </dxfs>
  <tableStyles count="0" defaultTableStyle="TableStyleMedium9" defaultPivotStyle="PivotStyleLight16"/>
  <colors>
    <mruColors>
      <color rgb="FF0000FF"/>
      <color rgb="FF00FFFF"/>
      <color rgb="FFD1FFFF"/>
      <color rgb="FFB7FFFF"/>
      <color rgb="FF66FFFF"/>
      <color rgb="FFFF9900"/>
      <color rgb="FF33CC33"/>
      <color rgb="FFFF5050"/>
      <color rgb="FFCCFFFF"/>
      <color rgb="FFEE61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LM5180-Q1 Bode Plot</a:t>
            </a:r>
          </a:p>
        </c:rich>
      </c:tx>
      <c:layout>
        <c:manualLayout>
          <c:xMode val="edge"/>
          <c:yMode val="edge"/>
          <c:x val="0.38532555879494657"/>
          <c:y val="2.4449846994932085E-2"/>
        </c:manualLayout>
      </c:layout>
      <c:overlay val="0"/>
      <c:spPr>
        <a:noFill/>
        <a:ln w="25400">
          <a:noFill/>
        </a:ln>
      </c:spPr>
    </c:title>
    <c:autoTitleDeleted val="0"/>
    <c:plotArea>
      <c:layout>
        <c:manualLayout>
          <c:layoutTarget val="inner"/>
          <c:xMode val="edge"/>
          <c:yMode val="edge"/>
          <c:x val="0.10349854227405264"/>
          <c:y val="9.5803642121931945E-2"/>
          <c:w val="0.80272108843537593"/>
          <c:h val="0.71734049943922984"/>
        </c:manualLayout>
      </c:layout>
      <c:scatterChart>
        <c:scatterStyle val="smoothMarker"/>
        <c:varyColors val="0"/>
        <c:ser>
          <c:idx val="0"/>
          <c:order val="0"/>
          <c:tx>
            <c:strRef>
              <c:f>'Stability Calculations'!$W$12</c:f>
              <c:strCache>
                <c:ptCount val="1"/>
                <c:pt idx="0">
                  <c:v>Gain (dB)</c:v>
                </c:pt>
              </c:strCache>
            </c:strRef>
          </c:tx>
          <c:spPr>
            <a:ln w="25400">
              <a:solidFill>
                <a:srgbClr val="FF0000"/>
              </a:solidFill>
              <a:prstDash val="solid"/>
            </a:ln>
          </c:spPr>
          <c:marker>
            <c:symbol val="none"/>
          </c:marker>
          <c:xVal>
            <c:numRef>
              <c:f>'Stability Calculations'!$G$13:$G$613</c:f>
              <c:numCache>
                <c:formatCode>General</c:formatCode>
                <c:ptCount val="601"/>
                <c:pt idx="0">
                  <c:v>0.1</c:v>
                </c:pt>
                <c:pt idx="1">
                  <c:v>1.0965</c:v>
                </c:pt>
                <c:pt idx="2">
                  <c:v>1.2022999999999999</c:v>
                </c:pt>
                <c:pt idx="3">
                  <c:v>1.3183</c:v>
                </c:pt>
                <c:pt idx="4">
                  <c:v>1.4454</c:v>
                </c:pt>
                <c:pt idx="5">
                  <c:v>1.5849</c:v>
                </c:pt>
                <c:pt idx="6">
                  <c:v>1.7378</c:v>
                </c:pt>
                <c:pt idx="7">
                  <c:v>1.9055</c:v>
                </c:pt>
                <c:pt idx="8">
                  <c:v>2.0893000000000002</c:v>
                </c:pt>
                <c:pt idx="9">
                  <c:v>2.2909000000000002</c:v>
                </c:pt>
                <c:pt idx="10">
                  <c:v>2.5118999999999998</c:v>
                </c:pt>
                <c:pt idx="11">
                  <c:v>2.7542</c:v>
                </c:pt>
                <c:pt idx="12">
                  <c:v>3.02</c:v>
                </c:pt>
                <c:pt idx="13">
                  <c:v>3.3113000000000001</c:v>
                </c:pt>
                <c:pt idx="14">
                  <c:v>3.6307999999999998</c:v>
                </c:pt>
                <c:pt idx="15">
                  <c:v>3.9811000000000001</c:v>
                </c:pt>
                <c:pt idx="16">
                  <c:v>4.3651999999999997</c:v>
                </c:pt>
                <c:pt idx="17">
                  <c:v>4.7862999999999998</c:v>
                </c:pt>
                <c:pt idx="18">
                  <c:v>5.2481</c:v>
                </c:pt>
                <c:pt idx="19">
                  <c:v>5.7544000000000004</c:v>
                </c:pt>
                <c:pt idx="20">
                  <c:v>6.3095999999999997</c:v>
                </c:pt>
                <c:pt idx="21">
                  <c:v>6.9183000000000003</c:v>
                </c:pt>
                <c:pt idx="22">
                  <c:v>7.5857999999999999</c:v>
                </c:pt>
                <c:pt idx="23">
                  <c:v>8.3176000000000005</c:v>
                </c:pt>
                <c:pt idx="24">
                  <c:v>9.1201000000000008</c:v>
                </c:pt>
                <c:pt idx="25">
                  <c:v>10</c:v>
                </c:pt>
                <c:pt idx="26">
                  <c:v>10.965</c:v>
                </c:pt>
                <c:pt idx="27">
                  <c:v>12.023</c:v>
                </c:pt>
                <c:pt idx="28">
                  <c:v>13.183</c:v>
                </c:pt>
                <c:pt idx="29">
                  <c:v>14.454000000000001</c:v>
                </c:pt>
                <c:pt idx="30">
                  <c:v>15.849</c:v>
                </c:pt>
                <c:pt idx="31">
                  <c:v>17.378</c:v>
                </c:pt>
                <c:pt idx="32">
                  <c:v>19.055</c:v>
                </c:pt>
                <c:pt idx="33">
                  <c:v>20.893000000000001</c:v>
                </c:pt>
                <c:pt idx="34">
                  <c:v>22.909000000000002</c:v>
                </c:pt>
                <c:pt idx="35">
                  <c:v>25.119</c:v>
                </c:pt>
                <c:pt idx="36">
                  <c:v>27.542000000000002</c:v>
                </c:pt>
                <c:pt idx="37">
                  <c:v>30.2</c:v>
                </c:pt>
                <c:pt idx="38">
                  <c:v>33.113</c:v>
                </c:pt>
                <c:pt idx="39">
                  <c:v>36.308</c:v>
                </c:pt>
                <c:pt idx="40">
                  <c:v>39.811</c:v>
                </c:pt>
                <c:pt idx="41">
                  <c:v>43.652000000000001</c:v>
                </c:pt>
                <c:pt idx="42">
                  <c:v>47.863</c:v>
                </c:pt>
                <c:pt idx="43">
                  <c:v>52.481000000000002</c:v>
                </c:pt>
                <c:pt idx="44">
                  <c:v>57.544000000000004</c:v>
                </c:pt>
                <c:pt idx="45">
                  <c:v>63.095999999999997</c:v>
                </c:pt>
                <c:pt idx="46">
                  <c:v>69.183000000000007</c:v>
                </c:pt>
                <c:pt idx="47">
                  <c:v>75.858000000000004</c:v>
                </c:pt>
                <c:pt idx="48">
                  <c:v>83.176000000000002</c:v>
                </c:pt>
                <c:pt idx="49">
                  <c:v>91.201000000000008</c:v>
                </c:pt>
                <c:pt idx="50">
                  <c:v>100</c:v>
                </c:pt>
                <c:pt idx="51">
                  <c:v>109.65</c:v>
                </c:pt>
                <c:pt idx="52">
                  <c:v>120.23</c:v>
                </c:pt>
                <c:pt idx="53">
                  <c:v>131.83000000000001</c:v>
                </c:pt>
                <c:pt idx="54">
                  <c:v>144.54</c:v>
                </c:pt>
                <c:pt idx="55">
                  <c:v>158.49</c:v>
                </c:pt>
                <c:pt idx="56">
                  <c:v>173.78</c:v>
                </c:pt>
                <c:pt idx="57">
                  <c:v>190.55</c:v>
                </c:pt>
                <c:pt idx="58">
                  <c:v>208.93</c:v>
                </c:pt>
                <c:pt idx="59">
                  <c:v>229.09</c:v>
                </c:pt>
                <c:pt idx="60">
                  <c:v>251.19</c:v>
                </c:pt>
                <c:pt idx="61">
                  <c:v>275.42</c:v>
                </c:pt>
                <c:pt idx="62">
                  <c:v>302</c:v>
                </c:pt>
                <c:pt idx="63">
                  <c:v>331.13</c:v>
                </c:pt>
                <c:pt idx="64">
                  <c:v>363.08</c:v>
                </c:pt>
                <c:pt idx="65">
                  <c:v>398.11</c:v>
                </c:pt>
                <c:pt idx="66">
                  <c:v>436.52</c:v>
                </c:pt>
                <c:pt idx="67">
                  <c:v>478.63</c:v>
                </c:pt>
                <c:pt idx="68">
                  <c:v>524.80999999999995</c:v>
                </c:pt>
                <c:pt idx="69">
                  <c:v>575.44000000000005</c:v>
                </c:pt>
                <c:pt idx="70">
                  <c:v>630.96</c:v>
                </c:pt>
                <c:pt idx="71">
                  <c:v>691.83</c:v>
                </c:pt>
                <c:pt idx="72">
                  <c:v>758.58</c:v>
                </c:pt>
                <c:pt idx="73">
                  <c:v>831.76</c:v>
                </c:pt>
                <c:pt idx="74">
                  <c:v>912.01</c:v>
                </c:pt>
                <c:pt idx="75">
                  <c:v>1000</c:v>
                </c:pt>
                <c:pt idx="76">
                  <c:v>1096.5</c:v>
                </c:pt>
                <c:pt idx="77">
                  <c:v>1202.3</c:v>
                </c:pt>
                <c:pt idx="78">
                  <c:v>1318.3</c:v>
                </c:pt>
                <c:pt idx="79">
                  <c:v>1445.4</c:v>
                </c:pt>
                <c:pt idx="80">
                  <c:v>1584.9</c:v>
                </c:pt>
                <c:pt idx="81">
                  <c:v>1737.8</c:v>
                </c:pt>
                <c:pt idx="82">
                  <c:v>1905.5</c:v>
                </c:pt>
                <c:pt idx="83">
                  <c:v>2089.3000000000002</c:v>
                </c:pt>
                <c:pt idx="84">
                  <c:v>2290.9</c:v>
                </c:pt>
                <c:pt idx="85">
                  <c:v>2511.9</c:v>
                </c:pt>
                <c:pt idx="86">
                  <c:v>2754.2</c:v>
                </c:pt>
                <c:pt idx="87">
                  <c:v>3020</c:v>
                </c:pt>
                <c:pt idx="88">
                  <c:v>3311.3</c:v>
                </c:pt>
                <c:pt idx="89">
                  <c:v>3630.8</c:v>
                </c:pt>
                <c:pt idx="90">
                  <c:v>3981.1</c:v>
                </c:pt>
                <c:pt idx="91">
                  <c:v>4365.2</c:v>
                </c:pt>
                <c:pt idx="92">
                  <c:v>4786.3</c:v>
                </c:pt>
                <c:pt idx="93">
                  <c:v>5248.1</c:v>
                </c:pt>
                <c:pt idx="94">
                  <c:v>5370.3</c:v>
                </c:pt>
                <c:pt idx="95">
                  <c:v>5432.85</c:v>
                </c:pt>
                <c:pt idx="96">
                  <c:v>5495.4</c:v>
                </c:pt>
                <c:pt idx="97">
                  <c:v>5559.4</c:v>
                </c:pt>
                <c:pt idx="98">
                  <c:v>5623.4</c:v>
                </c:pt>
                <c:pt idx="99">
                  <c:v>5688.9</c:v>
                </c:pt>
                <c:pt idx="100">
                  <c:v>5754.4</c:v>
                </c:pt>
                <c:pt idx="101">
                  <c:v>5821.4</c:v>
                </c:pt>
                <c:pt idx="102">
                  <c:v>5888.4</c:v>
                </c:pt>
                <c:pt idx="103">
                  <c:v>5957</c:v>
                </c:pt>
                <c:pt idx="104">
                  <c:v>6025.6</c:v>
                </c:pt>
                <c:pt idx="105">
                  <c:v>6095.8</c:v>
                </c:pt>
                <c:pt idx="106">
                  <c:v>6166</c:v>
                </c:pt>
                <c:pt idx="107">
                  <c:v>6237.8</c:v>
                </c:pt>
                <c:pt idx="108">
                  <c:v>6309.6</c:v>
                </c:pt>
                <c:pt idx="109">
                  <c:v>6383.05</c:v>
                </c:pt>
                <c:pt idx="110">
                  <c:v>6456.5</c:v>
                </c:pt>
                <c:pt idx="111">
                  <c:v>6531.7</c:v>
                </c:pt>
                <c:pt idx="112">
                  <c:v>6606.9</c:v>
                </c:pt>
                <c:pt idx="113">
                  <c:v>6683.85</c:v>
                </c:pt>
                <c:pt idx="114">
                  <c:v>6760.8</c:v>
                </c:pt>
                <c:pt idx="115">
                  <c:v>6839.55</c:v>
                </c:pt>
                <c:pt idx="116">
                  <c:v>6918.3</c:v>
                </c:pt>
                <c:pt idx="117">
                  <c:v>6998.9</c:v>
                </c:pt>
                <c:pt idx="118">
                  <c:v>7079.5</c:v>
                </c:pt>
                <c:pt idx="119">
                  <c:v>7161.95</c:v>
                </c:pt>
                <c:pt idx="120">
                  <c:v>7244.4</c:v>
                </c:pt>
                <c:pt idx="121">
                  <c:v>7328.75</c:v>
                </c:pt>
                <c:pt idx="122">
                  <c:v>7413.1</c:v>
                </c:pt>
                <c:pt idx="123">
                  <c:v>7499.45</c:v>
                </c:pt>
                <c:pt idx="124">
                  <c:v>7585.8</c:v>
                </c:pt>
                <c:pt idx="125">
                  <c:v>7674.15</c:v>
                </c:pt>
                <c:pt idx="126">
                  <c:v>7762.5</c:v>
                </c:pt>
                <c:pt idx="127">
                  <c:v>7852.9</c:v>
                </c:pt>
                <c:pt idx="128">
                  <c:v>7943.3</c:v>
                </c:pt>
                <c:pt idx="129">
                  <c:v>8035.8</c:v>
                </c:pt>
                <c:pt idx="130">
                  <c:v>8128.3</c:v>
                </c:pt>
                <c:pt idx="131">
                  <c:v>8222.9500000000007</c:v>
                </c:pt>
                <c:pt idx="132">
                  <c:v>8270.2750000000015</c:v>
                </c:pt>
                <c:pt idx="133">
                  <c:v>8317.6</c:v>
                </c:pt>
                <c:pt idx="134">
                  <c:v>8366.0499999999993</c:v>
                </c:pt>
                <c:pt idx="135">
                  <c:v>8414.5</c:v>
                </c:pt>
                <c:pt idx="136">
                  <c:v>8462.9500000000007</c:v>
                </c:pt>
                <c:pt idx="137">
                  <c:v>8511.4</c:v>
                </c:pt>
                <c:pt idx="138">
                  <c:v>8560.9500000000007</c:v>
                </c:pt>
                <c:pt idx="139">
                  <c:v>8610.5</c:v>
                </c:pt>
                <c:pt idx="140">
                  <c:v>8660.0499999999993</c:v>
                </c:pt>
                <c:pt idx="141">
                  <c:v>8709.6</c:v>
                </c:pt>
                <c:pt idx="142">
                  <c:v>8760.3250000000007</c:v>
                </c:pt>
                <c:pt idx="143">
                  <c:v>8811.0499999999993</c:v>
                </c:pt>
                <c:pt idx="144">
                  <c:v>8861.7749999999996</c:v>
                </c:pt>
                <c:pt idx="145">
                  <c:v>8912.5</c:v>
                </c:pt>
                <c:pt idx="146">
                  <c:v>8964.4</c:v>
                </c:pt>
                <c:pt idx="147">
                  <c:v>9016.2999999999993</c:v>
                </c:pt>
                <c:pt idx="148">
                  <c:v>9068.2000000000007</c:v>
                </c:pt>
                <c:pt idx="149">
                  <c:v>9120.1</c:v>
                </c:pt>
                <c:pt idx="150">
                  <c:v>9173.2000000000007</c:v>
                </c:pt>
                <c:pt idx="151">
                  <c:v>9226.2999999999993</c:v>
                </c:pt>
                <c:pt idx="152">
                  <c:v>9279.4</c:v>
                </c:pt>
                <c:pt idx="153">
                  <c:v>9332.5</c:v>
                </c:pt>
                <c:pt idx="154">
                  <c:v>9386.85</c:v>
                </c:pt>
                <c:pt idx="155">
                  <c:v>9441.2000000000007</c:v>
                </c:pt>
                <c:pt idx="156">
                  <c:v>9495.5499999999993</c:v>
                </c:pt>
                <c:pt idx="157">
                  <c:v>9549.9</c:v>
                </c:pt>
                <c:pt idx="158">
                  <c:v>9605.5249999999996</c:v>
                </c:pt>
                <c:pt idx="159">
                  <c:v>9661.15</c:v>
                </c:pt>
                <c:pt idx="160">
                  <c:v>9716.7749999999996</c:v>
                </c:pt>
                <c:pt idx="161">
                  <c:v>9772.4</c:v>
                </c:pt>
                <c:pt idx="162">
                  <c:v>9829.2999999999993</c:v>
                </c:pt>
                <c:pt idx="163">
                  <c:v>9886.2000000000007</c:v>
                </c:pt>
                <c:pt idx="164">
                  <c:v>9943.1</c:v>
                </c:pt>
                <c:pt idx="165">
                  <c:v>10000</c:v>
                </c:pt>
                <c:pt idx="166">
                  <c:v>10058.25</c:v>
                </c:pt>
                <c:pt idx="167">
                  <c:v>10116.5</c:v>
                </c:pt>
                <c:pt idx="168">
                  <c:v>10174.75</c:v>
                </c:pt>
                <c:pt idx="169">
                  <c:v>10233</c:v>
                </c:pt>
                <c:pt idx="170">
                  <c:v>10292.5</c:v>
                </c:pt>
                <c:pt idx="171">
                  <c:v>10352</c:v>
                </c:pt>
                <c:pt idx="172">
                  <c:v>10411.5</c:v>
                </c:pt>
                <c:pt idx="173">
                  <c:v>10471</c:v>
                </c:pt>
                <c:pt idx="174">
                  <c:v>10532</c:v>
                </c:pt>
                <c:pt idx="175">
                  <c:v>10593</c:v>
                </c:pt>
                <c:pt idx="176">
                  <c:v>10654</c:v>
                </c:pt>
                <c:pt idx="177">
                  <c:v>10715</c:v>
                </c:pt>
                <c:pt idx="178">
                  <c:v>10777.5</c:v>
                </c:pt>
                <c:pt idx="179">
                  <c:v>10840</c:v>
                </c:pt>
                <c:pt idx="180">
                  <c:v>10902.5</c:v>
                </c:pt>
                <c:pt idx="181">
                  <c:v>10965</c:v>
                </c:pt>
                <c:pt idx="182">
                  <c:v>11028.75</c:v>
                </c:pt>
                <c:pt idx="183">
                  <c:v>11092.5</c:v>
                </c:pt>
                <c:pt idx="184">
                  <c:v>11156.25</c:v>
                </c:pt>
                <c:pt idx="185">
                  <c:v>11220</c:v>
                </c:pt>
                <c:pt idx="186">
                  <c:v>11285.5</c:v>
                </c:pt>
                <c:pt idx="187">
                  <c:v>11351</c:v>
                </c:pt>
                <c:pt idx="188">
                  <c:v>11416.5</c:v>
                </c:pt>
                <c:pt idx="189">
                  <c:v>11482</c:v>
                </c:pt>
                <c:pt idx="190">
                  <c:v>11548.75</c:v>
                </c:pt>
                <c:pt idx="191">
                  <c:v>11615.5</c:v>
                </c:pt>
                <c:pt idx="192">
                  <c:v>11682.25</c:v>
                </c:pt>
                <c:pt idx="193">
                  <c:v>11749</c:v>
                </c:pt>
                <c:pt idx="194">
                  <c:v>11817.5</c:v>
                </c:pt>
                <c:pt idx="195">
                  <c:v>11886</c:v>
                </c:pt>
                <c:pt idx="196">
                  <c:v>11954.5</c:v>
                </c:pt>
                <c:pt idx="197">
                  <c:v>12023</c:v>
                </c:pt>
                <c:pt idx="198">
                  <c:v>12093</c:v>
                </c:pt>
                <c:pt idx="199">
                  <c:v>12163</c:v>
                </c:pt>
                <c:pt idx="200">
                  <c:v>12233</c:v>
                </c:pt>
                <c:pt idx="201">
                  <c:v>12303</c:v>
                </c:pt>
                <c:pt idx="202">
                  <c:v>12374.5</c:v>
                </c:pt>
                <c:pt idx="203">
                  <c:v>12446</c:v>
                </c:pt>
                <c:pt idx="204">
                  <c:v>12517.5</c:v>
                </c:pt>
                <c:pt idx="205">
                  <c:v>12589</c:v>
                </c:pt>
                <c:pt idx="206">
                  <c:v>12662.25</c:v>
                </c:pt>
                <c:pt idx="207">
                  <c:v>12735.5</c:v>
                </c:pt>
                <c:pt idx="208">
                  <c:v>12808.75</c:v>
                </c:pt>
                <c:pt idx="209">
                  <c:v>12882</c:v>
                </c:pt>
                <c:pt idx="210">
                  <c:v>12957.25</c:v>
                </c:pt>
                <c:pt idx="211">
                  <c:v>13032.5</c:v>
                </c:pt>
                <c:pt idx="212">
                  <c:v>13107.75</c:v>
                </c:pt>
                <c:pt idx="213">
                  <c:v>13183</c:v>
                </c:pt>
                <c:pt idx="214">
                  <c:v>13259.75</c:v>
                </c:pt>
                <c:pt idx="215">
                  <c:v>13336.5</c:v>
                </c:pt>
                <c:pt idx="216">
                  <c:v>13413.25</c:v>
                </c:pt>
                <c:pt idx="217">
                  <c:v>13490</c:v>
                </c:pt>
                <c:pt idx="218">
                  <c:v>13568.5</c:v>
                </c:pt>
                <c:pt idx="219">
                  <c:v>13647</c:v>
                </c:pt>
                <c:pt idx="220">
                  <c:v>13725.5</c:v>
                </c:pt>
                <c:pt idx="221">
                  <c:v>13804</c:v>
                </c:pt>
                <c:pt idx="222">
                  <c:v>13884.25</c:v>
                </c:pt>
                <c:pt idx="223">
                  <c:v>13964.5</c:v>
                </c:pt>
                <c:pt idx="224">
                  <c:v>14044.75</c:v>
                </c:pt>
                <c:pt idx="225">
                  <c:v>14125</c:v>
                </c:pt>
                <c:pt idx="226">
                  <c:v>14207.25</c:v>
                </c:pt>
                <c:pt idx="227">
                  <c:v>14289.5</c:v>
                </c:pt>
                <c:pt idx="228">
                  <c:v>14371.75</c:v>
                </c:pt>
                <c:pt idx="229">
                  <c:v>14454</c:v>
                </c:pt>
                <c:pt idx="230">
                  <c:v>14622.5</c:v>
                </c:pt>
                <c:pt idx="231">
                  <c:v>14706.75</c:v>
                </c:pt>
                <c:pt idx="232">
                  <c:v>14791</c:v>
                </c:pt>
                <c:pt idx="233">
                  <c:v>14877.25</c:v>
                </c:pt>
                <c:pt idx="234">
                  <c:v>14963.5</c:v>
                </c:pt>
                <c:pt idx="235">
                  <c:v>15049.75</c:v>
                </c:pt>
                <c:pt idx="236">
                  <c:v>15136</c:v>
                </c:pt>
                <c:pt idx="237">
                  <c:v>15224</c:v>
                </c:pt>
                <c:pt idx="238">
                  <c:v>15312</c:v>
                </c:pt>
                <c:pt idx="239">
                  <c:v>15400</c:v>
                </c:pt>
                <c:pt idx="240">
                  <c:v>15488</c:v>
                </c:pt>
                <c:pt idx="241">
                  <c:v>15578.25</c:v>
                </c:pt>
                <c:pt idx="242">
                  <c:v>15668.5</c:v>
                </c:pt>
                <c:pt idx="243">
                  <c:v>15758.75</c:v>
                </c:pt>
                <c:pt idx="244">
                  <c:v>15849</c:v>
                </c:pt>
                <c:pt idx="245">
                  <c:v>15941.25</c:v>
                </c:pt>
                <c:pt idx="246">
                  <c:v>16033.5</c:v>
                </c:pt>
                <c:pt idx="247">
                  <c:v>16125.75</c:v>
                </c:pt>
                <c:pt idx="248">
                  <c:v>16218</c:v>
                </c:pt>
                <c:pt idx="249">
                  <c:v>16312.5</c:v>
                </c:pt>
                <c:pt idx="250">
                  <c:v>16407</c:v>
                </c:pt>
                <c:pt idx="251">
                  <c:v>16501.5</c:v>
                </c:pt>
                <c:pt idx="252">
                  <c:v>16596</c:v>
                </c:pt>
                <c:pt idx="253">
                  <c:v>16692.5</c:v>
                </c:pt>
                <c:pt idx="254">
                  <c:v>16789</c:v>
                </c:pt>
                <c:pt idx="255">
                  <c:v>16885.5</c:v>
                </c:pt>
                <c:pt idx="256">
                  <c:v>16982</c:v>
                </c:pt>
                <c:pt idx="257">
                  <c:v>17081</c:v>
                </c:pt>
                <c:pt idx="258">
                  <c:v>17180</c:v>
                </c:pt>
                <c:pt idx="259">
                  <c:v>17279</c:v>
                </c:pt>
                <c:pt idx="260">
                  <c:v>17378</c:v>
                </c:pt>
                <c:pt idx="261">
                  <c:v>17479.25</c:v>
                </c:pt>
                <c:pt idx="262">
                  <c:v>17580.5</c:v>
                </c:pt>
                <c:pt idx="263">
                  <c:v>17681.75</c:v>
                </c:pt>
                <c:pt idx="264">
                  <c:v>17783</c:v>
                </c:pt>
                <c:pt idx="265">
                  <c:v>17886.5</c:v>
                </c:pt>
                <c:pt idx="266">
                  <c:v>17990</c:v>
                </c:pt>
                <c:pt idx="267">
                  <c:v>18093.5</c:v>
                </c:pt>
                <c:pt idx="268">
                  <c:v>18197</c:v>
                </c:pt>
                <c:pt idx="269">
                  <c:v>18303</c:v>
                </c:pt>
                <c:pt idx="270">
                  <c:v>18409</c:v>
                </c:pt>
                <c:pt idx="271">
                  <c:v>18515</c:v>
                </c:pt>
                <c:pt idx="272">
                  <c:v>18621</c:v>
                </c:pt>
                <c:pt idx="273">
                  <c:v>18729.5</c:v>
                </c:pt>
                <c:pt idx="274">
                  <c:v>18838</c:v>
                </c:pt>
                <c:pt idx="275">
                  <c:v>18946.5</c:v>
                </c:pt>
                <c:pt idx="276">
                  <c:v>19055</c:v>
                </c:pt>
                <c:pt idx="277">
                  <c:v>19165.75</c:v>
                </c:pt>
                <c:pt idx="278">
                  <c:v>19276.5</c:v>
                </c:pt>
                <c:pt idx="279">
                  <c:v>19387.25</c:v>
                </c:pt>
                <c:pt idx="280">
                  <c:v>19498</c:v>
                </c:pt>
                <c:pt idx="281">
                  <c:v>19611.75</c:v>
                </c:pt>
                <c:pt idx="282">
                  <c:v>19725.5</c:v>
                </c:pt>
                <c:pt idx="283">
                  <c:v>19839.25</c:v>
                </c:pt>
                <c:pt idx="284">
                  <c:v>19953</c:v>
                </c:pt>
                <c:pt idx="285">
                  <c:v>20069</c:v>
                </c:pt>
                <c:pt idx="286">
                  <c:v>20185</c:v>
                </c:pt>
                <c:pt idx="287">
                  <c:v>20301</c:v>
                </c:pt>
                <c:pt idx="288">
                  <c:v>20417</c:v>
                </c:pt>
                <c:pt idx="289">
                  <c:v>20536</c:v>
                </c:pt>
                <c:pt idx="290">
                  <c:v>20655</c:v>
                </c:pt>
                <c:pt idx="291">
                  <c:v>20774</c:v>
                </c:pt>
                <c:pt idx="292">
                  <c:v>20893</c:v>
                </c:pt>
                <c:pt idx="293">
                  <c:v>21014.75</c:v>
                </c:pt>
                <c:pt idx="294">
                  <c:v>21136.5</c:v>
                </c:pt>
                <c:pt idx="295">
                  <c:v>21258.25</c:v>
                </c:pt>
                <c:pt idx="296">
                  <c:v>21380</c:v>
                </c:pt>
                <c:pt idx="297">
                  <c:v>21504.5</c:v>
                </c:pt>
                <c:pt idx="298">
                  <c:v>21629</c:v>
                </c:pt>
                <c:pt idx="299">
                  <c:v>21753.5</c:v>
                </c:pt>
                <c:pt idx="300">
                  <c:v>21878</c:v>
                </c:pt>
                <c:pt idx="301">
                  <c:v>22005.25</c:v>
                </c:pt>
                <c:pt idx="302">
                  <c:v>22132.5</c:v>
                </c:pt>
                <c:pt idx="303">
                  <c:v>22259.75</c:v>
                </c:pt>
                <c:pt idx="304">
                  <c:v>22387</c:v>
                </c:pt>
                <c:pt idx="305">
                  <c:v>22517.5</c:v>
                </c:pt>
                <c:pt idx="306">
                  <c:v>22648</c:v>
                </c:pt>
                <c:pt idx="307">
                  <c:v>22778.5</c:v>
                </c:pt>
                <c:pt idx="308">
                  <c:v>22909</c:v>
                </c:pt>
                <c:pt idx="309">
                  <c:v>23042.25</c:v>
                </c:pt>
                <c:pt idx="310">
                  <c:v>23175.5</c:v>
                </c:pt>
                <c:pt idx="311">
                  <c:v>23308.75</c:v>
                </c:pt>
                <c:pt idx="312">
                  <c:v>23442</c:v>
                </c:pt>
                <c:pt idx="313">
                  <c:v>23578.5</c:v>
                </c:pt>
                <c:pt idx="314">
                  <c:v>23715</c:v>
                </c:pt>
                <c:pt idx="315">
                  <c:v>23851.5</c:v>
                </c:pt>
                <c:pt idx="316">
                  <c:v>23988</c:v>
                </c:pt>
                <c:pt idx="317">
                  <c:v>24127.75</c:v>
                </c:pt>
                <c:pt idx="318">
                  <c:v>24267.5</c:v>
                </c:pt>
                <c:pt idx="319">
                  <c:v>24407.25</c:v>
                </c:pt>
                <c:pt idx="320">
                  <c:v>24547</c:v>
                </c:pt>
                <c:pt idx="321">
                  <c:v>24690</c:v>
                </c:pt>
                <c:pt idx="322">
                  <c:v>24833</c:v>
                </c:pt>
                <c:pt idx="323">
                  <c:v>24976</c:v>
                </c:pt>
                <c:pt idx="324">
                  <c:v>25119</c:v>
                </c:pt>
                <c:pt idx="325">
                  <c:v>25265.25</c:v>
                </c:pt>
                <c:pt idx="326">
                  <c:v>25411.5</c:v>
                </c:pt>
                <c:pt idx="327">
                  <c:v>25557.75</c:v>
                </c:pt>
                <c:pt idx="328">
                  <c:v>25704</c:v>
                </c:pt>
                <c:pt idx="329">
                  <c:v>25853.75</c:v>
                </c:pt>
                <c:pt idx="330">
                  <c:v>26003.5</c:v>
                </c:pt>
                <c:pt idx="331">
                  <c:v>26153.25</c:v>
                </c:pt>
                <c:pt idx="332">
                  <c:v>26303</c:v>
                </c:pt>
                <c:pt idx="333">
                  <c:v>26456</c:v>
                </c:pt>
                <c:pt idx="334">
                  <c:v>26609</c:v>
                </c:pt>
                <c:pt idx="335">
                  <c:v>26762</c:v>
                </c:pt>
                <c:pt idx="336">
                  <c:v>26915</c:v>
                </c:pt>
                <c:pt idx="337">
                  <c:v>27071.75</c:v>
                </c:pt>
                <c:pt idx="338">
                  <c:v>27228.5</c:v>
                </c:pt>
                <c:pt idx="339">
                  <c:v>27385.25</c:v>
                </c:pt>
                <c:pt idx="340">
                  <c:v>27542</c:v>
                </c:pt>
                <c:pt idx="341">
                  <c:v>27702.5</c:v>
                </c:pt>
                <c:pt idx="342">
                  <c:v>27863</c:v>
                </c:pt>
                <c:pt idx="343">
                  <c:v>28023.5</c:v>
                </c:pt>
                <c:pt idx="344">
                  <c:v>28184</c:v>
                </c:pt>
                <c:pt idx="345">
                  <c:v>28348</c:v>
                </c:pt>
                <c:pt idx="346">
                  <c:v>28512</c:v>
                </c:pt>
                <c:pt idx="347">
                  <c:v>28676</c:v>
                </c:pt>
                <c:pt idx="348">
                  <c:v>28840</c:v>
                </c:pt>
                <c:pt idx="349">
                  <c:v>29008</c:v>
                </c:pt>
                <c:pt idx="350">
                  <c:v>29176</c:v>
                </c:pt>
                <c:pt idx="351">
                  <c:v>29344</c:v>
                </c:pt>
                <c:pt idx="352">
                  <c:v>29512</c:v>
                </c:pt>
                <c:pt idx="353">
                  <c:v>29684</c:v>
                </c:pt>
                <c:pt idx="354">
                  <c:v>29856</c:v>
                </c:pt>
                <c:pt idx="355">
                  <c:v>30028</c:v>
                </c:pt>
                <c:pt idx="356">
                  <c:v>30200</c:v>
                </c:pt>
                <c:pt idx="357">
                  <c:v>30375.75</c:v>
                </c:pt>
                <c:pt idx="358">
                  <c:v>30551.5</c:v>
                </c:pt>
                <c:pt idx="359">
                  <c:v>30727.25</c:v>
                </c:pt>
                <c:pt idx="360">
                  <c:v>30903</c:v>
                </c:pt>
                <c:pt idx="361">
                  <c:v>31083</c:v>
                </c:pt>
                <c:pt idx="362">
                  <c:v>31263</c:v>
                </c:pt>
                <c:pt idx="363">
                  <c:v>31443</c:v>
                </c:pt>
                <c:pt idx="364">
                  <c:v>31623</c:v>
                </c:pt>
                <c:pt idx="365">
                  <c:v>31807</c:v>
                </c:pt>
                <c:pt idx="366">
                  <c:v>31991</c:v>
                </c:pt>
                <c:pt idx="367">
                  <c:v>32175</c:v>
                </c:pt>
                <c:pt idx="368">
                  <c:v>32359</c:v>
                </c:pt>
                <c:pt idx="369">
                  <c:v>32547.5</c:v>
                </c:pt>
                <c:pt idx="370">
                  <c:v>32736</c:v>
                </c:pt>
                <c:pt idx="371">
                  <c:v>32924.5</c:v>
                </c:pt>
                <c:pt idx="372">
                  <c:v>33113</c:v>
                </c:pt>
                <c:pt idx="373">
                  <c:v>33305.75</c:v>
                </c:pt>
                <c:pt idx="374">
                  <c:v>33498.5</c:v>
                </c:pt>
                <c:pt idx="375">
                  <c:v>33691.25</c:v>
                </c:pt>
                <c:pt idx="376">
                  <c:v>33884</c:v>
                </c:pt>
                <c:pt idx="377">
                  <c:v>34081.5</c:v>
                </c:pt>
                <c:pt idx="378">
                  <c:v>34279</c:v>
                </c:pt>
                <c:pt idx="379">
                  <c:v>34476.5</c:v>
                </c:pt>
                <c:pt idx="380">
                  <c:v>34674</c:v>
                </c:pt>
                <c:pt idx="381">
                  <c:v>34875.75</c:v>
                </c:pt>
                <c:pt idx="382">
                  <c:v>35077.5</c:v>
                </c:pt>
                <c:pt idx="383">
                  <c:v>35279.25</c:v>
                </c:pt>
                <c:pt idx="384">
                  <c:v>35481</c:v>
                </c:pt>
                <c:pt idx="385">
                  <c:v>35687.75</c:v>
                </c:pt>
                <c:pt idx="386">
                  <c:v>35894.5</c:v>
                </c:pt>
                <c:pt idx="387">
                  <c:v>36101.25</c:v>
                </c:pt>
                <c:pt idx="388">
                  <c:v>36308</c:v>
                </c:pt>
                <c:pt idx="389">
                  <c:v>36519.5</c:v>
                </c:pt>
                <c:pt idx="390">
                  <c:v>36731</c:v>
                </c:pt>
                <c:pt idx="391">
                  <c:v>36942.5</c:v>
                </c:pt>
                <c:pt idx="392">
                  <c:v>37154</c:v>
                </c:pt>
                <c:pt idx="393">
                  <c:v>37370.25</c:v>
                </c:pt>
                <c:pt idx="394">
                  <c:v>37586.5</c:v>
                </c:pt>
                <c:pt idx="395">
                  <c:v>37802.75</c:v>
                </c:pt>
                <c:pt idx="396">
                  <c:v>38019</c:v>
                </c:pt>
                <c:pt idx="397">
                  <c:v>38240.5</c:v>
                </c:pt>
                <c:pt idx="398">
                  <c:v>38462</c:v>
                </c:pt>
                <c:pt idx="399">
                  <c:v>38683.5</c:v>
                </c:pt>
                <c:pt idx="400">
                  <c:v>38905</c:v>
                </c:pt>
                <c:pt idx="401">
                  <c:v>39131.5</c:v>
                </c:pt>
                <c:pt idx="402">
                  <c:v>39358</c:v>
                </c:pt>
                <c:pt idx="403">
                  <c:v>39584.5</c:v>
                </c:pt>
                <c:pt idx="404">
                  <c:v>39811</c:v>
                </c:pt>
                <c:pt idx="405">
                  <c:v>40042.75</c:v>
                </c:pt>
                <c:pt idx="406">
                  <c:v>40274.5</c:v>
                </c:pt>
                <c:pt idx="407">
                  <c:v>40506.25</c:v>
                </c:pt>
                <c:pt idx="408">
                  <c:v>40738</c:v>
                </c:pt>
                <c:pt idx="409">
                  <c:v>40975.25</c:v>
                </c:pt>
                <c:pt idx="410">
                  <c:v>41212.5</c:v>
                </c:pt>
                <c:pt idx="411">
                  <c:v>41449.75</c:v>
                </c:pt>
                <c:pt idx="412">
                  <c:v>41687</c:v>
                </c:pt>
                <c:pt idx="413">
                  <c:v>41929.75</c:v>
                </c:pt>
                <c:pt idx="414">
                  <c:v>42172.5</c:v>
                </c:pt>
                <c:pt idx="415">
                  <c:v>42415.25</c:v>
                </c:pt>
                <c:pt idx="416">
                  <c:v>42658</c:v>
                </c:pt>
                <c:pt idx="417">
                  <c:v>42906.5</c:v>
                </c:pt>
                <c:pt idx="418">
                  <c:v>43155</c:v>
                </c:pt>
                <c:pt idx="419">
                  <c:v>43403.5</c:v>
                </c:pt>
                <c:pt idx="420">
                  <c:v>43652</c:v>
                </c:pt>
                <c:pt idx="421">
                  <c:v>43906</c:v>
                </c:pt>
                <c:pt idx="422">
                  <c:v>44160</c:v>
                </c:pt>
                <c:pt idx="423">
                  <c:v>44414</c:v>
                </c:pt>
                <c:pt idx="424">
                  <c:v>44668</c:v>
                </c:pt>
                <c:pt idx="425">
                  <c:v>44928.25</c:v>
                </c:pt>
                <c:pt idx="426">
                  <c:v>45188.5</c:v>
                </c:pt>
                <c:pt idx="427">
                  <c:v>45448.75</c:v>
                </c:pt>
                <c:pt idx="428">
                  <c:v>45709</c:v>
                </c:pt>
                <c:pt idx="429">
                  <c:v>45975.25</c:v>
                </c:pt>
                <c:pt idx="430">
                  <c:v>46241.5</c:v>
                </c:pt>
                <c:pt idx="431">
                  <c:v>46507.75</c:v>
                </c:pt>
                <c:pt idx="432">
                  <c:v>46774</c:v>
                </c:pt>
                <c:pt idx="433">
                  <c:v>47046.25</c:v>
                </c:pt>
                <c:pt idx="434">
                  <c:v>47318.5</c:v>
                </c:pt>
                <c:pt idx="435">
                  <c:v>47590.75</c:v>
                </c:pt>
                <c:pt idx="436">
                  <c:v>47863</c:v>
                </c:pt>
                <c:pt idx="437">
                  <c:v>48141.75</c:v>
                </c:pt>
                <c:pt idx="438">
                  <c:v>48420.5</c:v>
                </c:pt>
                <c:pt idx="439">
                  <c:v>48699.25</c:v>
                </c:pt>
                <c:pt idx="440">
                  <c:v>48978</c:v>
                </c:pt>
                <c:pt idx="441">
                  <c:v>49263.25</c:v>
                </c:pt>
                <c:pt idx="442">
                  <c:v>49548.5</c:v>
                </c:pt>
                <c:pt idx="443">
                  <c:v>49833.75</c:v>
                </c:pt>
                <c:pt idx="444">
                  <c:v>50119</c:v>
                </c:pt>
                <c:pt idx="445">
                  <c:v>50410.75</c:v>
                </c:pt>
                <c:pt idx="446">
                  <c:v>50702.5</c:v>
                </c:pt>
                <c:pt idx="447">
                  <c:v>50994.25</c:v>
                </c:pt>
                <c:pt idx="448">
                  <c:v>51286</c:v>
                </c:pt>
                <c:pt idx="449">
                  <c:v>51584.75</c:v>
                </c:pt>
                <c:pt idx="450">
                  <c:v>51883.5</c:v>
                </c:pt>
                <c:pt idx="451">
                  <c:v>52182.25</c:v>
                </c:pt>
                <c:pt idx="452">
                  <c:v>52481</c:v>
                </c:pt>
                <c:pt idx="453">
                  <c:v>52786.5</c:v>
                </c:pt>
                <c:pt idx="454">
                  <c:v>53092</c:v>
                </c:pt>
                <c:pt idx="455">
                  <c:v>53397.5</c:v>
                </c:pt>
                <c:pt idx="456">
                  <c:v>53703</c:v>
                </c:pt>
                <c:pt idx="457">
                  <c:v>54015.75</c:v>
                </c:pt>
                <c:pt idx="458">
                  <c:v>54328.5</c:v>
                </c:pt>
                <c:pt idx="459">
                  <c:v>54641.25</c:v>
                </c:pt>
                <c:pt idx="460">
                  <c:v>54954</c:v>
                </c:pt>
                <c:pt idx="461">
                  <c:v>55274</c:v>
                </c:pt>
                <c:pt idx="462">
                  <c:v>55594</c:v>
                </c:pt>
                <c:pt idx="463">
                  <c:v>55914</c:v>
                </c:pt>
                <c:pt idx="464">
                  <c:v>56234</c:v>
                </c:pt>
                <c:pt idx="465">
                  <c:v>56561.5</c:v>
                </c:pt>
                <c:pt idx="466">
                  <c:v>56889</c:v>
                </c:pt>
                <c:pt idx="467">
                  <c:v>57216.5</c:v>
                </c:pt>
                <c:pt idx="468">
                  <c:v>57544</c:v>
                </c:pt>
                <c:pt idx="469">
                  <c:v>57879</c:v>
                </c:pt>
                <c:pt idx="470">
                  <c:v>58214</c:v>
                </c:pt>
                <c:pt idx="471">
                  <c:v>58549</c:v>
                </c:pt>
                <c:pt idx="472">
                  <c:v>58884</c:v>
                </c:pt>
                <c:pt idx="473">
                  <c:v>59227</c:v>
                </c:pt>
                <c:pt idx="474">
                  <c:v>59570</c:v>
                </c:pt>
                <c:pt idx="475">
                  <c:v>59913</c:v>
                </c:pt>
                <c:pt idx="476">
                  <c:v>60256</c:v>
                </c:pt>
                <c:pt idx="477">
                  <c:v>60607</c:v>
                </c:pt>
                <c:pt idx="478">
                  <c:v>60958</c:v>
                </c:pt>
                <c:pt idx="479">
                  <c:v>61309</c:v>
                </c:pt>
                <c:pt idx="480">
                  <c:v>61660</c:v>
                </c:pt>
                <c:pt idx="481">
                  <c:v>62019</c:v>
                </c:pt>
                <c:pt idx="482">
                  <c:v>62378</c:v>
                </c:pt>
                <c:pt idx="483">
                  <c:v>62737</c:v>
                </c:pt>
                <c:pt idx="484">
                  <c:v>63096</c:v>
                </c:pt>
                <c:pt idx="485">
                  <c:v>63463.25</c:v>
                </c:pt>
                <c:pt idx="486">
                  <c:v>63830.5</c:v>
                </c:pt>
                <c:pt idx="487">
                  <c:v>64197.75</c:v>
                </c:pt>
                <c:pt idx="488">
                  <c:v>64565</c:v>
                </c:pt>
                <c:pt idx="489">
                  <c:v>64941</c:v>
                </c:pt>
                <c:pt idx="490">
                  <c:v>65317</c:v>
                </c:pt>
                <c:pt idx="491">
                  <c:v>65693</c:v>
                </c:pt>
                <c:pt idx="492">
                  <c:v>66069</c:v>
                </c:pt>
                <c:pt idx="493">
                  <c:v>66453.75</c:v>
                </c:pt>
                <c:pt idx="494">
                  <c:v>66838.5</c:v>
                </c:pt>
                <c:pt idx="495">
                  <c:v>67223.25</c:v>
                </c:pt>
                <c:pt idx="496">
                  <c:v>67608</c:v>
                </c:pt>
                <c:pt idx="497">
                  <c:v>68001.75</c:v>
                </c:pt>
                <c:pt idx="498">
                  <c:v>68395.5</c:v>
                </c:pt>
                <c:pt idx="499">
                  <c:v>68789.25</c:v>
                </c:pt>
                <c:pt idx="500">
                  <c:v>69183</c:v>
                </c:pt>
                <c:pt idx="501">
                  <c:v>69586</c:v>
                </c:pt>
                <c:pt idx="502">
                  <c:v>69989</c:v>
                </c:pt>
                <c:pt idx="503">
                  <c:v>70392</c:v>
                </c:pt>
                <c:pt idx="504">
                  <c:v>70795</c:v>
                </c:pt>
                <c:pt idx="505">
                  <c:v>71207.25</c:v>
                </c:pt>
                <c:pt idx="506">
                  <c:v>71619.5</c:v>
                </c:pt>
                <c:pt idx="507">
                  <c:v>72031.75</c:v>
                </c:pt>
                <c:pt idx="508">
                  <c:v>72444</c:v>
                </c:pt>
                <c:pt idx="509">
                  <c:v>72865.75</c:v>
                </c:pt>
                <c:pt idx="510">
                  <c:v>73287.5</c:v>
                </c:pt>
                <c:pt idx="511">
                  <c:v>73709.25</c:v>
                </c:pt>
                <c:pt idx="512">
                  <c:v>74131</c:v>
                </c:pt>
                <c:pt idx="513">
                  <c:v>74562.75</c:v>
                </c:pt>
                <c:pt idx="514">
                  <c:v>74994.5</c:v>
                </c:pt>
                <c:pt idx="515">
                  <c:v>75426.25</c:v>
                </c:pt>
                <c:pt idx="516">
                  <c:v>75858</c:v>
                </c:pt>
                <c:pt idx="517">
                  <c:v>76299.75</c:v>
                </c:pt>
                <c:pt idx="518">
                  <c:v>76741.5</c:v>
                </c:pt>
                <c:pt idx="519">
                  <c:v>77183.25</c:v>
                </c:pt>
                <c:pt idx="520">
                  <c:v>77625</c:v>
                </c:pt>
                <c:pt idx="521">
                  <c:v>78077</c:v>
                </c:pt>
                <c:pt idx="522">
                  <c:v>78529</c:v>
                </c:pt>
                <c:pt idx="523">
                  <c:v>78981</c:v>
                </c:pt>
                <c:pt idx="524">
                  <c:v>79433</c:v>
                </c:pt>
                <c:pt idx="525">
                  <c:v>79895.5</c:v>
                </c:pt>
                <c:pt idx="526">
                  <c:v>80358</c:v>
                </c:pt>
                <c:pt idx="527">
                  <c:v>80820.5</c:v>
                </c:pt>
                <c:pt idx="528">
                  <c:v>81283</c:v>
                </c:pt>
                <c:pt idx="529">
                  <c:v>81756.25</c:v>
                </c:pt>
                <c:pt idx="530">
                  <c:v>82229.5</c:v>
                </c:pt>
                <c:pt idx="531">
                  <c:v>82702.75</c:v>
                </c:pt>
                <c:pt idx="532">
                  <c:v>83176</c:v>
                </c:pt>
                <c:pt idx="533">
                  <c:v>83660.5</c:v>
                </c:pt>
                <c:pt idx="534">
                  <c:v>84145</c:v>
                </c:pt>
                <c:pt idx="535">
                  <c:v>84629.5</c:v>
                </c:pt>
                <c:pt idx="536">
                  <c:v>85114</c:v>
                </c:pt>
                <c:pt idx="537">
                  <c:v>85609.5</c:v>
                </c:pt>
                <c:pt idx="538">
                  <c:v>86105</c:v>
                </c:pt>
                <c:pt idx="539">
                  <c:v>86600.5</c:v>
                </c:pt>
                <c:pt idx="540">
                  <c:v>87096</c:v>
                </c:pt>
                <c:pt idx="541">
                  <c:v>87603.25</c:v>
                </c:pt>
                <c:pt idx="542">
                  <c:v>88110.5</c:v>
                </c:pt>
                <c:pt idx="543">
                  <c:v>88617.75</c:v>
                </c:pt>
                <c:pt idx="544">
                  <c:v>89125</c:v>
                </c:pt>
                <c:pt idx="545">
                  <c:v>89644</c:v>
                </c:pt>
                <c:pt idx="546">
                  <c:v>90163</c:v>
                </c:pt>
                <c:pt idx="547">
                  <c:v>90682</c:v>
                </c:pt>
                <c:pt idx="548">
                  <c:v>91201</c:v>
                </c:pt>
                <c:pt idx="549">
                  <c:v>91732</c:v>
                </c:pt>
                <c:pt idx="550">
                  <c:v>92263</c:v>
                </c:pt>
                <c:pt idx="551">
                  <c:v>92794</c:v>
                </c:pt>
                <c:pt idx="552">
                  <c:v>93325</c:v>
                </c:pt>
                <c:pt idx="553">
                  <c:v>93868.5</c:v>
                </c:pt>
                <c:pt idx="554">
                  <c:v>94412</c:v>
                </c:pt>
                <c:pt idx="555">
                  <c:v>94955.5</c:v>
                </c:pt>
                <c:pt idx="556">
                  <c:v>95499</c:v>
                </c:pt>
                <c:pt idx="557">
                  <c:v>96611.5</c:v>
                </c:pt>
                <c:pt idx="558">
                  <c:v>97724</c:v>
                </c:pt>
                <c:pt idx="559">
                  <c:v>98862</c:v>
                </c:pt>
                <c:pt idx="560">
                  <c:v>100000</c:v>
                </c:pt>
                <c:pt idx="561">
                  <c:v>101165</c:v>
                </c:pt>
                <c:pt idx="562">
                  <c:v>102330</c:v>
                </c:pt>
                <c:pt idx="563">
                  <c:v>103520</c:v>
                </c:pt>
                <c:pt idx="564">
                  <c:v>104710</c:v>
                </c:pt>
                <c:pt idx="565">
                  <c:v>105930</c:v>
                </c:pt>
                <c:pt idx="566">
                  <c:v>107150</c:v>
                </c:pt>
                <c:pt idx="567">
                  <c:v>108400</c:v>
                </c:pt>
                <c:pt idx="568">
                  <c:v>109650</c:v>
                </c:pt>
                <c:pt idx="569">
                  <c:v>110925</c:v>
                </c:pt>
                <c:pt idx="570">
                  <c:v>112200</c:v>
                </c:pt>
                <c:pt idx="571">
                  <c:v>113510</c:v>
                </c:pt>
                <c:pt idx="572">
                  <c:v>114820</c:v>
                </c:pt>
                <c:pt idx="573">
                  <c:v>116155</c:v>
                </c:pt>
                <c:pt idx="574">
                  <c:v>117490</c:v>
                </c:pt>
                <c:pt idx="575">
                  <c:v>118860</c:v>
                </c:pt>
                <c:pt idx="576">
                  <c:v>120230</c:v>
                </c:pt>
                <c:pt idx="577">
                  <c:v>126030</c:v>
                </c:pt>
                <c:pt idx="578">
                  <c:v>131830</c:v>
                </c:pt>
                <c:pt idx="579">
                  <c:v>144540</c:v>
                </c:pt>
                <c:pt idx="580">
                  <c:v>158490</c:v>
                </c:pt>
                <c:pt idx="581">
                  <c:v>173780</c:v>
                </c:pt>
                <c:pt idx="582">
                  <c:v>190550</c:v>
                </c:pt>
                <c:pt idx="583">
                  <c:v>208930</c:v>
                </c:pt>
                <c:pt idx="584">
                  <c:v>229090</c:v>
                </c:pt>
                <c:pt idx="585">
                  <c:v>251190</c:v>
                </c:pt>
                <c:pt idx="586">
                  <c:v>275420</c:v>
                </c:pt>
                <c:pt idx="587">
                  <c:v>302000</c:v>
                </c:pt>
                <c:pt idx="588">
                  <c:v>331130</c:v>
                </c:pt>
                <c:pt idx="589">
                  <c:v>363080</c:v>
                </c:pt>
                <c:pt idx="590">
                  <c:v>398110</c:v>
                </c:pt>
                <c:pt idx="591">
                  <c:v>436520</c:v>
                </c:pt>
                <c:pt idx="592">
                  <c:v>478630</c:v>
                </c:pt>
                <c:pt idx="593">
                  <c:v>524810</c:v>
                </c:pt>
                <c:pt idx="594">
                  <c:v>575440</c:v>
                </c:pt>
                <c:pt idx="595">
                  <c:v>630960</c:v>
                </c:pt>
                <c:pt idx="596">
                  <c:v>691830</c:v>
                </c:pt>
                <c:pt idx="597">
                  <c:v>758580</c:v>
                </c:pt>
                <c:pt idx="598">
                  <c:v>831760</c:v>
                </c:pt>
                <c:pt idx="599">
                  <c:v>912010</c:v>
                </c:pt>
                <c:pt idx="600">
                  <c:v>1000000</c:v>
                </c:pt>
              </c:numCache>
            </c:numRef>
          </c:xVal>
          <c:yVal>
            <c:numRef>
              <c:f>'Stability Calculations'!$W$13:$W$613</c:f>
              <c:numCache>
                <c:formatCode>0.00</c:formatCode>
                <c:ptCount val="601"/>
                <c:pt idx="0">
                  <c:v>96.72075108680815</c:v>
                </c:pt>
                <c:pt idx="1">
                  <c:v>89.92607611409953</c:v>
                </c:pt>
                <c:pt idx="2">
                  <c:v>89.276580320235169</c:v>
                </c:pt>
                <c:pt idx="3">
                  <c:v>88.605899561304753</c:v>
                </c:pt>
                <c:pt idx="4">
                  <c:v>87.916953348428422</c:v>
                </c:pt>
                <c:pt idx="5">
                  <c:v>87.210902326648238</c:v>
                </c:pt>
                <c:pt idx="6">
                  <c:v>86.490870395313607</c:v>
                </c:pt>
                <c:pt idx="7">
                  <c:v>85.758324251139655</c:v>
                </c:pt>
                <c:pt idx="8">
                  <c:v>85.015533599726041</c:v>
                </c:pt>
                <c:pt idx="9">
                  <c:v>84.263469928934484</c:v>
                </c:pt>
                <c:pt idx="10">
                  <c:v>83.503904946142043</c:v>
                </c:pt>
                <c:pt idx="11">
                  <c:v>82.737897456403132</c:v>
                </c:pt>
                <c:pt idx="12">
                  <c:v>81.966041971753398</c:v>
                </c:pt>
                <c:pt idx="13">
                  <c:v>81.18993971780634</c:v>
                </c:pt>
                <c:pt idx="14">
                  <c:v>80.409705517785369</c:v>
                </c:pt>
                <c:pt idx="15">
                  <c:v>79.626260530354799</c:v>
                </c:pt>
                <c:pt idx="16">
                  <c:v>78.840068585820561</c:v>
                </c:pt>
                <c:pt idx="17">
                  <c:v>78.051686106774511</c:v>
                </c:pt>
                <c:pt idx="18">
                  <c:v>77.261257686126541</c:v>
                </c:pt>
                <c:pt idx="19">
                  <c:v>76.469308985610724</c:v>
                </c:pt>
                <c:pt idx="20">
                  <c:v>75.675944487384896</c:v>
                </c:pt>
                <c:pt idx="21">
                  <c:v>74.881545155184199</c:v>
                </c:pt>
                <c:pt idx="22">
                  <c:v>74.086124076618432</c:v>
                </c:pt>
                <c:pt idx="23">
                  <c:v>73.290030334827691</c:v>
                </c:pt>
                <c:pt idx="24">
                  <c:v>72.493188023136611</c:v>
                </c:pt>
                <c:pt idx="25">
                  <c:v>71.695825675597177</c:v>
                </c:pt>
                <c:pt idx="26">
                  <c:v>70.89784479084561</c:v>
                </c:pt>
                <c:pt idx="27">
                  <c:v>70.099571791820253</c:v>
                </c:pt>
                <c:pt idx="28">
                  <c:v>69.301035677413012</c:v>
                </c:pt>
                <c:pt idx="29">
                  <c:v>68.502782304006615</c:v>
                </c:pt>
                <c:pt idx="30">
                  <c:v>67.703502569826298</c:v>
                </c:pt>
                <c:pt idx="31">
                  <c:v>66.904346715414832</c:v>
                </c:pt>
                <c:pt idx="32">
                  <c:v>66.104800144252621</c:v>
                </c:pt>
                <c:pt idx="33">
                  <c:v>65.305454865403235</c:v>
                </c:pt>
                <c:pt idx="34">
                  <c:v>64.505712258864605</c:v>
                </c:pt>
                <c:pt idx="35">
                  <c:v>63.706036278245001</c:v>
                </c:pt>
                <c:pt idx="36">
                  <c:v>62.906314881752905</c:v>
                </c:pt>
                <c:pt idx="37">
                  <c:v>62.106124363407709</c:v>
                </c:pt>
                <c:pt idx="38">
                  <c:v>61.306230512377901</c:v>
                </c:pt>
                <c:pt idx="39">
                  <c:v>60.505989347116433</c:v>
                </c:pt>
                <c:pt idx="40">
                  <c:v>59.705700323581816</c:v>
                </c:pt>
                <c:pt idx="41">
                  <c:v>58.905287451613617</c:v>
                </c:pt>
                <c:pt idx="42">
                  <c:v>58.104849430638822</c:v>
                </c:pt>
                <c:pt idx="43">
                  <c:v>57.304134404097844</c:v>
                </c:pt>
                <c:pt idx="44">
                  <c:v>56.503333113934495</c:v>
                </c:pt>
                <c:pt idx="45">
                  <c:v>55.702255664242692</c:v>
                </c:pt>
                <c:pt idx="46">
                  <c:v>54.901028506541714</c:v>
                </c:pt>
                <c:pt idx="47">
                  <c:v>54.099435791474882</c:v>
                </c:pt>
                <c:pt idx="48">
                  <c:v>53.297622197661376</c:v>
                </c:pt>
                <c:pt idx="49">
                  <c:v>52.495319493950376</c:v>
                </c:pt>
                <c:pt idx="50">
                  <c:v>51.692575330291525</c:v>
                </c:pt>
                <c:pt idx="51">
                  <c:v>50.889111589457592</c:v>
                </c:pt>
                <c:pt idx="52">
                  <c:v>50.08507607757565</c:v>
                </c:pt>
                <c:pt idx="53">
                  <c:v>49.280310041227622</c:v>
                </c:pt>
                <c:pt idx="54">
                  <c:v>48.475163853721966</c:v>
                </c:pt>
                <c:pt idx="55">
                  <c:v>47.668098481787183</c:v>
                </c:pt>
                <c:pt idx="56">
                  <c:v>46.860033193962529</c:v>
                </c:pt>
                <c:pt idx="57">
                  <c:v>46.050178019021509</c:v>
                </c:pt>
                <c:pt idx="58">
                  <c:v>45.238829931899886</c:v>
                </c:pt>
                <c:pt idx="59">
                  <c:v>44.42504057459854</c:v>
                </c:pt>
                <c:pt idx="60">
                  <c:v>43.608899248251738</c:v>
                </c:pt>
                <c:pt idx="61">
                  <c:v>42.78986655029459</c:v>
                </c:pt>
                <c:pt idx="62">
                  <c:v>41.967036683892694</c:v>
                </c:pt>
                <c:pt idx="63">
                  <c:v>41.140686910698072</c:v>
                </c:pt>
                <c:pt idx="64">
                  <c:v>40.3096099546297</c:v>
                </c:pt>
                <c:pt idx="65">
                  <c:v>39.473553491289863</c:v>
                </c:pt>
                <c:pt idx="66">
                  <c:v>38.631879195339494</c:v>
                </c:pt>
                <c:pt idx="67">
                  <c:v>37.784164601097572</c:v>
                </c:pt>
                <c:pt idx="68">
                  <c:v>36.929685959756839</c:v>
                </c:pt>
                <c:pt idx="69">
                  <c:v>36.068307079895192</c:v>
                </c:pt>
                <c:pt idx="70">
                  <c:v>35.199654955835292</c:v>
                </c:pt>
                <c:pt idx="71">
                  <c:v>34.323922856930913</c:v>
                </c:pt>
                <c:pt idx="72">
                  <c:v>33.441205351853164</c:v>
                </c:pt>
                <c:pt idx="73">
                  <c:v>32.552303441637008</c:v>
                </c:pt>
                <c:pt idx="74">
                  <c:v>31.657887450967721</c:v>
                </c:pt>
                <c:pt idx="75">
                  <c:v>30.759290002534723</c:v>
                </c:pt>
                <c:pt idx="76">
                  <c:v>29.857746971224884</c:v>
                </c:pt>
                <c:pt idx="77">
                  <c:v>28.955164394309026</c:v>
                </c:pt>
                <c:pt idx="78">
                  <c:v>28.053199646539614</c:v>
                </c:pt>
                <c:pt idx="79">
                  <c:v>27.154065440409639</c:v>
                </c:pt>
                <c:pt idx="80">
                  <c:v>26.257755755007835</c:v>
                </c:pt>
                <c:pt idx="81">
                  <c:v>25.366811459297143</c:v>
                </c:pt>
                <c:pt idx="82">
                  <c:v>24.48162642415658</c:v>
                </c:pt>
                <c:pt idx="83">
                  <c:v>23.603515734638123</c:v>
                </c:pt>
                <c:pt idx="84">
                  <c:v>22.732178482105866</c:v>
                </c:pt>
                <c:pt idx="85">
                  <c:v>21.868203112945245</c:v>
                </c:pt>
                <c:pt idx="86">
                  <c:v>21.011315294765332</c:v>
                </c:pt>
                <c:pt idx="87">
                  <c:v>20.160735038471191</c:v>
                </c:pt>
                <c:pt idx="88">
                  <c:v>19.316818636476999</c:v>
                </c:pt>
                <c:pt idx="89">
                  <c:v>18.478347880668174</c:v>
                </c:pt>
                <c:pt idx="90">
                  <c:v>17.64506255051726</c:v>
                </c:pt>
                <c:pt idx="91">
                  <c:v>16.816299644234938</c:v>
                </c:pt>
                <c:pt idx="92">
                  <c:v>15.991593092659645</c:v>
                </c:pt>
                <c:pt idx="93">
                  <c:v>15.170147354961541</c:v>
                </c:pt>
                <c:pt idx="94">
                  <c:v>14.965338458080842</c:v>
                </c:pt>
                <c:pt idx="95">
                  <c:v>14.862365372104385</c:v>
                </c:pt>
                <c:pt idx="96">
                  <c:v>14.760612822004733</c:v>
                </c:pt>
                <c:pt idx="97">
                  <c:v>14.657734553154274</c:v>
                </c:pt>
                <c:pt idx="98">
                  <c:v>14.556073733774397</c:v>
                </c:pt>
                <c:pt idx="99">
                  <c:v>14.453260676599395</c:v>
                </c:pt>
                <c:pt idx="100">
                  <c:v>14.351662672138863</c:v>
                </c:pt>
                <c:pt idx="101">
                  <c:v>14.248965080272491</c:v>
                </c:pt>
                <c:pt idx="102">
                  <c:v>14.147478958634176</c:v>
                </c:pt>
                <c:pt idx="103">
                  <c:v>14.04479455841286</c:v>
                </c:pt>
                <c:pt idx="104">
                  <c:v>13.943320439027662</c:v>
                </c:pt>
                <c:pt idx="105">
                  <c:v>13.840702666576652</c:v>
                </c:pt>
                <c:pt idx="106">
                  <c:v>13.739292726327587</c:v>
                </c:pt>
                <c:pt idx="107">
                  <c:v>13.6367911498963</c:v>
                </c:pt>
                <c:pt idx="108">
                  <c:v>13.535493794205104</c:v>
                </c:pt>
                <c:pt idx="109">
                  <c:v>13.433085014168899</c:v>
                </c:pt>
                <c:pt idx="110">
                  <c:v>13.331877388547575</c:v>
                </c:pt>
                <c:pt idx="111">
                  <c:v>13.229473304365911</c:v>
                </c:pt>
                <c:pt idx="112">
                  <c:v>13.128269357631815</c:v>
                </c:pt>
                <c:pt idx="113">
                  <c:v>13.025923158407387</c:v>
                </c:pt>
                <c:pt idx="114">
                  <c:v>12.92477483369694</c:v>
                </c:pt>
                <c:pt idx="115">
                  <c:v>12.82247131889287</c:v>
                </c:pt>
                <c:pt idx="116">
                  <c:v>12.721363763775841</c:v>
                </c:pt>
                <c:pt idx="117">
                  <c:v>12.619090107124251</c:v>
                </c:pt>
                <c:pt idx="118">
                  <c:v>12.518010786683737</c:v>
                </c:pt>
                <c:pt idx="119">
                  <c:v>12.415817962477949</c:v>
                </c:pt>
                <c:pt idx="120">
                  <c:v>12.31481666163436</c:v>
                </c:pt>
                <c:pt idx="121">
                  <c:v>12.212691773755067</c:v>
                </c:pt>
                <c:pt idx="122">
                  <c:v>12.111755890394583</c:v>
                </c:pt>
                <c:pt idx="123">
                  <c:v>12.009629320989694</c:v>
                </c:pt>
                <c:pt idx="124">
                  <c:v>11.908690840731674</c:v>
                </c:pt>
                <c:pt idx="125">
                  <c:v>11.806615171039672</c:v>
                </c:pt>
                <c:pt idx="126">
                  <c:v>11.705725449311746</c:v>
                </c:pt>
                <c:pt idx="127">
                  <c:v>11.603693408460828</c:v>
                </c:pt>
                <c:pt idx="128">
                  <c:v>11.50284533331542</c:v>
                </c:pt>
                <c:pt idx="129">
                  <c:v>11.40085126267261</c:v>
                </c:pt>
                <c:pt idx="130">
                  <c:v>11.300039295669515</c:v>
                </c:pt>
                <c:pt idx="131">
                  <c:v>11.198079013225779</c:v>
                </c:pt>
                <c:pt idx="132">
                  <c:v>11.147543236305893</c:v>
                </c:pt>
                <c:pt idx="133">
                  <c:v>11.097299057057782</c:v>
                </c:pt>
                <c:pt idx="134">
                  <c:v>11.046159003987416</c:v>
                </c:pt>
                <c:pt idx="135">
                  <c:v>10.995317414230074</c:v>
                </c:pt>
                <c:pt idx="136">
                  <c:v>10.944770759915418</c:v>
                </c:pt>
                <c:pt idx="137">
                  <c:v>10.894515575455932</c:v>
                </c:pt>
                <c:pt idx="138">
                  <c:v>10.843417329716287</c:v>
                </c:pt>
                <c:pt idx="139">
                  <c:v>10.792616800413459</c:v>
                </c:pt>
                <c:pt idx="140">
                  <c:v>10.742110473257307</c:v>
                </c:pt>
                <c:pt idx="141">
                  <c:v>10.69189489590287</c:v>
                </c:pt>
                <c:pt idx="142">
                  <c:v>10.640786168132397</c:v>
                </c:pt>
                <c:pt idx="143">
                  <c:v>10.589975013833214</c:v>
                </c:pt>
                <c:pt idx="144">
                  <c:v>10.539457921562176</c:v>
                </c:pt>
                <c:pt idx="145">
                  <c:v>10.48923144173536</c:v>
                </c:pt>
                <c:pt idx="146">
                  <c:v>10.438138763202776</c:v>
                </c:pt>
                <c:pt idx="147">
                  <c:v>10.387343202567656</c:v>
                </c:pt>
                <c:pt idx="148">
                  <c:v>10.336841256681893</c:v>
                </c:pt>
                <c:pt idx="149">
                  <c:v>10.286629484042857</c:v>
                </c:pt>
                <c:pt idx="150">
                  <c:v>10.235553534095452</c:v>
                </c:pt>
                <c:pt idx="151">
                  <c:v>10.184774234090373</c:v>
                </c:pt>
                <c:pt idx="152">
                  <c:v>10.134288089317366</c:v>
                </c:pt>
                <c:pt idx="153">
                  <c:v>10.084091666495038</c:v>
                </c:pt>
                <c:pt idx="154">
                  <c:v>10.033010107435558</c:v>
                </c:pt>
                <c:pt idx="155">
                  <c:v>9.9822249839290826</c:v>
                </c:pt>
                <c:pt idx="156">
                  <c:v>9.9317328051602711</c:v>
                </c:pt>
                <c:pt idx="157">
                  <c:v>9.8815301416324246</c:v>
                </c:pt>
                <c:pt idx="158">
                  <c:v>9.8304460372316989</c:v>
                </c:pt>
                <c:pt idx="159">
                  <c:v>9.7796581126605346</c:v>
                </c:pt>
                <c:pt idx="160">
                  <c:v>9.729162881650856</c:v>
                </c:pt>
                <c:pt idx="161">
                  <c:v>9.6789569191280087</c:v>
                </c:pt>
                <c:pt idx="162">
                  <c:v>9.6278959502096431</c:v>
                </c:pt>
                <c:pt idx="163">
                  <c:v>9.5771306026051626</c:v>
                </c:pt>
                <c:pt idx="164">
                  <c:v>9.5266573998423159</c:v>
                </c:pt>
                <c:pt idx="165">
                  <c:v>9.4764729263949405</c:v>
                </c:pt>
                <c:pt idx="166">
                  <c:v>9.4253933670050642</c:v>
                </c:pt>
                <c:pt idx="167">
                  <c:v>9.3746093457765216</c:v>
                </c:pt>
                <c:pt idx="168">
                  <c:v>9.3241173875888421</c:v>
                </c:pt>
                <c:pt idx="169">
                  <c:v>9.2739140782177092</c:v>
                </c:pt>
                <c:pt idx="170">
                  <c:v>9.2229279632058301</c:v>
                </c:pt>
                <c:pt idx="171">
                  <c:v>9.172236005424768</c:v>
                </c:pt>
                <c:pt idx="172">
                  <c:v>9.1218347538205808</c:v>
                </c:pt>
                <c:pt idx="173">
                  <c:v>9.0717208176577948</c:v>
                </c:pt>
                <c:pt idx="174">
                  <c:v>9.0206382890098773</c:v>
                </c:pt>
                <c:pt idx="175">
                  <c:v>8.9698507157998506</c:v>
                </c:pt>
                <c:pt idx="176">
                  <c:v>8.919354632684481</c:v>
                </c:pt>
                <c:pt idx="177">
                  <c:v>8.8691466349533918</c:v>
                </c:pt>
                <c:pt idx="178">
                  <c:v>8.8179993149442932</c:v>
                </c:pt>
                <c:pt idx="179">
                  <c:v>8.7671473754290066</c:v>
                </c:pt>
                <c:pt idx="180">
                  <c:v>8.7165873432316729</c:v>
                </c:pt>
                <c:pt idx="181">
                  <c:v>8.666315805974099</c:v>
                </c:pt>
                <c:pt idx="182">
                  <c:v>8.6153325684765782</c:v>
                </c:pt>
                <c:pt idx="183">
                  <c:v>8.5646424967970329</c:v>
                </c:pt>
                <c:pt idx="184">
                  <c:v>8.5142421561895105</c:v>
                </c:pt>
                <c:pt idx="185">
                  <c:v>8.4641281717965207</c:v>
                </c:pt>
                <c:pt idx="186">
                  <c:v>8.4129332792911296</c:v>
                </c:pt>
                <c:pt idx="187">
                  <c:v>8.3620336454385189</c:v>
                </c:pt>
                <c:pt idx="188">
                  <c:v>8.3114257982171331</c:v>
                </c:pt>
                <c:pt idx="189">
                  <c:v>8.2611063263434179</c:v>
                </c:pt>
                <c:pt idx="190">
                  <c:v>8.2101197719140018</c:v>
                </c:pt>
                <c:pt idx="191">
                  <c:v>8.159425737985412</c:v>
                </c:pt>
                <c:pt idx="192">
                  <c:v>8.1090207999584969</c:v>
                </c:pt>
                <c:pt idx="193">
                  <c:v>8.058901592856083</c:v>
                </c:pt>
                <c:pt idx="194">
                  <c:v>8.0077619972194949</c:v>
                </c:pt>
                <c:pt idx="195">
                  <c:v>7.9569163175096689</c:v>
                </c:pt>
                <c:pt idx="196">
                  <c:v>7.9063611039451311</c:v>
                </c:pt>
                <c:pt idx="197">
                  <c:v>7.8560929669350719</c:v>
                </c:pt>
                <c:pt idx="198">
                  <c:v>7.8050171769174721</c:v>
                </c:pt>
                <c:pt idx="199">
                  <c:v>7.7542342032793323</c:v>
                </c:pt>
                <c:pt idx="200">
                  <c:v>7.7037406147107301</c:v>
                </c:pt>
                <c:pt idx="201">
                  <c:v>7.6535330396498482</c:v>
                </c:pt>
                <c:pt idx="202">
                  <c:v>7.6025414158809523</c:v>
                </c:pt>
                <c:pt idx="203">
                  <c:v>7.5518412687975474</c:v>
                </c:pt>
                <c:pt idx="204">
                  <c:v>7.501429189640386</c:v>
                </c:pt>
                <c:pt idx="205">
                  <c:v>7.4513018288634978</c:v>
                </c:pt>
                <c:pt idx="206">
                  <c:v>7.4002393902285561</c:v>
                </c:pt>
                <c:pt idx="207">
                  <c:v>7.3494688453759691</c:v>
                </c:pt>
                <c:pt idx="208">
                  <c:v>7.2989867772466148</c:v>
                </c:pt>
                <c:pt idx="209">
                  <c:v>7.2487898281735337</c:v>
                </c:pt>
                <c:pt idx="210">
                  <c:v>7.1975157496237996</c:v>
                </c:pt>
                <c:pt idx="211">
                  <c:v>7.1465355752190298</c:v>
                </c:pt>
                <c:pt idx="212">
                  <c:v>7.0958458515260361</c:v>
                </c:pt>
                <c:pt idx="213">
                  <c:v>7.0454431853333608</c:v>
                </c:pt>
                <c:pt idx="214">
                  <c:v>6.9943280552065188</c:v>
                </c:pt>
                <c:pt idx="215">
                  <c:v>6.9435045961399577</c:v>
                </c:pt>
                <c:pt idx="216">
                  <c:v>6.8929693926624385</c:v>
                </c:pt>
                <c:pt idx="217">
                  <c:v>6.8427190886345084</c:v>
                </c:pt>
                <c:pt idx="218">
                  <c:v>6.7916142923975684</c:v>
                </c:pt>
                <c:pt idx="219">
                  <c:v>6.7408006181202289</c:v>
                </c:pt>
                <c:pt idx="220">
                  <c:v>6.6902746586380681</c:v>
                </c:pt>
                <c:pt idx="221">
                  <c:v>6.6400330659160449</c:v>
                </c:pt>
                <c:pt idx="222">
                  <c:v>6.5889619581335301</c:v>
                </c:pt>
                <c:pt idx="223">
                  <c:v>6.5381811445246711</c:v>
                </c:pt>
                <c:pt idx="224">
                  <c:v>6.4876872310000309</c:v>
                </c:pt>
                <c:pt idx="225">
                  <c:v>6.4374768822883919</c:v>
                </c:pt>
                <c:pt idx="226">
                  <c:v>6.3863060095036435</c:v>
                </c:pt>
                <c:pt idx="227">
                  <c:v>6.3354261009093502</c:v>
                </c:pt>
                <c:pt idx="228">
                  <c:v>6.2848337491766557</c:v>
                </c:pt>
                <c:pt idx="229">
                  <c:v>6.2345256060907737</c:v>
                </c:pt>
                <c:pt idx="230">
                  <c:v>6.1323364348837988</c:v>
                </c:pt>
                <c:pt idx="231">
                  <c:v>6.0816753417269585</c:v>
                </c:pt>
                <c:pt idx="232">
                  <c:v>6.031298750351743</c:v>
                </c:pt>
                <c:pt idx="233">
                  <c:v>5.9800175458955573</c:v>
                </c:pt>
                <c:pt idx="234">
                  <c:v>5.9290275795249059</c:v>
                </c:pt>
                <c:pt idx="235">
                  <c:v>5.8783254357388639</c:v>
                </c:pt>
                <c:pt idx="236">
                  <c:v>5.8279077583238852</c:v>
                </c:pt>
                <c:pt idx="237">
                  <c:v>5.7767568740930013</c:v>
                </c:pt>
                <c:pt idx="238">
                  <c:v>5.7258952411586375</c:v>
                </c:pt>
                <c:pt idx="239">
                  <c:v>5.6753194769726409</c:v>
                </c:pt>
                <c:pt idx="240">
                  <c:v>5.6250262575083951</c:v>
                </c:pt>
                <c:pt idx="241">
                  <c:v>5.573737183421942</c:v>
                </c:pt>
                <c:pt idx="242">
                  <c:v>5.5227383884195893</c:v>
                </c:pt>
                <c:pt idx="243">
                  <c:v>5.4720264700029384</c:v>
                </c:pt>
                <c:pt idx="244">
                  <c:v>5.4215980846492862</c:v>
                </c:pt>
                <c:pt idx="245">
                  <c:v>5.3703417796596034</c:v>
                </c:pt>
                <c:pt idx="246">
                  <c:v>5.3193748321491512</c:v>
                </c:pt>
                <c:pt idx="247">
                  <c:v>5.2686938536968402</c:v>
                </c:pt>
                <c:pt idx="248">
                  <c:v>5.2182955145284051</c:v>
                </c:pt>
                <c:pt idx="249">
                  <c:v>5.1669575909896137</c:v>
                </c:pt>
                <c:pt idx="250">
                  <c:v>5.1159093714391695</c:v>
                </c:pt>
                <c:pt idx="251">
                  <c:v>5.0651474591986485</c:v>
                </c:pt>
                <c:pt idx="252">
                  <c:v>5.0146685164232867</c:v>
                </c:pt>
                <c:pt idx="253">
                  <c:v>4.9634098434232756</c:v>
                </c:pt>
                <c:pt idx="254">
                  <c:v>4.9124393910546367</c:v>
                </c:pt>
                <c:pt idx="255">
                  <c:v>4.8617537863297624</c:v>
                </c:pt>
                <c:pt idx="256">
                  <c:v>4.8113497145473456</c:v>
                </c:pt>
                <c:pt idx="257">
                  <c:v>4.7599289913189464</c:v>
                </c:pt>
                <c:pt idx="258">
                  <c:v>4.7087976920016654</c:v>
                </c:pt>
                <c:pt idx="259">
                  <c:v>4.6579524201043885</c:v>
                </c:pt>
                <c:pt idx="260">
                  <c:v>4.6073898379617582</c:v>
                </c:pt>
                <c:pt idx="261">
                  <c:v>4.5559670879073701</c:v>
                </c:pt>
                <c:pt idx="262">
                  <c:v>4.5048331441855689</c:v>
                </c:pt>
                <c:pt idx="263">
                  <c:v>4.4539846186014103</c:v>
                </c:pt>
                <c:pt idx="264">
                  <c:v>4.4034181815945592</c:v>
                </c:pt>
                <c:pt idx="265">
                  <c:v>4.3520162002870553</c:v>
                </c:pt>
                <c:pt idx="266">
                  <c:v>4.3009021301705417</c:v>
                </c:pt>
                <c:pt idx="267">
                  <c:v>4.2500725960987564</c:v>
                </c:pt>
                <c:pt idx="268">
                  <c:v>4.1995242812612155</c:v>
                </c:pt>
                <c:pt idx="269">
                  <c:v>4.1480430772871975</c:v>
                </c:pt>
                <c:pt idx="270">
                  <c:v>4.0968499819013013</c:v>
                </c:pt>
                <c:pt idx="271">
                  <c:v>4.0459416137260975</c:v>
                </c:pt>
                <c:pt idx="272">
                  <c:v>3.9953146498654957</c:v>
                </c:pt>
                <c:pt idx="273">
                  <c:v>3.9437816833184409</c:v>
                </c:pt>
                <c:pt idx="274">
                  <c:v>3.8925366882808015</c:v>
                </c:pt>
                <c:pt idx="275">
                  <c:v>3.8415762828881821</c:v>
                </c:pt>
                <c:pt idx="276">
                  <c:v>3.7908971437725585</c:v>
                </c:pt>
                <c:pt idx="277">
                  <c:v>3.7394537390925153</c:v>
                </c:pt>
                <c:pt idx="278">
                  <c:v>3.6882965705384647</c:v>
                </c:pt>
                <c:pt idx="279">
                  <c:v>3.6374222836934194</c:v>
                </c:pt>
                <c:pt idx="280">
                  <c:v>3.586827582011427</c:v>
                </c:pt>
                <c:pt idx="281">
                  <c:v>3.5351500141868057</c:v>
                </c:pt>
                <c:pt idx="282">
                  <c:v>3.4837605160434562</c:v>
                </c:pt>
                <c:pt idx="283">
                  <c:v>3.4326556978370966</c:v>
                </c:pt>
                <c:pt idx="284">
                  <c:v>3.3818322285126952</c:v>
                </c:pt>
                <c:pt idx="285">
                  <c:v>3.3302898180065279</c:v>
                </c:pt>
                <c:pt idx="286">
                  <c:v>3.2790331806002411</c:v>
                </c:pt>
                <c:pt idx="287">
                  <c:v>3.2280589636582304</c:v>
                </c:pt>
                <c:pt idx="288">
                  <c:v>3.1773638723895328</c:v>
                </c:pt>
                <c:pt idx="289">
                  <c:v>3.1256443547398431</c:v>
                </c:pt>
                <c:pt idx="290">
                  <c:v>3.0742117436404888</c:v>
                </c:pt>
                <c:pt idx="291">
                  <c:v>3.0230626631815758</c:v>
                </c:pt>
                <c:pt idx="292">
                  <c:v>2.9721937958420686</c:v>
                </c:pt>
                <c:pt idx="293">
                  <c:v>2.9204359886470055</c:v>
                </c:pt>
                <c:pt idx="294">
                  <c:v>2.868964651176622</c:v>
                </c:pt>
                <c:pt idx="295">
                  <c:v>2.8177764117180555</c:v>
                </c:pt>
                <c:pt idx="296">
                  <c:v>2.7668679568621086</c:v>
                </c:pt>
                <c:pt idx="297">
                  <c:v>2.7150955617441492</c:v>
                </c:pt>
                <c:pt idx="298">
                  <c:v>2.6636089061907384</c:v>
                </c:pt>
                <c:pt idx="299">
                  <c:v>2.6124046277396507</c:v>
                </c:pt>
                <c:pt idx="300">
                  <c:v>2.5614794220326691</c:v>
                </c:pt>
                <c:pt idx="301">
                  <c:v>2.5097143692301884</c:v>
                </c:pt>
                <c:pt idx="302">
                  <c:v>2.4582340537401217</c:v>
                </c:pt>
                <c:pt idx="303">
                  <c:v>2.4070351270320969</c:v>
                </c:pt>
                <c:pt idx="304">
                  <c:v>2.3561142983747847</c:v>
                </c:pt>
                <c:pt idx="305">
                  <c:v>2.3041783931130562</c:v>
                </c:pt>
                <c:pt idx="306">
                  <c:v>2.2525281432255104</c:v>
                </c:pt>
                <c:pt idx="307">
                  <c:v>2.2011601801934448</c:v>
                </c:pt>
                <c:pt idx="308">
                  <c:v>2.1500711937732038</c:v>
                </c:pt>
                <c:pt idx="309">
                  <c:v>2.0981900961652094</c:v>
                </c:pt>
                <c:pt idx="310">
                  <c:v>2.0465930615526986</c:v>
                </c:pt>
                <c:pt idx="311">
                  <c:v>1.9952767455477414</c:v>
                </c:pt>
                <c:pt idx="312">
                  <c:v>1.9442378615018054</c:v>
                </c:pt>
                <c:pt idx="313">
                  <c:v>1.8922384148106919</c:v>
                </c:pt>
                <c:pt idx="314">
                  <c:v>1.840523296491225</c:v>
                </c:pt>
                <c:pt idx="315">
                  <c:v>1.7890891534530804</c:v>
                </c:pt>
                <c:pt idx="316">
                  <c:v>1.7379326905658579</c:v>
                </c:pt>
                <c:pt idx="317">
                  <c:v>1.6858425113106057</c:v>
                </c:pt>
                <c:pt idx="318">
                  <c:v>1.634036582901609</c:v>
                </c:pt>
                <c:pt idx="319">
                  <c:v>1.582511549475706</c:v>
                </c:pt>
                <c:pt idx="320">
                  <c:v>1.5312641132165412</c:v>
                </c:pt>
                <c:pt idx="321">
                  <c:v>1.4791088512668638</c:v>
                </c:pt>
                <c:pt idx="322">
                  <c:v>1.4272374422953265</c:v>
                </c:pt>
                <c:pt idx="323">
                  <c:v>1.3756465332229602</c:v>
                </c:pt>
                <c:pt idx="324">
                  <c:v>1.3243328289790177</c:v>
                </c:pt>
                <c:pt idx="325">
                  <c:v>1.2721362561004899</c:v>
                </c:pt>
                <c:pt idx="326">
                  <c:v>1.220222840095617</c:v>
                </c:pt>
                <c:pt idx="327">
                  <c:v>1.1685892358531054</c:v>
                </c:pt>
                <c:pt idx="328">
                  <c:v>1.1172321561144387</c:v>
                </c:pt>
                <c:pt idx="329">
                  <c:v>1.0649291742846712</c:v>
                </c:pt>
                <c:pt idx="330">
                  <c:v>1.0129093154544713</c:v>
                </c:pt>
                <c:pt idx="331">
                  <c:v>0.961169230693671</c:v>
                </c:pt>
                <c:pt idx="332">
                  <c:v>0.90970562904297214</c:v>
                </c:pt>
                <c:pt idx="333">
                  <c:v>0.85740730589090919</c:v>
                </c:pt>
                <c:pt idx="334">
                  <c:v>0.80539083117924237</c:v>
                </c:pt>
                <c:pt idx="335">
                  <c:v>0.75365287402390368</c:v>
                </c:pt>
                <c:pt idx="336">
                  <c:v>0.70219016112945898</c:v>
                </c:pt>
                <c:pt idx="337">
                  <c:v>0.64974819028116404</c:v>
                </c:pt>
                <c:pt idx="338">
                  <c:v>0.5975883454439016</c:v>
                </c:pt>
                <c:pt idx="339">
                  <c:v>0.5457072862631116</c:v>
                </c:pt>
                <c:pt idx="340">
                  <c:v>0.49410173022615866</c:v>
                </c:pt>
                <c:pt idx="341">
                  <c:v>0.4415436909814266</c:v>
                </c:pt>
                <c:pt idx="342">
                  <c:v>0.38926770946496869</c:v>
                </c:pt>
                <c:pt idx="343">
                  <c:v>0.3372704418894315</c:v>
                </c:pt>
                <c:pt idx="344">
                  <c:v>0.28554860242703978</c:v>
                </c:pt>
                <c:pt idx="345">
                  <c:v>0.23298001579997862</c:v>
                </c:pt>
                <c:pt idx="346">
                  <c:v>0.18069224394995348</c:v>
                </c:pt>
                <c:pt idx="347">
                  <c:v>0.12868196042533786</c:v>
                </c:pt>
                <c:pt idx="348">
                  <c:v>7.6945896376034981E-2</c:v>
                </c:pt>
                <c:pt idx="349">
                  <c:v>2.4228952787300747E-2</c:v>
                </c:pt>
                <c:pt idx="350">
                  <c:v>-2.820699614359512E-2</c:v>
                </c:pt>
                <c:pt idx="351">
                  <c:v>-8.0365284793138092E-2</c:v>
                </c:pt>
                <c:pt idx="352">
                  <c:v>-0.13224918970947502</c:v>
                </c:pt>
                <c:pt idx="353">
                  <c:v>-0.18508752685310409</c:v>
                </c:pt>
                <c:pt idx="354">
                  <c:v>-0.23764502939393561</c:v>
                </c:pt>
                <c:pt idx="355">
                  <c:v>-0.28992503365410954</c:v>
                </c:pt>
                <c:pt idx="356">
                  <c:v>-0.3419308180350647</c:v>
                </c:pt>
                <c:pt idx="357">
                  <c:v>-0.39479054826138604</c:v>
                </c:pt>
                <c:pt idx="358">
                  <c:v>-0.44737071212027463</c:v>
                </c:pt>
                <c:pt idx="359">
                  <c:v>-0.49967462821539627</c:v>
                </c:pt>
                <c:pt idx="360">
                  <c:v>-0.55170555758805595</c:v>
                </c:pt>
                <c:pt idx="361">
                  <c:v>-0.60471508267551266</c:v>
                </c:pt>
                <c:pt idx="362">
                  <c:v>-0.65744500325011435</c:v>
                </c:pt>
                <c:pt idx="363">
                  <c:v>-0.70989864340564024</c:v>
                </c:pt>
                <c:pt idx="364">
                  <c:v>-0.76207926949287197</c:v>
                </c:pt>
                <c:pt idx="365">
                  <c:v>-0.81514062506987905</c:v>
                </c:pt>
                <c:pt idx="366">
                  <c:v>-0.8679234209182316</c:v>
                </c:pt>
                <c:pt idx="367">
                  <c:v>-0.92043096737191965</c:v>
                </c:pt>
                <c:pt idx="368">
                  <c:v>-0.97266651728277709</c:v>
                </c:pt>
                <c:pt idx="369">
                  <c:v>-1.0259008526104161</c:v>
                </c:pt>
                <c:pt idx="370">
                  <c:v>-1.0788564565077023</c:v>
                </c:pt>
                <c:pt idx="371">
                  <c:v>-1.1315366471623076</c:v>
                </c:pt>
                <c:pt idx="372">
                  <c:v>-1.1839446850379047</c:v>
                </c:pt>
                <c:pt idx="373">
                  <c:v>-1.2372562482468283</c:v>
                </c:pt>
                <c:pt idx="374">
                  <c:v>-1.2902899642409671</c:v>
                </c:pt>
                <c:pt idx="375">
                  <c:v>-1.3430491402435965</c:v>
                </c:pt>
                <c:pt idx="376">
                  <c:v>-1.395537025943828</c:v>
                </c:pt>
                <c:pt idx="377">
                  <c:v>-1.4490403258436131</c:v>
                </c:pt>
                <c:pt idx="378">
                  <c:v>-1.5022655278612806</c:v>
                </c:pt>
                <c:pt idx="379">
                  <c:v>-1.5552159484248058</c:v>
                </c:pt>
                <c:pt idx="380">
                  <c:v>-1.6078948461477449</c:v>
                </c:pt>
                <c:pt idx="381">
                  <c:v>-1.6614303199764815</c:v>
                </c:pt>
                <c:pt idx="382">
                  <c:v>-1.7146891544871425</c:v>
                </c:pt>
                <c:pt idx="383">
                  <c:v>-1.7676746447870051</c:v>
                </c:pt>
                <c:pt idx="384">
                  <c:v>-1.8203900285924248</c:v>
                </c:pt>
                <c:pt idx="385">
                  <c:v>-1.8741349627480592</c:v>
                </c:pt>
                <c:pt idx="386">
                  <c:v>-1.9276029417710741</c:v>
                </c:pt>
                <c:pt idx="387">
                  <c:v>-1.9807972709968624</c:v>
                </c:pt>
                <c:pt idx="388">
                  <c:v>-2.0337211980591969</c:v>
                </c:pt>
                <c:pt idx="389">
                  <c:v>-2.0875845664692863</c:v>
                </c:pt>
                <c:pt idx="390">
                  <c:v>-2.1411716612079741</c:v>
                </c:pt>
                <c:pt idx="391">
                  <c:v>-2.1944857799617736</c:v>
                </c:pt>
                <c:pt idx="392">
                  <c:v>-2.2475301628160977</c:v>
                </c:pt>
                <c:pt idx="393">
                  <c:v>-2.3014902751815089</c:v>
                </c:pt>
                <c:pt idx="394">
                  <c:v>-2.3551750717120163</c:v>
                </c:pt>
                <c:pt idx="395">
                  <c:v>-2.4085878373933092</c:v>
                </c:pt>
                <c:pt idx="396">
                  <c:v>-2.4617317998249608</c:v>
                </c:pt>
                <c:pt idx="397">
                  <c:v>-2.5158906054568568</c:v>
                </c:pt>
                <c:pt idx="398">
                  <c:v>-2.5697740734110797</c:v>
                </c:pt>
                <c:pt idx="399">
                  <c:v>-2.6233854933291481</c:v>
                </c:pt>
                <c:pt idx="400">
                  <c:v>-2.6767280972752876</c:v>
                </c:pt>
                <c:pt idx="401">
                  <c:v>-2.7310001451561066</c:v>
                </c:pt>
                <c:pt idx="402">
                  <c:v>-2.7849977608241723</c:v>
                </c:pt>
                <c:pt idx="403">
                  <c:v>-2.8387242218668893</c:v>
                </c:pt>
                <c:pt idx="404">
                  <c:v>-2.8921827484892644</c:v>
                </c:pt>
                <c:pt idx="405">
                  <c:v>-2.946606358002652</c:v>
                </c:pt>
                <c:pt idx="406">
                  <c:v>-3.0007561105680081</c:v>
                </c:pt>
                <c:pt idx="407">
                  <c:v>-3.054635277446625</c:v>
                </c:pt>
                <c:pt idx="408">
                  <c:v>-3.1082470725766971</c:v>
                </c:pt>
                <c:pt idx="409">
                  <c:v>-3.1628575396814544</c:v>
                </c:pt>
                <c:pt idx="410">
                  <c:v>-3.217194431753398</c:v>
                </c:pt>
                <c:pt idx="411">
                  <c:v>-3.2712610187849309</c:v>
                </c:pt>
                <c:pt idx="412">
                  <c:v>-3.3250605133847886</c:v>
                </c:pt>
                <c:pt idx="413">
                  <c:v>-3.3798340439924157</c:v>
                </c:pt>
                <c:pt idx="414">
                  <c:v>-3.4343345811898871</c:v>
                </c:pt>
                <c:pt idx="415">
                  <c:v>-3.4885653881435696</c:v>
                </c:pt>
                <c:pt idx="416">
                  <c:v>-3.5425296707031189</c:v>
                </c:pt>
                <c:pt idx="417">
                  <c:v>-3.5974994201320531</c:v>
                </c:pt>
                <c:pt idx="418">
                  <c:v>-3.6521964895747128</c:v>
                </c:pt>
                <c:pt idx="419">
                  <c:v>-3.7066241399484041</c:v>
                </c:pt>
                <c:pt idx="420">
                  <c:v>-3.7607855748126284</c:v>
                </c:pt>
                <c:pt idx="421">
                  <c:v>-3.8158739113165119</c:v>
                </c:pt>
                <c:pt idx="422">
                  <c:v>-3.870690707935958</c:v>
                </c:pt>
                <c:pt idx="423">
                  <c:v>-3.9252392083269965</c:v>
                </c:pt>
                <c:pt idx="424">
                  <c:v>-3.9795225990971477</c:v>
                </c:pt>
                <c:pt idx="425">
                  <c:v>-4.0348700019493666</c:v>
                </c:pt>
                <c:pt idx="426">
                  <c:v>-4.0899456829532905</c:v>
                </c:pt>
                <c:pt idx="427">
                  <c:v>-4.1447528918879293</c:v>
                </c:pt>
                <c:pt idx="428">
                  <c:v>-4.1992948212452585</c:v>
                </c:pt>
                <c:pt idx="429">
                  <c:v>-4.2548229478469715</c:v>
                </c:pt>
                <c:pt idx="430">
                  <c:v>-4.3100800038184666</c:v>
                </c:pt>
                <c:pt idx="431">
                  <c:v>-4.3650692299089018</c:v>
                </c:pt>
                <c:pt idx="432">
                  <c:v>-4.419793809696996</c:v>
                </c:pt>
                <c:pt idx="433">
                  <c:v>-4.475481218376002</c:v>
                </c:pt>
                <c:pt idx="434">
                  <c:v>-4.5308984736753724</c:v>
                </c:pt>
                <c:pt idx="435">
                  <c:v>-4.5860488022916872</c:v>
                </c:pt>
                <c:pt idx="436">
                  <c:v>-4.6409353739865633</c:v>
                </c:pt>
                <c:pt idx="437">
                  <c:v>-4.6968623428321017</c:v>
                </c:pt>
                <c:pt idx="438">
                  <c:v>-4.7525193578709102</c:v>
                </c:pt>
                <c:pt idx="439">
                  <c:v>-4.8079096442930807</c:v>
                </c:pt>
                <c:pt idx="440">
                  <c:v>-4.8630363702964363</c:v>
                </c:pt>
                <c:pt idx="441">
                  <c:v>-4.9191789587235544</c:v>
                </c:pt>
                <c:pt idx="442">
                  <c:v>-4.9750520873679154</c:v>
                </c:pt>
                <c:pt idx="443">
                  <c:v>-5.0306589743700805</c:v>
                </c:pt>
                <c:pt idx="444">
                  <c:v>-5.0860027809536454</c:v>
                </c:pt>
                <c:pt idx="445">
                  <c:v>-5.142338804161243</c:v>
                </c:pt>
                <c:pt idx="446">
                  <c:v>-5.1984061332759337</c:v>
                </c:pt>
                <c:pt idx="447">
                  <c:v>-5.2542079742551095</c:v>
                </c:pt>
                <c:pt idx="448">
                  <c:v>-5.3097474763385044</c:v>
                </c:pt>
                <c:pt idx="449">
                  <c:v>-5.3663509211980625</c:v>
                </c:pt>
                <c:pt idx="450">
                  <c:v>-5.4226857944167044</c:v>
                </c:pt>
                <c:pt idx="451">
                  <c:v>-5.4787553009663217</c:v>
                </c:pt>
                <c:pt idx="452">
                  <c:v>-5.5345625890412311</c:v>
                </c:pt>
                <c:pt idx="453">
                  <c:v>-5.5913628447180646</c:v>
                </c:pt>
                <c:pt idx="454">
                  <c:v>-5.6478953812564079</c:v>
                </c:pt>
                <c:pt idx="455">
                  <c:v>-5.7041633893416774</c:v>
                </c:pt>
                <c:pt idx="456">
                  <c:v>-5.7601700031399963</c:v>
                </c:pt>
                <c:pt idx="457">
                  <c:v>-5.8172381842715071</c:v>
                </c:pt>
                <c:pt idx="458">
                  <c:v>-5.8740388887631978</c:v>
                </c:pt>
                <c:pt idx="459">
                  <c:v>-5.9305753036240905</c:v>
                </c:pt>
                <c:pt idx="460">
                  <c:v>-5.9868505593586407</c:v>
                </c:pt>
                <c:pt idx="461">
                  <c:v>-6.0441632543638786</c:v>
                </c:pt>
                <c:pt idx="462">
                  <c:v>-6.1012089968954042</c:v>
                </c:pt>
                <c:pt idx="463">
                  <c:v>-6.1579909650138545</c:v>
                </c:pt>
                <c:pt idx="464">
                  <c:v>-6.2145122804212711</c:v>
                </c:pt>
                <c:pt idx="465">
                  <c:v>-6.2720916260701358</c:v>
                </c:pt>
                <c:pt idx="466">
                  <c:v>-6.3294043986620796</c:v>
                </c:pt>
                <c:pt idx="467">
                  <c:v>-6.3864537696544588</c:v>
                </c:pt>
                <c:pt idx="468">
                  <c:v>-6.4432428542452946</c:v>
                </c:pt>
                <c:pt idx="469">
                  <c:v>-6.501066346455497</c:v>
                </c:pt>
                <c:pt idx="470">
                  <c:v>-6.5586239133012922</c:v>
                </c:pt>
                <c:pt idx="471">
                  <c:v>-6.6159187146601086</c:v>
                </c:pt>
                <c:pt idx="472">
                  <c:v>-6.6729538543761056</c:v>
                </c:pt>
                <c:pt idx="473">
                  <c:v>-6.7310851743064513</c:v>
                </c:pt>
                <c:pt idx="474">
                  <c:v>-6.7889506937978137</c:v>
                </c:pt>
                <c:pt idx="475">
                  <c:v>-6.8465535702640228</c:v>
                </c:pt>
                <c:pt idx="476">
                  <c:v>-6.9038969051075156</c:v>
                </c:pt>
                <c:pt idx="477">
                  <c:v>-6.9623121797498833</c:v>
                </c:pt>
                <c:pt idx="478">
                  <c:v>-7.0204620619271729</c:v>
                </c:pt>
                <c:pt idx="479">
                  <c:v>-7.0783497014213363</c:v>
                </c:pt>
                <c:pt idx="480">
                  <c:v>-7.1359781921586043</c:v>
                </c:pt>
                <c:pt idx="481">
                  <c:v>-7.1946552445641565</c:v>
                </c:pt>
                <c:pt idx="482">
                  <c:v>-7.2530675741712445</c:v>
                </c:pt>
                <c:pt idx="483">
                  <c:v>-7.3112183183989004</c:v>
                </c:pt>
                <c:pt idx="484">
                  <c:v>-7.369110559090708</c:v>
                </c:pt>
                <c:pt idx="485">
                  <c:v>-7.4280688663079282</c:v>
                </c:pt>
                <c:pt idx="486">
                  <c:v>-7.4867630042499105</c:v>
                </c:pt>
                <c:pt idx="487">
                  <c:v>-7.5451961000007728</c:v>
                </c:pt>
                <c:pt idx="488">
                  <c:v>-7.6033712253159464</c:v>
                </c:pt>
                <c:pt idx="489">
                  <c:v>-7.6626683033395837</c:v>
                </c:pt>
                <c:pt idx="490">
                  <c:v>-7.7217013161566612</c:v>
                </c:pt>
                <c:pt idx="491">
                  <c:v>-7.7804733884935606</c:v>
                </c:pt>
                <c:pt idx="492">
                  <c:v>-7.8389875898226258</c:v>
                </c:pt>
                <c:pt idx="493">
                  <c:v>-7.8985996944940151</c:v>
                </c:pt>
                <c:pt idx="494">
                  <c:v>-7.9579481177092877</c:v>
                </c:pt>
                <c:pt idx="495">
                  <c:v>-8.0170359769719788</c:v>
                </c:pt>
                <c:pt idx="496">
                  <c:v>-8.0758663347373663</c:v>
                </c:pt>
                <c:pt idx="497">
                  <c:v>-8.1358093732018446</c:v>
                </c:pt>
                <c:pt idx="498">
                  <c:v>-8.1954890412352448</c:v>
                </c:pt>
                <c:pt idx="499">
                  <c:v>-8.2549084505664378</c:v>
                </c:pt>
                <c:pt idx="500">
                  <c:v>-8.3140706580659174</c:v>
                </c:pt>
                <c:pt idx="501">
                  <c:v>-8.3743595057952511</c:v>
                </c:pt>
                <c:pt idx="502">
                  <c:v>-8.4343852344721881</c:v>
                </c:pt>
                <c:pt idx="503">
                  <c:v>-8.4941509513498783</c:v>
                </c:pt>
                <c:pt idx="504">
                  <c:v>-8.5536597090016837</c:v>
                </c:pt>
                <c:pt idx="505">
                  <c:v>-8.6142716152908712</c:v>
                </c:pt>
                <c:pt idx="506">
                  <c:v>-8.6746209233892184</c:v>
                </c:pt>
                <c:pt idx="507">
                  <c:v>-8.7347107316549177</c:v>
                </c:pt>
                <c:pt idx="508">
                  <c:v>-8.7945440840686899</c:v>
                </c:pt>
                <c:pt idx="509">
                  <c:v>-8.8554939821982757</c:v>
                </c:pt>
                <c:pt idx="510">
                  <c:v>-8.9161817450727909</c:v>
                </c:pt>
                <c:pt idx="511">
                  <c:v>-8.9766104636211104</c:v>
                </c:pt>
                <c:pt idx="512">
                  <c:v>-9.0367831746836984</c:v>
                </c:pt>
                <c:pt idx="513">
                  <c:v>-9.0981205550795821</c:v>
                </c:pt>
                <c:pt idx="514">
                  <c:v>-9.1591959162465084</c:v>
                </c:pt>
                <c:pt idx="515">
                  <c:v>-9.2200123483534071</c:v>
                </c:pt>
                <c:pt idx="516">
                  <c:v>-9.2805728876374154</c:v>
                </c:pt>
                <c:pt idx="517">
                  <c:v>-9.3422743627946314</c:v>
                </c:pt>
                <c:pt idx="518">
                  <c:v>-9.4037142173609602</c:v>
                </c:pt>
                <c:pt idx="519">
                  <c:v>-9.4648955364335077</c:v>
                </c:pt>
                <c:pt idx="520">
                  <c:v>-9.5258213514579069</c:v>
                </c:pt>
                <c:pt idx="521">
                  <c:v>-9.5878994799952384</c:v>
                </c:pt>
                <c:pt idx="522">
                  <c:v>-9.6497163645391311</c:v>
                </c:pt>
                <c:pt idx="523">
                  <c:v>-9.7112750863070492</c:v>
                </c:pt>
                <c:pt idx="524">
                  <c:v>-9.7725786731425686</c:v>
                </c:pt>
                <c:pt idx="525">
                  <c:v>-9.8350453575224428</c:v>
                </c:pt>
                <c:pt idx="526">
                  <c:v>-9.8972511639469758</c:v>
                </c:pt>
                <c:pt idx="527">
                  <c:v>-9.959199170886329</c:v>
                </c:pt>
                <c:pt idx="528">
                  <c:v>-10.020892403714317</c:v>
                </c:pt>
                <c:pt idx="529">
                  <c:v>-10.083758963325593</c:v>
                </c:pt>
                <c:pt idx="530">
                  <c:v>-10.146365011739221</c:v>
                </c:pt>
                <c:pt idx="531">
                  <c:v>-10.208713625766846</c:v>
                </c:pt>
                <c:pt idx="532">
                  <c:v>-10.270807829403799</c:v>
                </c:pt>
                <c:pt idx="533">
                  <c:v>-10.334117672860739</c:v>
                </c:pt>
                <c:pt idx="534">
                  <c:v>-10.397167116692392</c:v>
                </c:pt>
                <c:pt idx="535">
                  <c:v>-10.4599592418387</c:v>
                </c:pt>
                <c:pt idx="536">
                  <c:v>-10.522497076600539</c:v>
                </c:pt>
                <c:pt idx="537">
                  <c:v>-10.586194845114647</c:v>
                </c:pt>
                <c:pt idx="538">
                  <c:v>-10.649632888963737</c:v>
                </c:pt>
                <c:pt idx="539">
                  <c:v>-10.712814284706166</c:v>
                </c:pt>
                <c:pt idx="540">
                  <c:v>-10.775742056662583</c:v>
                </c:pt>
                <c:pt idx="541">
                  <c:v>-10.839902448798737</c:v>
                </c:pt>
                <c:pt idx="542">
                  <c:v>-10.903803297679985</c:v>
                </c:pt>
                <c:pt idx="543">
                  <c:v>-10.967447685886956</c:v>
                </c:pt>
                <c:pt idx="544">
                  <c:v>-11.030838643961953</c:v>
                </c:pt>
                <c:pt idx="545">
                  <c:v>-11.095438801562143</c:v>
                </c:pt>
                <c:pt idx="546">
                  <c:v>-11.159779909234448</c:v>
                </c:pt>
                <c:pt idx="547">
                  <c:v>-11.223865051936288</c:v>
                </c:pt>
                <c:pt idx="548">
                  <c:v>-11.28769726290381</c:v>
                </c:pt>
                <c:pt idx="549">
                  <c:v>-11.352746702099974</c:v>
                </c:pt>
                <c:pt idx="550">
                  <c:v>-11.417537641283227</c:v>
                </c:pt>
                <c:pt idx="551">
                  <c:v>-11.482073168904067</c:v>
                </c:pt>
                <c:pt idx="552">
                  <c:v>-11.546356322021602</c:v>
                </c:pt>
                <c:pt idx="553">
                  <c:v>-11.61189449325439</c:v>
                </c:pt>
                <c:pt idx="554">
                  <c:v>-11.677174546837577</c:v>
                </c:pt>
                <c:pt idx="555">
                  <c:v>-11.742199580121028</c:v>
                </c:pt>
                <c:pt idx="556">
                  <c:v>-11.806972639316442</c:v>
                </c:pt>
                <c:pt idx="557">
                  <c:v>-11.938784583862683</c:v>
                </c:pt>
                <c:pt idx="558">
                  <c:v>-12.06957835762058</c:v>
                </c:pt>
                <c:pt idx="559">
                  <c:v>-12.202341938249983</c:v>
                </c:pt>
                <c:pt idx="560">
                  <c:v>-12.334090636385939</c:v>
                </c:pt>
                <c:pt idx="561">
                  <c:v>-12.467939277206504</c:v>
                </c:pt>
                <c:pt idx="562">
                  <c:v>-12.600775037906892</c:v>
                </c:pt>
                <c:pt idx="563">
                  <c:v>-12.735441052287491</c:v>
                </c:pt>
                <c:pt idx="564">
                  <c:v>-12.86910098842929</c:v>
                </c:pt>
                <c:pt idx="565">
                  <c:v>-13.005111640796525</c:v>
                </c:pt>
                <c:pt idx="566">
                  <c:v>-13.140116047896269</c:v>
                </c:pt>
                <c:pt idx="567">
                  <c:v>-13.277422416519704</c:v>
                </c:pt>
                <c:pt idx="568">
                  <c:v>-13.413724163118976</c:v>
                </c:pt>
                <c:pt idx="569">
                  <c:v>-13.551742885572121</c:v>
                </c:pt>
                <c:pt idx="570">
                  <c:v>-13.688768091331045</c:v>
                </c:pt>
                <c:pt idx="571">
                  <c:v>-13.828546173574763</c:v>
                </c:pt>
                <c:pt idx="572">
                  <c:v>-13.967327996708272</c:v>
                </c:pt>
                <c:pt idx="573">
                  <c:v>-14.107759723479861</c:v>
                </c:pt>
                <c:pt idx="574">
                  <c:v>-14.247209396156373</c:v>
                </c:pt>
                <c:pt idx="575">
                  <c:v>-14.389320674764042</c:v>
                </c:pt>
                <c:pt idx="576">
                  <c:v>-14.530451143164845</c:v>
                </c:pt>
                <c:pt idx="577">
                  <c:v>-15.117655488828348</c:v>
                </c:pt>
                <c:pt idx="578">
                  <c:v>-15.689562506267539</c:v>
                </c:pt>
                <c:pt idx="579">
                  <c:v>-16.897191541857698</c:v>
                </c:pt>
                <c:pt idx="580">
                  <c:v>-18.164982770573555</c:v>
                </c:pt>
                <c:pt idx="581">
                  <c:v>-19.50531498806744</c:v>
                </c:pt>
                <c:pt idx="582">
                  <c:v>-20.941261973784606</c:v>
                </c:pt>
                <c:pt idx="583">
                  <c:v>-22.50921487248857</c:v>
                </c:pt>
                <c:pt idx="584">
                  <c:v>-24.278744830317486</c:v>
                </c:pt>
                <c:pt idx="585">
                  <c:v>-26.385197524944619</c:v>
                </c:pt>
                <c:pt idx="586">
                  <c:v>-29.131655586600097</c:v>
                </c:pt>
                <c:pt idx="587">
                  <c:v>-33.314635002630567</c:v>
                </c:pt>
                <c:pt idx="588">
                  <c:v>-42.086912143856694</c:v>
                </c:pt>
                <c:pt idx="589">
                  <c:v>-46.645801512301055</c:v>
                </c:pt>
                <c:pt idx="590">
                  <c:v>-37.668536042688629</c:v>
                </c:pt>
                <c:pt idx="591">
                  <c:v>-35.665150125920192</c:v>
                </c:pt>
                <c:pt idx="592">
                  <c:v>-35.711231812930528</c:v>
                </c:pt>
                <c:pt idx="593">
                  <c:v>-36.776633543615652</c:v>
                </c:pt>
                <c:pt idx="594">
                  <c:v>-38.748919545541696</c:v>
                </c:pt>
                <c:pt idx="595">
                  <c:v>-42.743189073820858</c:v>
                </c:pt>
                <c:pt idx="596">
                  <c:v>-60.996705535186521</c:v>
                </c:pt>
                <c:pt idx="597">
                  <c:v>-46.658774045946814</c:v>
                </c:pt>
                <c:pt idx="598">
                  <c:v>-44.453955567106327</c:v>
                </c:pt>
                <c:pt idx="599">
                  <c:v>-45.784012306085806</c:v>
                </c:pt>
                <c:pt idx="600">
                  <c:v>-51.98976441877754</c:v>
                </c:pt>
              </c:numCache>
            </c:numRef>
          </c:yVal>
          <c:smooth val="0"/>
          <c:extLst>
            <c:ext xmlns:c16="http://schemas.microsoft.com/office/drawing/2014/chart" uri="{C3380CC4-5D6E-409C-BE32-E72D297353CC}">
              <c16:uniqueId val="{00000000-CE7B-4EB8-A1D8-DE125C3BF464}"/>
            </c:ext>
          </c:extLst>
        </c:ser>
        <c:dLbls>
          <c:showLegendKey val="0"/>
          <c:showVal val="0"/>
          <c:showCatName val="0"/>
          <c:showSerName val="0"/>
          <c:showPercent val="0"/>
          <c:showBubbleSize val="0"/>
        </c:dLbls>
        <c:axId val="560664576"/>
        <c:axId val="560666496"/>
      </c:scatterChart>
      <c:scatterChart>
        <c:scatterStyle val="lineMarker"/>
        <c:varyColors val="0"/>
        <c:ser>
          <c:idx val="1"/>
          <c:order val="1"/>
          <c:tx>
            <c:strRef>
              <c:f>'Stability Calculations'!$Y$12</c:f>
              <c:strCache>
                <c:ptCount val="1"/>
                <c:pt idx="0">
                  <c:v>Phase Margin (°)</c:v>
                </c:pt>
              </c:strCache>
            </c:strRef>
          </c:tx>
          <c:spPr>
            <a:ln w="25400">
              <a:solidFill>
                <a:srgbClr val="0000FF"/>
              </a:solidFill>
              <a:prstDash val="solid"/>
            </a:ln>
          </c:spPr>
          <c:marker>
            <c:symbol val="none"/>
          </c:marker>
          <c:xVal>
            <c:numRef>
              <c:f>'Stability Calculations'!$G$13:$G$613</c:f>
              <c:numCache>
                <c:formatCode>General</c:formatCode>
                <c:ptCount val="601"/>
                <c:pt idx="0">
                  <c:v>0.1</c:v>
                </c:pt>
                <c:pt idx="1">
                  <c:v>1.0965</c:v>
                </c:pt>
                <c:pt idx="2">
                  <c:v>1.2022999999999999</c:v>
                </c:pt>
                <c:pt idx="3">
                  <c:v>1.3183</c:v>
                </c:pt>
                <c:pt idx="4">
                  <c:v>1.4454</c:v>
                </c:pt>
                <c:pt idx="5">
                  <c:v>1.5849</c:v>
                </c:pt>
                <c:pt idx="6">
                  <c:v>1.7378</c:v>
                </c:pt>
                <c:pt idx="7">
                  <c:v>1.9055</c:v>
                </c:pt>
                <c:pt idx="8">
                  <c:v>2.0893000000000002</c:v>
                </c:pt>
                <c:pt idx="9">
                  <c:v>2.2909000000000002</c:v>
                </c:pt>
                <c:pt idx="10">
                  <c:v>2.5118999999999998</c:v>
                </c:pt>
                <c:pt idx="11">
                  <c:v>2.7542</c:v>
                </c:pt>
                <c:pt idx="12">
                  <c:v>3.02</c:v>
                </c:pt>
                <c:pt idx="13">
                  <c:v>3.3113000000000001</c:v>
                </c:pt>
                <c:pt idx="14">
                  <c:v>3.6307999999999998</c:v>
                </c:pt>
                <c:pt idx="15">
                  <c:v>3.9811000000000001</c:v>
                </c:pt>
                <c:pt idx="16">
                  <c:v>4.3651999999999997</c:v>
                </c:pt>
                <c:pt idx="17">
                  <c:v>4.7862999999999998</c:v>
                </c:pt>
                <c:pt idx="18">
                  <c:v>5.2481</c:v>
                </c:pt>
                <c:pt idx="19">
                  <c:v>5.7544000000000004</c:v>
                </c:pt>
                <c:pt idx="20">
                  <c:v>6.3095999999999997</c:v>
                </c:pt>
                <c:pt idx="21">
                  <c:v>6.9183000000000003</c:v>
                </c:pt>
                <c:pt idx="22">
                  <c:v>7.5857999999999999</c:v>
                </c:pt>
                <c:pt idx="23">
                  <c:v>8.3176000000000005</c:v>
                </c:pt>
                <c:pt idx="24">
                  <c:v>9.1201000000000008</c:v>
                </c:pt>
                <c:pt idx="25">
                  <c:v>10</c:v>
                </c:pt>
                <c:pt idx="26">
                  <c:v>10.965</c:v>
                </c:pt>
                <c:pt idx="27">
                  <c:v>12.023</c:v>
                </c:pt>
                <c:pt idx="28">
                  <c:v>13.183</c:v>
                </c:pt>
                <c:pt idx="29">
                  <c:v>14.454000000000001</c:v>
                </c:pt>
                <c:pt idx="30">
                  <c:v>15.849</c:v>
                </c:pt>
                <c:pt idx="31">
                  <c:v>17.378</c:v>
                </c:pt>
                <c:pt idx="32">
                  <c:v>19.055</c:v>
                </c:pt>
                <c:pt idx="33">
                  <c:v>20.893000000000001</c:v>
                </c:pt>
                <c:pt idx="34">
                  <c:v>22.909000000000002</c:v>
                </c:pt>
                <c:pt idx="35">
                  <c:v>25.119</c:v>
                </c:pt>
                <c:pt idx="36">
                  <c:v>27.542000000000002</c:v>
                </c:pt>
                <c:pt idx="37">
                  <c:v>30.2</c:v>
                </c:pt>
                <c:pt idx="38">
                  <c:v>33.113</c:v>
                </c:pt>
                <c:pt idx="39">
                  <c:v>36.308</c:v>
                </c:pt>
                <c:pt idx="40">
                  <c:v>39.811</c:v>
                </c:pt>
                <c:pt idx="41">
                  <c:v>43.652000000000001</c:v>
                </c:pt>
                <c:pt idx="42">
                  <c:v>47.863</c:v>
                </c:pt>
                <c:pt idx="43">
                  <c:v>52.481000000000002</c:v>
                </c:pt>
                <c:pt idx="44">
                  <c:v>57.544000000000004</c:v>
                </c:pt>
                <c:pt idx="45">
                  <c:v>63.095999999999997</c:v>
                </c:pt>
                <c:pt idx="46">
                  <c:v>69.183000000000007</c:v>
                </c:pt>
                <c:pt idx="47">
                  <c:v>75.858000000000004</c:v>
                </c:pt>
                <c:pt idx="48">
                  <c:v>83.176000000000002</c:v>
                </c:pt>
                <c:pt idx="49">
                  <c:v>91.201000000000008</c:v>
                </c:pt>
                <c:pt idx="50">
                  <c:v>100</c:v>
                </c:pt>
                <c:pt idx="51">
                  <c:v>109.65</c:v>
                </c:pt>
                <c:pt idx="52">
                  <c:v>120.23</c:v>
                </c:pt>
                <c:pt idx="53">
                  <c:v>131.83000000000001</c:v>
                </c:pt>
                <c:pt idx="54">
                  <c:v>144.54</c:v>
                </c:pt>
                <c:pt idx="55">
                  <c:v>158.49</c:v>
                </c:pt>
                <c:pt idx="56">
                  <c:v>173.78</c:v>
                </c:pt>
                <c:pt idx="57">
                  <c:v>190.55</c:v>
                </c:pt>
                <c:pt idx="58">
                  <c:v>208.93</c:v>
                </c:pt>
                <c:pt idx="59">
                  <c:v>229.09</c:v>
                </c:pt>
                <c:pt idx="60">
                  <c:v>251.19</c:v>
                </c:pt>
                <c:pt idx="61">
                  <c:v>275.42</c:v>
                </c:pt>
                <c:pt idx="62">
                  <c:v>302</c:v>
                </c:pt>
                <c:pt idx="63">
                  <c:v>331.13</c:v>
                </c:pt>
                <c:pt idx="64">
                  <c:v>363.08</c:v>
                </c:pt>
                <c:pt idx="65">
                  <c:v>398.11</c:v>
                </c:pt>
                <c:pt idx="66">
                  <c:v>436.52</c:v>
                </c:pt>
                <c:pt idx="67">
                  <c:v>478.63</c:v>
                </c:pt>
                <c:pt idx="68">
                  <c:v>524.80999999999995</c:v>
                </c:pt>
                <c:pt idx="69">
                  <c:v>575.44000000000005</c:v>
                </c:pt>
                <c:pt idx="70">
                  <c:v>630.96</c:v>
                </c:pt>
                <c:pt idx="71">
                  <c:v>691.83</c:v>
                </c:pt>
                <c:pt idx="72">
                  <c:v>758.58</c:v>
                </c:pt>
                <c:pt idx="73">
                  <c:v>831.76</c:v>
                </c:pt>
                <c:pt idx="74">
                  <c:v>912.01</c:v>
                </c:pt>
                <c:pt idx="75">
                  <c:v>1000</c:v>
                </c:pt>
                <c:pt idx="76">
                  <c:v>1096.5</c:v>
                </c:pt>
                <c:pt idx="77">
                  <c:v>1202.3</c:v>
                </c:pt>
                <c:pt idx="78">
                  <c:v>1318.3</c:v>
                </c:pt>
                <c:pt idx="79">
                  <c:v>1445.4</c:v>
                </c:pt>
                <c:pt idx="80">
                  <c:v>1584.9</c:v>
                </c:pt>
                <c:pt idx="81">
                  <c:v>1737.8</c:v>
                </c:pt>
                <c:pt idx="82">
                  <c:v>1905.5</c:v>
                </c:pt>
                <c:pt idx="83">
                  <c:v>2089.3000000000002</c:v>
                </c:pt>
                <c:pt idx="84">
                  <c:v>2290.9</c:v>
                </c:pt>
                <c:pt idx="85">
                  <c:v>2511.9</c:v>
                </c:pt>
                <c:pt idx="86">
                  <c:v>2754.2</c:v>
                </c:pt>
                <c:pt idx="87">
                  <c:v>3020</c:v>
                </c:pt>
                <c:pt idx="88">
                  <c:v>3311.3</c:v>
                </c:pt>
                <c:pt idx="89">
                  <c:v>3630.8</c:v>
                </c:pt>
                <c:pt idx="90">
                  <c:v>3981.1</c:v>
                </c:pt>
                <c:pt idx="91">
                  <c:v>4365.2</c:v>
                </c:pt>
                <c:pt idx="92">
                  <c:v>4786.3</c:v>
                </c:pt>
                <c:pt idx="93">
                  <c:v>5248.1</c:v>
                </c:pt>
                <c:pt idx="94">
                  <c:v>5370.3</c:v>
                </c:pt>
                <c:pt idx="95">
                  <c:v>5432.85</c:v>
                </c:pt>
                <c:pt idx="96">
                  <c:v>5495.4</c:v>
                </c:pt>
                <c:pt idx="97">
                  <c:v>5559.4</c:v>
                </c:pt>
                <c:pt idx="98">
                  <c:v>5623.4</c:v>
                </c:pt>
                <c:pt idx="99">
                  <c:v>5688.9</c:v>
                </c:pt>
                <c:pt idx="100">
                  <c:v>5754.4</c:v>
                </c:pt>
                <c:pt idx="101">
                  <c:v>5821.4</c:v>
                </c:pt>
                <c:pt idx="102">
                  <c:v>5888.4</c:v>
                </c:pt>
                <c:pt idx="103">
                  <c:v>5957</c:v>
                </c:pt>
                <c:pt idx="104">
                  <c:v>6025.6</c:v>
                </c:pt>
                <c:pt idx="105">
                  <c:v>6095.8</c:v>
                </c:pt>
                <c:pt idx="106">
                  <c:v>6166</c:v>
                </c:pt>
                <c:pt idx="107">
                  <c:v>6237.8</c:v>
                </c:pt>
                <c:pt idx="108">
                  <c:v>6309.6</c:v>
                </c:pt>
                <c:pt idx="109">
                  <c:v>6383.05</c:v>
                </c:pt>
                <c:pt idx="110">
                  <c:v>6456.5</c:v>
                </c:pt>
                <c:pt idx="111">
                  <c:v>6531.7</c:v>
                </c:pt>
                <c:pt idx="112">
                  <c:v>6606.9</c:v>
                </c:pt>
                <c:pt idx="113">
                  <c:v>6683.85</c:v>
                </c:pt>
                <c:pt idx="114">
                  <c:v>6760.8</c:v>
                </c:pt>
                <c:pt idx="115">
                  <c:v>6839.55</c:v>
                </c:pt>
                <c:pt idx="116">
                  <c:v>6918.3</c:v>
                </c:pt>
                <c:pt idx="117">
                  <c:v>6998.9</c:v>
                </c:pt>
                <c:pt idx="118">
                  <c:v>7079.5</c:v>
                </c:pt>
                <c:pt idx="119">
                  <c:v>7161.95</c:v>
                </c:pt>
                <c:pt idx="120">
                  <c:v>7244.4</c:v>
                </c:pt>
                <c:pt idx="121">
                  <c:v>7328.75</c:v>
                </c:pt>
                <c:pt idx="122">
                  <c:v>7413.1</c:v>
                </c:pt>
                <c:pt idx="123">
                  <c:v>7499.45</c:v>
                </c:pt>
                <c:pt idx="124">
                  <c:v>7585.8</c:v>
                </c:pt>
                <c:pt idx="125">
                  <c:v>7674.15</c:v>
                </c:pt>
                <c:pt idx="126">
                  <c:v>7762.5</c:v>
                </c:pt>
                <c:pt idx="127">
                  <c:v>7852.9</c:v>
                </c:pt>
                <c:pt idx="128">
                  <c:v>7943.3</c:v>
                </c:pt>
                <c:pt idx="129">
                  <c:v>8035.8</c:v>
                </c:pt>
                <c:pt idx="130">
                  <c:v>8128.3</c:v>
                </c:pt>
                <c:pt idx="131">
                  <c:v>8222.9500000000007</c:v>
                </c:pt>
                <c:pt idx="132">
                  <c:v>8270.2750000000015</c:v>
                </c:pt>
                <c:pt idx="133">
                  <c:v>8317.6</c:v>
                </c:pt>
                <c:pt idx="134">
                  <c:v>8366.0499999999993</c:v>
                </c:pt>
                <c:pt idx="135">
                  <c:v>8414.5</c:v>
                </c:pt>
                <c:pt idx="136">
                  <c:v>8462.9500000000007</c:v>
                </c:pt>
                <c:pt idx="137">
                  <c:v>8511.4</c:v>
                </c:pt>
                <c:pt idx="138">
                  <c:v>8560.9500000000007</c:v>
                </c:pt>
                <c:pt idx="139">
                  <c:v>8610.5</c:v>
                </c:pt>
                <c:pt idx="140">
                  <c:v>8660.0499999999993</c:v>
                </c:pt>
                <c:pt idx="141">
                  <c:v>8709.6</c:v>
                </c:pt>
                <c:pt idx="142">
                  <c:v>8760.3250000000007</c:v>
                </c:pt>
                <c:pt idx="143">
                  <c:v>8811.0499999999993</c:v>
                </c:pt>
                <c:pt idx="144">
                  <c:v>8861.7749999999996</c:v>
                </c:pt>
                <c:pt idx="145">
                  <c:v>8912.5</c:v>
                </c:pt>
                <c:pt idx="146">
                  <c:v>8964.4</c:v>
                </c:pt>
                <c:pt idx="147">
                  <c:v>9016.2999999999993</c:v>
                </c:pt>
                <c:pt idx="148">
                  <c:v>9068.2000000000007</c:v>
                </c:pt>
                <c:pt idx="149">
                  <c:v>9120.1</c:v>
                </c:pt>
                <c:pt idx="150">
                  <c:v>9173.2000000000007</c:v>
                </c:pt>
                <c:pt idx="151">
                  <c:v>9226.2999999999993</c:v>
                </c:pt>
                <c:pt idx="152">
                  <c:v>9279.4</c:v>
                </c:pt>
                <c:pt idx="153">
                  <c:v>9332.5</c:v>
                </c:pt>
                <c:pt idx="154">
                  <c:v>9386.85</c:v>
                </c:pt>
                <c:pt idx="155">
                  <c:v>9441.2000000000007</c:v>
                </c:pt>
                <c:pt idx="156">
                  <c:v>9495.5499999999993</c:v>
                </c:pt>
                <c:pt idx="157">
                  <c:v>9549.9</c:v>
                </c:pt>
                <c:pt idx="158">
                  <c:v>9605.5249999999996</c:v>
                </c:pt>
                <c:pt idx="159">
                  <c:v>9661.15</c:v>
                </c:pt>
                <c:pt idx="160">
                  <c:v>9716.7749999999996</c:v>
                </c:pt>
                <c:pt idx="161">
                  <c:v>9772.4</c:v>
                </c:pt>
                <c:pt idx="162">
                  <c:v>9829.2999999999993</c:v>
                </c:pt>
                <c:pt idx="163">
                  <c:v>9886.2000000000007</c:v>
                </c:pt>
                <c:pt idx="164">
                  <c:v>9943.1</c:v>
                </c:pt>
                <c:pt idx="165">
                  <c:v>10000</c:v>
                </c:pt>
                <c:pt idx="166">
                  <c:v>10058.25</c:v>
                </c:pt>
                <c:pt idx="167">
                  <c:v>10116.5</c:v>
                </c:pt>
                <c:pt idx="168">
                  <c:v>10174.75</c:v>
                </c:pt>
                <c:pt idx="169">
                  <c:v>10233</c:v>
                </c:pt>
                <c:pt idx="170">
                  <c:v>10292.5</c:v>
                </c:pt>
                <c:pt idx="171">
                  <c:v>10352</c:v>
                </c:pt>
                <c:pt idx="172">
                  <c:v>10411.5</c:v>
                </c:pt>
                <c:pt idx="173">
                  <c:v>10471</c:v>
                </c:pt>
                <c:pt idx="174">
                  <c:v>10532</c:v>
                </c:pt>
                <c:pt idx="175">
                  <c:v>10593</c:v>
                </c:pt>
                <c:pt idx="176">
                  <c:v>10654</c:v>
                </c:pt>
                <c:pt idx="177">
                  <c:v>10715</c:v>
                </c:pt>
                <c:pt idx="178">
                  <c:v>10777.5</c:v>
                </c:pt>
                <c:pt idx="179">
                  <c:v>10840</c:v>
                </c:pt>
                <c:pt idx="180">
                  <c:v>10902.5</c:v>
                </c:pt>
                <c:pt idx="181">
                  <c:v>10965</c:v>
                </c:pt>
                <c:pt idx="182">
                  <c:v>11028.75</c:v>
                </c:pt>
                <c:pt idx="183">
                  <c:v>11092.5</c:v>
                </c:pt>
                <c:pt idx="184">
                  <c:v>11156.25</c:v>
                </c:pt>
                <c:pt idx="185">
                  <c:v>11220</c:v>
                </c:pt>
                <c:pt idx="186">
                  <c:v>11285.5</c:v>
                </c:pt>
                <c:pt idx="187">
                  <c:v>11351</c:v>
                </c:pt>
                <c:pt idx="188">
                  <c:v>11416.5</c:v>
                </c:pt>
                <c:pt idx="189">
                  <c:v>11482</c:v>
                </c:pt>
                <c:pt idx="190">
                  <c:v>11548.75</c:v>
                </c:pt>
                <c:pt idx="191">
                  <c:v>11615.5</c:v>
                </c:pt>
                <c:pt idx="192">
                  <c:v>11682.25</c:v>
                </c:pt>
                <c:pt idx="193">
                  <c:v>11749</c:v>
                </c:pt>
                <c:pt idx="194">
                  <c:v>11817.5</c:v>
                </c:pt>
                <c:pt idx="195">
                  <c:v>11886</c:v>
                </c:pt>
                <c:pt idx="196">
                  <c:v>11954.5</c:v>
                </c:pt>
                <c:pt idx="197">
                  <c:v>12023</c:v>
                </c:pt>
                <c:pt idx="198">
                  <c:v>12093</c:v>
                </c:pt>
                <c:pt idx="199">
                  <c:v>12163</c:v>
                </c:pt>
                <c:pt idx="200">
                  <c:v>12233</c:v>
                </c:pt>
                <c:pt idx="201">
                  <c:v>12303</c:v>
                </c:pt>
                <c:pt idx="202">
                  <c:v>12374.5</c:v>
                </c:pt>
                <c:pt idx="203">
                  <c:v>12446</c:v>
                </c:pt>
                <c:pt idx="204">
                  <c:v>12517.5</c:v>
                </c:pt>
                <c:pt idx="205">
                  <c:v>12589</c:v>
                </c:pt>
                <c:pt idx="206">
                  <c:v>12662.25</c:v>
                </c:pt>
                <c:pt idx="207">
                  <c:v>12735.5</c:v>
                </c:pt>
                <c:pt idx="208">
                  <c:v>12808.75</c:v>
                </c:pt>
                <c:pt idx="209">
                  <c:v>12882</c:v>
                </c:pt>
                <c:pt idx="210">
                  <c:v>12957.25</c:v>
                </c:pt>
                <c:pt idx="211">
                  <c:v>13032.5</c:v>
                </c:pt>
                <c:pt idx="212">
                  <c:v>13107.75</c:v>
                </c:pt>
                <c:pt idx="213">
                  <c:v>13183</c:v>
                </c:pt>
                <c:pt idx="214">
                  <c:v>13259.75</c:v>
                </c:pt>
                <c:pt idx="215">
                  <c:v>13336.5</c:v>
                </c:pt>
                <c:pt idx="216">
                  <c:v>13413.25</c:v>
                </c:pt>
                <c:pt idx="217">
                  <c:v>13490</c:v>
                </c:pt>
                <c:pt idx="218">
                  <c:v>13568.5</c:v>
                </c:pt>
                <c:pt idx="219">
                  <c:v>13647</c:v>
                </c:pt>
                <c:pt idx="220">
                  <c:v>13725.5</c:v>
                </c:pt>
                <c:pt idx="221">
                  <c:v>13804</c:v>
                </c:pt>
                <c:pt idx="222">
                  <c:v>13884.25</c:v>
                </c:pt>
                <c:pt idx="223">
                  <c:v>13964.5</c:v>
                </c:pt>
                <c:pt idx="224">
                  <c:v>14044.75</c:v>
                </c:pt>
                <c:pt idx="225">
                  <c:v>14125</c:v>
                </c:pt>
                <c:pt idx="226">
                  <c:v>14207.25</c:v>
                </c:pt>
                <c:pt idx="227">
                  <c:v>14289.5</c:v>
                </c:pt>
                <c:pt idx="228">
                  <c:v>14371.75</c:v>
                </c:pt>
                <c:pt idx="229">
                  <c:v>14454</c:v>
                </c:pt>
                <c:pt idx="230">
                  <c:v>14622.5</c:v>
                </c:pt>
                <c:pt idx="231">
                  <c:v>14706.75</c:v>
                </c:pt>
                <c:pt idx="232">
                  <c:v>14791</c:v>
                </c:pt>
                <c:pt idx="233">
                  <c:v>14877.25</c:v>
                </c:pt>
                <c:pt idx="234">
                  <c:v>14963.5</c:v>
                </c:pt>
                <c:pt idx="235">
                  <c:v>15049.75</c:v>
                </c:pt>
                <c:pt idx="236">
                  <c:v>15136</c:v>
                </c:pt>
                <c:pt idx="237">
                  <c:v>15224</c:v>
                </c:pt>
                <c:pt idx="238">
                  <c:v>15312</c:v>
                </c:pt>
                <c:pt idx="239">
                  <c:v>15400</c:v>
                </c:pt>
                <c:pt idx="240">
                  <c:v>15488</c:v>
                </c:pt>
                <c:pt idx="241">
                  <c:v>15578.25</c:v>
                </c:pt>
                <c:pt idx="242">
                  <c:v>15668.5</c:v>
                </c:pt>
                <c:pt idx="243">
                  <c:v>15758.75</c:v>
                </c:pt>
                <c:pt idx="244">
                  <c:v>15849</c:v>
                </c:pt>
                <c:pt idx="245">
                  <c:v>15941.25</c:v>
                </c:pt>
                <c:pt idx="246">
                  <c:v>16033.5</c:v>
                </c:pt>
                <c:pt idx="247">
                  <c:v>16125.75</c:v>
                </c:pt>
                <c:pt idx="248">
                  <c:v>16218</c:v>
                </c:pt>
                <c:pt idx="249">
                  <c:v>16312.5</c:v>
                </c:pt>
                <c:pt idx="250">
                  <c:v>16407</c:v>
                </c:pt>
                <c:pt idx="251">
                  <c:v>16501.5</c:v>
                </c:pt>
                <c:pt idx="252">
                  <c:v>16596</c:v>
                </c:pt>
                <c:pt idx="253">
                  <c:v>16692.5</c:v>
                </c:pt>
                <c:pt idx="254">
                  <c:v>16789</c:v>
                </c:pt>
                <c:pt idx="255">
                  <c:v>16885.5</c:v>
                </c:pt>
                <c:pt idx="256">
                  <c:v>16982</c:v>
                </c:pt>
                <c:pt idx="257">
                  <c:v>17081</c:v>
                </c:pt>
                <c:pt idx="258">
                  <c:v>17180</c:v>
                </c:pt>
                <c:pt idx="259">
                  <c:v>17279</c:v>
                </c:pt>
                <c:pt idx="260">
                  <c:v>17378</c:v>
                </c:pt>
                <c:pt idx="261">
                  <c:v>17479.25</c:v>
                </c:pt>
                <c:pt idx="262">
                  <c:v>17580.5</c:v>
                </c:pt>
                <c:pt idx="263">
                  <c:v>17681.75</c:v>
                </c:pt>
                <c:pt idx="264">
                  <c:v>17783</c:v>
                </c:pt>
                <c:pt idx="265">
                  <c:v>17886.5</c:v>
                </c:pt>
                <c:pt idx="266">
                  <c:v>17990</c:v>
                </c:pt>
                <c:pt idx="267">
                  <c:v>18093.5</c:v>
                </c:pt>
                <c:pt idx="268">
                  <c:v>18197</c:v>
                </c:pt>
                <c:pt idx="269">
                  <c:v>18303</c:v>
                </c:pt>
                <c:pt idx="270">
                  <c:v>18409</c:v>
                </c:pt>
                <c:pt idx="271">
                  <c:v>18515</c:v>
                </c:pt>
                <c:pt idx="272">
                  <c:v>18621</c:v>
                </c:pt>
                <c:pt idx="273">
                  <c:v>18729.5</c:v>
                </c:pt>
                <c:pt idx="274">
                  <c:v>18838</c:v>
                </c:pt>
                <c:pt idx="275">
                  <c:v>18946.5</c:v>
                </c:pt>
                <c:pt idx="276">
                  <c:v>19055</c:v>
                </c:pt>
                <c:pt idx="277">
                  <c:v>19165.75</c:v>
                </c:pt>
                <c:pt idx="278">
                  <c:v>19276.5</c:v>
                </c:pt>
                <c:pt idx="279">
                  <c:v>19387.25</c:v>
                </c:pt>
                <c:pt idx="280">
                  <c:v>19498</c:v>
                </c:pt>
                <c:pt idx="281">
                  <c:v>19611.75</c:v>
                </c:pt>
                <c:pt idx="282">
                  <c:v>19725.5</c:v>
                </c:pt>
                <c:pt idx="283">
                  <c:v>19839.25</c:v>
                </c:pt>
                <c:pt idx="284">
                  <c:v>19953</c:v>
                </c:pt>
                <c:pt idx="285">
                  <c:v>20069</c:v>
                </c:pt>
                <c:pt idx="286">
                  <c:v>20185</c:v>
                </c:pt>
                <c:pt idx="287">
                  <c:v>20301</c:v>
                </c:pt>
                <c:pt idx="288">
                  <c:v>20417</c:v>
                </c:pt>
                <c:pt idx="289">
                  <c:v>20536</c:v>
                </c:pt>
                <c:pt idx="290">
                  <c:v>20655</c:v>
                </c:pt>
                <c:pt idx="291">
                  <c:v>20774</c:v>
                </c:pt>
                <c:pt idx="292">
                  <c:v>20893</c:v>
                </c:pt>
                <c:pt idx="293">
                  <c:v>21014.75</c:v>
                </c:pt>
                <c:pt idx="294">
                  <c:v>21136.5</c:v>
                </c:pt>
                <c:pt idx="295">
                  <c:v>21258.25</c:v>
                </c:pt>
                <c:pt idx="296">
                  <c:v>21380</c:v>
                </c:pt>
                <c:pt idx="297">
                  <c:v>21504.5</c:v>
                </c:pt>
                <c:pt idx="298">
                  <c:v>21629</c:v>
                </c:pt>
                <c:pt idx="299">
                  <c:v>21753.5</c:v>
                </c:pt>
                <c:pt idx="300">
                  <c:v>21878</c:v>
                </c:pt>
                <c:pt idx="301">
                  <c:v>22005.25</c:v>
                </c:pt>
                <c:pt idx="302">
                  <c:v>22132.5</c:v>
                </c:pt>
                <c:pt idx="303">
                  <c:v>22259.75</c:v>
                </c:pt>
                <c:pt idx="304">
                  <c:v>22387</c:v>
                </c:pt>
                <c:pt idx="305">
                  <c:v>22517.5</c:v>
                </c:pt>
                <c:pt idx="306">
                  <c:v>22648</c:v>
                </c:pt>
                <c:pt idx="307">
                  <c:v>22778.5</c:v>
                </c:pt>
                <c:pt idx="308">
                  <c:v>22909</c:v>
                </c:pt>
                <c:pt idx="309">
                  <c:v>23042.25</c:v>
                </c:pt>
                <c:pt idx="310">
                  <c:v>23175.5</c:v>
                </c:pt>
                <c:pt idx="311">
                  <c:v>23308.75</c:v>
                </c:pt>
                <c:pt idx="312">
                  <c:v>23442</c:v>
                </c:pt>
                <c:pt idx="313">
                  <c:v>23578.5</c:v>
                </c:pt>
                <c:pt idx="314">
                  <c:v>23715</c:v>
                </c:pt>
                <c:pt idx="315">
                  <c:v>23851.5</c:v>
                </c:pt>
                <c:pt idx="316">
                  <c:v>23988</c:v>
                </c:pt>
                <c:pt idx="317">
                  <c:v>24127.75</c:v>
                </c:pt>
                <c:pt idx="318">
                  <c:v>24267.5</c:v>
                </c:pt>
                <c:pt idx="319">
                  <c:v>24407.25</c:v>
                </c:pt>
                <c:pt idx="320">
                  <c:v>24547</c:v>
                </c:pt>
                <c:pt idx="321">
                  <c:v>24690</c:v>
                </c:pt>
                <c:pt idx="322">
                  <c:v>24833</c:v>
                </c:pt>
                <c:pt idx="323">
                  <c:v>24976</c:v>
                </c:pt>
                <c:pt idx="324">
                  <c:v>25119</c:v>
                </c:pt>
                <c:pt idx="325">
                  <c:v>25265.25</c:v>
                </c:pt>
                <c:pt idx="326">
                  <c:v>25411.5</c:v>
                </c:pt>
                <c:pt idx="327">
                  <c:v>25557.75</c:v>
                </c:pt>
                <c:pt idx="328">
                  <c:v>25704</c:v>
                </c:pt>
                <c:pt idx="329">
                  <c:v>25853.75</c:v>
                </c:pt>
                <c:pt idx="330">
                  <c:v>26003.5</c:v>
                </c:pt>
                <c:pt idx="331">
                  <c:v>26153.25</c:v>
                </c:pt>
                <c:pt idx="332">
                  <c:v>26303</c:v>
                </c:pt>
                <c:pt idx="333">
                  <c:v>26456</c:v>
                </c:pt>
                <c:pt idx="334">
                  <c:v>26609</c:v>
                </c:pt>
                <c:pt idx="335">
                  <c:v>26762</c:v>
                </c:pt>
                <c:pt idx="336">
                  <c:v>26915</c:v>
                </c:pt>
                <c:pt idx="337">
                  <c:v>27071.75</c:v>
                </c:pt>
                <c:pt idx="338">
                  <c:v>27228.5</c:v>
                </c:pt>
                <c:pt idx="339">
                  <c:v>27385.25</c:v>
                </c:pt>
                <c:pt idx="340">
                  <c:v>27542</c:v>
                </c:pt>
                <c:pt idx="341">
                  <c:v>27702.5</c:v>
                </c:pt>
                <c:pt idx="342">
                  <c:v>27863</c:v>
                </c:pt>
                <c:pt idx="343">
                  <c:v>28023.5</c:v>
                </c:pt>
                <c:pt idx="344">
                  <c:v>28184</c:v>
                </c:pt>
                <c:pt idx="345">
                  <c:v>28348</c:v>
                </c:pt>
                <c:pt idx="346">
                  <c:v>28512</c:v>
                </c:pt>
                <c:pt idx="347">
                  <c:v>28676</c:v>
                </c:pt>
                <c:pt idx="348">
                  <c:v>28840</c:v>
                </c:pt>
                <c:pt idx="349">
                  <c:v>29008</c:v>
                </c:pt>
                <c:pt idx="350">
                  <c:v>29176</c:v>
                </c:pt>
                <c:pt idx="351">
                  <c:v>29344</c:v>
                </c:pt>
                <c:pt idx="352">
                  <c:v>29512</c:v>
                </c:pt>
                <c:pt idx="353">
                  <c:v>29684</c:v>
                </c:pt>
                <c:pt idx="354">
                  <c:v>29856</c:v>
                </c:pt>
                <c:pt idx="355">
                  <c:v>30028</c:v>
                </c:pt>
                <c:pt idx="356">
                  <c:v>30200</c:v>
                </c:pt>
                <c:pt idx="357">
                  <c:v>30375.75</c:v>
                </c:pt>
                <c:pt idx="358">
                  <c:v>30551.5</c:v>
                </c:pt>
                <c:pt idx="359">
                  <c:v>30727.25</c:v>
                </c:pt>
                <c:pt idx="360">
                  <c:v>30903</c:v>
                </c:pt>
                <c:pt idx="361">
                  <c:v>31083</c:v>
                </c:pt>
                <c:pt idx="362">
                  <c:v>31263</c:v>
                </c:pt>
                <c:pt idx="363">
                  <c:v>31443</c:v>
                </c:pt>
                <c:pt idx="364">
                  <c:v>31623</c:v>
                </c:pt>
                <c:pt idx="365">
                  <c:v>31807</c:v>
                </c:pt>
                <c:pt idx="366">
                  <c:v>31991</c:v>
                </c:pt>
                <c:pt idx="367">
                  <c:v>32175</c:v>
                </c:pt>
                <c:pt idx="368">
                  <c:v>32359</c:v>
                </c:pt>
                <c:pt idx="369">
                  <c:v>32547.5</c:v>
                </c:pt>
                <c:pt idx="370">
                  <c:v>32736</c:v>
                </c:pt>
                <c:pt idx="371">
                  <c:v>32924.5</c:v>
                </c:pt>
                <c:pt idx="372">
                  <c:v>33113</c:v>
                </c:pt>
                <c:pt idx="373">
                  <c:v>33305.75</c:v>
                </c:pt>
                <c:pt idx="374">
                  <c:v>33498.5</c:v>
                </c:pt>
                <c:pt idx="375">
                  <c:v>33691.25</c:v>
                </c:pt>
                <c:pt idx="376">
                  <c:v>33884</c:v>
                </c:pt>
                <c:pt idx="377">
                  <c:v>34081.5</c:v>
                </c:pt>
                <c:pt idx="378">
                  <c:v>34279</c:v>
                </c:pt>
                <c:pt idx="379">
                  <c:v>34476.5</c:v>
                </c:pt>
                <c:pt idx="380">
                  <c:v>34674</c:v>
                </c:pt>
                <c:pt idx="381">
                  <c:v>34875.75</c:v>
                </c:pt>
                <c:pt idx="382">
                  <c:v>35077.5</c:v>
                </c:pt>
                <c:pt idx="383">
                  <c:v>35279.25</c:v>
                </c:pt>
                <c:pt idx="384">
                  <c:v>35481</c:v>
                </c:pt>
                <c:pt idx="385">
                  <c:v>35687.75</c:v>
                </c:pt>
                <c:pt idx="386">
                  <c:v>35894.5</c:v>
                </c:pt>
                <c:pt idx="387">
                  <c:v>36101.25</c:v>
                </c:pt>
                <c:pt idx="388">
                  <c:v>36308</c:v>
                </c:pt>
                <c:pt idx="389">
                  <c:v>36519.5</c:v>
                </c:pt>
                <c:pt idx="390">
                  <c:v>36731</c:v>
                </c:pt>
                <c:pt idx="391">
                  <c:v>36942.5</c:v>
                </c:pt>
                <c:pt idx="392">
                  <c:v>37154</c:v>
                </c:pt>
                <c:pt idx="393">
                  <c:v>37370.25</c:v>
                </c:pt>
                <c:pt idx="394">
                  <c:v>37586.5</c:v>
                </c:pt>
                <c:pt idx="395">
                  <c:v>37802.75</c:v>
                </c:pt>
                <c:pt idx="396">
                  <c:v>38019</c:v>
                </c:pt>
                <c:pt idx="397">
                  <c:v>38240.5</c:v>
                </c:pt>
                <c:pt idx="398">
                  <c:v>38462</c:v>
                </c:pt>
                <c:pt idx="399">
                  <c:v>38683.5</c:v>
                </c:pt>
                <c:pt idx="400">
                  <c:v>38905</c:v>
                </c:pt>
                <c:pt idx="401">
                  <c:v>39131.5</c:v>
                </c:pt>
                <c:pt idx="402">
                  <c:v>39358</c:v>
                </c:pt>
                <c:pt idx="403">
                  <c:v>39584.5</c:v>
                </c:pt>
                <c:pt idx="404">
                  <c:v>39811</c:v>
                </c:pt>
                <c:pt idx="405">
                  <c:v>40042.75</c:v>
                </c:pt>
                <c:pt idx="406">
                  <c:v>40274.5</c:v>
                </c:pt>
                <c:pt idx="407">
                  <c:v>40506.25</c:v>
                </c:pt>
                <c:pt idx="408">
                  <c:v>40738</c:v>
                </c:pt>
                <c:pt idx="409">
                  <c:v>40975.25</c:v>
                </c:pt>
                <c:pt idx="410">
                  <c:v>41212.5</c:v>
                </c:pt>
                <c:pt idx="411">
                  <c:v>41449.75</c:v>
                </c:pt>
                <c:pt idx="412">
                  <c:v>41687</c:v>
                </c:pt>
                <c:pt idx="413">
                  <c:v>41929.75</c:v>
                </c:pt>
                <c:pt idx="414">
                  <c:v>42172.5</c:v>
                </c:pt>
                <c:pt idx="415">
                  <c:v>42415.25</c:v>
                </c:pt>
                <c:pt idx="416">
                  <c:v>42658</c:v>
                </c:pt>
                <c:pt idx="417">
                  <c:v>42906.5</c:v>
                </c:pt>
                <c:pt idx="418">
                  <c:v>43155</c:v>
                </c:pt>
                <c:pt idx="419">
                  <c:v>43403.5</c:v>
                </c:pt>
                <c:pt idx="420">
                  <c:v>43652</c:v>
                </c:pt>
                <c:pt idx="421">
                  <c:v>43906</c:v>
                </c:pt>
                <c:pt idx="422">
                  <c:v>44160</c:v>
                </c:pt>
                <c:pt idx="423">
                  <c:v>44414</c:v>
                </c:pt>
                <c:pt idx="424">
                  <c:v>44668</c:v>
                </c:pt>
                <c:pt idx="425">
                  <c:v>44928.25</c:v>
                </c:pt>
                <c:pt idx="426">
                  <c:v>45188.5</c:v>
                </c:pt>
                <c:pt idx="427">
                  <c:v>45448.75</c:v>
                </c:pt>
                <c:pt idx="428">
                  <c:v>45709</c:v>
                </c:pt>
                <c:pt idx="429">
                  <c:v>45975.25</c:v>
                </c:pt>
                <c:pt idx="430">
                  <c:v>46241.5</c:v>
                </c:pt>
                <c:pt idx="431">
                  <c:v>46507.75</c:v>
                </c:pt>
                <c:pt idx="432">
                  <c:v>46774</c:v>
                </c:pt>
                <c:pt idx="433">
                  <c:v>47046.25</c:v>
                </c:pt>
                <c:pt idx="434">
                  <c:v>47318.5</c:v>
                </c:pt>
                <c:pt idx="435">
                  <c:v>47590.75</c:v>
                </c:pt>
                <c:pt idx="436">
                  <c:v>47863</c:v>
                </c:pt>
                <c:pt idx="437">
                  <c:v>48141.75</c:v>
                </c:pt>
                <c:pt idx="438">
                  <c:v>48420.5</c:v>
                </c:pt>
                <c:pt idx="439">
                  <c:v>48699.25</c:v>
                </c:pt>
                <c:pt idx="440">
                  <c:v>48978</c:v>
                </c:pt>
                <c:pt idx="441">
                  <c:v>49263.25</c:v>
                </c:pt>
                <c:pt idx="442">
                  <c:v>49548.5</c:v>
                </c:pt>
                <c:pt idx="443">
                  <c:v>49833.75</c:v>
                </c:pt>
                <c:pt idx="444">
                  <c:v>50119</c:v>
                </c:pt>
                <c:pt idx="445">
                  <c:v>50410.75</c:v>
                </c:pt>
                <c:pt idx="446">
                  <c:v>50702.5</c:v>
                </c:pt>
                <c:pt idx="447">
                  <c:v>50994.25</c:v>
                </c:pt>
                <c:pt idx="448">
                  <c:v>51286</c:v>
                </c:pt>
                <c:pt idx="449">
                  <c:v>51584.75</c:v>
                </c:pt>
                <c:pt idx="450">
                  <c:v>51883.5</c:v>
                </c:pt>
                <c:pt idx="451">
                  <c:v>52182.25</c:v>
                </c:pt>
                <c:pt idx="452">
                  <c:v>52481</c:v>
                </c:pt>
                <c:pt idx="453">
                  <c:v>52786.5</c:v>
                </c:pt>
                <c:pt idx="454">
                  <c:v>53092</c:v>
                </c:pt>
                <c:pt idx="455">
                  <c:v>53397.5</c:v>
                </c:pt>
                <c:pt idx="456">
                  <c:v>53703</c:v>
                </c:pt>
                <c:pt idx="457">
                  <c:v>54015.75</c:v>
                </c:pt>
                <c:pt idx="458">
                  <c:v>54328.5</c:v>
                </c:pt>
                <c:pt idx="459">
                  <c:v>54641.25</c:v>
                </c:pt>
                <c:pt idx="460">
                  <c:v>54954</c:v>
                </c:pt>
                <c:pt idx="461">
                  <c:v>55274</c:v>
                </c:pt>
                <c:pt idx="462">
                  <c:v>55594</c:v>
                </c:pt>
                <c:pt idx="463">
                  <c:v>55914</c:v>
                </c:pt>
                <c:pt idx="464">
                  <c:v>56234</c:v>
                </c:pt>
                <c:pt idx="465">
                  <c:v>56561.5</c:v>
                </c:pt>
                <c:pt idx="466">
                  <c:v>56889</c:v>
                </c:pt>
                <c:pt idx="467">
                  <c:v>57216.5</c:v>
                </c:pt>
                <c:pt idx="468">
                  <c:v>57544</c:v>
                </c:pt>
                <c:pt idx="469">
                  <c:v>57879</c:v>
                </c:pt>
                <c:pt idx="470">
                  <c:v>58214</c:v>
                </c:pt>
                <c:pt idx="471">
                  <c:v>58549</c:v>
                </c:pt>
                <c:pt idx="472">
                  <c:v>58884</c:v>
                </c:pt>
                <c:pt idx="473">
                  <c:v>59227</c:v>
                </c:pt>
                <c:pt idx="474">
                  <c:v>59570</c:v>
                </c:pt>
                <c:pt idx="475">
                  <c:v>59913</c:v>
                </c:pt>
                <c:pt idx="476">
                  <c:v>60256</c:v>
                </c:pt>
                <c:pt idx="477">
                  <c:v>60607</c:v>
                </c:pt>
                <c:pt idx="478">
                  <c:v>60958</c:v>
                </c:pt>
                <c:pt idx="479">
                  <c:v>61309</c:v>
                </c:pt>
                <c:pt idx="480">
                  <c:v>61660</c:v>
                </c:pt>
                <c:pt idx="481">
                  <c:v>62019</c:v>
                </c:pt>
                <c:pt idx="482">
                  <c:v>62378</c:v>
                </c:pt>
                <c:pt idx="483">
                  <c:v>62737</c:v>
                </c:pt>
                <c:pt idx="484">
                  <c:v>63096</c:v>
                </c:pt>
                <c:pt idx="485">
                  <c:v>63463.25</c:v>
                </c:pt>
                <c:pt idx="486">
                  <c:v>63830.5</c:v>
                </c:pt>
                <c:pt idx="487">
                  <c:v>64197.75</c:v>
                </c:pt>
                <c:pt idx="488">
                  <c:v>64565</c:v>
                </c:pt>
                <c:pt idx="489">
                  <c:v>64941</c:v>
                </c:pt>
                <c:pt idx="490">
                  <c:v>65317</c:v>
                </c:pt>
                <c:pt idx="491">
                  <c:v>65693</c:v>
                </c:pt>
                <c:pt idx="492">
                  <c:v>66069</c:v>
                </c:pt>
                <c:pt idx="493">
                  <c:v>66453.75</c:v>
                </c:pt>
                <c:pt idx="494">
                  <c:v>66838.5</c:v>
                </c:pt>
                <c:pt idx="495">
                  <c:v>67223.25</c:v>
                </c:pt>
                <c:pt idx="496">
                  <c:v>67608</c:v>
                </c:pt>
                <c:pt idx="497">
                  <c:v>68001.75</c:v>
                </c:pt>
                <c:pt idx="498">
                  <c:v>68395.5</c:v>
                </c:pt>
                <c:pt idx="499">
                  <c:v>68789.25</c:v>
                </c:pt>
                <c:pt idx="500">
                  <c:v>69183</c:v>
                </c:pt>
                <c:pt idx="501">
                  <c:v>69586</c:v>
                </c:pt>
                <c:pt idx="502">
                  <c:v>69989</c:v>
                </c:pt>
                <c:pt idx="503">
                  <c:v>70392</c:v>
                </c:pt>
                <c:pt idx="504">
                  <c:v>70795</c:v>
                </c:pt>
                <c:pt idx="505">
                  <c:v>71207.25</c:v>
                </c:pt>
                <c:pt idx="506">
                  <c:v>71619.5</c:v>
                </c:pt>
                <c:pt idx="507">
                  <c:v>72031.75</c:v>
                </c:pt>
                <c:pt idx="508">
                  <c:v>72444</c:v>
                </c:pt>
                <c:pt idx="509">
                  <c:v>72865.75</c:v>
                </c:pt>
                <c:pt idx="510">
                  <c:v>73287.5</c:v>
                </c:pt>
                <c:pt idx="511">
                  <c:v>73709.25</c:v>
                </c:pt>
                <c:pt idx="512">
                  <c:v>74131</c:v>
                </c:pt>
                <c:pt idx="513">
                  <c:v>74562.75</c:v>
                </c:pt>
                <c:pt idx="514">
                  <c:v>74994.5</c:v>
                </c:pt>
                <c:pt idx="515">
                  <c:v>75426.25</c:v>
                </c:pt>
                <c:pt idx="516">
                  <c:v>75858</c:v>
                </c:pt>
                <c:pt idx="517">
                  <c:v>76299.75</c:v>
                </c:pt>
                <c:pt idx="518">
                  <c:v>76741.5</c:v>
                </c:pt>
                <c:pt idx="519">
                  <c:v>77183.25</c:v>
                </c:pt>
                <c:pt idx="520">
                  <c:v>77625</c:v>
                </c:pt>
                <c:pt idx="521">
                  <c:v>78077</c:v>
                </c:pt>
                <c:pt idx="522">
                  <c:v>78529</c:v>
                </c:pt>
                <c:pt idx="523">
                  <c:v>78981</c:v>
                </c:pt>
                <c:pt idx="524">
                  <c:v>79433</c:v>
                </c:pt>
                <c:pt idx="525">
                  <c:v>79895.5</c:v>
                </c:pt>
                <c:pt idx="526">
                  <c:v>80358</c:v>
                </c:pt>
                <c:pt idx="527">
                  <c:v>80820.5</c:v>
                </c:pt>
                <c:pt idx="528">
                  <c:v>81283</c:v>
                </c:pt>
                <c:pt idx="529">
                  <c:v>81756.25</c:v>
                </c:pt>
                <c:pt idx="530">
                  <c:v>82229.5</c:v>
                </c:pt>
                <c:pt idx="531">
                  <c:v>82702.75</c:v>
                </c:pt>
                <c:pt idx="532">
                  <c:v>83176</c:v>
                </c:pt>
                <c:pt idx="533">
                  <c:v>83660.5</c:v>
                </c:pt>
                <c:pt idx="534">
                  <c:v>84145</c:v>
                </c:pt>
                <c:pt idx="535">
                  <c:v>84629.5</c:v>
                </c:pt>
                <c:pt idx="536">
                  <c:v>85114</c:v>
                </c:pt>
                <c:pt idx="537">
                  <c:v>85609.5</c:v>
                </c:pt>
                <c:pt idx="538">
                  <c:v>86105</c:v>
                </c:pt>
                <c:pt idx="539">
                  <c:v>86600.5</c:v>
                </c:pt>
                <c:pt idx="540">
                  <c:v>87096</c:v>
                </c:pt>
                <c:pt idx="541">
                  <c:v>87603.25</c:v>
                </c:pt>
                <c:pt idx="542">
                  <c:v>88110.5</c:v>
                </c:pt>
                <c:pt idx="543">
                  <c:v>88617.75</c:v>
                </c:pt>
                <c:pt idx="544">
                  <c:v>89125</c:v>
                </c:pt>
                <c:pt idx="545">
                  <c:v>89644</c:v>
                </c:pt>
                <c:pt idx="546">
                  <c:v>90163</c:v>
                </c:pt>
                <c:pt idx="547">
                  <c:v>90682</c:v>
                </c:pt>
                <c:pt idx="548">
                  <c:v>91201</c:v>
                </c:pt>
                <c:pt idx="549">
                  <c:v>91732</c:v>
                </c:pt>
                <c:pt idx="550">
                  <c:v>92263</c:v>
                </c:pt>
                <c:pt idx="551">
                  <c:v>92794</c:v>
                </c:pt>
                <c:pt idx="552">
                  <c:v>93325</c:v>
                </c:pt>
                <c:pt idx="553">
                  <c:v>93868.5</c:v>
                </c:pt>
                <c:pt idx="554">
                  <c:v>94412</c:v>
                </c:pt>
                <c:pt idx="555">
                  <c:v>94955.5</c:v>
                </c:pt>
                <c:pt idx="556">
                  <c:v>95499</c:v>
                </c:pt>
                <c:pt idx="557">
                  <c:v>96611.5</c:v>
                </c:pt>
                <c:pt idx="558">
                  <c:v>97724</c:v>
                </c:pt>
                <c:pt idx="559">
                  <c:v>98862</c:v>
                </c:pt>
                <c:pt idx="560">
                  <c:v>100000</c:v>
                </c:pt>
                <c:pt idx="561">
                  <c:v>101165</c:v>
                </c:pt>
                <c:pt idx="562">
                  <c:v>102330</c:v>
                </c:pt>
                <c:pt idx="563">
                  <c:v>103520</c:v>
                </c:pt>
                <c:pt idx="564">
                  <c:v>104710</c:v>
                </c:pt>
                <c:pt idx="565">
                  <c:v>105930</c:v>
                </c:pt>
                <c:pt idx="566">
                  <c:v>107150</c:v>
                </c:pt>
                <c:pt idx="567">
                  <c:v>108400</c:v>
                </c:pt>
                <c:pt idx="568">
                  <c:v>109650</c:v>
                </c:pt>
                <c:pt idx="569">
                  <c:v>110925</c:v>
                </c:pt>
                <c:pt idx="570">
                  <c:v>112200</c:v>
                </c:pt>
                <c:pt idx="571">
                  <c:v>113510</c:v>
                </c:pt>
                <c:pt idx="572">
                  <c:v>114820</c:v>
                </c:pt>
                <c:pt idx="573">
                  <c:v>116155</c:v>
                </c:pt>
                <c:pt idx="574">
                  <c:v>117490</c:v>
                </c:pt>
                <c:pt idx="575">
                  <c:v>118860</c:v>
                </c:pt>
                <c:pt idx="576">
                  <c:v>120230</c:v>
                </c:pt>
                <c:pt idx="577">
                  <c:v>126030</c:v>
                </c:pt>
                <c:pt idx="578">
                  <c:v>131830</c:v>
                </c:pt>
                <c:pt idx="579">
                  <c:v>144540</c:v>
                </c:pt>
                <c:pt idx="580">
                  <c:v>158490</c:v>
                </c:pt>
                <c:pt idx="581">
                  <c:v>173780</c:v>
                </c:pt>
                <c:pt idx="582">
                  <c:v>190550</c:v>
                </c:pt>
                <c:pt idx="583">
                  <c:v>208930</c:v>
                </c:pt>
                <c:pt idx="584">
                  <c:v>229090</c:v>
                </c:pt>
                <c:pt idx="585">
                  <c:v>251190</c:v>
                </c:pt>
                <c:pt idx="586">
                  <c:v>275420</c:v>
                </c:pt>
                <c:pt idx="587">
                  <c:v>302000</c:v>
                </c:pt>
                <c:pt idx="588">
                  <c:v>331130</c:v>
                </c:pt>
                <c:pt idx="589">
                  <c:v>363080</c:v>
                </c:pt>
                <c:pt idx="590">
                  <c:v>398110</c:v>
                </c:pt>
                <c:pt idx="591">
                  <c:v>436520</c:v>
                </c:pt>
                <c:pt idx="592">
                  <c:v>478630</c:v>
                </c:pt>
                <c:pt idx="593">
                  <c:v>524810</c:v>
                </c:pt>
                <c:pt idx="594">
                  <c:v>575440</c:v>
                </c:pt>
                <c:pt idx="595">
                  <c:v>630960</c:v>
                </c:pt>
                <c:pt idx="596">
                  <c:v>691830</c:v>
                </c:pt>
                <c:pt idx="597">
                  <c:v>758580</c:v>
                </c:pt>
                <c:pt idx="598">
                  <c:v>831760</c:v>
                </c:pt>
                <c:pt idx="599">
                  <c:v>912010</c:v>
                </c:pt>
                <c:pt idx="600">
                  <c:v>1000000</c:v>
                </c:pt>
              </c:numCache>
            </c:numRef>
          </c:xVal>
          <c:yVal>
            <c:numRef>
              <c:f>'Stability Calculations'!$X$13:$X$613</c:f>
              <c:numCache>
                <c:formatCode>0.00</c:formatCode>
                <c:ptCount val="601"/>
                <c:pt idx="0">
                  <c:v>-10.258422467910318</c:v>
                </c:pt>
                <c:pt idx="1">
                  <c:v>-63.268038564838186</c:v>
                </c:pt>
                <c:pt idx="2">
                  <c:v>-65.331777475655528</c:v>
                </c:pt>
                <c:pt idx="3">
                  <c:v>-67.275612769369346</c:v>
                </c:pt>
                <c:pt idx="4">
                  <c:v>-69.097064955253387</c:v>
                </c:pt>
                <c:pt idx="5">
                  <c:v>-70.799859298981701</c:v>
                </c:pt>
                <c:pt idx="6">
                  <c:v>-72.383923292864608</c:v>
                </c:pt>
                <c:pt idx="7">
                  <c:v>-73.854101223871481</c:v>
                </c:pt>
                <c:pt idx="8">
                  <c:v>-75.214100372350472</c:v>
                </c:pt>
                <c:pt idx="9">
                  <c:v>-76.470394135418374</c:v>
                </c:pt>
                <c:pt idx="10">
                  <c:v>-77.628088850591183</c:v>
                </c:pt>
                <c:pt idx="11">
                  <c:v>-78.693451975915607</c:v>
                </c:pt>
                <c:pt idx="12">
                  <c:v>-79.673107422323142</c:v>
                </c:pt>
                <c:pt idx="13">
                  <c:v>-80.572156503350129</c:v>
                </c:pt>
                <c:pt idx="14">
                  <c:v>-81.397216312867585</c:v>
                </c:pt>
                <c:pt idx="15">
                  <c:v>-82.15359340759349</c:v>
                </c:pt>
                <c:pt idx="16">
                  <c:v>-82.846736758689801</c:v>
                </c:pt>
                <c:pt idx="17">
                  <c:v>-83.4816451933781</c:v>
                </c:pt>
                <c:pt idx="18">
                  <c:v>-84.063280787459178</c:v>
                </c:pt>
                <c:pt idx="19">
                  <c:v>-84.595953628516099</c:v>
                </c:pt>
                <c:pt idx="20">
                  <c:v>-85.083937505141819</c:v>
                </c:pt>
                <c:pt idx="21">
                  <c:v>-85.531004692910585</c:v>
                </c:pt>
                <c:pt idx="22">
                  <c:v>-85.940839856719776</c:v>
                </c:pt>
                <c:pt idx="23">
                  <c:v>-86.316664610163841</c:v>
                </c:pt>
                <c:pt idx="24">
                  <c:v>-86.661646682958832</c:v>
                </c:pt>
                <c:pt idx="25">
                  <c:v>-86.978566242301923</c:v>
                </c:pt>
                <c:pt idx="26">
                  <c:v>-87.270112220603679</c:v>
                </c:pt>
                <c:pt idx="27">
                  <c:v>-87.538611097347669</c:v>
                </c:pt>
                <c:pt idx="28">
                  <c:v>-87.786319212962837</c:v>
                </c:pt>
                <c:pt idx="29">
                  <c:v>-88.015176296756195</c:v>
                </c:pt>
                <c:pt idx="30">
                  <c:v>-88.227481455046117</c:v>
                </c:pt>
                <c:pt idx="31">
                  <c:v>-88.424706302679411</c:v>
                </c:pt>
                <c:pt idx="32">
                  <c:v>-88.608648201102369</c:v>
                </c:pt>
                <c:pt idx="33">
                  <c:v>-88.780728599280565</c:v>
                </c:pt>
                <c:pt idx="34">
                  <c:v>-88.942533870688607</c:v>
                </c:pt>
                <c:pt idx="35">
                  <c:v>-89.095336449673781</c:v>
                </c:pt>
                <c:pt idx="36">
                  <c:v>-89.240453385724734</c:v>
                </c:pt>
                <c:pt idx="37">
                  <c:v>-89.379183939295316</c:v>
                </c:pt>
                <c:pt idx="38">
                  <c:v>-89.5125661949386</c:v>
                </c:pt>
                <c:pt idx="39">
                  <c:v>-89.641833719572162</c:v>
                </c:pt>
                <c:pt idx="40">
                  <c:v>-89.768024135034409</c:v>
                </c:pt>
                <c:pt idx="41">
                  <c:v>-89.892208605590781</c:v>
                </c:pt>
                <c:pt idx="42">
                  <c:v>-90.01541029740082</c:v>
                </c:pt>
                <c:pt idx="43">
                  <c:v>-90.138693446557156</c:v>
                </c:pt>
                <c:pt idx="44">
                  <c:v>-90.263048590040952</c:v>
                </c:pt>
                <c:pt idx="45">
                  <c:v>-90.389526541645026</c:v>
                </c:pt>
                <c:pt idx="46">
                  <c:v>-90.519136037920404</c:v>
                </c:pt>
                <c:pt idx="47">
                  <c:v>-90.652954018166426</c:v>
                </c:pt>
                <c:pt idx="48">
                  <c:v>-90.792015819890693</c:v>
                </c:pt>
                <c:pt idx="49">
                  <c:v>-90.937449130753066</c:v>
                </c:pt>
                <c:pt idx="50">
                  <c:v>-91.090351102140801</c:v>
                </c:pt>
                <c:pt idx="51">
                  <c:v>-91.251905975893209</c:v>
                </c:pt>
                <c:pt idx="52">
                  <c:v>-91.423236340461131</c:v>
                </c:pt>
                <c:pt idx="53">
                  <c:v>-91.605540807988604</c:v>
                </c:pt>
                <c:pt idx="54">
                  <c:v>-91.799900505370957</c:v>
                </c:pt>
                <c:pt idx="55">
                  <c:v>-92.007859075267987</c:v>
                </c:pt>
                <c:pt idx="56">
                  <c:v>-92.230328848313292</c:v>
                </c:pt>
                <c:pt idx="57">
                  <c:v>-92.468604051885023</c:v>
                </c:pt>
                <c:pt idx="58">
                  <c:v>-92.723574053602675</c:v>
                </c:pt>
                <c:pt idx="59">
                  <c:v>-92.996365376199279</c:v>
                </c:pt>
                <c:pt idx="60">
                  <c:v>-93.28756672857341</c:v>
                </c:pt>
                <c:pt idx="61">
                  <c:v>-93.597683662469478</c:v>
                </c:pt>
                <c:pt idx="62">
                  <c:v>-93.927000488481383</c:v>
                </c:pt>
                <c:pt idx="63">
                  <c:v>-94.274836871285657</c:v>
                </c:pt>
                <c:pt idx="64">
                  <c:v>-94.640507504512925</c:v>
                </c:pt>
                <c:pt idx="65">
                  <c:v>-95.022195952731195</c:v>
                </c:pt>
                <c:pt idx="66">
                  <c:v>-95.417397859488233</c:v>
                </c:pt>
                <c:pt idx="67">
                  <c:v>-95.822561075242092</c:v>
                </c:pt>
                <c:pt idx="68">
                  <c:v>-96.233278189837833</c:v>
                </c:pt>
                <c:pt idx="69">
                  <c:v>-96.643876627107872</c:v>
                </c:pt>
                <c:pt idx="70">
                  <c:v>-97.047922611916107</c:v>
                </c:pt>
                <c:pt idx="71">
                  <c:v>-97.438069510550733</c:v>
                </c:pt>
                <c:pt idx="72">
                  <c:v>-97.806719918434169</c:v>
                </c:pt>
                <c:pt idx="73">
                  <c:v>-98.146152921985532</c:v>
                </c:pt>
                <c:pt idx="74">
                  <c:v>-98.449439051420342</c:v>
                </c:pt>
                <c:pt idx="75">
                  <c:v>-98.710740522308569</c:v>
                </c:pt>
                <c:pt idx="76">
                  <c:v>-98.926138918127464</c:v>
                </c:pt>
                <c:pt idx="77">
                  <c:v>-99.093887647478596</c:v>
                </c:pt>
                <c:pt idx="78">
                  <c:v>-99.214919827045463</c:v>
                </c:pt>
                <c:pt idx="79">
                  <c:v>-99.292759523589467</c:v>
                </c:pt>
                <c:pt idx="80">
                  <c:v>-99.333515144445272</c:v>
                </c:pt>
                <c:pt idx="81">
                  <c:v>-99.345140399296255</c:v>
                </c:pt>
                <c:pt idx="82">
                  <c:v>-99.337208935769709</c:v>
                </c:pt>
                <c:pt idx="83">
                  <c:v>-99.320205071593804</c:v>
                </c:pt>
                <c:pt idx="84">
                  <c:v>-99.304950088351035</c:v>
                </c:pt>
                <c:pt idx="85">
                  <c:v>-99.302161462352601</c:v>
                </c:pt>
                <c:pt idx="86">
                  <c:v>-99.322066092614236</c:v>
                </c:pt>
                <c:pt idx="87">
                  <c:v>-99.374237127386138</c:v>
                </c:pt>
                <c:pt idx="88">
                  <c:v>-99.467384831270749</c:v>
                </c:pt>
                <c:pt idx="89">
                  <c:v>-99.60956490867963</c:v>
                </c:pt>
                <c:pt idx="90">
                  <c:v>-99.808046622376892</c:v>
                </c:pt>
                <c:pt idx="91">
                  <c:v>-100.06959699678211</c:v>
                </c:pt>
                <c:pt idx="92">
                  <c:v>-100.40053292325788</c:v>
                </c:pt>
                <c:pt idx="93">
                  <c:v>-100.8071021624793</c:v>
                </c:pt>
                <c:pt idx="94">
                  <c:v>-100.92122040271943</c:v>
                </c:pt>
                <c:pt idx="95">
                  <c:v>-100.98059147884859</c:v>
                </c:pt>
                <c:pt idx="96">
                  <c:v>-101.04058757474394</c:v>
                </c:pt>
                <c:pt idx="97">
                  <c:v>-101.10260348416863</c:v>
                </c:pt>
                <c:pt idx="98">
                  <c:v>-101.16523796770801</c:v>
                </c:pt>
                <c:pt idx="99">
                  <c:v>-101.22996299437676</c:v>
                </c:pt>
                <c:pt idx="100">
                  <c:v>-101.29530009941135</c:v>
                </c:pt>
                <c:pt idx="101">
                  <c:v>-101.36274879209697</c:v>
                </c:pt>
                <c:pt idx="102">
                  <c:v>-101.43080210445859</c:v>
                </c:pt>
                <c:pt idx="103">
                  <c:v>-101.50108907262975</c:v>
                </c:pt>
                <c:pt idx="104">
                  <c:v>-101.57197405348498</c:v>
                </c:pt>
                <c:pt idx="105">
                  <c:v>-101.64511349496016</c:v>
                </c:pt>
                <c:pt idx="106">
                  <c:v>-101.71884339870572</c:v>
                </c:pt>
                <c:pt idx="107">
                  <c:v>-101.79484669358395</c:v>
                </c:pt>
                <c:pt idx="108">
                  <c:v>-101.87143205368562</c:v>
                </c:pt>
                <c:pt idx="109">
                  <c:v>-101.95036188970502</c:v>
                </c:pt>
                <c:pt idx="110">
                  <c:v>-102.02986540993729</c:v>
                </c:pt>
                <c:pt idx="111">
                  <c:v>-102.11183980525844</c:v>
                </c:pt>
                <c:pt idx="112">
                  <c:v>-102.19438024098348</c:v>
                </c:pt>
                <c:pt idx="113">
                  <c:v>-102.27940983565419</c:v>
                </c:pt>
                <c:pt idx="114">
                  <c:v>-102.36499701420895</c:v>
                </c:pt>
                <c:pt idx="115">
                  <c:v>-102.45314602905404</c:v>
                </c:pt>
                <c:pt idx="116">
                  <c:v>-102.54184413605556</c:v>
                </c:pt>
                <c:pt idx="117">
                  <c:v>-102.63317715200088</c:v>
                </c:pt>
                <c:pt idx="118">
                  <c:v>-102.72505071951036</c:v>
                </c:pt>
                <c:pt idx="119">
                  <c:v>-102.81957511236277</c:v>
                </c:pt>
                <c:pt idx="120">
                  <c:v>-102.91463082101599</c:v>
                </c:pt>
                <c:pt idx="121">
                  <c:v>-103.01240976486349</c:v>
                </c:pt>
                <c:pt idx="122">
                  <c:v>-103.11071078770863</c:v>
                </c:pt>
                <c:pt idx="123">
                  <c:v>-103.21186646711736</c:v>
                </c:pt>
                <c:pt idx="124">
                  <c:v>-103.31353556021195</c:v>
                </c:pt>
                <c:pt idx="125">
                  <c:v>-103.4180740925993</c:v>
                </c:pt>
                <c:pt idx="126">
                  <c:v>-103.52311672204355</c:v>
                </c:pt>
                <c:pt idx="127">
                  <c:v>-103.63110186794916</c:v>
                </c:pt>
                <c:pt idx="128">
                  <c:v>-103.73958176257597</c:v>
                </c:pt>
                <c:pt idx="129">
                  <c:v>-103.85107737846019</c:v>
                </c:pt>
                <c:pt idx="130">
                  <c:v>-103.96305835497499</c:v>
                </c:pt>
                <c:pt idx="131">
                  <c:v>-104.07812833824283</c:v>
                </c:pt>
                <c:pt idx="132">
                  <c:v>-104.13584277628885</c:v>
                </c:pt>
                <c:pt idx="133">
                  <c:v>-104.19367424745687</c:v>
                </c:pt>
                <c:pt idx="134">
                  <c:v>-104.25299973226215</c:v>
                </c:pt>
                <c:pt idx="135">
                  <c:v>-104.31244389221817</c:v>
                </c:pt>
                <c:pt idx="136">
                  <c:v>-104.37200477046878</c:v>
                </c:pt>
                <c:pt idx="137">
                  <c:v>-104.43168044966794</c:v>
                </c:pt>
                <c:pt idx="138">
                  <c:v>-104.49282777705281</c:v>
                </c:pt>
                <c:pt idx="139">
                  <c:v>-104.55409124341587</c:v>
                </c:pt>
                <c:pt idx="140">
                  <c:v>-104.61546891981035</c:v>
                </c:pt>
                <c:pt idx="141">
                  <c:v>-104.67695891639487</c:v>
                </c:pt>
                <c:pt idx="142">
                  <c:v>-104.74002146513556</c:v>
                </c:pt>
                <c:pt idx="143">
                  <c:v>-104.80319783758981</c:v>
                </c:pt>
                <c:pt idx="144">
                  <c:v>-104.86648612736478</c:v>
                </c:pt>
                <c:pt idx="145">
                  <c:v>-104.92988446689478</c:v>
                </c:pt>
                <c:pt idx="146">
                  <c:v>-104.99486336810308</c:v>
                </c:pt>
                <c:pt idx="147">
                  <c:v>-105.05995364138924</c:v>
                </c:pt>
                <c:pt idx="148">
                  <c:v>-105.12515340635477</c:v>
                </c:pt>
                <c:pt idx="149">
                  <c:v>-105.19046082104357</c:v>
                </c:pt>
                <c:pt idx="150">
                  <c:v>-105.25738776405677</c:v>
                </c:pt>
                <c:pt idx="151">
                  <c:v>-105.32442361063801</c:v>
                </c:pt>
                <c:pt idx="152">
                  <c:v>-105.39156650681767</c:v>
                </c:pt>
                <c:pt idx="153">
                  <c:v>-105.45881463665535</c:v>
                </c:pt>
                <c:pt idx="154">
                  <c:v>-105.52775294268108</c:v>
                </c:pt>
                <c:pt idx="155">
                  <c:v>-105.59679776343933</c:v>
                </c:pt>
                <c:pt idx="156">
                  <c:v>-105.66594726928857</c:v>
                </c:pt>
                <c:pt idx="157">
                  <c:v>-105.73519966824288</c:v>
                </c:pt>
                <c:pt idx="158">
                  <c:v>-105.80618137404926</c:v>
                </c:pt>
                <c:pt idx="159">
                  <c:v>-105.87726717573091</c:v>
                </c:pt>
                <c:pt idx="160">
                  <c:v>-105.94845526857523</c:v>
                </c:pt>
                <c:pt idx="161">
                  <c:v>-106.01974388512349</c:v>
                </c:pt>
                <c:pt idx="162">
                  <c:v>-106.09276873459856</c:v>
                </c:pt>
                <c:pt idx="163">
                  <c:v>-106.16589514293118</c:v>
                </c:pt>
                <c:pt idx="164">
                  <c:v>-106.23912133319833</c:v>
                </c:pt>
                <c:pt idx="165">
                  <c:v>-106.31244556523606</c:v>
                </c:pt>
                <c:pt idx="166">
                  <c:v>-106.38760925520846</c:v>
                </c:pt>
                <c:pt idx="167">
                  <c:v>-106.46287211766311</c:v>
                </c:pt>
                <c:pt idx="168">
                  <c:v>-106.53823239924498</c:v>
                </c:pt>
                <c:pt idx="169">
                  <c:v>-106.61368838296447</c:v>
                </c:pt>
                <c:pt idx="170">
                  <c:v>-106.69086065021121</c:v>
                </c:pt>
                <c:pt idx="171">
                  <c:v>-106.76812926168367</c:v>
                </c:pt>
                <c:pt idx="172">
                  <c:v>-106.84549249898363</c:v>
                </c:pt>
                <c:pt idx="173">
                  <c:v>-106.92294867935315</c:v>
                </c:pt>
                <c:pt idx="174">
                  <c:v>-107.00245229875958</c:v>
                </c:pt>
                <c:pt idx="175">
                  <c:v>-107.08205013552308</c:v>
                </c:pt>
                <c:pt idx="176">
                  <c:v>-107.16174048706965</c:v>
                </c:pt>
                <c:pt idx="177">
                  <c:v>-107.24152168625547</c:v>
                </c:pt>
                <c:pt idx="178">
                  <c:v>-107.32335723723932</c:v>
                </c:pt>
                <c:pt idx="179">
                  <c:v>-107.40528472546556</c:v>
                </c:pt>
                <c:pt idx="180">
                  <c:v>-107.48730246752254</c:v>
                </c:pt>
                <c:pt idx="181">
                  <c:v>-107.56940881511309</c:v>
                </c:pt>
                <c:pt idx="182">
                  <c:v>-107.65324689731561</c:v>
                </c:pt>
                <c:pt idx="183">
                  <c:v>-107.73717380830828</c:v>
                </c:pt>
                <c:pt idx="184">
                  <c:v>-107.82118790597529</c:v>
                </c:pt>
                <c:pt idx="185">
                  <c:v>-107.90528758237306</c:v>
                </c:pt>
                <c:pt idx="186">
                  <c:v>-107.99178335727132</c:v>
                </c:pt>
                <c:pt idx="187">
                  <c:v>-108.07836613936404</c:v>
                </c:pt>
                <c:pt idx="188">
                  <c:v>-108.16503429148811</c:v>
                </c:pt>
                <c:pt idx="189">
                  <c:v>-108.25178621070154</c:v>
                </c:pt>
                <c:pt idx="190">
                  <c:v>-108.3402782561956</c:v>
                </c:pt>
                <c:pt idx="191">
                  <c:v>-108.42885403994809</c:v>
                </c:pt>
                <c:pt idx="192">
                  <c:v>-108.51751196945861</c:v>
                </c:pt>
                <c:pt idx="193">
                  <c:v>-108.60625048538316</c:v>
                </c:pt>
                <c:pt idx="194">
                  <c:v>-108.69739766119272</c:v>
                </c:pt>
                <c:pt idx="195">
                  <c:v>-108.78862648033407</c:v>
                </c:pt>
                <c:pt idx="196">
                  <c:v>-108.8799353607954</c:v>
                </c:pt>
                <c:pt idx="197">
                  <c:v>-108.97132275358744</c:v>
                </c:pt>
                <c:pt idx="198">
                  <c:v>-109.06479086190272</c:v>
                </c:pt>
                <c:pt idx="199">
                  <c:v>-109.15833778988281</c:v>
                </c:pt>
                <c:pt idx="200">
                  <c:v>-109.25196198581204</c:v>
                </c:pt>
                <c:pt idx="201">
                  <c:v>-109.3456619303025</c:v>
                </c:pt>
                <c:pt idx="202">
                  <c:v>-109.44144638458714</c:v>
                </c:pt>
                <c:pt idx="203">
                  <c:v>-109.53730676368141</c:v>
                </c:pt>
                <c:pt idx="204">
                  <c:v>-109.63324154739131</c:v>
                </c:pt>
                <c:pt idx="205">
                  <c:v>-109.72924924710723</c:v>
                </c:pt>
                <c:pt idx="206">
                  <c:v>-109.82768087649386</c:v>
                </c:pt>
                <c:pt idx="207">
                  <c:v>-109.9261859699229</c:v>
                </c:pt>
                <c:pt idx="208">
                  <c:v>-110.02476302448996</c:v>
                </c:pt>
                <c:pt idx="209">
                  <c:v>-110.12341056851038</c:v>
                </c:pt>
                <c:pt idx="210">
                  <c:v>-110.22482344918929</c:v>
                </c:pt>
                <c:pt idx="211">
                  <c:v>-110.32630767007795</c:v>
                </c:pt>
                <c:pt idx="212">
                  <c:v>-110.42786173311396</c:v>
                </c:pt>
                <c:pt idx="213">
                  <c:v>-110.5294841714217</c:v>
                </c:pt>
                <c:pt idx="214">
                  <c:v>-110.63320125002788</c:v>
                </c:pt>
                <c:pt idx="215">
                  <c:v>-110.73698647021887</c:v>
                </c:pt>
                <c:pt idx="216">
                  <c:v>-110.84083837057685</c:v>
                </c:pt>
                <c:pt idx="217">
                  <c:v>-110.94475551994397</c:v>
                </c:pt>
                <c:pt idx="218">
                  <c:v>-111.05110815246023</c:v>
                </c:pt>
                <c:pt idx="219">
                  <c:v>-111.15752610839526</c:v>
                </c:pt>
                <c:pt idx="220">
                  <c:v>-111.26400794947199</c:v>
                </c:pt>
                <c:pt idx="221">
                  <c:v>-111.37055226710388</c:v>
                </c:pt>
                <c:pt idx="222">
                  <c:v>-111.47953492118583</c:v>
                </c:pt>
                <c:pt idx="223">
                  <c:v>-111.58857998299477</c:v>
                </c:pt>
                <c:pt idx="224">
                  <c:v>-111.697686038737</c:v>
                </c:pt>
                <c:pt idx="225">
                  <c:v>-111.80685170368955</c:v>
                </c:pt>
                <c:pt idx="226">
                  <c:v>-111.91879844529456</c:v>
                </c:pt>
                <c:pt idx="227">
                  <c:v>-112.03080494914627</c:v>
                </c:pt>
                <c:pt idx="228">
                  <c:v>-112.14286981440016</c:v>
                </c:pt>
                <c:pt idx="229">
                  <c:v>-112.2549916689623</c:v>
                </c:pt>
                <c:pt idx="230">
                  <c:v>-112.48486044231031</c:v>
                </c:pt>
                <c:pt idx="231">
                  <c:v>-112.59987889725724</c:v>
                </c:pt>
                <c:pt idx="232">
                  <c:v>-112.71495157832611</c:v>
                </c:pt>
                <c:pt idx="233">
                  <c:v>-112.83281073906562</c:v>
                </c:pt>
                <c:pt idx="234">
                  <c:v>-112.95072393968707</c:v>
                </c:pt>
                <c:pt idx="235">
                  <c:v>-113.06868981118173</c:v>
                </c:pt>
                <c:pt idx="236">
                  <c:v>-113.18670701244471</c:v>
                </c:pt>
                <c:pt idx="237">
                  <c:v>-113.3071703049265</c:v>
                </c:pt>
                <c:pt idx="238">
                  <c:v>-113.42768429629839</c:v>
                </c:pt>
                <c:pt idx="239">
                  <c:v>-113.54824764717168</c:v>
                </c:pt>
                <c:pt idx="240">
                  <c:v>-113.66885904524707</c:v>
                </c:pt>
                <c:pt idx="241">
                  <c:v>-113.79260281621123</c:v>
                </c:pt>
                <c:pt idx="242">
                  <c:v>-113.91639441120746</c:v>
                </c:pt>
                <c:pt idx="243">
                  <c:v>-114.04023249871832</c:v>
                </c:pt>
                <c:pt idx="244">
                  <c:v>-114.16411577407057</c:v>
                </c:pt>
                <c:pt idx="245">
                  <c:v>-114.29078975520507</c:v>
                </c:pt>
                <c:pt idx="246">
                  <c:v>-114.41750827538002</c:v>
                </c:pt>
                <c:pt idx="247">
                  <c:v>-114.54427002355244</c:v>
                </c:pt>
                <c:pt idx="248">
                  <c:v>-114.67107371492465</c:v>
                </c:pt>
                <c:pt idx="249">
                  <c:v>-114.80101235327587</c:v>
                </c:pt>
                <c:pt idx="250">
                  <c:v>-114.93099235781307</c:v>
                </c:pt>
                <c:pt idx="251">
                  <c:v>-115.06101242850382</c:v>
                </c:pt>
                <c:pt idx="252">
                  <c:v>-115.19107129119946</c:v>
                </c:pt>
                <c:pt idx="253">
                  <c:v>-115.32392145675024</c:v>
                </c:pt>
                <c:pt idx="254">
                  <c:v>-115.4568094677749</c:v>
                </c:pt>
                <c:pt idx="255">
                  <c:v>-115.58973404659265</c:v>
                </c:pt>
                <c:pt idx="256">
                  <c:v>-115.72269394073119</c:v>
                </c:pt>
                <c:pt idx="257">
                  <c:v>-115.85913380430793</c:v>
                </c:pt>
                <c:pt idx="258">
                  <c:v>-115.99560824465011</c:v>
                </c:pt>
                <c:pt idx="259">
                  <c:v>-116.13211598768584</c:v>
                </c:pt>
                <c:pt idx="260">
                  <c:v>-116.26865578435343</c:v>
                </c:pt>
                <c:pt idx="261">
                  <c:v>-116.40833063660986</c:v>
                </c:pt>
                <c:pt idx="262">
                  <c:v>-116.54803645055632</c:v>
                </c:pt>
                <c:pt idx="263">
                  <c:v>-116.68777196684069</c:v>
                </c:pt>
                <c:pt idx="264">
                  <c:v>-116.82753595061399</c:v>
                </c:pt>
                <c:pt idx="265">
                  <c:v>-116.97043396331557</c:v>
                </c:pt>
                <c:pt idx="266">
                  <c:v>-117.1133591889412</c:v>
                </c:pt>
                <c:pt idx="267">
                  <c:v>-117.25631038362087</c:v>
                </c:pt>
                <c:pt idx="268">
                  <c:v>-117.39928632744896</c:v>
                </c:pt>
                <c:pt idx="269">
                  <c:v>-117.54574019943055</c:v>
                </c:pt>
                <c:pt idx="270">
                  <c:v>-117.69221751486269</c:v>
                </c:pt>
                <c:pt idx="271">
                  <c:v>-117.83871703727229</c:v>
                </c:pt>
                <c:pt idx="272">
                  <c:v>-117.98523755380397</c:v>
                </c:pt>
                <c:pt idx="273">
                  <c:v>-118.1352342437208</c:v>
                </c:pt>
                <c:pt idx="274">
                  <c:v>-118.28525043134277</c:v>
                </c:pt>
                <c:pt idx="275">
                  <c:v>-118.43528488873271</c:v>
                </c:pt>
                <c:pt idx="276">
                  <c:v>-118.58533641117937</c:v>
                </c:pt>
                <c:pt idx="277">
                  <c:v>-118.73851597324786</c:v>
                </c:pt>
                <c:pt idx="278">
                  <c:v>-118.89171085034361</c:v>
                </c:pt>
                <c:pt idx="279">
                  <c:v>-119.04491983212374</c:v>
                </c:pt>
                <c:pt idx="280">
                  <c:v>-119.19814173083918</c:v>
                </c:pt>
                <c:pt idx="281">
                  <c:v>-119.3555263320349</c:v>
                </c:pt>
                <c:pt idx="282">
                  <c:v>-119.51292209016633</c:v>
                </c:pt>
                <c:pt idx="283">
                  <c:v>-119.67032778880102</c:v>
                </c:pt>
                <c:pt idx="284">
                  <c:v>-119.82774223404294</c:v>
                </c:pt>
                <c:pt idx="285">
                  <c:v>-119.98827816462384</c:v>
                </c:pt>
                <c:pt idx="286">
                  <c:v>-120.14882075249142</c:v>
                </c:pt>
                <c:pt idx="287">
                  <c:v>-120.30936880005486</c:v>
                </c:pt>
                <c:pt idx="288">
                  <c:v>-120.46992113157296</c:v>
                </c:pt>
                <c:pt idx="289">
                  <c:v>-120.63462892028841</c:v>
                </c:pt>
                <c:pt idx="290">
                  <c:v>-120.79933877878622</c:v>
                </c:pt>
                <c:pt idx="291">
                  <c:v>-120.96404950561565</c:v>
                </c:pt>
                <c:pt idx="292">
                  <c:v>-121.12875992103061</c:v>
                </c:pt>
                <c:pt idx="293">
                  <c:v>-121.29727513907427</c:v>
                </c:pt>
                <c:pt idx="294">
                  <c:v>-121.46578759988513</c:v>
                </c:pt>
                <c:pt idx="295">
                  <c:v>-121.63429610683372</c:v>
                </c:pt>
                <c:pt idx="296">
                  <c:v>-121.80279948462452</c:v>
                </c:pt>
                <c:pt idx="297">
                  <c:v>-121.97510238647804</c:v>
                </c:pt>
                <c:pt idx="298">
                  <c:v>-122.14739750496538</c:v>
                </c:pt>
                <c:pt idx="299">
                  <c:v>-122.31968364890832</c:v>
                </c:pt>
                <c:pt idx="300">
                  <c:v>-122.49195964806621</c:v>
                </c:pt>
                <c:pt idx="301">
                  <c:v>-122.66802926012454</c:v>
                </c:pt>
                <c:pt idx="302">
                  <c:v>-122.84408586681415</c:v>
                </c:pt>
                <c:pt idx="303">
                  <c:v>-123.02012828288412</c:v>
                </c:pt>
                <c:pt idx="304">
                  <c:v>-123.1961553436045</c:v>
                </c:pt>
                <c:pt idx="305">
                  <c:v>-123.37666103627461</c:v>
                </c:pt>
                <c:pt idx="306">
                  <c:v>-123.55714816186608</c:v>
                </c:pt>
                <c:pt idx="307">
                  <c:v>-123.73761552785942</c:v>
                </c:pt>
                <c:pt idx="308">
                  <c:v>-123.91806196213199</c:v>
                </c:pt>
                <c:pt idx="309">
                  <c:v>-124.10228811228636</c:v>
                </c:pt>
                <c:pt idx="310">
                  <c:v>-124.28649003213881</c:v>
                </c:pt>
                <c:pt idx="311">
                  <c:v>-124.47066653631953</c:v>
                </c:pt>
                <c:pt idx="312">
                  <c:v>-124.65481645939528</c:v>
                </c:pt>
                <c:pt idx="313">
                  <c:v>-124.84342908469732</c:v>
                </c:pt>
                <c:pt idx="314">
                  <c:v>-125.03201140257327</c:v>
                </c:pt>
                <c:pt idx="315">
                  <c:v>-125.22056222195692</c:v>
                </c:pt>
                <c:pt idx="316">
                  <c:v>-125.40908037154043</c:v>
                </c:pt>
                <c:pt idx="317">
                  <c:v>-125.60205199976973</c:v>
                </c:pt>
                <c:pt idx="318">
                  <c:v>-125.79498696051567</c:v>
                </c:pt>
                <c:pt idx="319">
                  <c:v>-125.9878840578842</c:v>
                </c:pt>
                <c:pt idx="320">
                  <c:v>-126.1807421155324</c:v>
                </c:pt>
                <c:pt idx="321">
                  <c:v>-126.37804362501292</c:v>
                </c:pt>
                <c:pt idx="322">
                  <c:v>-126.57530182638345</c:v>
                </c:pt>
                <c:pt idx="323">
                  <c:v>-126.77251551966845</c:v>
                </c:pt>
                <c:pt idx="324">
                  <c:v>-126.96968352421652</c:v>
                </c:pt>
                <c:pt idx="325">
                  <c:v>-127.17128415094984</c:v>
                </c:pt>
                <c:pt idx="326">
                  <c:v>-127.37283455044378</c:v>
                </c:pt>
                <c:pt idx="327">
                  <c:v>-127.57433351928562</c:v>
                </c:pt>
                <c:pt idx="328">
                  <c:v>-127.77577987314272</c:v>
                </c:pt>
                <c:pt idx="329">
                  <c:v>-127.98199142915564</c:v>
                </c:pt>
                <c:pt idx="330">
                  <c:v>-128.18814536786766</c:v>
                </c:pt>
                <c:pt idx="331">
                  <c:v>-128.39424047697392</c:v>
                </c:pt>
                <c:pt idx="332">
                  <c:v>-128.6002755631207</c:v>
                </c:pt>
                <c:pt idx="333">
                  <c:v>-128.8107189822081</c:v>
                </c:pt>
                <c:pt idx="334">
                  <c:v>-129.02109728476776</c:v>
                </c:pt>
                <c:pt idx="335">
                  <c:v>-129.23140925634851</c:v>
                </c:pt>
                <c:pt idx="336">
                  <c:v>-129.44165370118483</c:v>
                </c:pt>
                <c:pt idx="337">
                  <c:v>-129.65697993546678</c:v>
                </c:pt>
                <c:pt idx="338">
                  <c:v>-129.87223280951181</c:v>
                </c:pt>
                <c:pt idx="339">
                  <c:v>-130.08741109553441</c:v>
                </c:pt>
                <c:pt idx="340">
                  <c:v>-130.30251358440063</c:v>
                </c:pt>
                <c:pt idx="341">
                  <c:v>-130.52268228324664</c:v>
                </c:pt>
                <c:pt idx="342">
                  <c:v>-130.74276900721301</c:v>
                </c:pt>
                <c:pt idx="343">
                  <c:v>-130.96277251619424</c:v>
                </c:pt>
                <c:pt idx="344">
                  <c:v>-131.18269158869009</c:v>
                </c:pt>
                <c:pt idx="345">
                  <c:v>-131.4073179337789</c:v>
                </c:pt>
                <c:pt idx="346">
                  <c:v>-131.63185359865687</c:v>
                </c:pt>
                <c:pt idx="347">
                  <c:v>-131.85629733754041</c:v>
                </c:pt>
                <c:pt idx="348">
                  <c:v>-132.08064792308232</c:v>
                </c:pt>
                <c:pt idx="349">
                  <c:v>-132.3103726210017</c:v>
                </c:pt>
                <c:pt idx="350">
                  <c:v>-132.53999701625932</c:v>
                </c:pt>
                <c:pt idx="351">
                  <c:v>-132.76951984691459</c:v>
                </c:pt>
                <c:pt idx="352">
                  <c:v>-132.99893986951511</c:v>
                </c:pt>
                <c:pt idx="353">
                  <c:v>-133.23371448523304</c:v>
                </c:pt>
                <c:pt idx="354">
                  <c:v>-133.46837875879481</c:v>
                </c:pt>
                <c:pt idx="355">
                  <c:v>-133.70293141331962</c:v>
                </c:pt>
                <c:pt idx="356">
                  <c:v>-133.93737119045988</c:v>
                </c:pt>
                <c:pt idx="357">
                  <c:v>-134.17680441396223</c:v>
                </c:pt>
                <c:pt idx="358">
                  <c:v>-134.41611718559352</c:v>
                </c:pt>
                <c:pt idx="359">
                  <c:v>-134.65530822021813</c:v>
                </c:pt>
                <c:pt idx="360">
                  <c:v>-134.89437625117176</c:v>
                </c:pt>
                <c:pt idx="361">
                  <c:v>-135.13909663768123</c:v>
                </c:pt>
                <c:pt idx="362">
                  <c:v>-135.38368536782255</c:v>
                </c:pt>
                <c:pt idx="363">
                  <c:v>-135.62814113846466</c:v>
                </c:pt>
                <c:pt idx="364">
                  <c:v>-135.87246266509945</c:v>
                </c:pt>
                <c:pt idx="365">
                  <c:v>-136.12207348864578</c:v>
                </c:pt>
                <c:pt idx="366">
                  <c:v>-136.37154137905813</c:v>
                </c:pt>
                <c:pt idx="367">
                  <c:v>-136.62086502209232</c:v>
                </c:pt>
                <c:pt idx="368">
                  <c:v>-136.87004312217942</c:v>
                </c:pt>
                <c:pt idx="369">
                  <c:v>-137.12516299100389</c:v>
                </c:pt>
                <c:pt idx="370">
                  <c:v>-137.38012741663402</c:v>
                </c:pt>
                <c:pt idx="371">
                  <c:v>-137.63493506459352</c:v>
                </c:pt>
                <c:pt idx="372">
                  <c:v>-137.88958461934359</c:v>
                </c:pt>
                <c:pt idx="373">
                  <c:v>-138.14981077848577</c:v>
                </c:pt>
                <c:pt idx="374">
                  <c:v>-138.40986891209167</c:v>
                </c:pt>
                <c:pt idx="375">
                  <c:v>-138.66975767261391</c:v>
                </c:pt>
                <c:pt idx="376">
                  <c:v>-138.92947573161209</c:v>
                </c:pt>
                <c:pt idx="377">
                  <c:v>-139.19541567304952</c:v>
                </c:pt>
                <c:pt idx="378">
                  <c:v>-139.46117363209009</c:v>
                </c:pt>
                <c:pt idx="379">
                  <c:v>-139.72674823966696</c:v>
                </c:pt>
                <c:pt idx="380">
                  <c:v>-139.99213814619705</c:v>
                </c:pt>
                <c:pt idx="381">
                  <c:v>-140.26304688561834</c:v>
                </c:pt>
                <c:pt idx="382">
                  <c:v>-140.5337601030264</c:v>
                </c:pt>
                <c:pt idx="383">
                  <c:v>-140.80427642046203</c:v>
                </c:pt>
                <c:pt idx="384">
                  <c:v>-141.07459447964493</c:v>
                </c:pt>
                <c:pt idx="385">
                  <c:v>-141.35140478131746</c:v>
                </c:pt>
                <c:pt idx="386">
                  <c:v>-141.62800404964491</c:v>
                </c:pt>
                <c:pt idx="387">
                  <c:v>-141.9043908848478</c:v>
                </c:pt>
                <c:pt idx="388">
                  <c:v>-142.18056390732878</c:v>
                </c:pt>
                <c:pt idx="389">
                  <c:v>-142.4628592412773</c:v>
                </c:pt>
                <c:pt idx="390">
                  <c:v>-142.74492796766683</c:v>
                </c:pt>
                <c:pt idx="391">
                  <c:v>-143.02676867289799</c:v>
                </c:pt>
                <c:pt idx="392">
                  <c:v>-143.3083799639771</c:v>
                </c:pt>
                <c:pt idx="393">
                  <c:v>-143.59607722818396</c:v>
                </c:pt>
                <c:pt idx="394">
                  <c:v>-143.88353177706691</c:v>
                </c:pt>
                <c:pt idx="395">
                  <c:v>-144.17074218623705</c:v>
                </c:pt>
                <c:pt idx="396">
                  <c:v>-144.45770705235446</c:v>
                </c:pt>
                <c:pt idx="397">
                  <c:v>-144.75138269355242</c:v>
                </c:pt>
                <c:pt idx="398">
                  <c:v>-145.04479781051626</c:v>
                </c:pt>
                <c:pt idx="399">
                  <c:v>-145.33795096166557</c:v>
                </c:pt>
                <c:pt idx="400">
                  <c:v>-145.63084072712897</c:v>
                </c:pt>
                <c:pt idx="401">
                  <c:v>-145.93006817170166</c:v>
                </c:pt>
                <c:pt idx="402">
                  <c:v>-146.2290172704904</c:v>
                </c:pt>
                <c:pt idx="403">
                  <c:v>-146.52768657352141</c:v>
                </c:pt>
                <c:pt idx="404">
                  <c:v>-146.82607465311708</c:v>
                </c:pt>
                <c:pt idx="405">
                  <c:v>-147.13108647000641</c:v>
                </c:pt>
                <c:pt idx="406">
                  <c:v>-147.43580092165678</c:v>
                </c:pt>
                <c:pt idx="407">
                  <c:v>-147.74021654910456</c:v>
                </c:pt>
                <c:pt idx="408">
                  <c:v>-148.04433191639228</c:v>
                </c:pt>
                <c:pt idx="409">
                  <c:v>-148.35535218358254</c:v>
                </c:pt>
                <c:pt idx="410">
                  <c:v>-148.66605479653319</c:v>
                </c:pt>
                <c:pt idx="411">
                  <c:v>-148.97643828736872</c:v>
                </c:pt>
                <c:pt idx="412">
                  <c:v>-149.28650121205513</c:v>
                </c:pt>
                <c:pt idx="413">
                  <c:v>-149.60341882659239</c:v>
                </c:pt>
                <c:pt idx="414">
                  <c:v>-149.91999785620712</c:v>
                </c:pt>
                <c:pt idx="415">
                  <c:v>-150.23623682943207</c:v>
                </c:pt>
                <c:pt idx="416">
                  <c:v>-150.55213429950419</c:v>
                </c:pt>
                <c:pt idx="417">
                  <c:v>-150.87515919038898</c:v>
                </c:pt>
                <c:pt idx="418">
                  <c:v>-151.1978232179269</c:v>
                </c:pt>
                <c:pt idx="419">
                  <c:v>-151.52012490836779</c:v>
                </c:pt>
                <c:pt idx="420">
                  <c:v>-151.84206281365744</c:v>
                </c:pt>
                <c:pt idx="421">
                  <c:v>-152.17074867257293</c:v>
                </c:pt>
                <c:pt idx="422">
                  <c:v>-152.49905148644439</c:v>
                </c:pt>
                <c:pt idx="423">
                  <c:v>-152.82696978998172</c:v>
                </c:pt>
                <c:pt idx="424">
                  <c:v>-153.15450214450479</c:v>
                </c:pt>
                <c:pt idx="425">
                  <c:v>-153.48969207030896</c:v>
                </c:pt>
                <c:pt idx="426">
                  <c:v>-153.82447384618712</c:v>
                </c:pt>
                <c:pt idx="427">
                  <c:v>-154.15884600934407</c:v>
                </c:pt>
                <c:pt idx="428">
                  <c:v>-154.49280712485182</c:v>
                </c:pt>
                <c:pt idx="429">
                  <c:v>-154.83404079279532</c:v>
                </c:pt>
                <c:pt idx="430">
                  <c:v>-155.17484129088589</c:v>
                </c:pt>
                <c:pt idx="431">
                  <c:v>-155.51520717095178</c:v>
                </c:pt>
                <c:pt idx="432">
                  <c:v>-155.85513701386378</c:v>
                </c:pt>
                <c:pt idx="433">
                  <c:v>-156.20227491201834</c:v>
                </c:pt>
                <c:pt idx="434">
                  <c:v>-156.548953989567</c:v>
                </c:pt>
                <c:pt idx="435">
                  <c:v>-156.89517282118226</c:v>
                </c:pt>
                <c:pt idx="436">
                  <c:v>-157.24093001177471</c:v>
                </c:pt>
                <c:pt idx="437">
                  <c:v>-157.59446246422186</c:v>
                </c:pt>
                <c:pt idx="438">
                  <c:v>-157.94750810469901</c:v>
                </c:pt>
                <c:pt idx="439">
                  <c:v>-158.30006553197956</c:v>
                </c:pt>
                <c:pt idx="440">
                  <c:v>-158.65213337651412</c:v>
                </c:pt>
                <c:pt idx="441">
                  <c:v>-159.01190263855437</c:v>
                </c:pt>
                <c:pt idx="442">
                  <c:v>-159.37115641729497</c:v>
                </c:pt>
                <c:pt idx="443">
                  <c:v>-159.72989334573188</c:v>
                </c:pt>
                <c:pt idx="444">
                  <c:v>-160.08811208999211</c:v>
                </c:pt>
                <c:pt idx="445">
                  <c:v>-160.45395618863984</c:v>
                </c:pt>
                <c:pt idx="446">
                  <c:v>-160.8192555002156</c:v>
                </c:pt>
                <c:pt idx="447">
                  <c:v>-161.18400870262008</c:v>
                </c:pt>
                <c:pt idx="448">
                  <c:v>-161.54821450834649</c:v>
                </c:pt>
                <c:pt idx="449">
                  <c:v>-161.92059019286424</c:v>
                </c:pt>
                <c:pt idx="450">
                  <c:v>-162.29238927502021</c:v>
                </c:pt>
                <c:pt idx="451">
                  <c:v>-162.66361048254612</c:v>
                </c:pt>
                <c:pt idx="452">
                  <c:v>-163.0342525794681</c:v>
                </c:pt>
                <c:pt idx="453">
                  <c:v>-163.41266888125736</c:v>
                </c:pt>
                <c:pt idx="454">
                  <c:v>-163.79047710803695</c:v>
                </c:pt>
                <c:pt idx="455">
                  <c:v>-164.16767605317008</c:v>
                </c:pt>
                <c:pt idx="456">
                  <c:v>-164.54426454789018</c:v>
                </c:pt>
                <c:pt idx="457">
                  <c:v>-164.92915655173013</c:v>
                </c:pt>
                <c:pt idx="458">
                  <c:v>-165.31340642827675</c:v>
                </c:pt>
                <c:pt idx="459">
                  <c:v>-165.69701304403179</c:v>
                </c:pt>
                <c:pt idx="460">
                  <c:v>-166.07997530517665</c:v>
                </c:pt>
                <c:pt idx="461">
                  <c:v>-166.47114715556339</c:v>
                </c:pt>
                <c:pt idx="462">
                  <c:v>-166.8616422393367</c:v>
                </c:pt>
                <c:pt idx="463">
                  <c:v>-167.25145951078488</c:v>
                </c:pt>
                <c:pt idx="464">
                  <c:v>-167.64059796565877</c:v>
                </c:pt>
                <c:pt idx="465">
                  <c:v>-168.0381529804518</c:v>
                </c:pt>
                <c:pt idx="466">
                  <c:v>-168.43499498874718</c:v>
                </c:pt>
                <c:pt idx="467">
                  <c:v>-168.83112304570008</c:v>
                </c:pt>
                <c:pt idx="468">
                  <c:v>-169.2265362498029</c:v>
                </c:pt>
                <c:pt idx="469">
                  <c:v>-169.63026422685903</c:v>
                </c:pt>
                <c:pt idx="470">
                  <c:v>-170.0332424632289</c:v>
                </c:pt>
                <c:pt idx="471">
                  <c:v>-170.43547013136046</c:v>
                </c:pt>
                <c:pt idx="472">
                  <c:v>-170.83694644885952</c:v>
                </c:pt>
                <c:pt idx="473">
                  <c:v>-171.24723101133571</c:v>
                </c:pt>
                <c:pt idx="474">
                  <c:v>-171.6567263919292</c:v>
                </c:pt>
                <c:pt idx="475">
                  <c:v>-172.06543189433256</c:v>
                </c:pt>
                <c:pt idx="476">
                  <c:v>-172.47334686941815</c:v>
                </c:pt>
                <c:pt idx="477">
                  <c:v>-172.8899568687666</c:v>
                </c:pt>
                <c:pt idx="478">
                  <c:v>-173.30573780819236</c:v>
                </c:pt>
                <c:pt idx="479">
                  <c:v>-173.72068914160229</c:v>
                </c:pt>
                <c:pt idx="480">
                  <c:v>-174.13481037201694</c:v>
                </c:pt>
                <c:pt idx="481">
                  <c:v>-174.55751109755877</c:v>
                </c:pt>
                <c:pt idx="482">
                  <c:v>-174.97934255230729</c:v>
                </c:pt>
                <c:pt idx="483">
                  <c:v>-175.40030435977019</c:v>
                </c:pt>
                <c:pt idx="484">
                  <c:v>-175.82039619439371</c:v>
                </c:pt>
                <c:pt idx="485">
                  <c:v>-176.24924147208151</c:v>
                </c:pt>
                <c:pt idx="486">
                  <c:v>-176.67717580370731</c:v>
                </c:pt>
                <c:pt idx="487">
                  <c:v>-177.10419900173483</c:v>
                </c:pt>
                <c:pt idx="488">
                  <c:v>-177.53031093140274</c:v>
                </c:pt>
                <c:pt idx="489">
                  <c:v>-177.9656311090917</c:v>
                </c:pt>
                <c:pt idx="490">
                  <c:v>-178.39999595827618</c:v>
                </c:pt>
                <c:pt idx="491">
                  <c:v>-178.83340550142935</c:v>
                </c:pt>
                <c:pt idx="492">
                  <c:v>-179.26585981576972</c:v>
                </c:pt>
                <c:pt idx="493">
                  <c:v>-179.70738919967289</c:v>
                </c:pt>
                <c:pt idx="494">
                  <c:v>-180.14791871437149</c:v>
                </c:pt>
                <c:pt idx="495">
                  <c:v>-180.58744861541172</c:v>
                </c:pt>
                <c:pt idx="496">
                  <c:v>-181.02597921487401</c:v>
                </c:pt>
                <c:pt idx="497">
                  <c:v>-181.47373358593151</c:v>
                </c:pt>
                <c:pt idx="498">
                  <c:v>-181.92044219666863</c:v>
                </c:pt>
                <c:pt idx="499">
                  <c:v>-182.36610555989492</c:v>
                </c:pt>
                <c:pt idx="500">
                  <c:v>-182.81072424668241</c:v>
                </c:pt>
                <c:pt idx="501">
                  <c:v>-183.26470682294823</c:v>
                </c:pt>
                <c:pt idx="502">
                  <c:v>-183.71759645649374</c:v>
                </c:pt>
                <c:pt idx="503">
                  <c:v>-184.16939394316643</c:v>
                </c:pt>
                <c:pt idx="504">
                  <c:v>-184.62010013871355</c:v>
                </c:pt>
                <c:pt idx="505">
                  <c:v>-185.08002313060024</c:v>
                </c:pt>
                <c:pt idx="506">
                  <c:v>-185.53880615910086</c:v>
                </c:pt>
                <c:pt idx="507">
                  <c:v>-185.99645032835843</c:v>
                </c:pt>
                <c:pt idx="508">
                  <c:v>-186.45295680378396</c:v>
                </c:pt>
                <c:pt idx="509">
                  <c:v>-186.91880709385487</c:v>
                </c:pt>
                <c:pt idx="510">
                  <c:v>-187.38346931065266</c:v>
                </c:pt>
                <c:pt idx="511">
                  <c:v>-187.8469448941818</c:v>
                </c:pt>
                <c:pt idx="512">
                  <c:v>-188.30923534693073</c:v>
                </c:pt>
                <c:pt idx="513">
                  <c:v>-188.78126106205252</c:v>
                </c:pt>
                <c:pt idx="514">
                  <c:v>-189.25204816170677</c:v>
                </c:pt>
                <c:pt idx="515">
                  <c:v>-189.72159845388194</c:v>
                </c:pt>
                <c:pt idx="516">
                  <c:v>-190.1899138102273</c:v>
                </c:pt>
                <c:pt idx="517">
                  <c:v>-190.66779992297936</c:v>
                </c:pt>
                <c:pt idx="518">
                  <c:v>-191.14439739428013</c:v>
                </c:pt>
                <c:pt idx="519">
                  <c:v>-191.61970842786741</c:v>
                </c:pt>
                <c:pt idx="520">
                  <c:v>-192.09373529194519</c:v>
                </c:pt>
                <c:pt idx="521">
                  <c:v>-192.57743430334025</c:v>
                </c:pt>
                <c:pt idx="522">
                  <c:v>-193.05979386580904</c:v>
                </c:pt>
                <c:pt idx="523">
                  <c:v>-193.54081661026353</c:v>
                </c:pt>
                <c:pt idx="524">
                  <c:v>-194.02050523262793</c:v>
                </c:pt>
                <c:pt idx="525">
                  <c:v>-194.5099589733733</c:v>
                </c:pt>
                <c:pt idx="526">
                  <c:v>-194.99802180188885</c:v>
                </c:pt>
                <c:pt idx="527">
                  <c:v>-195.48469680876642</c:v>
                </c:pt>
                <c:pt idx="528">
                  <c:v>-195.96998714986262</c:v>
                </c:pt>
                <c:pt idx="529">
                  <c:v>-196.46512725538187</c:v>
                </c:pt>
                <c:pt idx="530">
                  <c:v>-196.95882446711329</c:v>
                </c:pt>
                <c:pt idx="531">
                  <c:v>-197.45108236879827</c:v>
                </c:pt>
                <c:pt idx="532">
                  <c:v>-197.94190460936173</c:v>
                </c:pt>
                <c:pt idx="533">
                  <c:v>-198.44291119128414</c:v>
                </c:pt>
                <c:pt idx="534">
                  <c:v>-198.94242098682841</c:v>
                </c:pt>
                <c:pt idx="535">
                  <c:v>-199.44043811360535</c:v>
                </c:pt>
                <c:pt idx="536">
                  <c:v>-199.9369667540914</c:v>
                </c:pt>
                <c:pt idx="537">
                  <c:v>-200.44323335422933</c:v>
                </c:pt>
                <c:pt idx="538">
                  <c:v>-200.94795216122796</c:v>
                </c:pt>
                <c:pt idx="539">
                  <c:v>-201.4511278488412</c:v>
                </c:pt>
                <c:pt idx="540">
                  <c:v>-201.95276515469786</c:v>
                </c:pt>
                <c:pt idx="541">
                  <c:v>-202.46470947387544</c:v>
                </c:pt>
                <c:pt idx="542">
                  <c:v>-202.97505183102811</c:v>
                </c:pt>
                <c:pt idx="543">
                  <c:v>-203.48379750571098</c:v>
                </c:pt>
                <c:pt idx="544">
                  <c:v>-203.99095184017904</c:v>
                </c:pt>
                <c:pt idx="545">
                  <c:v>-204.50821253436877</c:v>
                </c:pt>
                <c:pt idx="546">
                  <c:v>-205.02381881851144</c:v>
                </c:pt>
                <c:pt idx="547">
                  <c:v>-205.53777660687365</c:v>
                </c:pt>
                <c:pt idx="548">
                  <c:v>-206.05009187464282</c:v>
                </c:pt>
                <c:pt idx="549">
                  <c:v>-206.5725589500565</c:v>
                </c:pt>
                <c:pt idx="550">
                  <c:v>-207.09331951327388</c:v>
                </c:pt>
                <c:pt idx="551">
                  <c:v>-207.61238014939985</c:v>
                </c:pt>
                <c:pt idx="552">
                  <c:v>-208.1297475021787</c:v>
                </c:pt>
                <c:pt idx="553">
                  <c:v>-208.65754738583991</c:v>
                </c:pt>
                <c:pt idx="554">
                  <c:v>-209.18358759045142</c:v>
                </c:pt>
                <c:pt idx="555">
                  <c:v>-209.70787541825641</c:v>
                </c:pt>
                <c:pt idx="556">
                  <c:v>-210.23041822743008</c:v>
                </c:pt>
                <c:pt idx="557">
                  <c:v>-211.29461015169971</c:v>
                </c:pt>
                <c:pt idx="558">
                  <c:v>-212.35158601526274</c:v>
                </c:pt>
                <c:pt idx="559">
                  <c:v>-213.42539098187055</c:v>
                </c:pt>
                <c:pt idx="560">
                  <c:v>-214.49178388489656</c:v>
                </c:pt>
                <c:pt idx="561">
                  <c:v>-215.57587433365705</c:v>
                </c:pt>
                <c:pt idx="562">
                  <c:v>-216.65234877315842</c:v>
                </c:pt>
                <c:pt idx="563">
                  <c:v>-217.74414166705137</c:v>
                </c:pt>
                <c:pt idx="564">
                  <c:v>-218.82815328042898</c:v>
                </c:pt>
                <c:pt idx="565">
                  <c:v>-219.93150326536795</c:v>
                </c:pt>
                <c:pt idx="566">
                  <c:v>-221.02685493835264</c:v>
                </c:pt>
                <c:pt idx="567">
                  <c:v>-222.14094203207262</c:v>
                </c:pt>
                <c:pt idx="568">
                  <c:v>-223.24682884219104</c:v>
                </c:pt>
                <c:pt idx="569">
                  <c:v>-224.36648916251963</c:v>
                </c:pt>
                <c:pt idx="570">
                  <c:v>-225.47782846260239</c:v>
                </c:pt>
                <c:pt idx="571">
                  <c:v>-226.61112063596048</c:v>
                </c:pt>
                <c:pt idx="572">
                  <c:v>-227.73585764566454</c:v>
                </c:pt>
                <c:pt idx="573">
                  <c:v>-228.87337798688438</c:v>
                </c:pt>
                <c:pt idx="574">
                  <c:v>-230.00225773068473</c:v>
                </c:pt>
                <c:pt idx="575">
                  <c:v>-231.15187965271829</c:v>
                </c:pt>
                <c:pt idx="576">
                  <c:v>-232.29266537443786</c:v>
                </c:pt>
                <c:pt idx="577">
                  <c:v>-237.02744608777644</c:v>
                </c:pt>
                <c:pt idx="578">
                  <c:v>-241.61632309037168</c:v>
                </c:pt>
                <c:pt idx="579">
                  <c:v>-251.21064308555242</c:v>
                </c:pt>
                <c:pt idx="580">
                  <c:v>-261.11083394330819</c:v>
                </c:pt>
                <c:pt idx="581">
                  <c:v>-271.35311336336088</c:v>
                </c:pt>
                <c:pt idx="582">
                  <c:v>-282.04165010212239</c:v>
                </c:pt>
                <c:pt idx="583">
                  <c:v>-293.3391195511993</c:v>
                </c:pt>
                <c:pt idx="584">
                  <c:v>-305.53857767807887</c:v>
                </c:pt>
                <c:pt idx="585">
                  <c:v>-319.09361836690834</c:v>
                </c:pt>
                <c:pt idx="586">
                  <c:v>-334.71753739907598</c:v>
                </c:pt>
                <c:pt idx="587">
                  <c:v>-353.38772345784344</c:v>
                </c:pt>
                <c:pt idx="588">
                  <c:v>-375.90409687646445</c:v>
                </c:pt>
                <c:pt idx="589">
                  <c:v>-221.66729653444659</c:v>
                </c:pt>
                <c:pt idx="590">
                  <c:v>-247.73227175146258</c:v>
                </c:pt>
                <c:pt idx="591">
                  <c:v>-271.18139347495998</c:v>
                </c:pt>
                <c:pt idx="592">
                  <c:v>-291.6455530611683</c:v>
                </c:pt>
                <c:pt idx="593">
                  <c:v>-310.74704127273452</c:v>
                </c:pt>
                <c:pt idx="594">
                  <c:v>-331.30277296821191</c:v>
                </c:pt>
                <c:pt idx="595">
                  <c:v>-358.18225426899653</c:v>
                </c:pt>
                <c:pt idx="596">
                  <c:v>-397.97048459328943</c:v>
                </c:pt>
                <c:pt idx="597">
                  <c:v>-263.32293549831275</c:v>
                </c:pt>
                <c:pt idx="598">
                  <c:v>-298.04503598728081</c:v>
                </c:pt>
                <c:pt idx="599">
                  <c:v>-327.97861308476052</c:v>
                </c:pt>
                <c:pt idx="600">
                  <c:v>-369.68952693245791</c:v>
                </c:pt>
              </c:numCache>
            </c:numRef>
          </c:yVal>
          <c:smooth val="0"/>
          <c:extLst>
            <c:ext xmlns:c16="http://schemas.microsoft.com/office/drawing/2014/chart" uri="{C3380CC4-5D6E-409C-BE32-E72D297353CC}">
              <c16:uniqueId val="{00000001-CE7B-4EB8-A1D8-DE125C3BF464}"/>
            </c:ext>
          </c:extLst>
        </c:ser>
        <c:dLbls>
          <c:showLegendKey val="0"/>
          <c:showVal val="0"/>
          <c:showCatName val="0"/>
          <c:showSerName val="0"/>
          <c:showPercent val="0"/>
          <c:showBubbleSize val="0"/>
        </c:dLbls>
        <c:axId val="560709632"/>
        <c:axId val="560711168"/>
      </c:scatterChart>
      <c:valAx>
        <c:axId val="560664576"/>
        <c:scaling>
          <c:logBase val="10"/>
          <c:orientation val="minMax"/>
          <c:max val="1000000"/>
          <c:min val="0.1"/>
        </c:scaling>
        <c:delete val="0"/>
        <c:axPos val="b"/>
        <c:majorGridlines>
          <c:spPr>
            <a:ln w="3175">
              <a:solidFill>
                <a:srgbClr val="000000"/>
              </a:solidFill>
              <a:prstDash val="solid"/>
            </a:ln>
          </c:spPr>
        </c:majorGridlines>
        <c:minorGridlines>
          <c:spPr>
            <a:ln w="3175">
              <a:solidFill>
                <a:srgbClr val="C0C0C0"/>
              </a:solidFill>
              <a:prstDash val="solid"/>
            </a:ln>
          </c:spPr>
        </c:minorGridlines>
        <c:title>
          <c:tx>
            <c:rich>
              <a:bodyPr/>
              <a:lstStyle/>
              <a:p>
                <a:pPr>
                  <a:defRPr sz="1200" b="1" i="0" u="none" strike="noStrike" baseline="0">
                    <a:solidFill>
                      <a:srgbClr val="000000"/>
                    </a:solidFill>
                    <a:latin typeface="Arial"/>
                    <a:ea typeface="Arial"/>
                    <a:cs typeface="Arial"/>
                  </a:defRPr>
                </a:pPr>
                <a:r>
                  <a:rPr lang="en-US"/>
                  <a:t>Frequency (Hz)</a:t>
                </a:r>
              </a:p>
            </c:rich>
          </c:tx>
          <c:layout>
            <c:manualLayout>
              <c:xMode val="edge"/>
              <c:yMode val="edge"/>
              <c:x val="0.42857142857142855"/>
              <c:y val="0.8836114034132848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60666496"/>
        <c:crossesAt val="-80"/>
        <c:crossBetween val="midCat"/>
        <c:majorUnit val="10"/>
        <c:minorUnit val="10"/>
      </c:valAx>
      <c:valAx>
        <c:axId val="560666496"/>
        <c:scaling>
          <c:orientation val="minMax"/>
          <c:max val="120"/>
          <c:min val="-80"/>
        </c:scaling>
        <c:delete val="0"/>
        <c:axPos val="l"/>
        <c:majorGridlines>
          <c:spPr>
            <a:ln w="3175">
              <a:solidFill>
                <a:srgbClr val="000000"/>
              </a:solidFill>
              <a:prstDash val="solid"/>
            </a:ln>
          </c:spPr>
        </c:majorGridlines>
        <c:title>
          <c:tx>
            <c:rich>
              <a:bodyPr/>
              <a:lstStyle/>
              <a:p>
                <a:pPr>
                  <a:defRPr sz="1200" b="1" i="0" u="none" strike="noStrike" baseline="0">
                    <a:solidFill>
                      <a:srgbClr val="FF0000"/>
                    </a:solidFill>
                    <a:latin typeface="Arial"/>
                    <a:ea typeface="Arial"/>
                    <a:cs typeface="Arial"/>
                  </a:defRPr>
                </a:pPr>
                <a:r>
                  <a:rPr lang="en-US"/>
                  <a:t>Gain (dB)</a:t>
                </a:r>
              </a:p>
            </c:rich>
          </c:tx>
          <c:layout>
            <c:manualLayout>
              <c:xMode val="edge"/>
              <c:yMode val="edge"/>
              <c:x val="1.5549076773566581E-2"/>
              <c:y val="0.3927162330515138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FF0000"/>
                </a:solidFill>
                <a:latin typeface="Arial"/>
                <a:ea typeface="Arial"/>
                <a:cs typeface="Arial"/>
              </a:defRPr>
            </a:pPr>
            <a:endParaRPr lang="en-US"/>
          </a:p>
        </c:txPr>
        <c:crossAx val="560664576"/>
        <c:crossesAt val="0.1"/>
        <c:crossBetween val="midCat"/>
        <c:majorUnit val="20"/>
        <c:minorUnit val="4"/>
      </c:valAx>
      <c:valAx>
        <c:axId val="560709632"/>
        <c:scaling>
          <c:logBase val="10"/>
          <c:orientation val="minMax"/>
        </c:scaling>
        <c:delete val="1"/>
        <c:axPos val="t"/>
        <c:numFmt formatCode="General" sourceLinked="1"/>
        <c:majorTickMark val="out"/>
        <c:minorTickMark val="none"/>
        <c:tickLblPos val="none"/>
        <c:crossAx val="560711168"/>
        <c:crossesAt val="0"/>
        <c:crossBetween val="midCat"/>
      </c:valAx>
      <c:valAx>
        <c:axId val="560711168"/>
        <c:scaling>
          <c:orientation val="minMax"/>
          <c:max val="0"/>
          <c:min val="-405"/>
        </c:scaling>
        <c:delete val="0"/>
        <c:axPos val="r"/>
        <c:title>
          <c:tx>
            <c:rich>
              <a:bodyPr/>
              <a:lstStyle/>
              <a:p>
                <a:pPr>
                  <a:defRPr sz="1200" b="1" i="0" u="none" strike="noStrike" baseline="0">
                    <a:solidFill>
                      <a:srgbClr val="0000FF"/>
                    </a:solidFill>
                    <a:latin typeface="Arial"/>
                    <a:ea typeface="Arial"/>
                    <a:cs typeface="Arial"/>
                  </a:defRPr>
                </a:pPr>
                <a:r>
                  <a:rPr lang="en-US"/>
                  <a:t>Phase (°)</a:t>
                </a:r>
              </a:p>
            </c:rich>
          </c:tx>
          <c:layout>
            <c:manualLayout>
              <c:xMode val="edge"/>
              <c:yMode val="edge"/>
              <c:x val="0.96550048590864856"/>
              <c:y val="0.3982582822308516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FF"/>
                </a:solidFill>
                <a:latin typeface="Arial"/>
                <a:ea typeface="Arial"/>
                <a:cs typeface="Arial"/>
              </a:defRPr>
            </a:pPr>
            <a:endParaRPr lang="en-US"/>
          </a:p>
        </c:txPr>
        <c:crossAx val="560709632"/>
        <c:crosses val="max"/>
        <c:crossBetween val="midCat"/>
        <c:majorUnit val="45"/>
        <c:minorUnit val="22.5"/>
      </c:valAx>
      <c:spPr>
        <a:noFill/>
        <a:ln w="25400">
          <a:noFill/>
        </a:ln>
      </c:spPr>
    </c:plotArea>
    <c:plotVisOnly val="1"/>
    <c:dispBlanksAs val="gap"/>
    <c:showDLblsOverMax val="0"/>
  </c:chart>
  <c:spPr>
    <a:solidFill>
      <a:srgbClr val="FFFFFF"/>
    </a:solidFill>
    <a:ln w="25400">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Dual'!$AJ$110:$AJ$210</c:f>
              <c:numCache>
                <c:formatCode>0.000</c:formatCode>
                <c:ptCount val="101"/>
                <c:pt idx="0">
                  <c:v>1.0057142857142858</c:v>
                </c:pt>
                <c:pt idx="1">
                  <c:v>1.0172021164021163</c:v>
                </c:pt>
                <c:pt idx="2">
                  <c:v>1.0344042328042329</c:v>
                </c:pt>
                <c:pt idx="3">
                  <c:v>1.0516063492063492</c:v>
                </c:pt>
                <c:pt idx="4">
                  <c:v>1.0688084656084655</c:v>
                </c:pt>
                <c:pt idx="5">
                  <c:v>1.0860105820105821</c:v>
                </c:pt>
                <c:pt idx="6">
                  <c:v>1.1032126984126984</c:v>
                </c:pt>
                <c:pt idx="7">
                  <c:v>1.1204148148148148</c:v>
                </c:pt>
                <c:pt idx="8">
                  <c:v>1.1376169312169313</c:v>
                </c:pt>
                <c:pt idx="9">
                  <c:v>1.1548190476190476</c:v>
                </c:pt>
                <c:pt idx="10">
                  <c:v>1.1720211640211642</c:v>
                </c:pt>
                <c:pt idx="11">
                  <c:v>1.1892232804232805</c:v>
                </c:pt>
                <c:pt idx="12">
                  <c:v>1.2391385341739585</c:v>
                </c:pt>
                <c:pt idx="13">
                  <c:v>1.2452736778997771</c:v>
                </c:pt>
                <c:pt idx="14">
                  <c:v>1.2511770540756046</c:v>
                </c:pt>
                <c:pt idx="15">
                  <c:v>1.2568730991152122</c:v>
                </c:pt>
                <c:pt idx="16">
                  <c:v>1.2623822351908502</c:v>
                </c:pt>
                <c:pt idx="17">
                  <c:v>1.2677217369251015</c:v>
                </c:pt>
                <c:pt idx="18">
                  <c:v>1.2729063713801834</c:v>
                </c:pt>
                <c:pt idx="19">
                  <c:v>1.2779488798656278</c:v>
                </c:pt>
                <c:pt idx="20">
                  <c:v>1.2828603468764377</c:v>
                </c:pt>
                <c:pt idx="21">
                  <c:v>1.2876504868888701</c:v>
                </c:pt>
                <c:pt idx="22">
                  <c:v>1.2923278703186949</c:v>
                </c:pt>
                <c:pt idx="23">
                  <c:v>1.2969001037088781</c:v>
                </c:pt>
                <c:pt idx="24">
                  <c:v>1.3013739749927811</c:v>
                </c:pt>
                <c:pt idx="25">
                  <c:v>1.3057555717663407</c:v>
                </c:pt>
                <c:pt idx="26">
                  <c:v>1.3359061598781634</c:v>
                </c:pt>
                <c:pt idx="27">
                  <c:v>1.3454068241469817</c:v>
                </c:pt>
                <c:pt idx="28">
                  <c:v>1.3549074884157999</c:v>
                </c:pt>
                <c:pt idx="29">
                  <c:v>1.3644081526846181</c:v>
                </c:pt>
                <c:pt idx="30">
                  <c:v>1.3739088169534364</c:v>
                </c:pt>
                <c:pt idx="31">
                  <c:v>1.3834094812222546</c:v>
                </c:pt>
                <c:pt idx="32">
                  <c:v>1.3929101454910728</c:v>
                </c:pt>
                <c:pt idx="33">
                  <c:v>1.4024108097598911</c:v>
                </c:pt>
                <c:pt idx="34">
                  <c:v>1.4119114740287095</c:v>
                </c:pt>
                <c:pt idx="35">
                  <c:v>1.4214121382975275</c:v>
                </c:pt>
                <c:pt idx="36">
                  <c:v>1.4309128025663458</c:v>
                </c:pt>
                <c:pt idx="37">
                  <c:v>1.440413466835164</c:v>
                </c:pt>
                <c:pt idx="38">
                  <c:v>1.4499141311039825</c:v>
                </c:pt>
                <c:pt idx="39">
                  <c:v>1.4594147953728007</c:v>
                </c:pt>
                <c:pt idx="40">
                  <c:v>1.468915459641619</c:v>
                </c:pt>
                <c:pt idx="41">
                  <c:v>1.4784161239104372</c:v>
                </c:pt>
                <c:pt idx="42">
                  <c:v>1.4879167881792554</c:v>
                </c:pt>
                <c:pt idx="43">
                  <c:v>1.4974174524480737</c:v>
                </c:pt>
                <c:pt idx="44">
                  <c:v>1.5069181167168919</c:v>
                </c:pt>
                <c:pt idx="45">
                  <c:v>1.5164187809857101</c:v>
                </c:pt>
                <c:pt idx="46">
                  <c:v>1.5259194452545284</c:v>
                </c:pt>
                <c:pt idx="47">
                  <c:v>1.5354201095233466</c:v>
                </c:pt>
                <c:pt idx="48">
                  <c:v>1.5449207737921649</c:v>
                </c:pt>
                <c:pt idx="49">
                  <c:v>1.5544214380609831</c:v>
                </c:pt>
                <c:pt idx="50">
                  <c:v>1.5639221023298013</c:v>
                </c:pt>
                <c:pt idx="51">
                  <c:v>1.5734227665986196</c:v>
                </c:pt>
                <c:pt idx="52">
                  <c:v>1.5829234308674378</c:v>
                </c:pt>
                <c:pt idx="53">
                  <c:v>1.592424095136256</c:v>
                </c:pt>
                <c:pt idx="54">
                  <c:v>1.6019247594050745</c:v>
                </c:pt>
                <c:pt idx="55">
                  <c:v>1.6114254236738925</c:v>
                </c:pt>
                <c:pt idx="56">
                  <c:v>1.6209260879427108</c:v>
                </c:pt>
                <c:pt idx="57">
                  <c:v>1.630426752211529</c:v>
                </c:pt>
                <c:pt idx="58">
                  <c:v>1.6399274164803475</c:v>
                </c:pt>
                <c:pt idx="59">
                  <c:v>1.6444444444444444</c:v>
                </c:pt>
                <c:pt idx="60">
                  <c:v>1.6444444444444444</c:v>
                </c:pt>
                <c:pt idx="61">
                  <c:v>1.6444444444444444</c:v>
                </c:pt>
                <c:pt idx="62">
                  <c:v>1.6444444444444444</c:v>
                </c:pt>
                <c:pt idx="63">
                  <c:v>1.6444444444444444</c:v>
                </c:pt>
                <c:pt idx="64">
                  <c:v>1.6444444444444444</c:v>
                </c:pt>
                <c:pt idx="65">
                  <c:v>1.6444444444444444</c:v>
                </c:pt>
                <c:pt idx="66">
                  <c:v>1.6444444444444444</c:v>
                </c:pt>
                <c:pt idx="67">
                  <c:v>1.6444444444444444</c:v>
                </c:pt>
                <c:pt idx="68">
                  <c:v>1.6444444444444444</c:v>
                </c:pt>
                <c:pt idx="69">
                  <c:v>1.6444444444444444</c:v>
                </c:pt>
                <c:pt idx="70">
                  <c:v>1.6444444444444444</c:v>
                </c:pt>
                <c:pt idx="71">
                  <c:v>1.6444444444444444</c:v>
                </c:pt>
                <c:pt idx="72">
                  <c:v>1.6444444444444444</c:v>
                </c:pt>
                <c:pt idx="73">
                  <c:v>1.6444444444444444</c:v>
                </c:pt>
                <c:pt idx="74">
                  <c:v>1.6444444444444444</c:v>
                </c:pt>
                <c:pt idx="75">
                  <c:v>1.6444444444444444</c:v>
                </c:pt>
                <c:pt idx="76">
                  <c:v>1.6444444444444444</c:v>
                </c:pt>
                <c:pt idx="77">
                  <c:v>1.6444444444444444</c:v>
                </c:pt>
                <c:pt idx="78">
                  <c:v>1.6444444444444444</c:v>
                </c:pt>
                <c:pt idx="79">
                  <c:v>1.6444444444444444</c:v>
                </c:pt>
                <c:pt idx="80">
                  <c:v>1.6444444444444444</c:v>
                </c:pt>
                <c:pt idx="81">
                  <c:v>1.6444444444444444</c:v>
                </c:pt>
                <c:pt idx="82">
                  <c:v>1.6444444444444444</c:v>
                </c:pt>
                <c:pt idx="83">
                  <c:v>1.6444444444444444</c:v>
                </c:pt>
                <c:pt idx="84">
                  <c:v>1.6444444444444444</c:v>
                </c:pt>
                <c:pt idx="85">
                  <c:v>1.6444444444444444</c:v>
                </c:pt>
                <c:pt idx="86">
                  <c:v>1.6444444444444444</c:v>
                </c:pt>
                <c:pt idx="87">
                  <c:v>1.6444444444444444</c:v>
                </c:pt>
                <c:pt idx="88">
                  <c:v>1.6444444444444444</c:v>
                </c:pt>
                <c:pt idx="89">
                  <c:v>1.6444444444444444</c:v>
                </c:pt>
                <c:pt idx="90">
                  <c:v>1.6444444444444444</c:v>
                </c:pt>
                <c:pt idx="91">
                  <c:v>1.6444444444444444</c:v>
                </c:pt>
                <c:pt idx="92">
                  <c:v>1.6444444444444444</c:v>
                </c:pt>
                <c:pt idx="93">
                  <c:v>1.6444444444444444</c:v>
                </c:pt>
                <c:pt idx="94">
                  <c:v>1.6444444444444444</c:v>
                </c:pt>
                <c:pt idx="95">
                  <c:v>1.6444444444444444</c:v>
                </c:pt>
                <c:pt idx="96">
                  <c:v>1.6444444444444444</c:v>
                </c:pt>
                <c:pt idx="97">
                  <c:v>1.6444444444444444</c:v>
                </c:pt>
                <c:pt idx="98">
                  <c:v>1.6444444444444444</c:v>
                </c:pt>
                <c:pt idx="99">
                  <c:v>1.6444444444444444</c:v>
                </c:pt>
                <c:pt idx="100">
                  <c:v>1.6444444444444444</c:v>
                </c:pt>
              </c:numCache>
            </c:numRef>
          </c:val>
          <c:smooth val="0"/>
          <c:extLst>
            <c:ext xmlns:c16="http://schemas.microsoft.com/office/drawing/2014/chart" uri="{C3380CC4-5D6E-409C-BE32-E72D297353CC}">
              <c16:uniqueId val="{00000000-F3D3-41D0-BFE0-737B0125EBBD}"/>
            </c:ext>
          </c:extLst>
        </c:ser>
        <c:ser>
          <c:idx val="0"/>
          <c:order val="1"/>
          <c:tx>
            <c:v>VIN-nom</c:v>
          </c:tx>
          <c:spPr>
            <a:ln w="28575">
              <a:solidFill>
                <a:srgbClr val="0000FF"/>
              </a:solidFill>
              <a:prstDash val="lgDash"/>
            </a:ln>
          </c:spPr>
          <c:marker>
            <c:symbol val="none"/>
          </c:marker>
          <c:cat>
            <c:numRef>
              <c:f>'Calculations - Dual'!$AL$5:$AL$105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Dual'!$AJ$5:$AJ$105</c:f>
              <c:numCache>
                <c:formatCode>0.000</c:formatCode>
                <c:ptCount val="101"/>
                <c:pt idx="0">
                  <c:v>1.0057142857142858</c:v>
                </c:pt>
                <c:pt idx="1">
                  <c:v>1.0172021164021163</c:v>
                </c:pt>
                <c:pt idx="2">
                  <c:v>1.0344042328042329</c:v>
                </c:pt>
                <c:pt idx="3">
                  <c:v>1.0516063492063492</c:v>
                </c:pt>
                <c:pt idx="4">
                  <c:v>1.0688084656084655</c:v>
                </c:pt>
                <c:pt idx="5">
                  <c:v>1.0860105820105821</c:v>
                </c:pt>
                <c:pt idx="6">
                  <c:v>1.1032126984126984</c:v>
                </c:pt>
                <c:pt idx="7">
                  <c:v>1.1204148148148148</c:v>
                </c:pt>
                <c:pt idx="8">
                  <c:v>1.1376169312169313</c:v>
                </c:pt>
                <c:pt idx="9">
                  <c:v>1.1548190476190476</c:v>
                </c:pt>
                <c:pt idx="10">
                  <c:v>1.1720211640211642</c:v>
                </c:pt>
                <c:pt idx="11">
                  <c:v>1.1892232804232805</c:v>
                </c:pt>
                <c:pt idx="12">
                  <c:v>1.2391385341739585</c:v>
                </c:pt>
                <c:pt idx="13">
                  <c:v>1.2452736778997771</c:v>
                </c:pt>
                <c:pt idx="14">
                  <c:v>1.2511770540756046</c:v>
                </c:pt>
                <c:pt idx="15">
                  <c:v>1.2568730991152122</c:v>
                </c:pt>
                <c:pt idx="16">
                  <c:v>1.2623822351908502</c:v>
                </c:pt>
                <c:pt idx="17">
                  <c:v>1.2677217369251015</c:v>
                </c:pt>
                <c:pt idx="18">
                  <c:v>1.2729063713801834</c:v>
                </c:pt>
                <c:pt idx="19">
                  <c:v>1.2779488798656278</c:v>
                </c:pt>
                <c:pt idx="20">
                  <c:v>1.2828603468764377</c:v>
                </c:pt>
                <c:pt idx="21">
                  <c:v>1.2876504868888701</c:v>
                </c:pt>
                <c:pt idx="22">
                  <c:v>1.2923278703186949</c:v>
                </c:pt>
                <c:pt idx="23">
                  <c:v>1.2969001037088781</c:v>
                </c:pt>
                <c:pt idx="24">
                  <c:v>1.3013739749927811</c:v>
                </c:pt>
                <c:pt idx="25">
                  <c:v>1.3057555717663407</c:v>
                </c:pt>
                <c:pt idx="26">
                  <c:v>1.3100503784569419</c:v>
                </c:pt>
                <c:pt idx="27">
                  <c:v>1.3142633568164932</c:v>
                </c:pt>
                <c:pt idx="28">
                  <c:v>1.3183990131085876</c:v>
                </c:pt>
                <c:pt idx="29">
                  <c:v>1.3224614545832194</c:v>
                </c:pt>
                <c:pt idx="30">
                  <c:v>1.3264544372554883</c:v>
                </c:pt>
                <c:pt idx="31">
                  <c:v>1.3303814065709361</c:v>
                </c:pt>
                <c:pt idx="32">
                  <c:v>1.3342455322106148</c:v>
                </c:pt>
                <c:pt idx="33">
                  <c:v>1.3380497380361724</c:v>
                </c:pt>
                <c:pt idx="34">
                  <c:v>1.3417967279795073</c:v>
                </c:pt>
                <c:pt idx="35">
                  <c:v>1.3454890085287226</c:v>
                </c:pt>
                <c:pt idx="36">
                  <c:v>1.349128908341831</c:v>
                </c:pt>
                <c:pt idx="37">
                  <c:v>1.3527185954242948</c:v>
                </c:pt>
                <c:pt idx="38">
                  <c:v>1.3562600922303281</c:v>
                </c:pt>
                <c:pt idx="39">
                  <c:v>1.3597552889866862</c:v>
                </c:pt>
                <c:pt idx="40">
                  <c:v>1.3632059554881635</c:v>
                </c:pt>
                <c:pt idx="41">
                  <c:v>1.3666137515737438</c:v>
                </c:pt>
                <c:pt idx="42">
                  <c:v>1.3699802364594114</c:v>
                </c:pt>
                <c:pt idx="43">
                  <c:v>1.3733068770765264</c:v>
                </c:pt>
                <c:pt idx="44">
                  <c:v>1.3765950555422888</c:v>
                </c:pt>
                <c:pt idx="45">
                  <c:v>1.379846075870212</c:v>
                </c:pt>
                <c:pt idx="46">
                  <c:v>1.3830611700130211</c:v>
                </c:pt>
                <c:pt idx="47">
                  <c:v>1.3862415033173923</c:v>
                </c:pt>
                <c:pt idx="48">
                  <c:v>1.3893881794590279</c:v>
                </c:pt>
                <c:pt idx="49">
                  <c:v>1.3925022449173214</c:v>
                </c:pt>
                <c:pt idx="50">
                  <c:v>1.3955846930410463</c:v>
                </c:pt>
                <c:pt idx="51">
                  <c:v>1.3986364677498531</c:v>
                </c:pt>
                <c:pt idx="52">
                  <c:v>1.4016584669106651</c:v>
                </c:pt>
                <c:pt idx="53">
                  <c:v>1.4046515454232087</c:v>
                </c:pt>
                <c:pt idx="54">
                  <c:v>1.4076165180447271</c:v>
                </c:pt>
                <c:pt idx="55">
                  <c:v>1.4105541619803315</c:v>
                </c:pt>
                <c:pt idx="56">
                  <c:v>1.4134652192623207</c:v>
                </c:pt>
                <c:pt idx="57">
                  <c:v>1.4163503989391142</c:v>
                </c:pt>
                <c:pt idx="58">
                  <c:v>1.4192103790920918</c:v>
                </c:pt>
                <c:pt idx="59">
                  <c:v>1.4220458086965906</c:v>
                </c:pt>
                <c:pt idx="60">
                  <c:v>1.4248573093415353</c:v>
                </c:pt>
                <c:pt idx="61">
                  <c:v>1.4276454768206026</c:v>
                </c:pt>
                <c:pt idx="62">
                  <c:v>1.4304108826064645</c:v>
                </c:pt>
                <c:pt idx="63">
                  <c:v>1.4331540752184369</c:v>
                </c:pt>
                <c:pt idx="64">
                  <c:v>1.4358755814928117</c:v>
                </c:pt>
                <c:pt idx="65">
                  <c:v>1.4385759077641969</c:v>
                </c:pt>
                <c:pt idx="66">
                  <c:v>1.4412555409653742</c:v>
                </c:pt>
                <c:pt idx="67">
                  <c:v>1.4439149496524357</c:v>
                </c:pt>
                <c:pt idx="68">
                  <c:v>1.4465545849613139</c:v>
                </c:pt>
                <c:pt idx="69">
                  <c:v>1.4491748815012344</c:v>
                </c:pt>
                <c:pt idx="70">
                  <c:v>1.4517762581901004</c:v>
                </c:pt>
                <c:pt idx="71">
                  <c:v>1.4543591190363587</c:v>
                </c:pt>
                <c:pt idx="72">
                  <c:v>1.4569238538714777</c:v>
                </c:pt>
                <c:pt idx="73">
                  <c:v>1.4594708390367963</c:v>
                </c:pt>
                <c:pt idx="74">
                  <c:v>1.4620004380281737</c:v>
                </c:pt>
                <c:pt idx="75">
                  <c:v>1.4645130021015629</c:v>
                </c:pt>
                <c:pt idx="76">
                  <c:v>1.4670088708423668</c:v>
                </c:pt>
                <c:pt idx="77">
                  <c:v>1.4694883727011889</c:v>
                </c:pt>
                <c:pt idx="78">
                  <c:v>1.471951825498371</c:v>
                </c:pt>
                <c:pt idx="79">
                  <c:v>1.4743995368995124</c:v>
                </c:pt>
                <c:pt idx="80">
                  <c:v>1.4768318048639864</c:v>
                </c:pt>
                <c:pt idx="81">
                  <c:v>1.4792489180683022</c:v>
                </c:pt>
                <c:pt idx="82">
                  <c:v>1.4816511563060164</c:v>
                </c:pt>
                <c:pt idx="83">
                  <c:v>1.4840387908657637</c:v>
                </c:pt>
                <c:pt idx="84">
                  <c:v>1.4864120848888516</c:v>
                </c:pt>
                <c:pt idx="85">
                  <c:v>1.48877129370775</c:v>
                </c:pt>
                <c:pt idx="86">
                  <c:v>1.4911166651667165</c:v>
                </c:pt>
                <c:pt idx="87">
                  <c:v>1.4934484399256887</c:v>
                </c:pt>
                <c:pt idx="88">
                  <c:v>1.4957668517485008</c:v>
                </c:pt>
                <c:pt idx="89">
                  <c:v>1.4980721277764055</c:v>
                </c:pt>
                <c:pt idx="90">
                  <c:v>1.5003644887878007</c:v>
                </c:pt>
                <c:pt idx="91">
                  <c:v>1.5026441494450056</c:v>
                </c:pt>
                <c:pt idx="92">
                  <c:v>1.5049113185288674</c:v>
                </c:pt>
                <c:pt idx="93">
                  <c:v>1.5071661991619201</c:v>
                </c:pt>
                <c:pt idx="94">
                  <c:v>1.509408989020776</c:v>
                </c:pt>
                <c:pt idx="95">
                  <c:v>1.5116398805383742</c:v>
                </c:pt>
                <c:pt idx="96">
                  <c:v>1.5138590610966731</c:v>
                </c:pt>
                <c:pt idx="97">
                  <c:v>1.5160667132103356</c:v>
                </c:pt>
                <c:pt idx="98">
                  <c:v>1.5182630147019092</c:v>
                </c:pt>
                <c:pt idx="99">
                  <c:v>1.5204481388689886</c:v>
                </c:pt>
                <c:pt idx="100">
                  <c:v>1.5226222546437924</c:v>
                </c:pt>
              </c:numCache>
            </c:numRef>
          </c:val>
          <c:smooth val="0"/>
          <c:extLst>
            <c:ext xmlns:c16="http://schemas.microsoft.com/office/drawing/2014/chart" uri="{C3380CC4-5D6E-409C-BE32-E72D297353CC}">
              <c16:uniqueId val="{00000001-F3D3-41D0-BFE0-737B0125EBBD}"/>
            </c:ext>
          </c:extLst>
        </c:ser>
        <c:ser>
          <c:idx val="2"/>
          <c:order val="2"/>
          <c:tx>
            <c:v>VIN-max</c:v>
          </c:tx>
          <c:spPr>
            <a:ln>
              <a:solidFill>
                <a:srgbClr val="FF0000"/>
              </a:solidFill>
              <a:prstDash val="solid"/>
            </a:ln>
          </c:spPr>
          <c:marker>
            <c:symbol val="none"/>
          </c:marker>
          <c:val>
            <c:numRef>
              <c:f>'Calculations - Dual'!$AJ$216:$AJ$316</c:f>
              <c:numCache>
                <c:formatCode>0.000</c:formatCode>
                <c:ptCount val="101"/>
                <c:pt idx="0">
                  <c:v>1.0057142857142858</c:v>
                </c:pt>
                <c:pt idx="1">
                  <c:v>1.0172021164021163</c:v>
                </c:pt>
                <c:pt idx="2">
                  <c:v>1.0344042328042329</c:v>
                </c:pt>
                <c:pt idx="3">
                  <c:v>1.0516063492063492</c:v>
                </c:pt>
                <c:pt idx="4">
                  <c:v>1.0688084656084655</c:v>
                </c:pt>
                <c:pt idx="5">
                  <c:v>1.0860105820105821</c:v>
                </c:pt>
                <c:pt idx="6">
                  <c:v>1.1032126984126984</c:v>
                </c:pt>
                <c:pt idx="7">
                  <c:v>1.1204148148148148</c:v>
                </c:pt>
                <c:pt idx="8">
                  <c:v>1.1376169312169313</c:v>
                </c:pt>
                <c:pt idx="9">
                  <c:v>1.1548190476190476</c:v>
                </c:pt>
                <c:pt idx="10">
                  <c:v>1.1720211640211642</c:v>
                </c:pt>
                <c:pt idx="11">
                  <c:v>1.1892232804232805</c:v>
                </c:pt>
                <c:pt idx="12">
                  <c:v>1.2391385341739585</c:v>
                </c:pt>
                <c:pt idx="13">
                  <c:v>1.2452736778997771</c:v>
                </c:pt>
                <c:pt idx="14">
                  <c:v>1.2511770540756046</c:v>
                </c:pt>
                <c:pt idx="15">
                  <c:v>1.2568730991152122</c:v>
                </c:pt>
                <c:pt idx="16">
                  <c:v>1.2623822351908502</c:v>
                </c:pt>
                <c:pt idx="17">
                  <c:v>1.2677217369251015</c:v>
                </c:pt>
                <c:pt idx="18">
                  <c:v>1.2729063713801834</c:v>
                </c:pt>
                <c:pt idx="19">
                  <c:v>1.2779488798656278</c:v>
                </c:pt>
                <c:pt idx="20">
                  <c:v>1.2828603468764377</c:v>
                </c:pt>
                <c:pt idx="21">
                  <c:v>1.2876504868888701</c:v>
                </c:pt>
                <c:pt idx="22">
                  <c:v>1.2923278703186949</c:v>
                </c:pt>
                <c:pt idx="23">
                  <c:v>1.2969001037088781</c:v>
                </c:pt>
                <c:pt idx="24">
                  <c:v>1.3013739749927811</c:v>
                </c:pt>
                <c:pt idx="25">
                  <c:v>1.3057555717663407</c:v>
                </c:pt>
                <c:pt idx="26">
                  <c:v>1.3100503784569419</c:v>
                </c:pt>
                <c:pt idx="27">
                  <c:v>1.3142633568164932</c:v>
                </c:pt>
                <c:pt idx="28">
                  <c:v>1.3183990131085876</c:v>
                </c:pt>
                <c:pt idx="29">
                  <c:v>1.3224614545832194</c:v>
                </c:pt>
                <c:pt idx="30">
                  <c:v>1.3264544372554883</c:v>
                </c:pt>
                <c:pt idx="31">
                  <c:v>1.3303814065709361</c:v>
                </c:pt>
                <c:pt idx="32">
                  <c:v>1.3342455322106148</c:v>
                </c:pt>
                <c:pt idx="33">
                  <c:v>1.3380497380361724</c:v>
                </c:pt>
                <c:pt idx="34">
                  <c:v>1.3417967279795073</c:v>
                </c:pt>
                <c:pt idx="35">
                  <c:v>1.3454890085287226</c:v>
                </c:pt>
                <c:pt idx="36">
                  <c:v>1.349128908341831</c:v>
                </c:pt>
                <c:pt idx="37">
                  <c:v>1.3527185954242948</c:v>
                </c:pt>
                <c:pt idx="38">
                  <c:v>1.3562600922303281</c:v>
                </c:pt>
                <c:pt idx="39">
                  <c:v>1.3597552889866862</c:v>
                </c:pt>
                <c:pt idx="40">
                  <c:v>1.3632059554881635</c:v>
                </c:pt>
                <c:pt idx="41">
                  <c:v>1.3666137515737438</c:v>
                </c:pt>
                <c:pt idx="42">
                  <c:v>1.3699802364594114</c:v>
                </c:pt>
                <c:pt idx="43">
                  <c:v>1.3733068770765264</c:v>
                </c:pt>
                <c:pt idx="44">
                  <c:v>1.3765950555422888</c:v>
                </c:pt>
                <c:pt idx="45">
                  <c:v>1.379846075870212</c:v>
                </c:pt>
                <c:pt idx="46">
                  <c:v>1.3830611700130211</c:v>
                </c:pt>
                <c:pt idx="47">
                  <c:v>1.3862415033173923</c:v>
                </c:pt>
                <c:pt idx="48">
                  <c:v>1.3893881794590279</c:v>
                </c:pt>
                <c:pt idx="49">
                  <c:v>1.3925022449173214</c:v>
                </c:pt>
                <c:pt idx="50">
                  <c:v>1.3955846930410463</c:v>
                </c:pt>
                <c:pt idx="51">
                  <c:v>1.3986364677498531</c:v>
                </c:pt>
                <c:pt idx="52">
                  <c:v>1.4016584669106651</c:v>
                </c:pt>
                <c:pt idx="53">
                  <c:v>1.4046515454232087</c:v>
                </c:pt>
                <c:pt idx="54">
                  <c:v>1.4076165180447271</c:v>
                </c:pt>
                <c:pt idx="55">
                  <c:v>1.4105541619803315</c:v>
                </c:pt>
                <c:pt idx="56">
                  <c:v>1.4134652192623207</c:v>
                </c:pt>
                <c:pt idx="57">
                  <c:v>1.4163503989391142</c:v>
                </c:pt>
                <c:pt idx="58">
                  <c:v>1.4192103790920918</c:v>
                </c:pt>
                <c:pt idx="59">
                  <c:v>1.4220458086965906</c:v>
                </c:pt>
                <c:pt idx="60">
                  <c:v>1.4248573093415353</c:v>
                </c:pt>
                <c:pt idx="61">
                  <c:v>1.4276454768206026</c:v>
                </c:pt>
                <c:pt idx="62">
                  <c:v>1.4304108826064645</c:v>
                </c:pt>
                <c:pt idx="63">
                  <c:v>1.4331540752184369</c:v>
                </c:pt>
                <c:pt idx="64">
                  <c:v>1.4358755814928117</c:v>
                </c:pt>
                <c:pt idx="65">
                  <c:v>1.4385759077641969</c:v>
                </c:pt>
                <c:pt idx="66">
                  <c:v>1.4412555409653742</c:v>
                </c:pt>
                <c:pt idx="67">
                  <c:v>1.4439149496524357</c:v>
                </c:pt>
                <c:pt idx="68">
                  <c:v>1.4465545849613139</c:v>
                </c:pt>
                <c:pt idx="69">
                  <c:v>1.4491748815012344</c:v>
                </c:pt>
                <c:pt idx="70">
                  <c:v>1.4905609021094584</c:v>
                </c:pt>
                <c:pt idx="71">
                  <c:v>1.4962990737268953</c:v>
                </c:pt>
                <c:pt idx="72">
                  <c:v>1.5020372453443318</c:v>
                </c:pt>
                <c:pt idx="73">
                  <c:v>1.5077754169617685</c:v>
                </c:pt>
                <c:pt idx="74">
                  <c:v>1.5135135885792053</c:v>
                </c:pt>
                <c:pt idx="75">
                  <c:v>1.519251760196642</c:v>
                </c:pt>
                <c:pt idx="76">
                  <c:v>1.5249899318140789</c:v>
                </c:pt>
                <c:pt idx="77">
                  <c:v>1.5307281034315154</c:v>
                </c:pt>
                <c:pt idx="78">
                  <c:v>1.5364662750489522</c:v>
                </c:pt>
                <c:pt idx="79">
                  <c:v>1.5422044466663889</c:v>
                </c:pt>
                <c:pt idx="80">
                  <c:v>1.5479426182838256</c:v>
                </c:pt>
                <c:pt idx="81">
                  <c:v>1.5536807899012623</c:v>
                </c:pt>
                <c:pt idx="82">
                  <c:v>1.5594189615186989</c:v>
                </c:pt>
                <c:pt idx="83">
                  <c:v>1.5651571331361358</c:v>
                </c:pt>
                <c:pt idx="84">
                  <c:v>1.5708953047535723</c:v>
                </c:pt>
                <c:pt idx="85">
                  <c:v>1.576633476371009</c:v>
                </c:pt>
                <c:pt idx="86">
                  <c:v>1.5823716479884458</c:v>
                </c:pt>
                <c:pt idx="87">
                  <c:v>1.5881098196058825</c:v>
                </c:pt>
                <c:pt idx="88">
                  <c:v>1.5938479912233192</c:v>
                </c:pt>
                <c:pt idx="89">
                  <c:v>1.5995861628407559</c:v>
                </c:pt>
                <c:pt idx="90">
                  <c:v>1.6053243344581927</c:v>
                </c:pt>
                <c:pt idx="91">
                  <c:v>1.6110625060756294</c:v>
                </c:pt>
                <c:pt idx="92">
                  <c:v>1.6168006776930661</c:v>
                </c:pt>
                <c:pt idx="93">
                  <c:v>1.6225388493105029</c:v>
                </c:pt>
                <c:pt idx="94">
                  <c:v>1.6282770209279396</c:v>
                </c:pt>
                <c:pt idx="95">
                  <c:v>1.6340151925453763</c:v>
                </c:pt>
                <c:pt idx="96">
                  <c:v>1.6397533641628128</c:v>
                </c:pt>
                <c:pt idx="97">
                  <c:v>1.6444444444444444</c:v>
                </c:pt>
                <c:pt idx="98">
                  <c:v>1.6444444444444444</c:v>
                </c:pt>
                <c:pt idx="99">
                  <c:v>1.6444444444444444</c:v>
                </c:pt>
                <c:pt idx="100">
                  <c:v>1.6444444444444444</c:v>
                </c:pt>
              </c:numCache>
            </c:numRef>
          </c:val>
          <c:smooth val="0"/>
          <c:extLst>
            <c:ext xmlns:c16="http://schemas.microsoft.com/office/drawing/2014/chart" uri="{C3380CC4-5D6E-409C-BE32-E72D297353CC}">
              <c16:uniqueId val="{00000002-F3D3-41D0-BFE0-737B0125EBBD}"/>
            </c:ext>
          </c:extLst>
        </c:ser>
        <c:dLbls>
          <c:showLegendKey val="0"/>
          <c:showVal val="0"/>
          <c:showCatName val="0"/>
          <c:showSerName val="0"/>
          <c:showPercent val="0"/>
          <c:showBubbleSize val="0"/>
        </c:dLbls>
        <c:smooth val="0"/>
        <c:axId val="180579712"/>
        <c:axId val="180594176"/>
      </c:lineChart>
      <c:catAx>
        <c:axId val="180579712"/>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94176"/>
        <c:crosses val="autoZero"/>
        <c:auto val="1"/>
        <c:lblAlgn val="ctr"/>
        <c:lblOffset val="100"/>
        <c:tickLblSkip val="20"/>
        <c:tickMarkSkip val="10"/>
        <c:noMultiLvlLbl val="0"/>
      </c:catAx>
      <c:valAx>
        <c:axId val="180594176"/>
        <c:scaling>
          <c:orientation val="minMax"/>
          <c:max val="2.2000000000000002"/>
          <c:min val="1"/>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COMP</a:t>
                </a:r>
                <a:r>
                  <a:rPr lang="en-US" sz="1200" b="1" baseline="0">
                    <a:solidFill>
                      <a:schemeClr val="tx1"/>
                    </a:solidFill>
                    <a:latin typeface="Arial" pitchFamily="34" charset="0"/>
                    <a:cs typeface="Arial" pitchFamily="34" charset="0"/>
                  </a:rPr>
                  <a:t> Voltage (V)</a:t>
                </a:r>
                <a:endParaRPr lang="en-US" sz="1200" b="1">
                  <a:solidFill>
                    <a:schemeClr val="tx1"/>
                  </a:solidFill>
                  <a:latin typeface="Arial" pitchFamily="34" charset="0"/>
                  <a:cs typeface="Arial" pitchFamily="34" charset="0"/>
                </a:endParaRPr>
              </a:p>
            </c:rich>
          </c:tx>
          <c:layout>
            <c:manualLayout>
              <c:xMode val="edge"/>
              <c:yMode val="edge"/>
              <c:x val="1.5939635452545176E-2"/>
              <c:y val="0.34603169988013316"/>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79712"/>
        <c:crossesAt val="0"/>
        <c:crossBetween val="between"/>
        <c:majorUnit val="0.2"/>
        <c:minorUnit val="0.1"/>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Dual'!$CF$5:$CF$105</c:f>
              <c:numCache>
                <c:formatCode>0.00</c:formatCode>
                <c:ptCount val="101"/>
                <c:pt idx="0">
                  <c:v>1.3162342301611181E-4</c:v>
                </c:pt>
                <c:pt idx="1">
                  <c:v>53.928576738465871</c:v>
                </c:pt>
                <c:pt idx="2">
                  <c:v>66.993847915669306</c:v>
                </c:pt>
                <c:pt idx="3">
                  <c:v>72.87931365678655</c:v>
                </c:pt>
                <c:pt idx="4">
                  <c:v>76.227624942864367</c:v>
                </c:pt>
                <c:pt idx="5">
                  <c:v>78.388460065630966</c:v>
                </c:pt>
                <c:pt idx="6">
                  <c:v>79.898372578333891</c:v>
                </c:pt>
                <c:pt idx="7">
                  <c:v>80.590309556505773</c:v>
                </c:pt>
                <c:pt idx="8">
                  <c:v>80.619421543799021</c:v>
                </c:pt>
                <c:pt idx="9">
                  <c:v>80.617498200462052</c:v>
                </c:pt>
                <c:pt idx="10">
                  <c:v>80.595642900651626</c:v>
                </c:pt>
                <c:pt idx="11">
                  <c:v>80.560765994289625</c:v>
                </c:pt>
                <c:pt idx="12">
                  <c:v>80.763613190790508</c:v>
                </c:pt>
                <c:pt idx="13">
                  <c:v>81.321932433864134</c:v>
                </c:pt>
                <c:pt idx="14">
                  <c:v>81.811851628896946</c:v>
                </c:pt>
                <c:pt idx="15">
                  <c:v>82.245763415460189</c:v>
                </c:pt>
                <c:pt idx="16">
                  <c:v>82.633205122170523</c:v>
                </c:pt>
                <c:pt idx="17">
                  <c:v>82.981640360895241</c:v>
                </c:pt>
                <c:pt idx="18">
                  <c:v>83.296996491581609</c:v>
                </c:pt>
                <c:pt idx="19">
                  <c:v>83.584042676946069</c:v>
                </c:pt>
                <c:pt idx="20">
                  <c:v>83.846661192050036</c:v>
                </c:pt>
                <c:pt idx="21">
                  <c:v>84.088045639683131</c:v>
                </c:pt>
                <c:pt idx="22">
                  <c:v>84.310848105023382</c:v>
                </c:pt>
                <c:pt idx="23">
                  <c:v>84.517289995379613</c:v>
                </c:pt>
                <c:pt idx="24">
                  <c:v>84.709246629931229</c:v>
                </c:pt>
                <c:pt idx="25">
                  <c:v>84.888312573048481</c:v>
                </c:pt>
                <c:pt idx="26">
                  <c:v>85.055852650200137</c:v>
                </c:pt>
                <c:pt idx="27">
                  <c:v>85.213042186612</c:v>
                </c:pt>
                <c:pt idx="28">
                  <c:v>85.360899040965677</c:v>
                </c:pt>
                <c:pt idx="29">
                  <c:v>85.500309326751221</c:v>
                </c:pt>
                <c:pt idx="30">
                  <c:v>85.632048230029994</c:v>
                </c:pt>
                <c:pt idx="31">
                  <c:v>85.756796983529654</c:v>
                </c:pt>
                <c:pt idx="32">
                  <c:v>85.875156802537816</c:v>
                </c:pt>
                <c:pt idx="33">
                  <c:v>85.987660400412452</c:v>
                </c:pt>
                <c:pt idx="34">
                  <c:v>86.094781561732631</c:v>
                </c:pt>
                <c:pt idx="35">
                  <c:v>86.196943145972782</c:v>
                </c:pt>
                <c:pt idx="36">
                  <c:v>86.29452381479723</c:v>
                </c:pt>
                <c:pt idx="37">
                  <c:v>86.387863715019449</c:v>
                </c:pt>
                <c:pt idx="38">
                  <c:v>86.477269302180432</c:v>
                </c:pt>
                <c:pt idx="39">
                  <c:v>86.563017453112508</c:v>
                </c:pt>
                <c:pt idx="40">
                  <c:v>86.645358987223602</c:v>
                </c:pt>
                <c:pt idx="41">
                  <c:v>86.724521693685134</c:v>
                </c:pt>
                <c:pt idx="42">
                  <c:v>86.800712943830845</c:v>
                </c:pt>
                <c:pt idx="43">
                  <c:v>86.874121953819085</c:v>
                </c:pt>
                <c:pt idx="44">
                  <c:v>86.944921751180431</c:v>
                </c:pt>
                <c:pt idx="45">
                  <c:v>87.013270889656752</c:v>
                </c:pt>
                <c:pt idx="46">
                  <c:v>87.079314949268394</c:v>
                </c:pt>
                <c:pt idx="47">
                  <c:v>87.143187852464465</c:v>
                </c:pt>
                <c:pt idx="48">
                  <c:v>87.205013022234951</c:v>
                </c:pt>
                <c:pt idx="49">
                  <c:v>87.264904403972935</c:v>
                </c:pt>
                <c:pt idx="50">
                  <c:v>87.322967369500532</c:v>
                </c:pt>
                <c:pt idx="51">
                  <c:v>87.379299518874475</c:v>
                </c:pt>
                <c:pt idx="52">
                  <c:v>87.433991393260285</c:v>
                </c:pt>
                <c:pt idx="53">
                  <c:v>87.487127110219475</c:v>
                </c:pt>
                <c:pt idx="54">
                  <c:v>87.538784931127523</c:v>
                </c:pt>
                <c:pt idx="55">
                  <c:v>87.589037769067389</c:v>
                </c:pt>
                <c:pt idx="56">
                  <c:v>87.637953644390194</c:v>
                </c:pt>
                <c:pt idx="57">
                  <c:v>87.685596094154377</c:v>
                </c:pt>
                <c:pt idx="58">
                  <c:v>87.73202454082417</c:v>
                </c:pt>
                <c:pt idx="59">
                  <c:v>87.77729462490052</c:v>
                </c:pt>
                <c:pt idx="60">
                  <c:v>87.821458505553309</c:v>
                </c:pt>
                <c:pt idx="61">
                  <c:v>87.883581314243642</c:v>
                </c:pt>
                <c:pt idx="62">
                  <c:v>87.959939069451764</c:v>
                </c:pt>
                <c:pt idx="63">
                  <c:v>88.03312112555642</c:v>
                </c:pt>
                <c:pt idx="64">
                  <c:v>88.103303190109443</c:v>
                </c:pt>
                <c:pt idx="65">
                  <c:v>88.170648867543051</c:v>
                </c:pt>
                <c:pt idx="66">
                  <c:v>88.235310650303731</c:v>
                </c:pt>
                <c:pt idx="67">
                  <c:v>88.297430816473025</c:v>
                </c:pt>
                <c:pt idx="68">
                  <c:v>88.357142243812973</c:v>
                </c:pt>
                <c:pt idx="69">
                  <c:v>88.414569149005345</c:v>
                </c:pt>
                <c:pt idx="70">
                  <c:v>88.469827759833962</c:v>
                </c:pt>
                <c:pt idx="71">
                  <c:v>88.523026927170079</c:v>
                </c:pt>
                <c:pt idx="72">
                  <c:v>88.57426868284216</c:v>
                </c:pt>
                <c:pt idx="73">
                  <c:v>88.623648748790757</c:v>
                </c:pt>
                <c:pt idx="74">
                  <c:v>88.671257002310512</c:v>
                </c:pt>
                <c:pt idx="75">
                  <c:v>88.717177901656456</c:v>
                </c:pt>
                <c:pt idx="76">
                  <c:v>88.76149087582877</c:v>
                </c:pt>
                <c:pt idx="77">
                  <c:v>88.804270681943152</c:v>
                </c:pt>
                <c:pt idx="78">
                  <c:v>88.845587733233373</c:v>
                </c:pt>
                <c:pt idx="79">
                  <c:v>88.885508400414679</c:v>
                </c:pt>
                <c:pt idx="80">
                  <c:v>88.924095288854943</c:v>
                </c:pt>
                <c:pt idx="81">
                  <c:v>88.961407493750428</c:v>
                </c:pt>
                <c:pt idx="82">
                  <c:v>88.997500835281187</c:v>
                </c:pt>
                <c:pt idx="83">
                  <c:v>89.032428075524024</c:v>
                </c:pt>
                <c:pt idx="84">
                  <c:v>89.066239118724894</c:v>
                </c:pt>
                <c:pt idx="85">
                  <c:v>89.098981196376641</c:v>
                </c:pt>
                <c:pt idx="86">
                  <c:v>89.130699038407244</c:v>
                </c:pt>
                <c:pt idx="87">
                  <c:v>89.161435031660062</c:v>
                </c:pt>
                <c:pt idx="88">
                  <c:v>89.19122936673449</c:v>
                </c:pt>
                <c:pt idx="89">
                  <c:v>89.220120174156264</c:v>
                </c:pt>
                <c:pt idx="90">
                  <c:v>89.248143650755949</c:v>
                </c:pt>
                <c:pt idx="91">
                  <c:v>89.275334177054589</c:v>
                </c:pt>
                <c:pt idx="92">
                  <c:v>89.301724426381426</c:v>
                </c:pt>
                <c:pt idx="93">
                  <c:v>89.327345466384827</c:v>
                </c:pt>
                <c:pt idx="94">
                  <c:v>89.352226853537758</c:v>
                </c:pt>
                <c:pt idx="95">
                  <c:v>89.37421021414707</c:v>
                </c:pt>
                <c:pt idx="96">
                  <c:v>89.393584222844751</c:v>
                </c:pt>
                <c:pt idx="97">
                  <c:v>89.412566801947051</c:v>
                </c:pt>
                <c:pt idx="98">
                  <c:v>89.431168944309107</c:v>
                </c:pt>
                <c:pt idx="99">
                  <c:v>89.449401234924395</c:v>
                </c:pt>
                <c:pt idx="100">
                  <c:v>89.467273869877602</c:v>
                </c:pt>
              </c:numCache>
            </c:numRef>
          </c:val>
          <c:smooth val="0"/>
          <c:extLst>
            <c:ext xmlns:c16="http://schemas.microsoft.com/office/drawing/2014/chart" uri="{C3380CC4-5D6E-409C-BE32-E72D297353CC}">
              <c16:uniqueId val="{00000000-FF6D-4A36-AB55-C79E9F473230}"/>
            </c:ext>
          </c:extLst>
        </c:ser>
        <c:dLbls>
          <c:showLegendKey val="0"/>
          <c:showVal val="0"/>
          <c:showCatName val="0"/>
          <c:showSerName val="0"/>
          <c:showPercent val="0"/>
          <c:showBubbleSize val="0"/>
        </c:dLbls>
        <c:marker val="1"/>
        <c:smooth val="0"/>
        <c:axId val="180651136"/>
        <c:axId val="180653056"/>
      </c:lineChart>
      <c:lineChart>
        <c:grouping val="standard"/>
        <c:varyColors val="0"/>
        <c:ser>
          <c:idx val="2"/>
          <c:order val="1"/>
          <c:tx>
            <c:strRef>
              <c:f>'Calculations - Dual'!$BP$3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Dual'!$BT$5:$BT$105</c:f>
              <c:numCache>
                <c:formatCode>0.0</c:formatCode>
                <c:ptCount val="101"/>
                <c:pt idx="0">
                  <c:v>11.363779546237609</c:v>
                </c:pt>
                <c:pt idx="1">
                  <c:v>12.024509752888893</c:v>
                </c:pt>
                <c:pt idx="2">
                  <c:v>12.633872562294505</c:v>
                </c:pt>
                <c:pt idx="3">
                  <c:v>13.243235371700118</c:v>
                </c:pt>
                <c:pt idx="4">
                  <c:v>13.852598181105732</c:v>
                </c:pt>
                <c:pt idx="5">
                  <c:v>14.461960990511342</c:v>
                </c:pt>
                <c:pt idx="6">
                  <c:v>15.071323799916959</c:v>
                </c:pt>
                <c:pt idx="7">
                  <c:v>16.331665832086117</c:v>
                </c:pt>
                <c:pt idx="8">
                  <c:v>18.362528318017112</c:v>
                </c:pt>
                <c:pt idx="9">
                  <c:v>20.295859379933898</c:v>
                </c:pt>
                <c:pt idx="10">
                  <c:v>22.125735650267508</c:v>
                </c:pt>
                <c:pt idx="11">
                  <c:v>23.846555649712855</c:v>
                </c:pt>
                <c:pt idx="12">
                  <c:v>25.595815902279274</c:v>
                </c:pt>
                <c:pt idx="13">
                  <c:v>27.532146304246442</c:v>
                </c:pt>
                <c:pt idx="14">
                  <c:v>29.446222682979979</c:v>
                </c:pt>
                <c:pt idx="15">
                  <c:v>31.338855643951668</c:v>
                </c:pt>
                <c:pt idx="16">
                  <c:v>33.21077314876382</c:v>
                </c:pt>
                <c:pt idx="17">
                  <c:v>35.062633675539402</c:v>
                </c:pt>
                <c:pt idx="18">
                  <c:v>36.895036618979539</c:v>
                </c:pt>
                <c:pt idx="19">
                  <c:v>38.708530632855258</c:v>
                </c:pt>
                <c:pt idx="20">
                  <c:v>40.503620410605485</c:v>
                </c:pt>
                <c:pt idx="21">
                  <c:v>42.28077226111138</c:v>
                </c:pt>
                <c:pt idx="22">
                  <c:v>44.040418741723322</c:v>
                </c:pt>
                <c:pt idx="23">
                  <c:v>45.782962544124281</c:v>
                </c:pt>
                <c:pt idx="24">
                  <c:v>47.508779781186725</c:v>
                </c:pt>
                <c:pt idx="25">
                  <c:v>49.21822278857622</c:v>
                </c:pt>
                <c:pt idx="26">
                  <c:v>50.911622529512215</c:v>
                </c:pt>
                <c:pt idx="27">
                  <c:v>52.589290672169817</c:v>
                </c:pt>
                <c:pt idx="28">
                  <c:v>54.251521394888954</c:v>
                </c:pt>
                <c:pt idx="29">
                  <c:v>55.89859296340245</c:v>
                </c:pt>
                <c:pt idx="30">
                  <c:v>57.530769115820803</c:v>
                </c:pt>
                <c:pt idx="31">
                  <c:v>59.148300284493438</c:v>
                </c:pt>
                <c:pt idx="32">
                  <c:v>60.75142467864957</c:v>
                </c:pt>
                <c:pt idx="33">
                  <c:v>62.340369247575147</c:v>
                </c:pt>
                <c:pt idx="34">
                  <c:v>63.915350540759249</c:v>
                </c:pt>
                <c:pt idx="35">
                  <c:v>65.476575478762541</c:v>
                </c:pt>
                <c:pt idx="36">
                  <c:v>67.024242046380877</c:v>
                </c:pt>
                <c:pt idx="37">
                  <c:v>68.558539917893881</c:v>
                </c:pt>
                <c:pt idx="38">
                  <c:v>70.0796510227227</c:v>
                </c:pt>
                <c:pt idx="39">
                  <c:v>71.58775005860646</c:v>
                </c:pt>
                <c:pt idx="40">
                  <c:v>73.083004958396899</c:v>
                </c:pt>
                <c:pt idx="41">
                  <c:v>74.56557731572596</c:v>
                </c:pt>
                <c:pt idx="42">
                  <c:v>76.035622774091479</c:v>
                </c:pt>
                <c:pt idx="43">
                  <c:v>77.493291383306385</c:v>
                </c:pt>
                <c:pt idx="44">
                  <c:v>78.938727926749351</c:v>
                </c:pt>
                <c:pt idx="45">
                  <c:v>80.372072222422261</c:v>
                </c:pt>
                <c:pt idx="46">
                  <c:v>81.793459400449393</c:v>
                </c:pt>
                <c:pt idx="47">
                  <c:v>83.203020159337555</c:v>
                </c:pt>
                <c:pt idx="48">
                  <c:v>84.600881003042218</c:v>
                </c:pt>
                <c:pt idx="49">
                  <c:v>85.98716446064978</c:v>
                </c:pt>
                <c:pt idx="50">
                  <c:v>87.361989290281187</c:v>
                </c:pt>
                <c:pt idx="51">
                  <c:v>88.725470668645201</c:v>
                </c:pt>
                <c:pt idx="52">
                  <c:v>90.077720367513578</c:v>
                </c:pt>
                <c:pt idx="53">
                  <c:v>91.418846918257017</c:v>
                </c:pt>
                <c:pt idx="54">
                  <c:v>92.748955765459712</c:v>
                </c:pt>
                <c:pt idx="55">
                  <c:v>94.068149410528079</c:v>
                </c:pt>
                <c:pt idx="56">
                  <c:v>95.376527546115838</c:v>
                </c:pt>
                <c:pt idx="57">
                  <c:v>96.674187182107289</c:v>
                </c:pt>
                <c:pt idx="58">
                  <c:v>97.961222763828516</c:v>
                </c:pt>
                <c:pt idx="59">
                  <c:v>99.237726283091845</c:v>
                </c:pt>
                <c:pt idx="60">
                  <c:v>100.50378738262333</c:v>
                </c:pt>
                <c:pt idx="61">
                  <c:v>102.20019368273141</c:v>
                </c:pt>
                <c:pt idx="62">
                  <c:v>104.29130870151437</c:v>
                </c:pt>
                <c:pt idx="63">
                  <c:v>106.3857358165084</c:v>
                </c:pt>
                <c:pt idx="64">
                  <c:v>108.48339647376659</c:v>
                </c:pt>
                <c:pt idx="65">
                  <c:v>110.58421517624619</c:v>
                </c:pt>
                <c:pt idx="66">
                  <c:v>112.6881193198147</c:v>
                </c:pt>
                <c:pt idx="67">
                  <c:v>114.79503904039659</c:v>
                </c:pt>
                <c:pt idx="68">
                  <c:v>116.90490707134998</c:v>
                </c:pt>
                <c:pt idx="69">
                  <c:v>119.01765861024836</c:v>
                </c:pt>
                <c:pt idx="70">
                  <c:v>121.13323119432043</c:v>
                </c:pt>
                <c:pt idx="71">
                  <c:v>123.25156458387005</c:v>
                </c:pt>
                <c:pt idx="72">
                  <c:v>125.37260065305999</c:v>
                </c:pt>
                <c:pt idx="73">
                  <c:v>127.49628328749939</c:v>
                </c:pt>
                <c:pt idx="74">
                  <c:v>129.62255828812309</c:v>
                </c:pt>
                <c:pt idx="75">
                  <c:v>131.75137328089775</c:v>
                </c:pt>
                <c:pt idx="76">
                  <c:v>133.88267763192775</c:v>
                </c:pt>
                <c:pt idx="77">
                  <c:v>136.01642236757232</c:v>
                </c:pt>
                <c:pt idx="78">
                  <c:v>138.15256009921629</c:v>
                </c:pt>
                <c:pt idx="79">
                  <c:v>140.29104495236766</c:v>
                </c:pt>
                <c:pt idx="80">
                  <c:v>142.43183249978185</c:v>
                </c:pt>
                <c:pt idx="81">
                  <c:v>144.57487969833593</c:v>
                </c:pt>
                <c:pt idx="82">
                  <c:v>146.72014482940017</c:v>
                </c:pt>
                <c:pt idx="83">
                  <c:v>148.8675874424714</c:v>
                </c:pt>
                <c:pt idx="84">
                  <c:v>151.01716830185416</c:v>
                </c:pt>
                <c:pt idx="85">
                  <c:v>153.16884933618996</c:v>
                </c:pt>
                <c:pt idx="86">
                  <c:v>155.32259359065043</c:v>
                </c:pt>
                <c:pt idx="87">
                  <c:v>157.47836518162575</c:v>
                </c:pt>
                <c:pt idx="88">
                  <c:v>159.63612925374966</c:v>
                </c:pt>
                <c:pt idx="89">
                  <c:v>161.7958519391164</c:v>
                </c:pt>
                <c:pt idx="90">
                  <c:v>163.95750031855366</c:v>
                </c:pt>
                <c:pt idx="91">
                  <c:v>166.12104238482755</c:v>
                </c:pt>
                <c:pt idx="92">
                  <c:v>168.28644700766125</c:v>
                </c:pt>
                <c:pt idx="93">
                  <c:v>170.4536839004609</c:v>
                </c:pt>
                <c:pt idx="94">
                  <c:v>172.62272358864701</c:v>
                </c:pt>
                <c:pt idx="95">
                  <c:v>174.62124483065224</c:v>
                </c:pt>
                <c:pt idx="96">
                  <c:v>176.45314217600566</c:v>
                </c:pt>
                <c:pt idx="97">
                  <c:v>178.28660634968202</c:v>
                </c:pt>
                <c:pt idx="98">
                  <c:v>180.12163676520581</c:v>
                </c:pt>
                <c:pt idx="99">
                  <c:v>181.95823245989095</c:v>
                </c:pt>
                <c:pt idx="100">
                  <c:v>183.79639211447937</c:v>
                </c:pt>
              </c:numCache>
            </c:numRef>
          </c:val>
          <c:smooth val="0"/>
          <c:extLst>
            <c:ext xmlns:c16="http://schemas.microsoft.com/office/drawing/2014/chart" uri="{C3380CC4-5D6E-409C-BE32-E72D297353CC}">
              <c16:uniqueId val="{00000001-FF6D-4A36-AB55-C79E9F473230}"/>
            </c:ext>
          </c:extLst>
        </c:ser>
        <c:ser>
          <c:idx val="3"/>
          <c:order val="2"/>
          <c:tx>
            <c:strRef>
              <c:f>'Calculations - Dual'!$BH$3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Dual'!$BO$5:$BO$105</c:f>
              <c:numCache>
                <c:formatCode>0.0</c:formatCode>
                <c:ptCount val="101"/>
                <c:pt idx="0">
                  <c:v>7.0540487611379588</c:v>
                </c:pt>
                <c:pt idx="1">
                  <c:v>9.5751677741374213</c:v>
                </c:pt>
                <c:pt idx="2">
                  <c:v>13.350385085317322</c:v>
                </c:pt>
                <c:pt idx="3">
                  <c:v>17.125651934514728</c:v>
                </c:pt>
                <c:pt idx="4">
                  <c:v>20.900968322704706</c:v>
                </c:pt>
                <c:pt idx="5">
                  <c:v>24.676334250862332</c:v>
                </c:pt>
                <c:pt idx="6">
                  <c:v>28.451749719962702</c:v>
                </c:pt>
                <c:pt idx="7">
                  <c:v>32.465080245693265</c:v>
                </c:pt>
                <c:pt idx="8">
                  <c:v>36.873312072936528</c:v>
                </c:pt>
                <c:pt idx="9">
                  <c:v>41.401679948070495</c:v>
                </c:pt>
                <c:pt idx="10">
                  <c:v>46.046393242643951</c:v>
                </c:pt>
                <c:pt idx="11">
                  <c:v>50.804421761407525</c:v>
                </c:pt>
                <c:pt idx="12">
                  <c:v>54.120614017294869</c:v>
                </c:pt>
                <c:pt idx="13">
                  <c:v>54.854501103414286</c:v>
                </c:pt>
                <c:pt idx="14">
                  <c:v>55.572203236989537</c:v>
                </c:pt>
                <c:pt idx="15">
                  <c:v>56.275836004568419</c:v>
                </c:pt>
                <c:pt idx="16">
                  <c:v>56.967154318071053</c:v>
                </c:pt>
                <c:pt idx="17">
                  <c:v>57.647631515927607</c:v>
                </c:pt>
                <c:pt idx="18">
                  <c:v>58.318517594415852</c:v>
                </c:pt>
                <c:pt idx="19">
                  <c:v>58.980882911651548</c:v>
                </c:pt>
                <c:pt idx="20">
                  <c:v>59.635651550297382</c:v>
                </c:pt>
                <c:pt idx="21">
                  <c:v>60.283627172154716</c:v>
                </c:pt>
                <c:pt idx="22">
                  <c:v>60.925513325220329</c:v>
                </c:pt>
                <c:pt idx="23">
                  <c:v>61.561929587057591</c:v>
                </c:pt>
                <c:pt idx="24">
                  <c:v>62.193424538724479</c:v>
                </c:pt>
                <c:pt idx="25">
                  <c:v>62.820486295093126</c:v>
                </c:pt>
                <c:pt idx="26">
                  <c:v>63.443551129179767</c:v>
                </c:pt>
                <c:pt idx="27">
                  <c:v>64.063010593983137</c:v>
                </c:pt>
                <c:pt idx="28">
                  <c:v>64.679217448343579</c:v>
                </c:pt>
                <c:pt idx="29">
                  <c:v>65.292490622255201</c:v>
                </c:pt>
                <c:pt idx="30">
                  <c:v>65.903119404321217</c:v>
                </c:pt>
                <c:pt idx="31">
                  <c:v>66.511366994461795</c:v>
                </c:pt>
                <c:pt idx="32">
                  <c:v>67.117473534960979</c:v>
                </c:pt>
                <c:pt idx="33">
                  <c:v>67.721658709947363</c:v>
                </c:pt>
                <c:pt idx="34">
                  <c:v>68.324123985630777</c:v>
                </c:pt>
                <c:pt idx="35">
                  <c:v>68.925054549763942</c:v>
                </c:pt>
                <c:pt idx="36">
                  <c:v>69.524620997914198</c:v>
                </c:pt>
                <c:pt idx="37">
                  <c:v>70.122980805512526</c:v>
                </c:pt>
                <c:pt idx="38">
                  <c:v>70.720279617779937</c:v>
                </c:pt>
                <c:pt idx="39">
                  <c:v>71.316652384118782</c:v>
                </c:pt>
                <c:pt idx="40">
                  <c:v>71.912224359106915</c:v>
                </c:pt>
                <c:pt idx="41">
                  <c:v>72.507111988617709</c:v>
                </c:pt>
                <c:pt idx="42">
                  <c:v>73.101423696637937</c:v>
                </c:pt>
                <c:pt idx="43">
                  <c:v>73.695260585931834</c:v>
                </c:pt>
                <c:pt idx="44">
                  <c:v>74.288717063699551</c:v>
                </c:pt>
                <c:pt idx="45">
                  <c:v>74.881881401721884</c:v>
                </c:pt>
                <c:pt idx="46">
                  <c:v>75.474836239101478</c:v>
                </c:pt>
                <c:pt idx="47">
                  <c:v>76.067659034556939</c:v>
                </c:pt>
                <c:pt idx="48">
                  <c:v>76.660422474256521</c:v>
                </c:pt>
                <c:pt idx="49">
                  <c:v>77.253194840361132</c:v>
                </c:pt>
                <c:pt idx="50">
                  <c:v>77.846040344753959</c:v>
                </c:pt>
                <c:pt idx="51">
                  <c:v>78.439019431847242</c:v>
                </c:pt>
                <c:pt idx="52">
                  <c:v>79.032189053856541</c:v>
                </c:pt>
                <c:pt idx="53">
                  <c:v>79.625602921503955</c:v>
                </c:pt>
                <c:pt idx="54">
                  <c:v>80.219311732745069</c:v>
                </c:pt>
                <c:pt idx="55">
                  <c:v>80.813363381799789</c:v>
                </c:pt>
                <c:pt idx="56">
                  <c:v>81.40780315049301</c:v>
                </c:pt>
                <c:pt idx="57">
                  <c:v>82.002673883677005</c:v>
                </c:pt>
                <c:pt idx="58">
                  <c:v>82.598016150302087</c:v>
                </c:pt>
                <c:pt idx="59">
                  <c:v>83.193868391524717</c:v>
                </c:pt>
                <c:pt idx="60">
                  <c:v>83.790267057087377</c:v>
                </c:pt>
                <c:pt idx="61">
                  <c:v>83.70604741529597</c:v>
                </c:pt>
                <c:pt idx="62">
                  <c:v>83.029579588117755</c:v>
                </c:pt>
                <c:pt idx="63">
                  <c:v>82.375120726826538</c:v>
                </c:pt>
                <c:pt idx="64">
                  <c:v>81.741666645147447</c:v>
                </c:pt>
                <c:pt idx="65">
                  <c:v>81.128273596332136</c:v>
                </c:pt>
                <c:pt idx="66">
                  <c:v>80.534053772951637</c:v>
                </c:pt>
                <c:pt idx="67">
                  <c:v>79.958171204181312</c:v>
                </c:pt>
                <c:pt idx="68">
                  <c:v>79.399838010115928</c:v>
                </c:pt>
                <c:pt idx="69">
                  <c:v>78.858310977303091</c:v>
                </c:pt>
                <c:pt idx="70">
                  <c:v>78.332888423733479</c:v>
                </c:pt>
                <c:pt idx="71">
                  <c:v>77.822907325076102</c:v>
                </c:pt>
                <c:pt idx="72">
                  <c:v>77.327740677047629</c:v>
                </c:pt>
                <c:pt idx="73">
                  <c:v>76.84679507153318</c:v>
                </c:pt>
                <c:pt idx="74">
                  <c:v>76.379508466470682</c:v>
                </c:pt>
                <c:pt idx="75">
                  <c:v>75.925348131624048</c:v>
                </c:pt>
                <c:pt idx="76">
                  <c:v>75.4838087542323</c:v>
                </c:pt>
                <c:pt idx="77">
                  <c:v>75.054410690170229</c:v>
                </c:pt>
                <c:pt idx="78">
                  <c:v>74.636698347714145</c:v>
                </c:pt>
                <c:pt idx="79">
                  <c:v>74.230238692302166</c:v>
                </c:pt>
                <c:pt idx="80">
                  <c:v>73.834619861825345</c:v>
                </c:pt>
                <c:pt idx="81">
                  <c:v>73.449449883012079</c:v>
                </c:pt>
                <c:pt idx="82">
                  <c:v>73.074355480377577</c:v>
                </c:pt>
                <c:pt idx="83">
                  <c:v>72.708980970025337</c:v>
                </c:pt>
                <c:pt idx="84">
                  <c:v>72.352987231314046</c:v>
                </c:pt>
                <c:pt idx="85">
                  <c:v>72.006050750054314</c:v>
                </c:pt>
                <c:pt idx="86">
                  <c:v>71.667862727483865</c:v>
                </c:pt>
                <c:pt idx="87">
                  <c:v>71.338128249791936</c:v>
                </c:pt>
                <c:pt idx="88">
                  <c:v>71.01656551343541</c:v>
                </c:pt>
                <c:pt idx="89">
                  <c:v>70.702905101911668</c:v>
                </c:pt>
                <c:pt idx="90">
                  <c:v>70.396889310034993</c:v>
                </c:pt>
                <c:pt idx="91">
                  <c:v>70.09827151210709</c:v>
                </c:pt>
                <c:pt idx="92">
                  <c:v>69.806815570683398</c:v>
                </c:pt>
                <c:pt idx="93">
                  <c:v>69.522295282915962</c:v>
                </c:pt>
                <c:pt idx="94">
                  <c:v>69.244493861710893</c:v>
                </c:pt>
                <c:pt idx="95">
                  <c:v>69.146339949877003</c:v>
                </c:pt>
                <c:pt idx="96">
                  <c:v>69.218864461999914</c:v>
                </c:pt>
                <c:pt idx="97">
                  <c:v>69.291434757518715</c:v>
                </c:pt>
                <c:pt idx="98">
                  <c:v>69.364054144630614</c:v>
                </c:pt>
                <c:pt idx="99">
                  <c:v>69.436725702318839</c:v>
                </c:pt>
                <c:pt idx="100">
                  <c:v>69.509452292914659</c:v>
                </c:pt>
              </c:numCache>
            </c:numRef>
          </c:val>
          <c:smooth val="0"/>
          <c:extLst>
            <c:ext xmlns:c16="http://schemas.microsoft.com/office/drawing/2014/chart" uri="{C3380CC4-5D6E-409C-BE32-E72D297353CC}">
              <c16:uniqueId val="{00000002-FF6D-4A36-AB55-C79E9F473230}"/>
            </c:ext>
          </c:extLst>
        </c:ser>
        <c:ser>
          <c:idx val="1"/>
          <c:order val="3"/>
          <c:tx>
            <c:strRef>
              <c:f>'Calculations - Dual'!$BU$3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Dual'!$CB$5:$CB$105</c:f>
              <c:numCache>
                <c:formatCode>0.0</c:formatCode>
                <c:ptCount val="101"/>
                <c:pt idx="0">
                  <c:v>8.932890729281775</c:v>
                </c:pt>
                <c:pt idx="1">
                  <c:v>9.1552827875894423</c:v>
                </c:pt>
                <c:pt idx="2">
                  <c:v>9.4882972810621418</c:v>
                </c:pt>
                <c:pt idx="3">
                  <c:v>9.82131177909584</c:v>
                </c:pt>
                <c:pt idx="4">
                  <c:v>10.154326281690519</c:v>
                </c:pt>
                <c:pt idx="5">
                  <c:v>10.487340788846181</c:v>
                </c:pt>
                <c:pt idx="6">
                  <c:v>10.820355300562822</c:v>
                </c:pt>
                <c:pt idx="7">
                  <c:v>11.89593544531437</c:v>
                </c:pt>
                <c:pt idx="8">
                  <c:v>13.998179011598189</c:v>
                </c:pt>
                <c:pt idx="9">
                  <c:v>16.200320606010628</c:v>
                </c:pt>
                <c:pt idx="10">
                  <c:v>18.502141630327142</c:v>
                </c:pt>
                <c:pt idx="11">
                  <c:v>20.903435102868801</c:v>
                </c:pt>
                <c:pt idx="12">
                  <c:v>23.177915358753562</c:v>
                </c:pt>
                <c:pt idx="13">
                  <c:v>25.103858035757728</c:v>
                </c:pt>
                <c:pt idx="14">
                  <c:v>27.029237059438</c:v>
                </c:pt>
                <c:pt idx="15">
                  <c:v>28.954081714574762</c:v>
                </c:pt>
                <c:pt idx="16">
                  <c:v>30.878418282313593</c:v>
                </c:pt>
                <c:pt idx="17">
                  <c:v>32.802270519266649</c:v>
                </c:pt>
                <c:pt idx="18">
                  <c:v>34.725660036052268</c:v>
                </c:pt>
                <c:pt idx="19">
                  <c:v>36.648606600885238</c:v>
                </c:pt>
                <c:pt idx="20">
                  <c:v>38.571128386281401</c:v>
                </c:pt>
                <c:pt idx="21">
                  <c:v>40.49324217188714</c:v>
                </c:pt>
                <c:pt idx="22">
                  <c:v>42.414963512982595</c:v>
                </c:pt>
                <c:pt idx="23">
                  <c:v>44.336306881783436</c:v>
                </c:pt>
                <c:pt idx="24">
                  <c:v>46.257285786938127</c:v>
                </c:pt>
                <c:pt idx="25">
                  <c:v>48.177912875364079</c:v>
                </c:pt>
                <c:pt idx="26">
                  <c:v>50.098200019641901</c:v>
                </c:pt>
                <c:pt idx="27">
                  <c:v>52.018158393498744</c:v>
                </c:pt>
                <c:pt idx="28">
                  <c:v>53.937798537388524</c:v>
                </c:pt>
                <c:pt idx="29">
                  <c:v>55.857130415779395</c:v>
                </c:pt>
                <c:pt idx="30">
                  <c:v>57.776163467448853</c:v>
                </c:pt>
                <c:pt idx="31">
                  <c:v>59.694906649846963</c:v>
                </c:pt>
                <c:pt idx="32">
                  <c:v>61.613368478396879</c:v>
                </c:pt>
                <c:pt idx="33">
                  <c:v>63.531557061452553</c:v>
                </c:pt>
                <c:pt idx="34">
                  <c:v>65.449480131510995</c:v>
                </c:pt>
                <c:pt idx="35">
                  <c:v>67.367145073179273</c:v>
                </c:pt>
                <c:pt idx="36">
                  <c:v>69.284558948318278</c:v>
                </c:pt>
                <c:pt idx="37">
                  <c:v>71.201728518717957</c:v>
                </c:pt>
                <c:pt idx="38">
                  <c:v>73.118660266608074</c:v>
                </c:pt>
                <c:pt idx="39">
                  <c:v>75.035360413262126</c:v>
                </c:pt>
                <c:pt idx="40">
                  <c:v>76.951834935916935</c:v>
                </c:pt>
                <c:pt idx="41">
                  <c:v>78.868089583198284</c:v>
                </c:pt>
                <c:pt idx="42">
                  <c:v>80.784129889218534</c:v>
                </c:pt>
                <c:pt idx="43">
                  <c:v>82.699961186488977</c:v>
                </c:pt>
                <c:pt idx="44">
                  <c:v>84.615588617772502</c:v>
                </c:pt>
                <c:pt idx="45">
                  <c:v>86.531017146985434</c:v>
                </c:pt>
                <c:pt idx="46">
                  <c:v>88.446251569244296</c:v>
                </c:pt>
                <c:pt idx="47">
                  <c:v>90.361296520141963</c:v>
                </c:pt>
                <c:pt idx="48">
                  <c:v>92.276156484327529</c:v>
                </c:pt>
                <c:pt idx="49">
                  <c:v>94.190835803455244</c:v>
                </c:pt>
                <c:pt idx="50">
                  <c:v>96.105338683561257</c:v>
                </c:pt>
                <c:pt idx="51">
                  <c:v>98.019669201920209</c:v>
                </c:pt>
                <c:pt idx="52">
                  <c:v>99.933831313426893</c:v>
                </c:pt>
                <c:pt idx="53">
                  <c:v>101.84782885654583</c:v>
                </c:pt>
                <c:pt idx="54">
                  <c:v>103.76166555886431</c:v>
                </c:pt>
                <c:pt idx="55">
                  <c:v>105.67534504228277</c:v>
                </c:pt>
                <c:pt idx="56">
                  <c:v>107.58887082787304</c:v>
                </c:pt>
                <c:pt idx="57">
                  <c:v>109.50224634042962</c:v>
                </c:pt>
                <c:pt idx="58">
                  <c:v>111.41547491274021</c:v>
                </c:pt>
                <c:pt idx="59">
                  <c:v>113.32855978959611</c:v>
                </c:pt>
                <c:pt idx="60">
                  <c:v>115.24150413156306</c:v>
                </c:pt>
                <c:pt idx="61">
                  <c:v>116.85401327509008</c:v>
                </c:pt>
                <c:pt idx="62">
                  <c:v>118.19792267458266</c:v>
                </c:pt>
                <c:pt idx="63">
                  <c:v>119.54221098653967</c:v>
                </c:pt>
                <c:pt idx="64">
                  <c:v>120.88687545213469</c:v>
                </c:pt>
                <c:pt idx="65">
                  <c:v>122.23191342336551</c:v>
                </c:pt>
                <c:pt idx="66">
                  <c:v>123.57732235709898</c:v>
                </c:pt>
                <c:pt idx="67">
                  <c:v>124.92309980951987</c:v>
                </c:pt>
                <c:pt idx="68">
                  <c:v>126.26924343095259</c:v>
                </c:pt>
                <c:pt idx="69">
                  <c:v>127.61575096102415</c:v>
                </c:pt>
                <c:pt idx="70">
                  <c:v>128.96262022414228</c:v>
                </c:pt>
                <c:pt idx="71">
                  <c:v>130.30984912526316</c:v>
                </c:pt>
                <c:pt idx="72">
                  <c:v>131.65743564592719</c:v>
                </c:pt>
                <c:pt idx="73">
                  <c:v>133.00537784054183</c:v>
                </c:pt>
                <c:pt idx="74">
                  <c:v>134.35367383289309</c:v>
                </c:pt>
                <c:pt idx="75">
                  <c:v>135.70232181286889</c:v>
                </c:pt>
                <c:pt idx="76">
                  <c:v>137.05132003337846</c:v>
                </c:pt>
                <c:pt idx="77">
                  <c:v>138.400666807454</c:v>
                </c:pt>
                <c:pt idx="78">
                  <c:v>139.75036050552094</c:v>
                </c:pt>
                <c:pt idx="79">
                  <c:v>141.10039955282633</c:v>
                </c:pt>
                <c:pt idx="80">
                  <c:v>142.45078242701243</c:v>
                </c:pt>
                <c:pt idx="81">
                  <c:v>143.80150765582718</c:v>
                </c:pt>
                <c:pt idx="82">
                  <c:v>145.15257381496184</c:v>
                </c:pt>
                <c:pt idx="83">
                  <c:v>146.50397952600625</c:v>
                </c:pt>
                <c:pt idx="84">
                  <c:v>147.85572345451561</c:v>
                </c:pt>
                <c:pt idx="85">
                  <c:v>149.2078043081805</c:v>
                </c:pt>
                <c:pt idx="86">
                  <c:v>150.56022083509336</c:v>
                </c:pt>
                <c:pt idx="87">
                  <c:v>151.91297182210579</c:v>
                </c:pt>
                <c:pt idx="88">
                  <c:v>153.26605609327072</c:v>
                </c:pt>
                <c:pt idx="89">
                  <c:v>154.61947250836414</c:v>
                </c:pt>
                <c:pt idx="90">
                  <c:v>155.97321996148111</c:v>
                </c:pt>
                <c:pt idx="91">
                  <c:v>157.32729737970251</c:v>
                </c:pt>
                <c:pt idx="92">
                  <c:v>158.68170372182755</c:v>
                </c:pt>
                <c:pt idx="93">
                  <c:v>160.03643797716737</c:v>
                </c:pt>
                <c:pt idx="94">
                  <c:v>161.39149916439806</c:v>
                </c:pt>
                <c:pt idx="95">
                  <c:v>162.83965662102563</c:v>
                </c:pt>
                <c:pt idx="96">
                  <c:v>164.37725186886024</c:v>
                </c:pt>
                <c:pt idx="97">
                  <c:v>165.91323925715801</c:v>
                </c:pt>
                <c:pt idx="98">
                  <c:v>167.44764905016001</c:v>
                </c:pt>
                <c:pt idx="99">
                  <c:v>168.98051086941612</c:v>
                </c:pt>
                <c:pt idx="100">
                  <c:v>170.51185371078947</c:v>
                </c:pt>
              </c:numCache>
            </c:numRef>
          </c:val>
          <c:smooth val="0"/>
          <c:extLst>
            <c:ext xmlns:c16="http://schemas.microsoft.com/office/drawing/2014/chart" uri="{C3380CC4-5D6E-409C-BE32-E72D297353CC}">
              <c16:uniqueId val="{00000003-FF6D-4A36-AB55-C79E9F473230}"/>
            </c:ext>
          </c:extLst>
        </c:ser>
        <c:dLbls>
          <c:showLegendKey val="0"/>
          <c:showVal val="0"/>
          <c:showCatName val="0"/>
          <c:showSerName val="0"/>
          <c:showPercent val="0"/>
          <c:showBubbleSize val="0"/>
        </c:dLbls>
        <c:marker val="1"/>
        <c:smooth val="0"/>
        <c:axId val="180665344"/>
        <c:axId val="180663424"/>
      </c:lineChart>
      <c:catAx>
        <c:axId val="180651136"/>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a:t>
                </a:r>
                <a:r>
                  <a:rPr lang="en-US" sz="1200" baseline="0">
                    <a:solidFill>
                      <a:srgbClr val="0000FF"/>
                    </a:solidFill>
                    <a:latin typeface="Arial" pitchFamily="34" charset="0"/>
                    <a:cs typeface="Arial" pitchFamily="34" charset="0"/>
                  </a:rPr>
                  <a:t> Total Rated Output Power</a:t>
                </a:r>
                <a:endParaRPr lang="en-US" sz="1200">
                  <a:solidFill>
                    <a:srgbClr val="0000FF"/>
                  </a:solidFill>
                  <a:latin typeface="Arial" pitchFamily="34" charset="0"/>
                  <a:cs typeface="Arial" pitchFamily="34" charset="0"/>
                </a:endParaRPr>
              </a:p>
            </c:rich>
          </c:tx>
          <c:layout>
            <c:manualLayout>
              <c:xMode val="edge"/>
              <c:yMode val="edge"/>
              <c:x val="0.42471011396394504"/>
              <c:y val="0.93853771636955563"/>
            </c:manualLayout>
          </c:layout>
          <c:overlay val="0"/>
          <c:spPr>
            <a:noFill/>
            <a:ln w="25400">
              <a:noFill/>
            </a:ln>
          </c:spPr>
        </c:title>
        <c:numFmt formatCode="General"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80653056"/>
        <c:crosses val="autoZero"/>
        <c:auto val="1"/>
        <c:lblAlgn val="ctr"/>
        <c:lblOffset val="100"/>
        <c:tickLblSkip val="20"/>
        <c:tickMarkSkip val="20"/>
        <c:noMultiLvlLbl val="0"/>
      </c:catAx>
      <c:valAx>
        <c:axId val="180653056"/>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0651136"/>
        <c:crossesAt val="0"/>
        <c:crossBetween val="between"/>
        <c:majorUnit val="5"/>
        <c:minorUnit val="2.5"/>
      </c:valAx>
      <c:valAx>
        <c:axId val="180663424"/>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80665344"/>
        <c:crosses val="max"/>
        <c:crossBetween val="between"/>
      </c:valAx>
      <c:catAx>
        <c:axId val="180665344"/>
        <c:scaling>
          <c:orientation val="minMax"/>
        </c:scaling>
        <c:delete val="1"/>
        <c:axPos val="b"/>
        <c:numFmt formatCode="General" sourceLinked="1"/>
        <c:majorTickMark val="out"/>
        <c:minorTickMark val="none"/>
        <c:tickLblPos val="nextTo"/>
        <c:crossAx val="180663424"/>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0550962619267337"/>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93009796772281"/>
          <c:y val="9.6043598935517463E-2"/>
          <c:w val="0.79387547420256122"/>
          <c:h val="0.75083975467433728"/>
        </c:manualLayout>
      </c:layout>
      <c:lineChart>
        <c:grouping val="standard"/>
        <c:varyColors val="0"/>
        <c:ser>
          <c:idx val="9"/>
          <c:order val="6"/>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337.71629421037835</c:v>
                </c:pt>
                <c:pt idx="25">
                  <c:v>324.20764244196323</c:v>
                </c:pt>
                <c:pt idx="26">
                  <c:v>311.73811773265697</c:v>
                </c:pt>
                <c:pt idx="27">
                  <c:v>300.19226152033627</c:v>
                </c:pt>
                <c:pt idx="28">
                  <c:v>289.47110932318151</c:v>
                </c:pt>
                <c:pt idx="29">
                  <c:v>279.48934693272685</c:v>
                </c:pt>
                <c:pt idx="30">
                  <c:v>270.17303536830269</c:v>
                </c:pt>
                <c:pt idx="31">
                  <c:v>261.45777616287359</c:v>
                </c:pt>
                <c:pt idx="32">
                  <c:v>253.28722065778376</c:v>
                </c:pt>
                <c:pt idx="33">
                  <c:v>245.61185033482056</c:v>
                </c:pt>
                <c:pt idx="34">
                  <c:v>238.38797238379647</c:v>
                </c:pt>
                <c:pt idx="35">
                  <c:v>231.5768874585452</c:v>
                </c:pt>
                <c:pt idx="36">
                  <c:v>225.14419614025226</c:v>
                </c:pt>
                <c:pt idx="37">
                  <c:v>219.0592178661914</c:v>
                </c:pt>
                <c:pt idx="38">
                  <c:v>213.29450160655472</c:v>
                </c:pt>
                <c:pt idx="39">
                  <c:v>207.82541182177124</c:v>
                </c:pt>
                <c:pt idx="40">
                  <c:v>202.62977652622695</c:v>
                </c:pt>
                <c:pt idx="41">
                  <c:v>197.68758685485565</c:v>
                </c:pt>
                <c:pt idx="42">
                  <c:v>192.98073954878765</c:v>
                </c:pt>
                <c:pt idx="43">
                  <c:v>188.49281537323441</c:v>
                </c:pt>
                <c:pt idx="44">
                  <c:v>184.20888775111547</c:v>
                </c:pt>
                <c:pt idx="45">
                  <c:v>180.1153569122018</c:v>
                </c:pt>
                <c:pt idx="46">
                  <c:v>176.19980567497998</c:v>
                </c:pt>
                <c:pt idx="47">
                  <c:v>172.45087363934218</c:v>
                </c:pt>
                <c:pt idx="48">
                  <c:v>168.85814710518918</c:v>
                </c:pt>
                <c:pt idx="49">
                  <c:v>165.41206247038946</c:v>
                </c:pt>
                <c:pt idx="50">
                  <c:v>162.10382122098162</c:v>
                </c:pt>
                <c:pt idx="51">
                  <c:v>158.92531492253096</c:v>
                </c:pt>
                <c:pt idx="52">
                  <c:v>155.86905886632849</c:v>
                </c:pt>
                <c:pt idx="53">
                  <c:v>152.92813322734114</c:v>
                </c:pt>
                <c:pt idx="54">
                  <c:v>150.09613076016814</c:v>
                </c:pt>
                <c:pt idx="55">
                  <c:v>147.36711020089237</c:v>
                </c:pt>
                <c:pt idx="56">
                  <c:v>144.73555466159075</c:v>
                </c:pt>
                <c:pt idx="57">
                  <c:v>142.19633440436988</c:v>
                </c:pt>
                <c:pt idx="58">
                  <c:v>139.74467346636342</c:v>
                </c:pt>
                <c:pt idx="59">
                  <c:v>138.23386786021658</c:v>
                </c:pt>
                <c:pt idx="60">
                  <c:v>137.52562850808701</c:v>
                </c:pt>
                <c:pt idx="61">
                  <c:v>136.82498487647121</c:v>
                </c:pt>
                <c:pt idx="62">
                  <c:v>136.13181542332944</c:v>
                </c:pt>
                <c:pt idx="63">
                  <c:v>135.44600118598524</c:v>
                </c:pt>
                <c:pt idx="64">
                  <c:v>134.76742571306258</c:v>
                </c:pt>
                <c:pt idx="65">
                  <c:v>134.09597499856682</c:v>
                </c:pt>
                <c:pt idx="66">
                  <c:v>133.43153741803127</c:v>
                </c:pt>
                <c:pt idx="67">
                  <c:v>132.77400366665407</c:v>
                </c:pt>
                <c:pt idx="68">
                  <c:v>132.12326669935348</c:v>
                </c:pt>
                <c:pt idx="69">
                  <c:v>131.47922167267271</c:v>
                </c:pt>
                <c:pt idx="70">
                  <c:v>130.84176588846742</c:v>
                </c:pt>
                <c:pt idx="71">
                  <c:v>130.21079873931339</c:v>
                </c:pt>
                <c:pt idx="72">
                  <c:v>129.58622165557236</c:v>
                </c:pt>
                <c:pt idx="73">
                  <c:v>128.96793805405829</c:v>
                </c:pt>
                <c:pt idx="74">
                  <c:v>128.35585328824763</c:v>
                </c:pt>
                <c:pt idx="75">
                  <c:v>127.74987459997938</c:v>
                </c:pt>
                <c:pt idx="76">
                  <c:v>127.14991107259397</c:v>
                </c:pt>
                <c:pt idx="77">
                  <c:v>126.55587358546002</c:v>
                </c:pt>
                <c:pt idx="78">
                  <c:v>125.96767476984294</c:v>
                </c:pt>
                <c:pt idx="79">
                  <c:v>125.38522896606736</c:v>
                </c:pt>
                <c:pt idx="80">
                  <c:v>124.80845218193116</c:v>
                </c:pt>
                <c:pt idx="81">
                  <c:v>124.23726205232762</c:v>
                </c:pt>
                <c:pt idx="82">
                  <c:v>123.67157780003512</c:v>
                </c:pt>
                <c:pt idx="83">
                  <c:v>123.11132019763561</c:v>
                </c:pt>
                <c:pt idx="84">
                  <c:v>122.55641153052338</c:v>
                </c:pt>
                <c:pt idx="85">
                  <c:v>122.00677556096856</c:v>
                </c:pt>
                <c:pt idx="86">
                  <c:v>121.46233749320025</c:v>
                </c:pt>
                <c:pt idx="87">
                  <c:v>120.92302393947537</c:v>
                </c:pt>
                <c:pt idx="88">
                  <c:v>120.38876288710122</c:v>
                </c:pt>
                <c:pt idx="89">
                  <c:v>119.85948366638073</c:v>
                </c:pt>
                <c:pt idx="90">
                  <c:v>119.33511691945003</c:v>
                </c:pt>
                <c:pt idx="91">
                  <c:v>118.81559456997987</c:v>
                </c:pt>
                <c:pt idx="92">
                  <c:v>118.30084979371276</c:v>
                </c:pt>
                <c:pt idx="93">
                  <c:v>117.79081698980937</c:v>
                </c:pt>
                <c:pt idx="94">
                  <c:v>117.28543175297827</c:v>
                </c:pt>
                <c:pt idx="95">
                  <c:v>116.78463084636381</c:v>
                </c:pt>
                <c:pt idx="96">
                  <c:v>116.28835217516885</c:v>
                </c:pt>
                <c:pt idx="97">
                  <c:v>115.79653476098854</c:v>
                </c:pt>
                <c:pt idx="98">
                  <c:v>115.3091187168333</c:v>
                </c:pt>
                <c:pt idx="99">
                  <c:v>114.82604522281943</c:v>
                </c:pt>
                <c:pt idx="100">
                  <c:v>114.34725650250647</c:v>
                </c:pt>
              </c:numCache>
            </c:numRef>
          </c:val>
          <c:smooth val="0"/>
          <c:extLst>
            <c:ext xmlns:c16="http://schemas.microsoft.com/office/drawing/2014/chart" uri="{C3380CC4-5D6E-409C-BE32-E72D297353CC}">
              <c16:uniqueId val="{00000000-5AD6-4A4B-8FAC-00971BFB05E2}"/>
            </c:ext>
          </c:extLst>
        </c:ser>
        <c:ser>
          <c:idx val="10"/>
          <c:order val="7"/>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350</c:v>
                </c:pt>
                <c:pt idx="55">
                  <c:v>350</c:v>
                </c:pt>
                <c:pt idx="56">
                  <c:v>350</c:v>
                </c:pt>
                <c:pt idx="57">
                  <c:v>350</c:v>
                </c:pt>
                <c:pt idx="58">
                  <c:v>350</c:v>
                </c:pt>
                <c:pt idx="59">
                  <c:v>350</c:v>
                </c:pt>
                <c:pt idx="60">
                  <c:v>350</c:v>
                </c:pt>
                <c:pt idx="61">
                  <c:v>346.97267897241881</c:v>
                </c:pt>
                <c:pt idx="62">
                  <c:v>341.37634544060546</c:v>
                </c:pt>
                <c:pt idx="63">
                  <c:v>335.95767329075471</c:v>
                </c:pt>
                <c:pt idx="64">
                  <c:v>330.70833464558655</c:v>
                </c:pt>
                <c:pt idx="65">
                  <c:v>325.62051411257761</c:v>
                </c:pt>
                <c:pt idx="66">
                  <c:v>320.68686995935667</c:v>
                </c:pt>
                <c:pt idx="67">
                  <c:v>315.90049876593349</c:v>
                </c:pt>
                <c:pt idx="68">
                  <c:v>311.25490319584611</c:v>
                </c:pt>
                <c:pt idx="69">
                  <c:v>306.74396256981947</c:v>
                </c:pt>
                <c:pt idx="70">
                  <c:v>302.36190596167927</c:v>
                </c:pt>
                <c:pt idx="71">
                  <c:v>298.10328756785276</c:v>
                </c:pt>
                <c:pt idx="72">
                  <c:v>293.9629641294103</c:v>
                </c:pt>
                <c:pt idx="73">
                  <c:v>289.93607420982931</c:v>
                </c:pt>
                <c:pt idx="74">
                  <c:v>286.01801915293981</c:v>
                </c:pt>
                <c:pt idx="75">
                  <c:v>282.20444556423388</c:v>
                </c:pt>
                <c:pt idx="76">
                  <c:v>278.49122917523073</c:v>
                </c:pt>
                <c:pt idx="77">
                  <c:v>274.87445996516288</c:v>
                </c:pt>
                <c:pt idx="78">
                  <c:v>271.3504284271479</c:v>
                </c:pt>
                <c:pt idx="79">
                  <c:v>267.91561287743718</c:v>
                </c:pt>
                <c:pt idx="80">
                  <c:v>264.56666771646923</c:v>
                </c:pt>
                <c:pt idx="81">
                  <c:v>261.30041255947583</c:v>
                </c:pt>
                <c:pt idx="82">
                  <c:v>258.11382216240906</c:v>
                </c:pt>
                <c:pt idx="83">
                  <c:v>255.00401707611491</c:v>
                </c:pt>
                <c:pt idx="84">
                  <c:v>251.96825496806596</c:v>
                </c:pt>
                <c:pt idx="85">
                  <c:v>249.00392255667694</c:v>
                </c:pt>
                <c:pt idx="86">
                  <c:v>246.10852810834353</c:v>
                </c:pt>
                <c:pt idx="87">
                  <c:v>243.27969445192574</c:v>
                </c:pt>
                <c:pt idx="88">
                  <c:v>240.51515246951749</c:v>
                </c:pt>
                <c:pt idx="89">
                  <c:v>237.81273502603977</c:v>
                </c:pt>
                <c:pt idx="90">
                  <c:v>235.1703713035283</c:v>
                </c:pt>
                <c:pt idx="91">
                  <c:v>232.58608150898394</c:v>
                </c:pt>
                <c:pt idx="92">
                  <c:v>230.05797192736458</c:v>
                </c:pt>
                <c:pt idx="93">
                  <c:v>227.58423029373699</c:v>
                </c:pt>
                <c:pt idx="94">
                  <c:v>225.1631214608249</c:v>
                </c:pt>
                <c:pt idx="95">
                  <c:v>223.40194653126011</c:v>
                </c:pt>
                <c:pt idx="96">
                  <c:v>222.2569941173503</c:v>
                </c:pt>
                <c:pt idx="97">
                  <c:v>221.124093456552</c:v>
                </c:pt>
                <c:pt idx="98">
                  <c:v>220.00305526021279</c:v>
                </c:pt>
                <c:pt idx="99">
                  <c:v>218.8936941830716</c:v>
                </c:pt>
                <c:pt idx="100">
                  <c:v>217.79582872110146</c:v>
                </c:pt>
              </c:numCache>
            </c:numRef>
          </c:val>
          <c:smooth val="0"/>
          <c:extLst>
            <c:ext xmlns:c16="http://schemas.microsoft.com/office/drawing/2014/chart" uri="{C3380CC4-5D6E-409C-BE32-E72D297353CC}">
              <c16:uniqueId val="{00000001-5AD6-4A4B-8FAC-00971BFB05E2}"/>
            </c:ext>
          </c:extLst>
        </c:ser>
        <c:ser>
          <c:idx val="11"/>
          <c:order val="8"/>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350</c:v>
                </c:pt>
                <c:pt idx="55">
                  <c:v>350</c:v>
                </c:pt>
                <c:pt idx="56">
                  <c:v>350</c:v>
                </c:pt>
                <c:pt idx="57">
                  <c:v>350</c:v>
                </c:pt>
                <c:pt idx="58">
                  <c:v>350</c:v>
                </c:pt>
                <c:pt idx="59">
                  <c:v>350</c:v>
                </c:pt>
                <c:pt idx="60">
                  <c:v>350</c:v>
                </c:pt>
                <c:pt idx="61">
                  <c:v>350</c:v>
                </c:pt>
                <c:pt idx="62">
                  <c:v>350</c:v>
                </c:pt>
                <c:pt idx="63">
                  <c:v>350</c:v>
                </c:pt>
                <c:pt idx="64">
                  <c:v>347.1715749576652</c:v>
                </c:pt>
                <c:pt idx="65">
                  <c:v>341.83047380447039</c:v>
                </c:pt>
                <c:pt idx="66">
                  <c:v>336.65122420137232</c:v>
                </c:pt>
                <c:pt idx="67">
                  <c:v>331.62657906403837</c:v>
                </c:pt>
                <c:pt idx="68">
                  <c:v>326.74971760721434</c:v>
                </c:pt>
                <c:pt idx="69">
                  <c:v>322.01421445348649</c:v>
                </c:pt>
                <c:pt idx="70">
                  <c:v>317.41401138986538</c:v>
                </c:pt>
                <c:pt idx="71">
                  <c:v>312.94339151113479</c:v>
                </c:pt>
                <c:pt idx="72">
                  <c:v>308.5969555179247</c:v>
                </c:pt>
                <c:pt idx="73">
                  <c:v>304.36959996288454</c:v>
                </c:pt>
                <c:pt idx="74">
                  <c:v>300.25649726068343</c:v>
                </c:pt>
                <c:pt idx="75">
                  <c:v>296.2530772972076</c:v>
                </c:pt>
                <c:pt idx="76">
                  <c:v>292.35501049066539</c:v>
                </c:pt>
                <c:pt idx="77">
                  <c:v>288.55819217260489</c:v>
                </c:pt>
                <c:pt idx="78">
                  <c:v>284.85872817039188</c:v>
                </c:pt>
                <c:pt idx="79">
                  <c:v>281.25292148469077</c:v>
                </c:pt>
                <c:pt idx="80">
                  <c:v>277.73725996613206</c:v>
                </c:pt>
                <c:pt idx="81">
                  <c:v>274.30840490482188</c:v>
                </c:pt>
                <c:pt idx="82">
                  <c:v>270.96318045476306</c:v>
                </c:pt>
                <c:pt idx="83">
                  <c:v>267.69856382277794</c:v>
                </c:pt>
                <c:pt idx="84">
                  <c:v>264.51167615822112</c:v>
                </c:pt>
                <c:pt idx="85">
                  <c:v>261.39977408577141</c:v>
                </c:pt>
                <c:pt idx="86">
                  <c:v>258.36024182896017</c:v>
                </c:pt>
                <c:pt idx="87">
                  <c:v>255.39058387690312</c:v>
                </c:pt>
                <c:pt idx="88">
                  <c:v>252.48841815102924</c:v>
                </c:pt>
                <c:pt idx="89">
                  <c:v>249.65146963247832</c:v>
                </c:pt>
                <c:pt idx="90">
                  <c:v>246.87756441433967</c:v>
                </c:pt>
                <c:pt idx="91">
                  <c:v>244.16462414605013</c:v>
                </c:pt>
                <c:pt idx="92">
                  <c:v>241.51066084011495</c:v>
                </c:pt>
                <c:pt idx="93">
                  <c:v>238.91377201387704</c:v>
                </c:pt>
                <c:pt idx="94">
                  <c:v>236.37213614138909</c:v>
                </c:pt>
                <c:pt idx="95">
                  <c:v>233.88400839253237</c:v>
                </c:pt>
                <c:pt idx="96">
                  <c:v>231.44771663844344</c:v>
                </c:pt>
                <c:pt idx="97">
                  <c:v>229.27722742938724</c:v>
                </c:pt>
                <c:pt idx="98">
                  <c:v>228.10007938775817</c:v>
                </c:pt>
                <c:pt idx="99">
                  <c:v>226.93533391964397</c:v>
                </c:pt>
                <c:pt idx="100">
                  <c:v>225.78279603972706</c:v>
                </c:pt>
              </c:numCache>
            </c:numRef>
          </c:val>
          <c:smooth val="0"/>
          <c:extLst>
            <c:ext xmlns:c16="http://schemas.microsoft.com/office/drawing/2014/chart" uri="{C3380CC4-5D6E-409C-BE32-E72D297353CC}">
              <c16:uniqueId val="{00000002-5AD6-4A4B-8FAC-00971BFB05E2}"/>
            </c:ext>
          </c:extLst>
        </c:ser>
        <c:ser>
          <c:idx val="12"/>
          <c:order val="9"/>
          <c:spPr>
            <a:ln>
              <a:noFill/>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139.74467346636342</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5AD6-4A4B-8FAC-00971BFB05E2}"/>
            </c:ext>
          </c:extLst>
        </c:ser>
        <c:ser>
          <c:idx val="13"/>
          <c:order val="10"/>
          <c:spPr>
            <a:ln>
              <a:noFill/>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5AD6-4A4B-8FAC-00971BFB05E2}"/>
            </c:ext>
          </c:extLst>
        </c:ser>
        <c:ser>
          <c:idx val="14"/>
          <c:order val="11"/>
          <c:spPr>
            <a:ln>
              <a:noFill/>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229.27722742938724</c:v>
                </c:pt>
                <c:pt idx="98">
                  <c:v>-50</c:v>
                </c:pt>
                <c:pt idx="99">
                  <c:v>-50</c:v>
                </c:pt>
                <c:pt idx="100">
                  <c:v>-50</c:v>
                </c:pt>
              </c:numCache>
            </c:numRef>
          </c:val>
          <c:smooth val="0"/>
          <c:extLst>
            <c:ext xmlns:c16="http://schemas.microsoft.com/office/drawing/2014/chart" uri="{C3380CC4-5D6E-409C-BE32-E72D297353CC}">
              <c16:uniqueId val="{00000005-5AD6-4A4B-8FAC-00971BFB05E2}"/>
            </c:ext>
          </c:extLst>
        </c:ser>
        <c:ser>
          <c:idx val="1"/>
          <c:order val="0"/>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337.71629421037835</c:v>
                </c:pt>
                <c:pt idx="25">
                  <c:v>324.20764244196323</c:v>
                </c:pt>
                <c:pt idx="26">
                  <c:v>311.73811773265697</c:v>
                </c:pt>
                <c:pt idx="27">
                  <c:v>300.19226152033627</c:v>
                </c:pt>
                <c:pt idx="28">
                  <c:v>289.47110932318151</c:v>
                </c:pt>
                <c:pt idx="29">
                  <c:v>279.48934693272685</c:v>
                </c:pt>
                <c:pt idx="30">
                  <c:v>270.17303536830269</c:v>
                </c:pt>
                <c:pt idx="31">
                  <c:v>261.45777616287359</c:v>
                </c:pt>
                <c:pt idx="32">
                  <c:v>253.28722065778376</c:v>
                </c:pt>
                <c:pt idx="33">
                  <c:v>245.61185033482056</c:v>
                </c:pt>
                <c:pt idx="34">
                  <c:v>238.38797238379647</c:v>
                </c:pt>
                <c:pt idx="35">
                  <c:v>231.5768874585452</c:v>
                </c:pt>
                <c:pt idx="36">
                  <c:v>225.14419614025226</c:v>
                </c:pt>
                <c:pt idx="37">
                  <c:v>219.0592178661914</c:v>
                </c:pt>
                <c:pt idx="38">
                  <c:v>213.29450160655472</c:v>
                </c:pt>
                <c:pt idx="39">
                  <c:v>207.82541182177124</c:v>
                </c:pt>
                <c:pt idx="40">
                  <c:v>202.62977652622695</c:v>
                </c:pt>
                <c:pt idx="41">
                  <c:v>197.68758685485565</c:v>
                </c:pt>
                <c:pt idx="42">
                  <c:v>192.98073954878765</c:v>
                </c:pt>
                <c:pt idx="43">
                  <c:v>188.49281537323441</c:v>
                </c:pt>
                <c:pt idx="44">
                  <c:v>184.20888775111547</c:v>
                </c:pt>
                <c:pt idx="45">
                  <c:v>180.1153569122018</c:v>
                </c:pt>
                <c:pt idx="46">
                  <c:v>176.19980567497998</c:v>
                </c:pt>
                <c:pt idx="47">
                  <c:v>172.45087363934218</c:v>
                </c:pt>
                <c:pt idx="48">
                  <c:v>168.85814710518918</c:v>
                </c:pt>
                <c:pt idx="49">
                  <c:v>165.41206247038946</c:v>
                </c:pt>
                <c:pt idx="50">
                  <c:v>162.10382122098162</c:v>
                </c:pt>
                <c:pt idx="51">
                  <c:v>158.92531492253096</c:v>
                </c:pt>
                <c:pt idx="52">
                  <c:v>155.86905886632849</c:v>
                </c:pt>
                <c:pt idx="53">
                  <c:v>152.92813322734114</c:v>
                </c:pt>
                <c:pt idx="54">
                  <c:v>150.09613076016814</c:v>
                </c:pt>
                <c:pt idx="55">
                  <c:v>147.36711020089237</c:v>
                </c:pt>
                <c:pt idx="56">
                  <c:v>144.73555466159075</c:v>
                </c:pt>
                <c:pt idx="57">
                  <c:v>142.19633440436988</c:v>
                </c:pt>
                <c:pt idx="58">
                  <c:v>139.74467346636342</c:v>
                </c:pt>
                <c:pt idx="59">
                  <c:v>138.23386786021658</c:v>
                </c:pt>
                <c:pt idx="60">
                  <c:v>137.52562850808701</c:v>
                </c:pt>
                <c:pt idx="61">
                  <c:v>136.82498487647121</c:v>
                </c:pt>
                <c:pt idx="62">
                  <c:v>136.13181542332944</c:v>
                </c:pt>
                <c:pt idx="63">
                  <c:v>135.44600118598524</c:v>
                </c:pt>
                <c:pt idx="64">
                  <c:v>134.76742571306258</c:v>
                </c:pt>
                <c:pt idx="65">
                  <c:v>134.09597499856682</c:v>
                </c:pt>
                <c:pt idx="66">
                  <c:v>133.43153741803127</c:v>
                </c:pt>
                <c:pt idx="67">
                  <c:v>132.77400366665407</c:v>
                </c:pt>
                <c:pt idx="68">
                  <c:v>132.12326669935348</c:v>
                </c:pt>
                <c:pt idx="69">
                  <c:v>131.47922167267271</c:v>
                </c:pt>
                <c:pt idx="70">
                  <c:v>130.84176588846742</c:v>
                </c:pt>
                <c:pt idx="71">
                  <c:v>130.21079873931339</c:v>
                </c:pt>
                <c:pt idx="72">
                  <c:v>129.58622165557236</c:v>
                </c:pt>
                <c:pt idx="73">
                  <c:v>128.96793805405829</c:v>
                </c:pt>
                <c:pt idx="74">
                  <c:v>128.35585328824763</c:v>
                </c:pt>
                <c:pt idx="75">
                  <c:v>127.74987459997938</c:v>
                </c:pt>
                <c:pt idx="76">
                  <c:v>127.14991107259397</c:v>
                </c:pt>
                <c:pt idx="77">
                  <c:v>126.55587358546002</c:v>
                </c:pt>
                <c:pt idx="78">
                  <c:v>125.96767476984294</c:v>
                </c:pt>
                <c:pt idx="79">
                  <c:v>125.38522896606736</c:v>
                </c:pt>
                <c:pt idx="80">
                  <c:v>124.80845218193116</c:v>
                </c:pt>
                <c:pt idx="81">
                  <c:v>124.23726205232762</c:v>
                </c:pt>
                <c:pt idx="82">
                  <c:v>123.67157780003512</c:v>
                </c:pt>
                <c:pt idx="83">
                  <c:v>123.11132019763561</c:v>
                </c:pt>
                <c:pt idx="84">
                  <c:v>122.55641153052338</c:v>
                </c:pt>
                <c:pt idx="85">
                  <c:v>122.00677556096856</c:v>
                </c:pt>
                <c:pt idx="86">
                  <c:v>121.46233749320025</c:v>
                </c:pt>
                <c:pt idx="87">
                  <c:v>120.92302393947537</c:v>
                </c:pt>
                <c:pt idx="88">
                  <c:v>120.38876288710122</c:v>
                </c:pt>
                <c:pt idx="89">
                  <c:v>119.85948366638073</c:v>
                </c:pt>
                <c:pt idx="90">
                  <c:v>119.33511691945003</c:v>
                </c:pt>
                <c:pt idx="91">
                  <c:v>118.81559456997987</c:v>
                </c:pt>
                <c:pt idx="92">
                  <c:v>118.30084979371276</c:v>
                </c:pt>
                <c:pt idx="93">
                  <c:v>117.79081698980937</c:v>
                </c:pt>
                <c:pt idx="94">
                  <c:v>117.28543175297827</c:v>
                </c:pt>
                <c:pt idx="95">
                  <c:v>116.78463084636381</c:v>
                </c:pt>
                <c:pt idx="96">
                  <c:v>116.28835217516885</c:v>
                </c:pt>
                <c:pt idx="97">
                  <c:v>115.79653476098854</c:v>
                </c:pt>
                <c:pt idx="98">
                  <c:v>115.3091187168333</c:v>
                </c:pt>
                <c:pt idx="99">
                  <c:v>114.82604522281943</c:v>
                </c:pt>
                <c:pt idx="100">
                  <c:v>114.34725650250647</c:v>
                </c:pt>
              </c:numCache>
            </c:numRef>
          </c:val>
          <c:smooth val="0"/>
          <c:extLst>
            <c:ext xmlns:c16="http://schemas.microsoft.com/office/drawing/2014/chart" uri="{C3380CC4-5D6E-409C-BE32-E72D297353CC}">
              <c16:uniqueId val="{00000006-5AD6-4A4B-8FAC-00971BFB05E2}"/>
            </c:ext>
          </c:extLst>
        </c:ser>
        <c:ser>
          <c:idx val="0"/>
          <c:order val="1"/>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350</c:v>
                </c:pt>
                <c:pt idx="55">
                  <c:v>350</c:v>
                </c:pt>
                <c:pt idx="56">
                  <c:v>350</c:v>
                </c:pt>
                <c:pt idx="57">
                  <c:v>350</c:v>
                </c:pt>
                <c:pt idx="58">
                  <c:v>350</c:v>
                </c:pt>
                <c:pt idx="59">
                  <c:v>350</c:v>
                </c:pt>
                <c:pt idx="60">
                  <c:v>350</c:v>
                </c:pt>
                <c:pt idx="61">
                  <c:v>346.97267897241881</c:v>
                </c:pt>
                <c:pt idx="62">
                  <c:v>341.37634544060546</c:v>
                </c:pt>
                <c:pt idx="63">
                  <c:v>335.95767329075471</c:v>
                </c:pt>
                <c:pt idx="64">
                  <c:v>330.70833464558655</c:v>
                </c:pt>
                <c:pt idx="65">
                  <c:v>325.62051411257761</c:v>
                </c:pt>
                <c:pt idx="66">
                  <c:v>320.68686995935667</c:v>
                </c:pt>
                <c:pt idx="67">
                  <c:v>315.90049876593349</c:v>
                </c:pt>
                <c:pt idx="68">
                  <c:v>311.25490319584611</c:v>
                </c:pt>
                <c:pt idx="69">
                  <c:v>306.74396256981947</c:v>
                </c:pt>
                <c:pt idx="70">
                  <c:v>302.36190596167927</c:v>
                </c:pt>
                <c:pt idx="71">
                  <c:v>298.10328756785276</c:v>
                </c:pt>
                <c:pt idx="72">
                  <c:v>293.9629641294103</c:v>
                </c:pt>
                <c:pt idx="73">
                  <c:v>289.93607420982931</c:v>
                </c:pt>
                <c:pt idx="74">
                  <c:v>286.01801915293981</c:v>
                </c:pt>
                <c:pt idx="75">
                  <c:v>282.20444556423388</c:v>
                </c:pt>
                <c:pt idx="76">
                  <c:v>278.49122917523073</c:v>
                </c:pt>
                <c:pt idx="77">
                  <c:v>274.87445996516288</c:v>
                </c:pt>
                <c:pt idx="78">
                  <c:v>271.3504284271479</c:v>
                </c:pt>
                <c:pt idx="79">
                  <c:v>267.91561287743718</c:v>
                </c:pt>
                <c:pt idx="80">
                  <c:v>264.56666771646923</c:v>
                </c:pt>
                <c:pt idx="81">
                  <c:v>261.30041255947583</c:v>
                </c:pt>
                <c:pt idx="82">
                  <c:v>258.11382216240906</c:v>
                </c:pt>
                <c:pt idx="83">
                  <c:v>255.00401707611491</c:v>
                </c:pt>
                <c:pt idx="84">
                  <c:v>251.96825496806596</c:v>
                </c:pt>
                <c:pt idx="85">
                  <c:v>249.00392255667694</c:v>
                </c:pt>
                <c:pt idx="86">
                  <c:v>246.10852810834353</c:v>
                </c:pt>
                <c:pt idx="87">
                  <c:v>243.27969445192574</c:v>
                </c:pt>
                <c:pt idx="88">
                  <c:v>240.51515246951749</c:v>
                </c:pt>
                <c:pt idx="89">
                  <c:v>237.81273502603977</c:v>
                </c:pt>
                <c:pt idx="90">
                  <c:v>235.1703713035283</c:v>
                </c:pt>
                <c:pt idx="91">
                  <c:v>232.58608150898394</c:v>
                </c:pt>
                <c:pt idx="92">
                  <c:v>230.05797192736458</c:v>
                </c:pt>
                <c:pt idx="93">
                  <c:v>227.58423029373699</c:v>
                </c:pt>
                <c:pt idx="94">
                  <c:v>225.1631214608249</c:v>
                </c:pt>
                <c:pt idx="95">
                  <c:v>223.40194653126011</c:v>
                </c:pt>
                <c:pt idx="96">
                  <c:v>222.2569941173503</c:v>
                </c:pt>
                <c:pt idx="97">
                  <c:v>221.124093456552</c:v>
                </c:pt>
                <c:pt idx="98">
                  <c:v>220.00305526021279</c:v>
                </c:pt>
                <c:pt idx="99">
                  <c:v>218.8936941830716</c:v>
                </c:pt>
                <c:pt idx="100">
                  <c:v>217.79582872110146</c:v>
                </c:pt>
              </c:numCache>
            </c:numRef>
          </c:val>
          <c:smooth val="0"/>
          <c:extLst>
            <c:ext xmlns:c16="http://schemas.microsoft.com/office/drawing/2014/chart" uri="{C3380CC4-5D6E-409C-BE32-E72D297353CC}">
              <c16:uniqueId val="{00000007-5AD6-4A4B-8FAC-00971BFB05E2}"/>
            </c:ext>
          </c:extLst>
        </c:ser>
        <c:ser>
          <c:idx val="2"/>
          <c:order val="2"/>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350</c:v>
                </c:pt>
                <c:pt idx="55">
                  <c:v>350</c:v>
                </c:pt>
                <c:pt idx="56">
                  <c:v>350</c:v>
                </c:pt>
                <c:pt idx="57">
                  <c:v>350</c:v>
                </c:pt>
                <c:pt idx="58">
                  <c:v>350</c:v>
                </c:pt>
                <c:pt idx="59">
                  <c:v>350</c:v>
                </c:pt>
                <c:pt idx="60">
                  <c:v>350</c:v>
                </c:pt>
                <c:pt idx="61">
                  <c:v>350</c:v>
                </c:pt>
                <c:pt idx="62">
                  <c:v>350</c:v>
                </c:pt>
                <c:pt idx="63">
                  <c:v>350</c:v>
                </c:pt>
                <c:pt idx="64">
                  <c:v>347.1715749576652</c:v>
                </c:pt>
                <c:pt idx="65">
                  <c:v>341.83047380447039</c:v>
                </c:pt>
                <c:pt idx="66">
                  <c:v>336.65122420137232</c:v>
                </c:pt>
                <c:pt idx="67">
                  <c:v>331.62657906403837</c:v>
                </c:pt>
                <c:pt idx="68">
                  <c:v>326.74971760721434</c:v>
                </c:pt>
                <c:pt idx="69">
                  <c:v>322.01421445348649</c:v>
                </c:pt>
                <c:pt idx="70">
                  <c:v>317.41401138986538</c:v>
                </c:pt>
                <c:pt idx="71">
                  <c:v>312.94339151113479</c:v>
                </c:pt>
                <c:pt idx="72">
                  <c:v>308.5969555179247</c:v>
                </c:pt>
                <c:pt idx="73">
                  <c:v>304.36959996288454</c:v>
                </c:pt>
                <c:pt idx="74">
                  <c:v>300.25649726068343</c:v>
                </c:pt>
                <c:pt idx="75">
                  <c:v>296.2530772972076</c:v>
                </c:pt>
                <c:pt idx="76">
                  <c:v>292.35501049066539</c:v>
                </c:pt>
                <c:pt idx="77">
                  <c:v>288.55819217260489</c:v>
                </c:pt>
                <c:pt idx="78">
                  <c:v>284.85872817039188</c:v>
                </c:pt>
                <c:pt idx="79">
                  <c:v>281.25292148469077</c:v>
                </c:pt>
                <c:pt idx="80">
                  <c:v>277.73725996613206</c:v>
                </c:pt>
                <c:pt idx="81">
                  <c:v>274.30840490482188</c:v>
                </c:pt>
                <c:pt idx="82">
                  <c:v>270.96318045476306</c:v>
                </c:pt>
                <c:pt idx="83">
                  <c:v>267.69856382277794</c:v>
                </c:pt>
                <c:pt idx="84">
                  <c:v>264.51167615822112</c:v>
                </c:pt>
                <c:pt idx="85">
                  <c:v>261.39977408577141</c:v>
                </c:pt>
                <c:pt idx="86">
                  <c:v>258.36024182896017</c:v>
                </c:pt>
                <c:pt idx="87">
                  <c:v>255.39058387690312</c:v>
                </c:pt>
                <c:pt idx="88">
                  <c:v>252.48841815102924</c:v>
                </c:pt>
                <c:pt idx="89">
                  <c:v>249.65146963247832</c:v>
                </c:pt>
                <c:pt idx="90">
                  <c:v>246.87756441433967</c:v>
                </c:pt>
                <c:pt idx="91">
                  <c:v>244.16462414605013</c:v>
                </c:pt>
                <c:pt idx="92">
                  <c:v>241.51066084011495</c:v>
                </c:pt>
                <c:pt idx="93">
                  <c:v>238.91377201387704</c:v>
                </c:pt>
                <c:pt idx="94">
                  <c:v>236.37213614138909</c:v>
                </c:pt>
                <c:pt idx="95">
                  <c:v>233.88400839253237</c:v>
                </c:pt>
                <c:pt idx="96">
                  <c:v>231.44771663844344</c:v>
                </c:pt>
                <c:pt idx="97">
                  <c:v>229.27722742938724</c:v>
                </c:pt>
                <c:pt idx="98">
                  <c:v>228.10007938775817</c:v>
                </c:pt>
                <c:pt idx="99">
                  <c:v>226.93533391964397</c:v>
                </c:pt>
                <c:pt idx="100">
                  <c:v>225.78279603972706</c:v>
                </c:pt>
              </c:numCache>
            </c:numRef>
          </c:val>
          <c:smooth val="0"/>
          <c:extLst>
            <c:ext xmlns:c16="http://schemas.microsoft.com/office/drawing/2014/chart" uri="{C3380CC4-5D6E-409C-BE32-E72D297353CC}">
              <c16:uniqueId val="{00000008-5AD6-4A4B-8FAC-00971BFB05E2}"/>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139.74467346636342</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9-5AD6-4A4B-8FAC-00971BFB05E2}"/>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A-5AD6-4A4B-8FAC-00971BFB05E2}"/>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229.27722742938724</c:v>
                </c:pt>
                <c:pt idx="98">
                  <c:v>-50</c:v>
                </c:pt>
                <c:pt idx="99">
                  <c:v>-50</c:v>
                </c:pt>
                <c:pt idx="100">
                  <c:v>-50</c:v>
                </c:pt>
              </c:numCache>
            </c:numRef>
          </c:val>
          <c:smooth val="0"/>
          <c:extLst>
            <c:ext xmlns:c16="http://schemas.microsoft.com/office/drawing/2014/chart" uri="{C3380CC4-5D6E-409C-BE32-E72D297353CC}">
              <c16:uniqueId val="{0000000B-5AD6-4A4B-8FAC-00971BFB05E2}"/>
            </c:ext>
          </c:extLst>
        </c:ser>
        <c:dLbls>
          <c:showLegendKey val="0"/>
          <c:showVal val="0"/>
          <c:showCatName val="0"/>
          <c:showSerName val="0"/>
          <c:showPercent val="0"/>
          <c:showBubbleSize val="0"/>
        </c:dLbls>
        <c:smooth val="0"/>
        <c:axId val="181002240"/>
        <c:axId val="181004544"/>
      </c:lineChart>
      <c:catAx>
        <c:axId val="181002240"/>
        <c:scaling>
          <c:orientation val="minMax"/>
        </c:scaling>
        <c:delete val="0"/>
        <c:axPos val="b"/>
        <c:majorGridlines>
          <c:spPr>
            <a:ln w="15875">
              <a:solidFill>
                <a:srgbClr val="969696"/>
              </a:solidFill>
              <a:prstDash val="sysDash"/>
            </a:ln>
          </c:spPr>
        </c:majorGridlines>
        <c:title>
          <c:tx>
            <c:rich>
              <a:bodyPr/>
              <a:lstStyle/>
              <a:p>
                <a:pPr>
                  <a:defRPr sz="1100" b="1" i="0" u="none" strike="noStrike" baseline="0">
                    <a:solidFill>
                      <a:schemeClr val="tx1"/>
                    </a:solidFill>
                    <a:latin typeface="Arial" pitchFamily="34" charset="0"/>
                    <a:ea typeface="Calibri"/>
                    <a:cs typeface="Arial" pitchFamily="34" charset="0"/>
                  </a:defRPr>
                </a:pPr>
                <a:r>
                  <a:rPr lang="en-US" sz="1600" b="1" i="0" baseline="0">
                    <a:effectLst/>
                  </a:rPr>
                  <a:t>% Total Rated Output Power</a:t>
                </a:r>
                <a:endParaRPr lang="en-US" sz="1100">
                  <a:effectLst/>
                </a:endParaRPr>
              </a:p>
            </c:rich>
          </c:tx>
          <c:layout>
            <c:manualLayout>
              <c:xMode val="edge"/>
              <c:yMode val="edge"/>
              <c:x val="0.38070688614495507"/>
              <c:y val="0.93853774450069472"/>
            </c:manualLayout>
          </c:layout>
          <c:overlay val="0"/>
          <c:spPr>
            <a:noFill/>
            <a:ln w="25400">
              <a:noFill/>
            </a:ln>
          </c:spPr>
        </c:title>
        <c:numFmt formatCode="General" sourceLinked="1"/>
        <c:majorTickMark val="in"/>
        <c:minorTickMark val="in"/>
        <c:tickLblPos val="nextTo"/>
        <c:spPr>
          <a:ln w="3175">
            <a:solidFill>
              <a:schemeClr val="tx1"/>
            </a:solidFill>
            <a:prstDash val="solid"/>
          </a:ln>
        </c:spPr>
        <c:txPr>
          <a:bodyPr rot="0" vert="horz"/>
          <a:lstStyle/>
          <a:p>
            <a:pPr>
              <a:defRPr sz="1400" b="1" i="0" u="none" strike="noStrike" baseline="0">
                <a:solidFill>
                  <a:schemeClr val="tx1"/>
                </a:solidFill>
                <a:latin typeface="Arial" pitchFamily="34" charset="0"/>
                <a:ea typeface="Calibri"/>
                <a:cs typeface="Arial" pitchFamily="34" charset="0"/>
              </a:defRPr>
            </a:pPr>
            <a:endParaRPr lang="en-US"/>
          </a:p>
        </c:txPr>
        <c:crossAx val="181004544"/>
        <c:crosses val="autoZero"/>
        <c:auto val="1"/>
        <c:lblAlgn val="ctr"/>
        <c:lblOffset val="100"/>
        <c:tickLblSkip val="20"/>
        <c:tickMarkSkip val="10"/>
        <c:noMultiLvlLbl val="0"/>
      </c:catAx>
      <c:valAx>
        <c:axId val="181004544"/>
        <c:scaling>
          <c:orientation val="minMax"/>
          <c:max val="400"/>
          <c:min val="0"/>
        </c:scaling>
        <c:delete val="0"/>
        <c:axPos val="l"/>
        <c:majorGridlines>
          <c:spPr>
            <a:ln w="15875">
              <a:solidFill>
                <a:srgbClr val="808080"/>
              </a:solidFill>
              <a:prstDash val="solid"/>
            </a:ln>
          </c:spPr>
        </c:majorGridlines>
        <c:title>
          <c:tx>
            <c:rich>
              <a:bodyPr/>
              <a:lstStyle/>
              <a:p>
                <a:pPr>
                  <a:defRPr sz="1600" b="1" i="0" u="none" strike="noStrike" baseline="0">
                    <a:solidFill>
                      <a:schemeClr val="tx1"/>
                    </a:solidFill>
                    <a:latin typeface="Arial" pitchFamily="34" charset="0"/>
                    <a:ea typeface="Calibri"/>
                    <a:cs typeface="Arial" pitchFamily="34" charset="0"/>
                  </a:defRPr>
                </a:pPr>
                <a:r>
                  <a:rPr lang="en-US" sz="1600" b="1">
                    <a:solidFill>
                      <a:schemeClr val="tx1"/>
                    </a:solidFill>
                    <a:latin typeface="Arial" pitchFamily="34" charset="0"/>
                    <a:cs typeface="Arial" pitchFamily="34" charset="0"/>
                  </a:rPr>
                  <a:t>Switching</a:t>
                </a:r>
                <a:r>
                  <a:rPr lang="en-US" sz="1600" b="1" baseline="0">
                    <a:solidFill>
                      <a:schemeClr val="tx1"/>
                    </a:solidFill>
                    <a:latin typeface="Arial" pitchFamily="34" charset="0"/>
                    <a:cs typeface="Arial" pitchFamily="34" charset="0"/>
                  </a:rPr>
                  <a:t> Frquency (kHz)</a:t>
                </a:r>
                <a:endParaRPr lang="en-US" sz="1600" b="1">
                  <a:solidFill>
                    <a:schemeClr val="tx1"/>
                  </a:solidFill>
                  <a:latin typeface="Arial" pitchFamily="34" charset="0"/>
                  <a:cs typeface="Arial" pitchFamily="34" charset="0"/>
                </a:endParaRPr>
              </a:p>
            </c:rich>
          </c:tx>
          <c:layout>
            <c:manualLayout>
              <c:xMode val="edge"/>
              <c:yMode val="edge"/>
              <c:x val="8.5568128125503556E-3"/>
              <c:y val="0.22463146285493288"/>
            </c:manualLayout>
          </c:layout>
          <c:overlay val="0"/>
          <c:spPr>
            <a:noFill/>
            <a:ln w="25400">
              <a:noFill/>
            </a:ln>
          </c:spPr>
        </c:title>
        <c:numFmt formatCode="#,##0" sourceLinked="0"/>
        <c:majorTickMark val="in"/>
        <c:minorTickMark val="in"/>
        <c:tickLblPos val="nextTo"/>
        <c:spPr>
          <a:ln w="3175">
            <a:solidFill>
              <a:srgbClr val="000000"/>
            </a:solidFill>
            <a:prstDash val="solid"/>
          </a:ln>
        </c:spPr>
        <c:txPr>
          <a:bodyPr rot="0" vert="horz"/>
          <a:lstStyle/>
          <a:p>
            <a:pPr>
              <a:defRPr sz="1600" b="1" i="0" u="none" strike="noStrike" baseline="0">
                <a:solidFill>
                  <a:schemeClr val="tx1"/>
                </a:solidFill>
                <a:latin typeface="Arial" pitchFamily="34" charset="0"/>
                <a:ea typeface="Calibri"/>
                <a:cs typeface="Arial" pitchFamily="34" charset="0"/>
              </a:defRPr>
            </a:pPr>
            <a:endParaRPr lang="en-US"/>
          </a:p>
        </c:txPr>
        <c:crossAx val="181002240"/>
        <c:crossesAt val="0"/>
        <c:crossBetween val="between"/>
        <c:majorUnit val="50"/>
        <c:minorUnit val="25"/>
      </c:valAx>
      <c:spPr>
        <a:noFill/>
        <a:ln w="25400">
          <a:noFill/>
        </a:ln>
      </c:spPr>
    </c:plotArea>
    <c:legend>
      <c:legendPos val="t"/>
      <c:legendEntry>
        <c:idx val="9"/>
        <c:delete val="1"/>
      </c:legendEntry>
      <c:legendEntry>
        <c:idx val="10"/>
        <c:delete val="1"/>
      </c:legendEntry>
      <c:legendEntry>
        <c:idx val="11"/>
        <c:delete val="1"/>
      </c:legendEntry>
      <c:layout>
        <c:manualLayout>
          <c:xMode val="edge"/>
          <c:yMode val="edge"/>
          <c:x val="0.31430722044239789"/>
          <c:y val="1.5175029628150039E-2"/>
          <c:w val="0.42410841724909248"/>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FSW</a:t>
            </a:r>
            <a:r>
              <a:rPr lang="en-US" baseline="0"/>
              <a:t> vs. VIN</a:t>
            </a:r>
            <a:endParaRPr lang="en-US"/>
          </a:p>
        </c:rich>
      </c:tx>
      <c:layout>
        <c:manualLayout>
          <c:xMode val="edge"/>
          <c:yMode val="edge"/>
          <c:x val="0.46949559660480134"/>
          <c:y val="4.3950758924335628E-2"/>
        </c:manualLayout>
      </c:layout>
      <c:overlay val="0"/>
      <c:spPr>
        <a:noFill/>
        <a:ln w="25400">
          <a:noFill/>
        </a:ln>
      </c:spPr>
    </c:title>
    <c:autoTitleDeleted val="0"/>
    <c:plotArea>
      <c:layout>
        <c:manualLayout>
          <c:layoutTarget val="inner"/>
          <c:xMode val="edge"/>
          <c:yMode val="edge"/>
          <c:x val="0.11549893842887474"/>
          <c:y val="0.12692138023914851"/>
          <c:w val="0.81825902335456679"/>
          <c:h val="0.73598262282121851"/>
        </c:manualLayout>
      </c:layout>
      <c:scatterChart>
        <c:scatterStyle val="lineMarker"/>
        <c:varyColors val="0"/>
        <c:ser>
          <c:idx val="2"/>
          <c:order val="0"/>
          <c:tx>
            <c:strRef>
              <c:f>'Fsw vs VIN'!$M$5</c:f>
              <c:strCache>
                <c:ptCount val="1"/>
                <c:pt idx="0">
                  <c:v>Fsw-BCM (kHz) at Iout-max</c:v>
                </c:pt>
              </c:strCache>
            </c:strRef>
          </c:tx>
          <c:spPr>
            <a:ln w="25400">
              <a:solidFill>
                <a:srgbClr val="000080"/>
              </a:solidFill>
              <a:prstDash val="solid"/>
            </a:ln>
          </c:spPr>
          <c:marker>
            <c:symbol val="none"/>
          </c:marker>
          <c:xVal>
            <c:numRef>
              <c:f>'Fsw vs VIN'!$D$6:$D$106</c:f>
              <c:numCache>
                <c:formatCode>0.00</c:formatCode>
                <c:ptCount val="101"/>
                <c:pt idx="0">
                  <c:v>9</c:v>
                </c:pt>
                <c:pt idx="1">
                  <c:v>9.1199999999999992</c:v>
                </c:pt>
                <c:pt idx="2">
                  <c:v>9.24</c:v>
                </c:pt>
                <c:pt idx="3">
                  <c:v>9.36</c:v>
                </c:pt>
                <c:pt idx="4">
                  <c:v>9.48</c:v>
                </c:pt>
                <c:pt idx="5">
                  <c:v>9.6</c:v>
                </c:pt>
                <c:pt idx="6">
                  <c:v>9.7200000000000006</c:v>
                </c:pt>
                <c:pt idx="7">
                  <c:v>9.84</c:v>
                </c:pt>
                <c:pt idx="8">
                  <c:v>9.9600000000000009</c:v>
                </c:pt>
                <c:pt idx="9">
                  <c:v>10.08</c:v>
                </c:pt>
                <c:pt idx="10">
                  <c:v>10.199999999999999</c:v>
                </c:pt>
                <c:pt idx="11">
                  <c:v>10.32</c:v>
                </c:pt>
                <c:pt idx="12">
                  <c:v>10.44</c:v>
                </c:pt>
                <c:pt idx="13">
                  <c:v>10.56</c:v>
                </c:pt>
                <c:pt idx="14">
                  <c:v>10.68</c:v>
                </c:pt>
                <c:pt idx="15">
                  <c:v>10.8</c:v>
                </c:pt>
                <c:pt idx="16">
                  <c:v>10.92</c:v>
                </c:pt>
                <c:pt idx="17">
                  <c:v>11.04</c:v>
                </c:pt>
                <c:pt idx="18">
                  <c:v>11.16</c:v>
                </c:pt>
                <c:pt idx="19">
                  <c:v>11.280000000000001</c:v>
                </c:pt>
                <c:pt idx="20">
                  <c:v>11.4</c:v>
                </c:pt>
                <c:pt idx="21">
                  <c:v>11.52</c:v>
                </c:pt>
                <c:pt idx="22">
                  <c:v>11.64</c:v>
                </c:pt>
                <c:pt idx="23">
                  <c:v>11.76</c:v>
                </c:pt>
                <c:pt idx="24">
                  <c:v>11.879999999999999</c:v>
                </c:pt>
                <c:pt idx="25">
                  <c:v>12</c:v>
                </c:pt>
                <c:pt idx="26">
                  <c:v>12.120000000000001</c:v>
                </c:pt>
                <c:pt idx="27">
                  <c:v>12.24</c:v>
                </c:pt>
                <c:pt idx="28">
                  <c:v>12.36</c:v>
                </c:pt>
                <c:pt idx="29">
                  <c:v>12.48</c:v>
                </c:pt>
                <c:pt idx="30">
                  <c:v>12.6</c:v>
                </c:pt>
                <c:pt idx="31">
                  <c:v>12.719999999999999</c:v>
                </c:pt>
                <c:pt idx="32">
                  <c:v>12.84</c:v>
                </c:pt>
                <c:pt idx="33">
                  <c:v>12.96</c:v>
                </c:pt>
                <c:pt idx="34">
                  <c:v>13.08</c:v>
                </c:pt>
                <c:pt idx="35">
                  <c:v>13.2</c:v>
                </c:pt>
                <c:pt idx="36">
                  <c:v>13.32</c:v>
                </c:pt>
                <c:pt idx="37">
                  <c:v>13.44</c:v>
                </c:pt>
                <c:pt idx="38">
                  <c:v>13.56</c:v>
                </c:pt>
                <c:pt idx="39">
                  <c:v>13.68</c:v>
                </c:pt>
                <c:pt idx="40">
                  <c:v>13.8</c:v>
                </c:pt>
                <c:pt idx="41">
                  <c:v>13.92</c:v>
                </c:pt>
                <c:pt idx="42">
                  <c:v>14.04</c:v>
                </c:pt>
                <c:pt idx="43">
                  <c:v>14.16</c:v>
                </c:pt>
                <c:pt idx="44">
                  <c:v>14.280000000000001</c:v>
                </c:pt>
                <c:pt idx="45">
                  <c:v>14.4</c:v>
                </c:pt>
                <c:pt idx="46">
                  <c:v>14.52</c:v>
                </c:pt>
                <c:pt idx="47">
                  <c:v>14.64</c:v>
                </c:pt>
                <c:pt idx="48">
                  <c:v>14.76</c:v>
                </c:pt>
                <c:pt idx="49">
                  <c:v>14.879999999999999</c:v>
                </c:pt>
                <c:pt idx="50">
                  <c:v>15</c:v>
                </c:pt>
                <c:pt idx="51">
                  <c:v>15.120000000000001</c:v>
                </c:pt>
                <c:pt idx="52">
                  <c:v>15.24</c:v>
                </c:pt>
                <c:pt idx="53">
                  <c:v>15.36</c:v>
                </c:pt>
                <c:pt idx="54">
                  <c:v>15.48</c:v>
                </c:pt>
                <c:pt idx="55">
                  <c:v>15.600000000000001</c:v>
                </c:pt>
                <c:pt idx="56">
                  <c:v>15.72</c:v>
                </c:pt>
                <c:pt idx="57">
                  <c:v>15.84</c:v>
                </c:pt>
                <c:pt idx="58">
                  <c:v>15.959999999999999</c:v>
                </c:pt>
                <c:pt idx="59">
                  <c:v>16.079999999999998</c:v>
                </c:pt>
                <c:pt idx="60">
                  <c:v>16.2</c:v>
                </c:pt>
                <c:pt idx="61">
                  <c:v>16.32</c:v>
                </c:pt>
                <c:pt idx="62">
                  <c:v>16.439999999999998</c:v>
                </c:pt>
                <c:pt idx="63">
                  <c:v>16.560000000000002</c:v>
                </c:pt>
                <c:pt idx="64">
                  <c:v>16.68</c:v>
                </c:pt>
                <c:pt idx="65">
                  <c:v>16.8</c:v>
                </c:pt>
                <c:pt idx="66">
                  <c:v>16.920000000000002</c:v>
                </c:pt>
                <c:pt idx="67">
                  <c:v>17.04</c:v>
                </c:pt>
                <c:pt idx="68">
                  <c:v>17.16</c:v>
                </c:pt>
                <c:pt idx="69">
                  <c:v>17.28</c:v>
                </c:pt>
                <c:pt idx="70">
                  <c:v>17.399999999999999</c:v>
                </c:pt>
                <c:pt idx="71">
                  <c:v>17.52</c:v>
                </c:pt>
                <c:pt idx="72">
                  <c:v>17.64</c:v>
                </c:pt>
                <c:pt idx="73">
                  <c:v>17.759999999999998</c:v>
                </c:pt>
                <c:pt idx="74">
                  <c:v>17.88</c:v>
                </c:pt>
                <c:pt idx="75">
                  <c:v>18</c:v>
                </c:pt>
                <c:pt idx="76">
                  <c:v>18.12</c:v>
                </c:pt>
                <c:pt idx="77">
                  <c:v>18.240000000000002</c:v>
                </c:pt>
                <c:pt idx="78">
                  <c:v>18.36</c:v>
                </c:pt>
                <c:pt idx="79">
                  <c:v>18.48</c:v>
                </c:pt>
                <c:pt idx="80">
                  <c:v>18.600000000000001</c:v>
                </c:pt>
                <c:pt idx="81">
                  <c:v>18.72</c:v>
                </c:pt>
                <c:pt idx="82">
                  <c:v>18.84</c:v>
                </c:pt>
                <c:pt idx="83">
                  <c:v>18.96</c:v>
                </c:pt>
                <c:pt idx="84">
                  <c:v>19.079999999999998</c:v>
                </c:pt>
                <c:pt idx="85">
                  <c:v>19.2</c:v>
                </c:pt>
                <c:pt idx="86">
                  <c:v>19.32</c:v>
                </c:pt>
                <c:pt idx="87">
                  <c:v>19.439999999999998</c:v>
                </c:pt>
                <c:pt idx="88">
                  <c:v>19.560000000000002</c:v>
                </c:pt>
                <c:pt idx="89">
                  <c:v>19.68</c:v>
                </c:pt>
                <c:pt idx="90">
                  <c:v>19.8</c:v>
                </c:pt>
                <c:pt idx="91">
                  <c:v>19.920000000000002</c:v>
                </c:pt>
                <c:pt idx="92">
                  <c:v>20.04</c:v>
                </c:pt>
                <c:pt idx="93">
                  <c:v>20.16</c:v>
                </c:pt>
                <c:pt idx="94">
                  <c:v>20.28</c:v>
                </c:pt>
                <c:pt idx="95">
                  <c:v>20.399999999999999</c:v>
                </c:pt>
                <c:pt idx="96">
                  <c:v>20.52</c:v>
                </c:pt>
                <c:pt idx="97">
                  <c:v>20.64</c:v>
                </c:pt>
                <c:pt idx="98">
                  <c:v>20.759999999999998</c:v>
                </c:pt>
                <c:pt idx="99">
                  <c:v>20.88</c:v>
                </c:pt>
                <c:pt idx="100">
                  <c:v>21</c:v>
                </c:pt>
              </c:numCache>
            </c:numRef>
          </c:xVal>
          <c:yVal>
            <c:numRef>
              <c:f>'Fsw vs VIN'!$M$6:$M$106</c:f>
              <c:numCache>
                <c:formatCode>0.0</c:formatCode>
                <c:ptCount val="101"/>
                <c:pt idx="0">
                  <c:v>145.89343909888345</c:v>
                </c:pt>
                <c:pt idx="1">
                  <c:v>148.59108034026465</c:v>
                </c:pt>
                <c:pt idx="2">
                  <c:v>151.29123147434362</c:v>
                </c:pt>
                <c:pt idx="3">
                  <c:v>153.99356714932324</c:v>
                </c:pt>
                <c:pt idx="4">
                  <c:v>156.69777198504573</c:v>
                </c:pt>
                <c:pt idx="5">
                  <c:v>159.4035402785324</c:v>
                </c:pt>
                <c:pt idx="6">
                  <c:v>162.1105757188374</c:v>
                </c:pt>
                <c:pt idx="7">
                  <c:v>164.81859111089221</c:v>
                </c:pt>
                <c:pt idx="8">
                  <c:v>167.52730810803263</c:v>
                </c:pt>
                <c:pt idx="9">
                  <c:v>170.23645695290861</c:v>
                </c:pt>
                <c:pt idx="10">
                  <c:v>172.94577622649092</c:v>
                </c:pt>
                <c:pt idx="11">
                  <c:v>175.65501260489881</c:v>
                </c:pt>
                <c:pt idx="12">
                  <c:v>178.36392062378141</c:v>
                </c:pt>
                <c:pt idx="13">
                  <c:v>181.07226244999868</c:v>
                </c:pt>
                <c:pt idx="14">
                  <c:v>183.77980766035375</c:v>
                </c:pt>
                <c:pt idx="15">
                  <c:v>186.48633302714103</c:v>
                </c:pt>
                <c:pt idx="16">
                  <c:v>189.19162231027883</c:v>
                </c:pt>
                <c:pt idx="17">
                  <c:v>191.89546605581006</c:v>
                </c:pt>
                <c:pt idx="18">
                  <c:v>194.59766140055441</c:v>
                </c:pt>
                <c:pt idx="19">
                  <c:v>197.29801188271114</c:v>
                </c:pt>
                <c:pt idx="20">
                  <c:v>199.99632725821303</c:v>
                </c:pt>
                <c:pt idx="21">
                  <c:v>202.69242332264332</c:v>
                </c:pt>
                <c:pt idx="22">
                  <c:v>205.3861217385311</c:v>
                </c:pt>
                <c:pt idx="23">
                  <c:v>208.07724986784908</c:v>
                </c:pt>
                <c:pt idx="24">
                  <c:v>210.76564060954433</c:v>
                </c:pt>
                <c:pt idx="25">
                  <c:v>213.45113224193707</c:v>
                </c:pt>
                <c:pt idx="26">
                  <c:v>216.13356826982871</c:v>
                </c:pt>
                <c:pt idx="27">
                  <c:v>218.81279727616828</c:v>
                </c:pt>
                <c:pt idx="28">
                  <c:v>221.48867277812815</c:v>
                </c:pt>
                <c:pt idx="29">
                  <c:v>224.16105308744801</c:v>
                </c:pt>
                <c:pt idx="30">
                  <c:v>226.82980117490905</c:v>
                </c:pt>
                <c:pt idx="31">
                  <c:v>229.49478453880826</c:v>
                </c:pt>
                <c:pt idx="32">
                  <c:v>232.15587507730189</c:v>
                </c:pt>
                <c:pt idx="33">
                  <c:v>234.81294896449705</c:v>
                </c:pt>
                <c:pt idx="34">
                  <c:v>237.46588653017324</c:v>
                </c:pt>
                <c:pt idx="35">
                  <c:v>240.11457214301578</c:v>
                </c:pt>
                <c:pt idx="36">
                  <c:v>242.75889409725417</c:v>
                </c:pt>
                <c:pt idx="37">
                  <c:v>245.39874450259424</c:v>
                </c:pt>
                <c:pt idx="38">
                  <c:v>248.03401917734519</c:v>
                </c:pt>
                <c:pt idx="39">
                  <c:v>250.66461754463671</c:v>
                </c:pt>
                <c:pt idx="40">
                  <c:v>253.29044253163445</c:v>
                </c:pt>
                <c:pt idx="41">
                  <c:v>255.91140047165695</c:v>
                </c:pt>
                <c:pt idx="42">
                  <c:v>258.52740100910574</c:v>
                </c:pt>
                <c:pt idx="43">
                  <c:v>261.13835700712201</c:v>
                </c:pt>
                <c:pt idx="44">
                  <c:v>263.7441844578837</c:v>
                </c:pt>
                <c:pt idx="45">
                  <c:v>266.344802395464</c:v>
                </c:pt>
                <c:pt idx="46">
                  <c:v>268.94013281117157</c:v>
                </c:pt>
                <c:pt idx="47">
                  <c:v>271.53010057129683</c:v>
                </c:pt>
                <c:pt idx="48">
                  <c:v>274.11463333719047</c:v>
                </c:pt>
                <c:pt idx="49">
                  <c:v>276.69366148760332</c:v>
                </c:pt>
                <c:pt idx="50">
                  <c:v>279.2671180432198</c:v>
                </c:pt>
                <c:pt idx="51">
                  <c:v>281.8349385933177</c:v>
                </c:pt>
                <c:pt idx="52">
                  <c:v>284.39706122448979</c:v>
                </c:pt>
                <c:pt idx="53">
                  <c:v>286.9534264513664</c:v>
                </c:pt>
                <c:pt idx="54">
                  <c:v>289.50397714927755</c:v>
                </c:pt>
                <c:pt idx="55">
                  <c:v>292.04865848879717</c:v>
                </c:pt>
                <c:pt idx="56">
                  <c:v>294.58741787211414</c:v>
                </c:pt>
                <c:pt idx="57">
                  <c:v>297.1202048711724</c:v>
                </c:pt>
                <c:pt idx="58">
                  <c:v>299.64697116753308</c:v>
                </c:pt>
                <c:pt idx="59">
                  <c:v>302.16767049390171</c:v>
                </c:pt>
                <c:pt idx="60">
                  <c:v>304.68225857727435</c:v>
                </c:pt>
                <c:pt idx="61">
                  <c:v>307.19069308365584</c:v>
                </c:pt>
                <c:pt idx="62">
                  <c:v>309.69293356430131</c:v>
                </c:pt>
                <c:pt idx="63">
                  <c:v>312.18894140343781</c:v>
                </c:pt>
                <c:pt idx="64">
                  <c:v>314.6786797674215</c:v>
                </c:pt>
                <c:pt idx="65">
                  <c:v>317.16211355529128</c:v>
                </c:pt>
                <c:pt idx="66">
                  <c:v>319.63920935067461</c:v>
                </c:pt>
                <c:pt idx="67">
                  <c:v>322.10993537500735</c:v>
                </c:pt>
                <c:pt idx="68">
                  <c:v>324.57426144203265</c:v>
                </c:pt>
                <c:pt idx="69">
                  <c:v>327.03215891353562</c:v>
                </c:pt>
                <c:pt idx="70">
                  <c:v>329.48360065628407</c:v>
                </c:pt>
                <c:pt idx="71">
                  <c:v>331.92856100013859</c:v>
                </c:pt>
                <c:pt idx="72">
                  <c:v>334.36701569729547</c:v>
                </c:pt>
                <c:pt idx="73">
                  <c:v>336.79894188263535</c:v>
                </c:pt>
                <c:pt idx="74">
                  <c:v>339.22431803514155</c:v>
                </c:pt>
                <c:pt idx="75">
                  <c:v>341.64312394035937</c:v>
                </c:pt>
                <c:pt idx="76">
                  <c:v>344.05534065386718</c:v>
                </c:pt>
                <c:pt idx="77">
                  <c:v>346.46095046572907</c:v>
                </c:pt>
                <c:pt idx="78">
                  <c:v>348.85993686590268</c:v>
                </c:pt>
                <c:pt idx="79">
                  <c:v>350</c:v>
                </c:pt>
                <c:pt idx="80">
                  <c:v>350</c:v>
                </c:pt>
                <c:pt idx="81">
                  <c:v>350</c:v>
                </c:pt>
                <c:pt idx="82">
                  <c:v>350</c:v>
                </c:pt>
                <c:pt idx="83">
                  <c:v>350</c:v>
                </c:pt>
                <c:pt idx="84">
                  <c:v>350</c:v>
                </c:pt>
                <c:pt idx="85">
                  <c:v>350</c:v>
                </c:pt>
                <c:pt idx="86">
                  <c:v>350</c:v>
                </c:pt>
                <c:pt idx="87">
                  <c:v>350</c:v>
                </c:pt>
                <c:pt idx="88">
                  <c:v>350</c:v>
                </c:pt>
                <c:pt idx="89">
                  <c:v>350</c:v>
                </c:pt>
                <c:pt idx="90">
                  <c:v>350</c:v>
                </c:pt>
                <c:pt idx="91">
                  <c:v>350</c:v>
                </c:pt>
                <c:pt idx="92">
                  <c:v>350</c:v>
                </c:pt>
                <c:pt idx="93">
                  <c:v>350</c:v>
                </c:pt>
                <c:pt idx="94">
                  <c:v>350</c:v>
                </c:pt>
                <c:pt idx="95">
                  <c:v>350</c:v>
                </c:pt>
                <c:pt idx="96">
                  <c:v>350</c:v>
                </c:pt>
                <c:pt idx="97">
                  <c:v>350</c:v>
                </c:pt>
                <c:pt idx="98">
                  <c:v>350</c:v>
                </c:pt>
                <c:pt idx="99">
                  <c:v>350</c:v>
                </c:pt>
                <c:pt idx="100">
                  <c:v>350</c:v>
                </c:pt>
              </c:numCache>
            </c:numRef>
          </c:yVal>
          <c:smooth val="0"/>
          <c:extLst>
            <c:ext xmlns:c16="http://schemas.microsoft.com/office/drawing/2014/chart" uri="{C3380CC4-5D6E-409C-BE32-E72D297353CC}">
              <c16:uniqueId val="{00000000-976C-4503-AA66-66C27ED94462}"/>
            </c:ext>
          </c:extLst>
        </c:ser>
        <c:dLbls>
          <c:showLegendKey val="0"/>
          <c:showVal val="0"/>
          <c:showCatName val="0"/>
          <c:showSerName val="0"/>
          <c:showPercent val="0"/>
          <c:showBubbleSize val="0"/>
        </c:dLbls>
        <c:axId val="184365056"/>
        <c:axId val="184366976"/>
      </c:scatterChart>
      <c:valAx>
        <c:axId val="184365056"/>
        <c:scaling>
          <c:orientation val="minMax"/>
        </c:scaling>
        <c:delete val="0"/>
        <c:axPos val="b"/>
        <c:majorGridlines/>
        <c:title>
          <c:tx>
            <c:rich>
              <a:bodyPr/>
              <a:lstStyle/>
              <a:p>
                <a:pPr>
                  <a:defRPr sz="1100" b="1" i="0" u="none" strike="noStrike" baseline="0">
                    <a:solidFill>
                      <a:srgbClr val="000000"/>
                    </a:solidFill>
                    <a:latin typeface="Arial"/>
                    <a:ea typeface="Arial"/>
                    <a:cs typeface="Arial"/>
                  </a:defRPr>
                </a:pPr>
                <a:r>
                  <a:rPr lang="en-US" sz="1100"/>
                  <a:t>VIN (V)</a:t>
                </a:r>
              </a:p>
            </c:rich>
          </c:tx>
          <c:layout>
            <c:manualLayout>
              <c:xMode val="edge"/>
              <c:yMode val="edge"/>
              <c:x val="0.48841805795509147"/>
              <c:y val="0.9281222297700175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975" b="1" i="0" u="none" strike="noStrike" baseline="0">
                <a:solidFill>
                  <a:srgbClr val="000000"/>
                </a:solidFill>
                <a:latin typeface="Arial"/>
                <a:ea typeface="Arial"/>
                <a:cs typeface="Arial"/>
              </a:defRPr>
            </a:pPr>
            <a:endParaRPr lang="en-US"/>
          </a:p>
        </c:txPr>
        <c:crossAx val="184366976"/>
        <c:crosses val="autoZero"/>
        <c:crossBetween val="midCat"/>
      </c:valAx>
      <c:valAx>
        <c:axId val="184366976"/>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sz="1100"/>
                  <a:t>FSw</a:t>
                </a:r>
                <a:r>
                  <a:rPr lang="en-US" sz="1100" baseline="0"/>
                  <a:t> (kHz)</a:t>
                </a:r>
                <a:endParaRPr lang="en-US" sz="1100"/>
              </a:p>
            </c:rich>
          </c:tx>
          <c:layout>
            <c:manualLayout>
              <c:xMode val="edge"/>
              <c:yMode val="edge"/>
              <c:x val="1.910828025477734E-2"/>
              <c:y val="0.37298429430192825"/>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84365056"/>
        <c:crosses val="autoZero"/>
        <c:crossBetween val="midCat"/>
      </c:valAx>
      <c:spPr>
        <a:solidFill>
          <a:schemeClr val="bg1">
            <a:lumMod val="95000"/>
          </a:schemeClr>
        </a:solidFill>
        <a:ln w="12700">
          <a:solidFill>
            <a:srgbClr val="808080"/>
          </a:solidFill>
          <a:prstDash val="solid"/>
        </a:ln>
      </c:spPr>
    </c:plotArea>
    <c:legend>
      <c:legendPos val="r"/>
      <c:layout>
        <c:manualLayout>
          <c:xMode val="edge"/>
          <c:yMode val="edge"/>
          <c:x val="0.13445630576004464"/>
          <c:y val="0.14722888183191415"/>
          <c:w val="0.26461167950535469"/>
          <c:h val="0.15077691641594146"/>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0822" r="0.75000000000000822"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sz="2000"/>
              <a:t>Breakdown of COT Efficiency Losses vs. Iout</a:t>
            </a:r>
          </a:p>
        </c:rich>
      </c:tx>
      <c:layout>
        <c:manualLayout>
          <c:xMode val="edge"/>
          <c:yMode val="edge"/>
          <c:x val="0.21668095607596721"/>
          <c:y val="3.0815438913941871E-2"/>
        </c:manualLayout>
      </c:layout>
      <c:overlay val="0"/>
      <c:spPr>
        <a:noFill/>
        <a:ln w="25400">
          <a:noFill/>
        </a:ln>
      </c:spPr>
    </c:title>
    <c:autoTitleDeleted val="0"/>
    <c:plotArea>
      <c:layout>
        <c:manualLayout>
          <c:layoutTarget val="inner"/>
          <c:xMode val="edge"/>
          <c:yMode val="edge"/>
          <c:x val="0.18496430825131774"/>
          <c:y val="0.14694417652807107"/>
          <c:w val="0.46181411156941887"/>
          <c:h val="0.69570915435856628"/>
        </c:manualLayout>
      </c:layout>
      <c:areaChart>
        <c:grouping val="percentStacked"/>
        <c:varyColors val="0"/>
        <c:ser>
          <c:idx val="1"/>
          <c:order val="0"/>
          <c:tx>
            <c:strRef>
              <c:f>Parameters!$BI$5</c:f>
              <c:strCache>
                <c:ptCount val="1"/>
                <c:pt idx="0">
                  <c:v>Cin Cout ESR %</c:v>
                </c:pt>
              </c:strCache>
            </c:strRef>
          </c:tx>
          <c:spPr>
            <a:solidFill>
              <a:srgbClr val="FFFF00"/>
            </a:solidFill>
            <a:ln w="12700">
              <a:solidFill>
                <a:srgbClr val="000000"/>
              </a:solidFill>
              <a:prstDash val="solid"/>
            </a:ln>
          </c:spPr>
          <c:val>
            <c:numRef>
              <c:f>Parameters!$BI$6:$BI$106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0-1A60-478D-AA65-9BB546A2A06E}"/>
            </c:ext>
          </c:extLst>
        </c:ser>
        <c:ser>
          <c:idx val="3"/>
          <c:order val="1"/>
          <c:tx>
            <c:strRef>
              <c:f>Parameters!$BF$5</c:f>
              <c:strCache>
                <c:ptCount val="1"/>
                <c:pt idx="0">
                  <c:v>Deadtime Loss %</c:v>
                </c:pt>
              </c:strCache>
            </c:strRef>
          </c:tx>
          <c:spPr>
            <a:solidFill>
              <a:srgbClr val="666699"/>
            </a:solidFill>
            <a:ln w="12700">
              <a:solidFill>
                <a:srgbClr val="000000"/>
              </a:solidFill>
              <a:prstDash val="solid"/>
            </a:ln>
          </c:spPr>
          <c:val>
            <c:numRef>
              <c:f>Parameters!$BF$6:$BF$106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1-1A60-478D-AA65-9BB546A2A06E}"/>
            </c:ext>
          </c:extLst>
        </c:ser>
        <c:ser>
          <c:idx val="6"/>
          <c:order val="2"/>
          <c:tx>
            <c:strRef>
              <c:f>Parameters!$BA$5</c:f>
              <c:strCache>
                <c:ptCount val="1"/>
                <c:pt idx="0">
                  <c:v>High-side MOSFET Rdson %</c:v>
                </c:pt>
              </c:strCache>
            </c:strRef>
          </c:tx>
          <c:spPr>
            <a:solidFill>
              <a:srgbClr val="FF0000"/>
            </a:solidFill>
            <a:ln w="12700">
              <a:solidFill>
                <a:srgbClr val="000000"/>
              </a:solidFill>
              <a:prstDash val="solid"/>
            </a:ln>
          </c:spPr>
          <c:val>
            <c:numRef>
              <c:f>Parameters!$BA$6:$BA$106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2-1A60-478D-AA65-9BB546A2A06E}"/>
            </c:ext>
          </c:extLst>
        </c:ser>
        <c:ser>
          <c:idx val="7"/>
          <c:order val="3"/>
          <c:tx>
            <c:strRef>
              <c:f>Parameters!$BB$5</c:f>
              <c:strCache>
                <c:ptCount val="1"/>
                <c:pt idx="0">
                  <c:v>Low-side MOSFET Rdson %</c:v>
                </c:pt>
              </c:strCache>
            </c:strRef>
          </c:tx>
          <c:spPr>
            <a:solidFill>
              <a:srgbClr val="FF6600"/>
            </a:solidFill>
            <a:ln w="12700">
              <a:solidFill>
                <a:srgbClr val="000000"/>
              </a:solidFill>
              <a:prstDash val="solid"/>
            </a:ln>
          </c:spPr>
          <c:val>
            <c:numRef>
              <c:f>Parameters!$BB$6:$BB$106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3-1A60-478D-AA65-9BB546A2A06E}"/>
            </c:ext>
          </c:extLst>
        </c:ser>
        <c:ser>
          <c:idx val="4"/>
          <c:order val="4"/>
          <c:tx>
            <c:strRef>
              <c:f>Parameters!$BH$5</c:f>
              <c:strCache>
                <c:ptCount val="1"/>
                <c:pt idx="0">
                  <c:v>Inductor Core Loss %</c:v>
                </c:pt>
              </c:strCache>
            </c:strRef>
          </c:tx>
          <c:spPr>
            <a:solidFill>
              <a:srgbClr val="99CC00"/>
            </a:solidFill>
            <a:ln w="12700">
              <a:solidFill>
                <a:srgbClr val="000000"/>
              </a:solidFill>
              <a:prstDash val="solid"/>
            </a:ln>
          </c:spPr>
          <c:val>
            <c:numRef>
              <c:f>Parameters!$BH$6:$BH$106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4-1A60-478D-AA65-9BB546A2A06E}"/>
            </c:ext>
          </c:extLst>
        </c:ser>
        <c:ser>
          <c:idx val="8"/>
          <c:order val="5"/>
          <c:tx>
            <c:strRef>
              <c:f>Parameters!$BG$5</c:f>
              <c:strCache>
                <c:ptCount val="1"/>
                <c:pt idx="0">
                  <c:v>Inductor Cu Loss %</c:v>
                </c:pt>
              </c:strCache>
            </c:strRef>
          </c:tx>
          <c:spPr>
            <a:solidFill>
              <a:srgbClr val="00FF00"/>
            </a:solidFill>
            <a:ln w="12700">
              <a:solidFill>
                <a:srgbClr val="000000"/>
              </a:solidFill>
              <a:prstDash val="solid"/>
            </a:ln>
          </c:spPr>
          <c:val>
            <c:numRef>
              <c:f>Parameters!$BG$6:$BG$106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5-1A60-478D-AA65-9BB546A2A06E}"/>
            </c:ext>
          </c:extLst>
        </c:ser>
        <c:ser>
          <c:idx val="2"/>
          <c:order val="6"/>
          <c:tx>
            <c:strRef>
              <c:f>Parameters!$BC$5</c:f>
              <c:strCache>
                <c:ptCount val="1"/>
                <c:pt idx="0">
                  <c:v>Gate Drive (Qg) Loss from Vin %</c:v>
                </c:pt>
              </c:strCache>
            </c:strRef>
          </c:tx>
          <c:spPr>
            <a:solidFill>
              <a:srgbClr val="00FFFF"/>
            </a:solidFill>
            <a:ln w="12700">
              <a:solidFill>
                <a:srgbClr val="000000"/>
              </a:solidFill>
              <a:prstDash val="solid"/>
            </a:ln>
          </c:spPr>
          <c:val>
            <c:numRef>
              <c:f>Parameters!$BC$6:$BC$106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6-1A60-478D-AA65-9BB546A2A06E}"/>
            </c:ext>
          </c:extLst>
        </c:ser>
        <c:ser>
          <c:idx val="5"/>
          <c:order val="7"/>
          <c:tx>
            <c:strRef>
              <c:f>Parameters!$BD$5</c:f>
              <c:strCache>
                <c:ptCount val="1"/>
                <c:pt idx="0">
                  <c:v>High-side MOSFET Switching Loss %</c:v>
                </c:pt>
              </c:strCache>
            </c:strRef>
          </c:tx>
          <c:spPr>
            <a:solidFill>
              <a:srgbClr val="0000FF"/>
            </a:solidFill>
            <a:ln w="12700">
              <a:solidFill>
                <a:srgbClr val="000000"/>
              </a:solidFill>
              <a:prstDash val="solid"/>
            </a:ln>
          </c:spPr>
          <c:val>
            <c:numRef>
              <c:f>Parameters!$BD$6:$BD$106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7-1A60-478D-AA65-9BB546A2A06E}"/>
            </c:ext>
          </c:extLst>
        </c:ser>
        <c:ser>
          <c:idx val="10"/>
          <c:order val="8"/>
          <c:tx>
            <c:strRef>
              <c:f>Parameters!$BE$5</c:f>
              <c:strCache>
                <c:ptCount val="1"/>
                <c:pt idx="0">
                  <c:v>Reverse Recovery &amp; Leakage Loss %</c:v>
                </c:pt>
              </c:strCache>
            </c:strRef>
          </c:tx>
          <c:spPr>
            <a:solidFill>
              <a:srgbClr val="FFFF00"/>
            </a:solidFill>
            <a:ln w="12700">
              <a:solidFill>
                <a:srgbClr val="000000"/>
              </a:solidFill>
              <a:prstDash val="solid"/>
            </a:ln>
          </c:spPr>
          <c:val>
            <c:numRef>
              <c:f>Parameters!$BE$6:$BE$106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8-1A60-478D-AA65-9BB546A2A06E}"/>
            </c:ext>
          </c:extLst>
        </c:ser>
        <c:ser>
          <c:idx val="0"/>
          <c:order val="9"/>
          <c:tx>
            <c:strRef>
              <c:f>Parameters!$BJ$5</c:f>
              <c:strCache>
                <c:ptCount val="1"/>
                <c:pt idx="0">
                  <c:v>Quiescent Current Loss %</c:v>
                </c:pt>
              </c:strCache>
            </c:strRef>
          </c:tx>
          <c:val>
            <c:numRef>
              <c:f>Parameters!$BJ$6:$BJ$106</c:f>
              <c:numCache>
                <c:formatCode>0.00%</c:formatCode>
                <c:ptCount val="101"/>
                <c:pt idx="0">
                  <c:v>0</c:v>
                </c:pt>
                <c:pt idx="1">
                  <c:v>0</c:v>
                </c:pt>
                <c:pt idx="2">
                  <c:v>0</c:v>
                </c:pt>
                <c:pt idx="3">
                  <c:v>0</c:v>
                </c:pt>
                <c:pt idx="100">
                  <c:v>0</c:v>
                </c:pt>
              </c:numCache>
            </c:numRef>
          </c:val>
          <c:extLst>
            <c:ext xmlns:c16="http://schemas.microsoft.com/office/drawing/2014/chart" uri="{C3380CC4-5D6E-409C-BE32-E72D297353CC}">
              <c16:uniqueId val="{00000009-1A60-478D-AA65-9BB546A2A06E}"/>
            </c:ext>
          </c:extLst>
        </c:ser>
        <c:ser>
          <c:idx val="9"/>
          <c:order val="10"/>
          <c:tx>
            <c:strRef>
              <c:f>Parameters!$BL$5</c:f>
              <c:strCache>
                <c:ptCount val="1"/>
                <c:pt idx="0">
                  <c:v>Overall Eff %</c:v>
                </c:pt>
              </c:strCache>
            </c:strRef>
          </c:tx>
          <c:spPr>
            <a:solidFill>
              <a:srgbClr val="000000"/>
            </a:solidFill>
            <a:ln w="12700">
              <a:solidFill>
                <a:srgbClr val="000000"/>
              </a:solidFill>
              <a:prstDash val="solid"/>
            </a:ln>
          </c:spPr>
          <c:val>
            <c:numRef>
              <c:f>Parameters!$BL$6:$BL$106</c:f>
              <c:numCache>
                <c:formatCode>0.00%</c:formatCode>
                <c:ptCount val="101"/>
                <c:pt idx="0">
                  <c:v>1</c:v>
                </c:pt>
                <c:pt idx="1">
                  <c:v>1</c:v>
                </c:pt>
                <c:pt idx="2">
                  <c:v>1</c:v>
                </c:pt>
                <c:pt idx="3">
                  <c:v>1</c:v>
                </c:pt>
                <c:pt idx="100">
                  <c:v>1</c:v>
                </c:pt>
              </c:numCache>
            </c:numRef>
          </c:val>
          <c:extLst>
            <c:ext xmlns:c16="http://schemas.microsoft.com/office/drawing/2014/chart" uri="{C3380CC4-5D6E-409C-BE32-E72D297353CC}">
              <c16:uniqueId val="{0000000A-1A60-478D-AA65-9BB546A2A06E}"/>
            </c:ext>
          </c:extLst>
        </c:ser>
        <c:dLbls>
          <c:showLegendKey val="0"/>
          <c:showVal val="0"/>
          <c:showCatName val="0"/>
          <c:showSerName val="0"/>
          <c:showPercent val="0"/>
          <c:showBubbleSize val="0"/>
        </c:dLbls>
        <c:axId val="179207552"/>
        <c:axId val="179213824"/>
      </c:areaChart>
      <c:catAx>
        <c:axId val="179207552"/>
        <c:scaling>
          <c:orientation val="minMax"/>
        </c:scaling>
        <c:delete val="0"/>
        <c:axPos val="b"/>
        <c:majorGridlines>
          <c:spPr>
            <a:ln w="3175">
              <a:solidFill>
                <a:srgbClr val="000000"/>
              </a:solidFill>
              <a:prstDash val="solid"/>
            </a:ln>
          </c:spPr>
        </c:majorGridlines>
        <c:title>
          <c:tx>
            <c:rich>
              <a:bodyPr/>
              <a:lstStyle/>
              <a:p>
                <a:pPr>
                  <a:defRPr sz="1725" b="1" i="0" u="none" strike="noStrike" baseline="0">
                    <a:solidFill>
                      <a:srgbClr val="000000"/>
                    </a:solidFill>
                    <a:latin typeface="Arial"/>
                    <a:ea typeface="Arial"/>
                    <a:cs typeface="Arial"/>
                  </a:defRPr>
                </a:pPr>
                <a:r>
                  <a:rPr lang="en-US"/>
                  <a:t>I</a:t>
                </a:r>
                <a:r>
                  <a:rPr lang="en-US" baseline="-25000"/>
                  <a:t>OUT</a:t>
                </a:r>
                <a:r>
                  <a:rPr lang="en-US"/>
                  <a:t> (log)</a:t>
                </a:r>
              </a:p>
            </c:rich>
          </c:tx>
          <c:layout>
            <c:manualLayout>
              <c:xMode val="edge"/>
              <c:yMode val="edge"/>
              <c:x val="0.37238179041606823"/>
              <c:y val="0.89147900498075083"/>
            </c:manualLayout>
          </c:layout>
          <c:overlay val="0"/>
          <c:spPr>
            <a:noFill/>
            <a:ln w="25400">
              <a:noFill/>
            </a:ln>
          </c:spPr>
        </c:title>
        <c:numFmt formatCode="#,##0" sourceLinked="0"/>
        <c:majorTickMark val="out"/>
        <c:minorTickMark val="none"/>
        <c:tickLblPos val="none"/>
        <c:spPr>
          <a:ln w="3175">
            <a:solidFill>
              <a:srgbClr val="000000"/>
            </a:solidFill>
            <a:prstDash val="solid"/>
          </a:ln>
        </c:spPr>
        <c:txPr>
          <a:bodyPr rot="-5400000" vert="horz"/>
          <a:lstStyle/>
          <a:p>
            <a:pPr>
              <a:defRPr sz="1725" b="0" i="0" u="none" strike="noStrike" baseline="0">
                <a:solidFill>
                  <a:srgbClr val="000000"/>
                </a:solidFill>
                <a:latin typeface="Arial"/>
                <a:ea typeface="Arial"/>
                <a:cs typeface="Arial"/>
              </a:defRPr>
            </a:pPr>
            <a:endParaRPr lang="en-US"/>
          </a:p>
        </c:txPr>
        <c:crossAx val="179213824"/>
        <c:crosses val="autoZero"/>
        <c:auto val="1"/>
        <c:lblAlgn val="ctr"/>
        <c:lblOffset val="100"/>
        <c:tickMarkSkip val="1"/>
        <c:noMultiLvlLbl val="0"/>
      </c:catAx>
      <c:valAx>
        <c:axId val="179213824"/>
        <c:scaling>
          <c:orientation val="minMax"/>
          <c:max val="0.2"/>
          <c:min val="0"/>
        </c:scaling>
        <c:delete val="0"/>
        <c:axPos val="l"/>
        <c:majorGridlines>
          <c:spPr>
            <a:ln w="3175">
              <a:solidFill>
                <a:srgbClr val="000000"/>
              </a:solidFill>
              <a:prstDash val="solid"/>
            </a:ln>
          </c:spPr>
        </c:majorGridlines>
        <c:minorGridlines/>
        <c:title>
          <c:tx>
            <c:rich>
              <a:bodyPr/>
              <a:lstStyle/>
              <a:p>
                <a:pPr>
                  <a:defRPr sz="1725" b="1" i="0" u="none" strike="noStrike" baseline="0">
                    <a:solidFill>
                      <a:srgbClr val="000000"/>
                    </a:solidFill>
                    <a:latin typeface="Arial"/>
                    <a:ea typeface="Arial"/>
                    <a:cs typeface="Arial"/>
                  </a:defRPr>
                </a:pPr>
                <a:r>
                  <a:rPr lang="en-US"/>
                  <a:t>Efficiency (%)</a:t>
                </a:r>
              </a:p>
            </c:rich>
          </c:tx>
          <c:layout>
            <c:manualLayout>
              <c:xMode val="edge"/>
              <c:yMode val="edge"/>
              <c:x val="8.9796428919729693E-2"/>
              <c:y val="0.3456705164996208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79207552"/>
        <c:crosses val="autoZero"/>
        <c:crossBetween val="midCat"/>
        <c:majorUnit val="5.000000000000001E-2"/>
        <c:minorUnit val="2.5000000000000005E-2"/>
      </c:valAx>
      <c:spPr>
        <a:solidFill>
          <a:srgbClr val="C0C0C0"/>
        </a:solidFill>
        <a:ln w="12700">
          <a:solidFill>
            <a:srgbClr val="808080"/>
          </a:solidFill>
          <a:prstDash val="solid"/>
        </a:ln>
      </c:spPr>
    </c:plotArea>
    <c:legend>
      <c:legendPos val="r"/>
      <c:layout>
        <c:manualLayout>
          <c:xMode val="edge"/>
          <c:yMode val="edge"/>
          <c:x val="0.70666185810743165"/>
          <c:y val="9.3155590739667823E-2"/>
          <c:w val="0.26010897805044486"/>
          <c:h val="0.85864261581306134"/>
        </c:manualLayout>
      </c:layout>
      <c:overlay val="0"/>
      <c:spPr>
        <a:solidFill>
          <a:srgbClr val="FFFFFF"/>
        </a:solidFill>
        <a:ln w="3175">
          <a:solidFill>
            <a:srgbClr val="000000"/>
          </a:solidFill>
          <a:prstDash val="solid"/>
        </a:ln>
      </c:spPr>
      <c:txPr>
        <a:bodyPr/>
        <a:lstStyle/>
        <a:p>
          <a:pPr>
            <a:defRPr sz="13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Breakdown of </a:t>
            </a:r>
            <a:r>
              <a:rPr lang="en-US" sz="1800" b="1" i="0" baseline="0">
                <a:solidFill>
                  <a:srgbClr val="FF0000"/>
                </a:solidFill>
              </a:rPr>
              <a:t>COT</a:t>
            </a:r>
            <a:r>
              <a:rPr lang="en-US" sz="1800" b="1" i="0" baseline="0"/>
              <a:t> Efficiency Losses (</a:t>
            </a:r>
            <a:r>
              <a:rPr lang="en-US" sz="1800" b="1" i="0" u="none" strike="noStrike" baseline="0"/>
              <a:t>I</a:t>
            </a:r>
            <a:r>
              <a:rPr lang="en-US" sz="1800" b="1" i="0" u="none" strike="noStrike" baseline="-25000"/>
              <a:t>OUT</a:t>
            </a:r>
            <a:r>
              <a:rPr lang="en-US" sz="1800" b="1" i="0" u="none" strike="noStrike" baseline="0"/>
              <a:t> = </a:t>
            </a:r>
            <a:r>
              <a:rPr lang="en-US" sz="1800" b="1" i="0" baseline="0"/>
              <a:t>100mA)</a:t>
            </a:r>
            <a:endParaRPr lang="en-US" sz="1800"/>
          </a:p>
        </c:rich>
      </c:tx>
      <c:layout>
        <c:manualLayout>
          <c:xMode val="edge"/>
          <c:yMode val="edge"/>
          <c:x val="0.32963167587477016"/>
          <c:y val="3.5906642728904876E-2"/>
        </c:manualLayout>
      </c:layout>
      <c:overlay val="0"/>
    </c:title>
    <c:autoTitleDeleted val="0"/>
    <c:plotArea>
      <c:layout>
        <c:manualLayout>
          <c:layoutTarget val="inner"/>
          <c:xMode val="edge"/>
          <c:yMode val="edge"/>
          <c:x val="9.2844202898550721E-2"/>
          <c:y val="0.14821658962288614"/>
          <c:w val="0.89442960513913661"/>
          <c:h val="0.76382419881536368"/>
        </c:manualLayout>
      </c:layout>
      <c:barChart>
        <c:barDir val="col"/>
        <c:grouping val="clustered"/>
        <c:varyColors val="0"/>
        <c:ser>
          <c:idx val="6"/>
          <c:order val="0"/>
          <c:tx>
            <c:strRef>
              <c:f>Parameters!$BA$5</c:f>
              <c:strCache>
                <c:ptCount val="1"/>
                <c:pt idx="0">
                  <c:v>High-side MOSFET Rdson %</c:v>
                </c:pt>
              </c:strCache>
            </c:strRef>
          </c:tx>
          <c:spPr>
            <a:solidFill>
              <a:srgbClr val="FF0000"/>
            </a:solidFill>
            <a:ln w="12700">
              <a:solidFill>
                <a:srgbClr val="000000"/>
              </a:solidFill>
              <a:prstDash val="solid"/>
            </a:ln>
          </c:spPr>
          <c:invertIfNegative val="0"/>
          <c:dLbls>
            <c:dLbl>
              <c:idx val="0"/>
              <c:tx>
                <c:rich>
                  <a:bodyPr/>
                  <a:lstStyle/>
                  <a:p>
                    <a:r>
                      <a:rPr lang="en-US"/>
                      <a:t>High-side MOSFET</a:t>
                    </a:r>
                  </a:p>
                  <a:p>
                    <a:r>
                      <a:rPr lang="en-US"/>
                      <a:t>Rdson</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F03A-4421-B98F-6F84293F0361}"/>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Parameters!$BA$109</c:f>
              <c:numCache>
                <c:formatCode>0.000%</c:formatCode>
                <c:ptCount val="1"/>
                <c:pt idx="0">
                  <c:v>8.1000709018000279E-3</c:v>
                </c:pt>
              </c:numCache>
            </c:numRef>
          </c:val>
          <c:extLst>
            <c:ext xmlns:c16="http://schemas.microsoft.com/office/drawing/2014/chart" uri="{C3380CC4-5D6E-409C-BE32-E72D297353CC}">
              <c16:uniqueId val="{00000001-F03A-4421-B98F-6F84293F0361}"/>
            </c:ext>
          </c:extLst>
        </c:ser>
        <c:ser>
          <c:idx val="5"/>
          <c:order val="1"/>
          <c:tx>
            <c:strRef>
              <c:f>Parameters!$BD$5</c:f>
              <c:strCache>
                <c:ptCount val="1"/>
                <c:pt idx="0">
                  <c:v>High-side MOSFET Switching Loss %</c:v>
                </c:pt>
              </c:strCache>
            </c:strRef>
          </c:tx>
          <c:spPr>
            <a:solidFill>
              <a:srgbClr val="0000FF"/>
            </a:solidFill>
            <a:ln w="12700">
              <a:solidFill>
                <a:srgbClr val="000000"/>
              </a:solidFill>
              <a:prstDash val="solid"/>
            </a:ln>
          </c:spPr>
          <c:invertIfNegative val="0"/>
          <c:dLbls>
            <c:dLbl>
              <c:idx val="0"/>
              <c:layout>
                <c:manualLayout>
                  <c:x val="-9.2081031307550637E-4"/>
                  <c:y val="-7.1813285457809741E-3"/>
                </c:manualLayout>
              </c:layout>
              <c:tx>
                <c:rich>
                  <a:bodyPr/>
                  <a:lstStyle/>
                  <a:p>
                    <a:r>
                      <a:rPr lang="en-US"/>
                      <a:t>High-side MOSFET</a:t>
                    </a:r>
                  </a:p>
                  <a:p>
                    <a:r>
                      <a:rPr lang="en-US"/>
                      <a:t>Switching</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F03A-4421-B98F-6F84293F0361}"/>
                </c:ext>
              </c:extLst>
            </c:dLbl>
            <c:spPr>
              <a:noFill/>
              <a:ln>
                <a:noFill/>
              </a:ln>
              <a:effectLst/>
            </c:spPr>
            <c:txPr>
              <a:bodyPr/>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Parameters!$BD$109</c:f>
              <c:numCache>
                <c:formatCode>0.000%</c:formatCode>
                <c:ptCount val="1"/>
                <c:pt idx="0">
                  <c:v>9.9057039827182662E-3</c:v>
                </c:pt>
              </c:numCache>
            </c:numRef>
          </c:val>
          <c:extLst>
            <c:ext xmlns:c16="http://schemas.microsoft.com/office/drawing/2014/chart" uri="{C3380CC4-5D6E-409C-BE32-E72D297353CC}">
              <c16:uniqueId val="{00000003-F03A-4421-B98F-6F84293F0361}"/>
            </c:ext>
          </c:extLst>
        </c:ser>
        <c:ser>
          <c:idx val="7"/>
          <c:order val="2"/>
          <c:tx>
            <c:strRef>
              <c:f>Parameters!$BB$5</c:f>
              <c:strCache>
                <c:ptCount val="1"/>
                <c:pt idx="0">
                  <c:v>Low-side MOSFET Rdson %</c:v>
                </c:pt>
              </c:strCache>
            </c:strRef>
          </c:tx>
          <c:spPr>
            <a:solidFill>
              <a:srgbClr val="FF6600"/>
            </a:solidFill>
            <a:ln w="12700">
              <a:solidFill>
                <a:srgbClr val="000000"/>
              </a:solidFill>
              <a:prstDash val="solid"/>
            </a:ln>
          </c:spPr>
          <c:invertIfNegative val="0"/>
          <c:dLbls>
            <c:dLbl>
              <c:idx val="0"/>
              <c:tx>
                <c:rich>
                  <a:bodyPr/>
                  <a:lstStyle/>
                  <a:p>
                    <a:r>
                      <a:rPr lang="en-US" sz="1200" b="1"/>
                      <a:t>L</a:t>
                    </a:r>
                    <a:r>
                      <a:rPr lang="en-US" sz="1200"/>
                      <a:t>ow-side MOSFET</a:t>
                    </a:r>
                  </a:p>
                  <a:p>
                    <a:r>
                      <a:rPr lang="en-US" sz="1200"/>
                      <a:t>Rdson</a:t>
                    </a:r>
                  </a:p>
                </c:rich>
              </c:tx>
              <c:dLblPos val="outEnd"/>
              <c:showLegendKey val="0"/>
              <c:showVal val="1"/>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F03A-4421-B98F-6F84293F0361}"/>
                </c:ext>
              </c:extLst>
            </c:dLbl>
            <c:spPr>
              <a:noFill/>
              <a:ln>
                <a:noFill/>
              </a:ln>
              <a:effectLst/>
            </c:spPr>
            <c:txPr>
              <a:bodyPr/>
              <a:lstStyle/>
              <a:p>
                <a:pPr>
                  <a:defRPr b="1"/>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val>
            <c:numRef>
              <c:f>Parameters!$BB$109</c:f>
              <c:numCache>
                <c:formatCode>0.000%</c:formatCode>
                <c:ptCount val="1"/>
                <c:pt idx="0">
                  <c:v>1.4614802049391215E-2</c:v>
                </c:pt>
              </c:numCache>
            </c:numRef>
          </c:val>
          <c:extLst>
            <c:ext xmlns:c16="http://schemas.microsoft.com/office/drawing/2014/chart" uri="{C3380CC4-5D6E-409C-BE32-E72D297353CC}">
              <c16:uniqueId val="{00000005-F03A-4421-B98F-6F84293F0361}"/>
            </c:ext>
          </c:extLst>
        </c:ser>
        <c:ser>
          <c:idx val="3"/>
          <c:order val="3"/>
          <c:tx>
            <c:strRef>
              <c:f>Parameters!$BF$5</c:f>
              <c:strCache>
                <c:ptCount val="1"/>
                <c:pt idx="0">
                  <c:v>Deadtime Loss %</c:v>
                </c:pt>
              </c:strCache>
            </c:strRef>
          </c:tx>
          <c:spPr>
            <a:solidFill>
              <a:srgbClr val="666699"/>
            </a:solidFill>
            <a:ln w="12700">
              <a:solidFill>
                <a:srgbClr val="000000"/>
              </a:solidFill>
              <a:prstDash val="solid"/>
            </a:ln>
          </c:spPr>
          <c:invertIfNegative val="0"/>
          <c:dLbls>
            <c:dLbl>
              <c:idx val="0"/>
              <c:layout>
                <c:manualLayout>
                  <c:x val="0"/>
                  <c:y val="-9.5751047277079695E-3"/>
                </c:manualLayout>
              </c:layout>
              <c:tx>
                <c:rich>
                  <a:bodyPr/>
                  <a:lstStyle/>
                  <a:p>
                    <a:r>
                      <a:rPr lang="en-US"/>
                      <a:t>Low-side MOSFET</a:t>
                    </a:r>
                  </a:p>
                  <a:p>
                    <a:r>
                      <a:rPr lang="en-US"/>
                      <a:t>Deadtime </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F03A-4421-B98F-6F84293F0361}"/>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Parameters!$BF$109</c:f>
              <c:numCache>
                <c:formatCode>0.000%</c:formatCode>
                <c:ptCount val="1"/>
                <c:pt idx="0">
                  <c:v>1.6465542803473395E-3</c:v>
                </c:pt>
              </c:numCache>
            </c:numRef>
          </c:val>
          <c:extLst>
            <c:ext xmlns:c16="http://schemas.microsoft.com/office/drawing/2014/chart" uri="{C3380CC4-5D6E-409C-BE32-E72D297353CC}">
              <c16:uniqueId val="{00000007-F03A-4421-B98F-6F84293F0361}"/>
            </c:ext>
          </c:extLst>
        </c:ser>
        <c:ser>
          <c:idx val="2"/>
          <c:order val="4"/>
          <c:tx>
            <c:strRef>
              <c:f>Parameters!$BC$5</c:f>
              <c:strCache>
                <c:ptCount val="1"/>
                <c:pt idx="0">
                  <c:v>Gate Drive (Qg) Loss from Vin %</c:v>
                </c:pt>
              </c:strCache>
            </c:strRef>
          </c:tx>
          <c:spPr>
            <a:solidFill>
              <a:srgbClr val="00FFFF"/>
            </a:solidFill>
            <a:ln w="12700">
              <a:solidFill>
                <a:srgbClr val="000000"/>
              </a:solidFill>
              <a:prstDash val="solid"/>
            </a:ln>
          </c:spPr>
          <c:invertIfNegative val="0"/>
          <c:dLbls>
            <c:dLbl>
              <c:idx val="0"/>
              <c:tx>
                <c:rich>
                  <a:bodyPr/>
                  <a:lstStyle/>
                  <a:p>
                    <a:r>
                      <a:rPr lang="en-US"/>
                      <a:t>Gate Drive (Qg)</a:t>
                    </a:r>
                  </a:p>
                  <a:p>
                    <a:r>
                      <a:rPr lang="en-US"/>
                      <a:t>Loss</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F03A-4421-B98F-6F84293F0361}"/>
                </c:ext>
              </c:extLst>
            </c:dLbl>
            <c:spPr>
              <a:noFill/>
              <a:ln>
                <a:noFill/>
              </a:ln>
              <a:effectLst/>
            </c:spPr>
            <c:txPr>
              <a:bodyPr rot="0" vert="horz"/>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Parameters!$BC$109</c:f>
              <c:numCache>
                <c:formatCode>0.000%</c:formatCode>
                <c:ptCount val="1"/>
                <c:pt idx="0">
                  <c:v>2.4831534664325892E-2</c:v>
                </c:pt>
              </c:numCache>
            </c:numRef>
          </c:val>
          <c:extLst>
            <c:ext xmlns:c16="http://schemas.microsoft.com/office/drawing/2014/chart" uri="{C3380CC4-5D6E-409C-BE32-E72D297353CC}">
              <c16:uniqueId val="{00000009-F03A-4421-B98F-6F84293F0361}"/>
            </c:ext>
          </c:extLst>
        </c:ser>
        <c:ser>
          <c:idx val="1"/>
          <c:order val="5"/>
          <c:tx>
            <c:strRef>
              <c:f>Parameters!$BE$5</c:f>
              <c:strCache>
                <c:ptCount val="1"/>
                <c:pt idx="0">
                  <c:v>Reverse Recovery &amp; Leakage Loss %</c:v>
                </c:pt>
              </c:strCache>
            </c:strRef>
          </c:tx>
          <c:invertIfNegative val="0"/>
          <c:dLbls>
            <c:dLbl>
              <c:idx val="0"/>
              <c:tx>
                <c:rich>
                  <a:bodyPr/>
                  <a:lstStyle/>
                  <a:p>
                    <a:r>
                      <a:rPr lang="en-US" sz="1200" b="1"/>
                      <a:t>Reverse Recovery</a:t>
                    </a:r>
                  </a:p>
                  <a:p>
                    <a:r>
                      <a:rPr lang="en-US" sz="1200" b="1"/>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F03A-4421-B98F-6F84293F0361}"/>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Parameters!$BE$109</c:f>
              <c:numCache>
                <c:formatCode>0.000%</c:formatCode>
                <c:ptCount val="1"/>
                <c:pt idx="0">
                  <c:v>1.1631608311305648E-2</c:v>
                </c:pt>
              </c:numCache>
            </c:numRef>
          </c:val>
          <c:extLst>
            <c:ext xmlns:c16="http://schemas.microsoft.com/office/drawing/2014/chart" uri="{C3380CC4-5D6E-409C-BE32-E72D297353CC}">
              <c16:uniqueId val="{0000000B-F03A-4421-B98F-6F84293F0361}"/>
            </c:ext>
          </c:extLst>
        </c:ser>
        <c:ser>
          <c:idx val="8"/>
          <c:order val="6"/>
          <c:tx>
            <c:strRef>
              <c:f>Parameters!$BG$5</c:f>
              <c:strCache>
                <c:ptCount val="1"/>
                <c:pt idx="0">
                  <c:v>Inductor Cu Loss %</c:v>
                </c:pt>
              </c:strCache>
            </c:strRef>
          </c:tx>
          <c:spPr>
            <a:solidFill>
              <a:srgbClr val="00FF00"/>
            </a:solidFill>
            <a:ln w="12700">
              <a:solidFill>
                <a:srgbClr val="000000"/>
              </a:solidFill>
              <a:prstDash val="solid"/>
            </a:ln>
          </c:spPr>
          <c:invertIfNegative val="0"/>
          <c:dLbls>
            <c:dLbl>
              <c:idx val="0"/>
              <c:tx>
                <c:rich>
                  <a:bodyPr/>
                  <a:lstStyle/>
                  <a:p>
                    <a:r>
                      <a:rPr lang="en-US"/>
                      <a:t>Inductor DCR</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F03A-4421-B98F-6F84293F0361}"/>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Parameters!$BG$109</c:f>
              <c:numCache>
                <c:formatCode>0.000%</c:formatCode>
                <c:ptCount val="1"/>
                <c:pt idx="0">
                  <c:v>1.6051760250250457E-2</c:v>
                </c:pt>
              </c:numCache>
            </c:numRef>
          </c:val>
          <c:extLst>
            <c:ext xmlns:c16="http://schemas.microsoft.com/office/drawing/2014/chart" uri="{C3380CC4-5D6E-409C-BE32-E72D297353CC}">
              <c16:uniqueId val="{0000000D-F03A-4421-B98F-6F84293F0361}"/>
            </c:ext>
          </c:extLst>
        </c:ser>
        <c:ser>
          <c:idx val="4"/>
          <c:order val="7"/>
          <c:tx>
            <c:strRef>
              <c:f>Parameters!$BH$5</c:f>
              <c:strCache>
                <c:ptCount val="1"/>
                <c:pt idx="0">
                  <c:v>Inductor Core Loss %</c:v>
                </c:pt>
              </c:strCache>
            </c:strRef>
          </c:tx>
          <c:spPr>
            <a:solidFill>
              <a:srgbClr val="99CC00"/>
            </a:solidFill>
            <a:ln w="12700">
              <a:solidFill>
                <a:srgbClr val="000000"/>
              </a:solidFill>
              <a:prstDash val="solid"/>
            </a:ln>
          </c:spPr>
          <c:invertIfNegative val="0"/>
          <c:dLbls>
            <c:dLbl>
              <c:idx val="0"/>
              <c:tx>
                <c:rich>
                  <a:bodyPr/>
                  <a:lstStyle/>
                  <a:p>
                    <a:r>
                      <a:rPr lang="en-US"/>
                      <a:t>Inductor Core</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F03A-4421-B98F-6F84293F0361}"/>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Parameters!$BH$109</c:f>
              <c:numCache>
                <c:formatCode>0.000%</c:formatCode>
                <c:ptCount val="1"/>
                <c:pt idx="0">
                  <c:v>6.8152413568584669E-3</c:v>
                </c:pt>
              </c:numCache>
            </c:numRef>
          </c:val>
          <c:extLst>
            <c:ext xmlns:c16="http://schemas.microsoft.com/office/drawing/2014/chart" uri="{C3380CC4-5D6E-409C-BE32-E72D297353CC}">
              <c16:uniqueId val="{0000000F-F03A-4421-B98F-6F84293F0361}"/>
            </c:ext>
          </c:extLst>
        </c:ser>
        <c:ser>
          <c:idx val="0"/>
          <c:order val="8"/>
          <c:tx>
            <c:strRef>
              <c:f>Parameters!$BJ$5</c:f>
              <c:strCache>
                <c:ptCount val="1"/>
                <c:pt idx="0">
                  <c:v>Quiescent Current Loss %</c:v>
                </c:pt>
              </c:strCache>
            </c:strRef>
          </c:tx>
          <c:invertIfNegative val="0"/>
          <c:dLbls>
            <c:dLbl>
              <c:idx val="0"/>
              <c:tx>
                <c:rich>
                  <a:bodyPr/>
                  <a:lstStyle/>
                  <a:p>
                    <a:r>
                      <a:rPr lang="en-US"/>
                      <a:t>Quiescent Current</a:t>
                    </a:r>
                  </a:p>
                  <a:p>
                    <a:r>
                      <a:rPr lang="en-US"/>
                      <a:t>Loss </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F03A-4421-B98F-6F84293F0361}"/>
                </c:ext>
              </c:extLst>
            </c:dLbl>
            <c:numFmt formatCode="0.0E+00" sourceLinked="0"/>
            <c:spPr>
              <a:noFill/>
            </c:spPr>
            <c:txPr>
              <a:bodyPr rot="0" vert="horz" anchor="ctr" anchorCtr="0"/>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Parameters!$BJ$109</c:f>
              <c:numCache>
                <c:formatCode>0.000%</c:formatCode>
                <c:ptCount val="1"/>
                <c:pt idx="0">
                  <c:v>1.2837829865088564E-2</c:v>
                </c:pt>
              </c:numCache>
            </c:numRef>
          </c:val>
          <c:extLst>
            <c:ext xmlns:c16="http://schemas.microsoft.com/office/drawing/2014/chart" uri="{C3380CC4-5D6E-409C-BE32-E72D297353CC}">
              <c16:uniqueId val="{00000011-F03A-4421-B98F-6F84293F0361}"/>
            </c:ext>
          </c:extLst>
        </c:ser>
        <c:dLbls>
          <c:showLegendKey val="0"/>
          <c:showVal val="0"/>
          <c:showCatName val="0"/>
          <c:showSerName val="0"/>
          <c:showPercent val="0"/>
          <c:showBubbleSize val="0"/>
        </c:dLbls>
        <c:gapWidth val="101"/>
        <c:overlap val="-70"/>
        <c:axId val="179331840"/>
        <c:axId val="179333376"/>
      </c:barChart>
      <c:catAx>
        <c:axId val="179331840"/>
        <c:scaling>
          <c:orientation val="minMax"/>
        </c:scaling>
        <c:delete val="0"/>
        <c:axPos val="b"/>
        <c:numFmt formatCode="General" sourceLinked="1"/>
        <c:majorTickMark val="none"/>
        <c:minorTickMark val="none"/>
        <c:tickLblPos val="none"/>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79333376"/>
        <c:crossesAt val="0"/>
        <c:auto val="1"/>
        <c:lblAlgn val="ctr"/>
        <c:lblOffset val="100"/>
        <c:noMultiLvlLbl val="0"/>
      </c:catAx>
      <c:valAx>
        <c:axId val="179333376"/>
        <c:scaling>
          <c:orientation val="minMax"/>
          <c:min val="0"/>
        </c:scaling>
        <c:delete val="0"/>
        <c:axPos val="l"/>
        <c:majorGridlines>
          <c:spPr>
            <a:ln>
              <a:prstDash val="lgDash"/>
            </a:ln>
          </c:spPr>
        </c:majorGridlines>
        <c:title>
          <c:tx>
            <c:rich>
              <a:bodyPr/>
              <a:lstStyle/>
              <a:p>
                <a:pPr>
                  <a:defRPr b="1"/>
                </a:pPr>
                <a:r>
                  <a:rPr lang="en-US" b="1"/>
                  <a:t>Loss</a:t>
                </a:r>
                <a:r>
                  <a:rPr lang="en-US" b="1" baseline="0"/>
                  <a:t> Contributors</a:t>
                </a:r>
                <a:endParaRPr lang="en-US" b="1"/>
              </a:p>
            </c:rich>
          </c:tx>
          <c:layout>
            <c:manualLayout>
              <c:xMode val="edge"/>
              <c:yMode val="edge"/>
              <c:x val="9.9337306593581982E-3"/>
              <c:y val="0.30210944457795558"/>
            </c:manualLayout>
          </c:layout>
          <c:overlay val="0"/>
        </c:title>
        <c:numFmt formatCode="0.0%" sourceLinked="0"/>
        <c:majorTickMark val="out"/>
        <c:minorTickMark val="out"/>
        <c:tickLblPos val="low"/>
        <c:crossAx val="179331840"/>
        <c:crosses val="autoZero"/>
        <c:crossBetween val="between"/>
        <c:majorUnit val="5.0000000000000036E-3"/>
      </c:valAx>
      <c:spPr>
        <a:solidFill>
          <a:schemeClr val="bg1">
            <a:lumMod val="95000"/>
          </a:schemeClr>
        </a:solidFill>
        <a:ln w="25400">
          <a:noFill/>
        </a:ln>
      </c:spPr>
    </c:plotArea>
    <c:plotVisOnly val="1"/>
    <c:dispBlanksAs val="zero"/>
    <c:showDLblsOverMax val="0"/>
  </c:chart>
  <c:spPr>
    <a:solidFill>
      <a:srgbClr val="FFFFFF"/>
    </a:solidFill>
    <a:ln w="3175">
      <a:no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sz="2000"/>
              <a:t>Breakdown of COT Efficiency Losses vs. Iout</a:t>
            </a:r>
          </a:p>
        </c:rich>
      </c:tx>
      <c:layout>
        <c:manualLayout>
          <c:xMode val="edge"/>
          <c:yMode val="edge"/>
          <c:x val="0.19265692406240287"/>
          <c:y val="3.081543250743031E-2"/>
        </c:manualLayout>
      </c:layout>
      <c:overlay val="0"/>
      <c:spPr>
        <a:noFill/>
        <a:ln w="25400">
          <a:noFill/>
        </a:ln>
      </c:spPr>
    </c:title>
    <c:autoTitleDeleted val="0"/>
    <c:plotArea>
      <c:layout>
        <c:manualLayout>
          <c:layoutTarget val="inner"/>
          <c:xMode val="edge"/>
          <c:yMode val="edge"/>
          <c:x val="0.18496430825131774"/>
          <c:y val="0.14694417652807107"/>
          <c:w val="0.46181411156941887"/>
          <c:h val="0.69570915435856628"/>
        </c:manualLayout>
      </c:layout>
      <c:areaChart>
        <c:grouping val="percentStacked"/>
        <c:varyColors val="0"/>
        <c:ser>
          <c:idx val="1"/>
          <c:order val="0"/>
          <c:tx>
            <c:strRef>
              <c:f>Parameters!$BI$5</c:f>
              <c:strCache>
                <c:ptCount val="1"/>
                <c:pt idx="0">
                  <c:v>Cin Cout ESR %</c:v>
                </c:pt>
              </c:strCache>
            </c:strRef>
          </c:tx>
          <c:spPr>
            <a:solidFill>
              <a:srgbClr val="FFFF00"/>
            </a:solidFill>
            <a:ln w="12700">
              <a:solidFill>
                <a:srgbClr val="000000"/>
              </a:solidFill>
              <a:prstDash val="solid"/>
            </a:ln>
          </c:spPr>
          <c:val>
            <c:numRef>
              <c:f>Parameters!$BI$6:$BI$106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0-0775-44E5-B557-2663786532FE}"/>
            </c:ext>
          </c:extLst>
        </c:ser>
        <c:ser>
          <c:idx val="3"/>
          <c:order val="1"/>
          <c:tx>
            <c:strRef>
              <c:f>Parameters!$BF$5</c:f>
              <c:strCache>
                <c:ptCount val="1"/>
                <c:pt idx="0">
                  <c:v>Deadtime Loss %</c:v>
                </c:pt>
              </c:strCache>
            </c:strRef>
          </c:tx>
          <c:spPr>
            <a:solidFill>
              <a:srgbClr val="666699"/>
            </a:solidFill>
            <a:ln w="12700">
              <a:solidFill>
                <a:srgbClr val="000000"/>
              </a:solidFill>
              <a:prstDash val="solid"/>
            </a:ln>
          </c:spPr>
          <c:val>
            <c:numRef>
              <c:f>Parameters!$BF$6:$BF$106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1-0775-44E5-B557-2663786532FE}"/>
            </c:ext>
          </c:extLst>
        </c:ser>
        <c:ser>
          <c:idx val="6"/>
          <c:order val="2"/>
          <c:tx>
            <c:strRef>
              <c:f>Parameters!$BA$5</c:f>
              <c:strCache>
                <c:ptCount val="1"/>
                <c:pt idx="0">
                  <c:v>High-side MOSFET Rdson %</c:v>
                </c:pt>
              </c:strCache>
            </c:strRef>
          </c:tx>
          <c:spPr>
            <a:solidFill>
              <a:srgbClr val="FF0000"/>
            </a:solidFill>
            <a:ln w="12700">
              <a:solidFill>
                <a:srgbClr val="000000"/>
              </a:solidFill>
              <a:prstDash val="solid"/>
            </a:ln>
          </c:spPr>
          <c:val>
            <c:numRef>
              <c:f>Parameters!$BA$6:$BA$106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2-0775-44E5-B557-2663786532FE}"/>
            </c:ext>
          </c:extLst>
        </c:ser>
        <c:ser>
          <c:idx val="7"/>
          <c:order val="3"/>
          <c:tx>
            <c:strRef>
              <c:f>Parameters!$BB$5</c:f>
              <c:strCache>
                <c:ptCount val="1"/>
                <c:pt idx="0">
                  <c:v>Low-side MOSFET Rdson %</c:v>
                </c:pt>
              </c:strCache>
            </c:strRef>
          </c:tx>
          <c:spPr>
            <a:solidFill>
              <a:srgbClr val="FF6600"/>
            </a:solidFill>
            <a:ln w="12700">
              <a:solidFill>
                <a:srgbClr val="000000"/>
              </a:solidFill>
              <a:prstDash val="solid"/>
            </a:ln>
          </c:spPr>
          <c:val>
            <c:numRef>
              <c:f>Parameters!$BB$6:$BB$106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3-0775-44E5-B557-2663786532FE}"/>
            </c:ext>
          </c:extLst>
        </c:ser>
        <c:ser>
          <c:idx val="4"/>
          <c:order val="4"/>
          <c:tx>
            <c:strRef>
              <c:f>Parameters!$BH$5</c:f>
              <c:strCache>
                <c:ptCount val="1"/>
                <c:pt idx="0">
                  <c:v>Inductor Core Loss %</c:v>
                </c:pt>
              </c:strCache>
            </c:strRef>
          </c:tx>
          <c:spPr>
            <a:solidFill>
              <a:srgbClr val="99CC00"/>
            </a:solidFill>
            <a:ln w="12700">
              <a:solidFill>
                <a:srgbClr val="000000"/>
              </a:solidFill>
              <a:prstDash val="solid"/>
            </a:ln>
          </c:spPr>
          <c:val>
            <c:numRef>
              <c:f>Parameters!$BH$6:$BH$106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4-0775-44E5-B557-2663786532FE}"/>
            </c:ext>
          </c:extLst>
        </c:ser>
        <c:ser>
          <c:idx val="8"/>
          <c:order val="5"/>
          <c:tx>
            <c:strRef>
              <c:f>Parameters!$BG$5</c:f>
              <c:strCache>
                <c:ptCount val="1"/>
                <c:pt idx="0">
                  <c:v>Inductor Cu Loss %</c:v>
                </c:pt>
              </c:strCache>
            </c:strRef>
          </c:tx>
          <c:spPr>
            <a:solidFill>
              <a:srgbClr val="00FF00"/>
            </a:solidFill>
            <a:ln w="12700">
              <a:solidFill>
                <a:srgbClr val="000000"/>
              </a:solidFill>
              <a:prstDash val="solid"/>
            </a:ln>
          </c:spPr>
          <c:val>
            <c:numRef>
              <c:f>Parameters!$BG$6:$BG$106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5-0775-44E5-B557-2663786532FE}"/>
            </c:ext>
          </c:extLst>
        </c:ser>
        <c:ser>
          <c:idx val="2"/>
          <c:order val="6"/>
          <c:tx>
            <c:strRef>
              <c:f>Parameters!$BC$5</c:f>
              <c:strCache>
                <c:ptCount val="1"/>
                <c:pt idx="0">
                  <c:v>Gate Drive (Qg) Loss from Vin %</c:v>
                </c:pt>
              </c:strCache>
            </c:strRef>
          </c:tx>
          <c:spPr>
            <a:solidFill>
              <a:srgbClr val="00FFFF"/>
            </a:solidFill>
            <a:ln w="12700">
              <a:solidFill>
                <a:srgbClr val="000000"/>
              </a:solidFill>
              <a:prstDash val="solid"/>
            </a:ln>
          </c:spPr>
          <c:val>
            <c:numRef>
              <c:f>Parameters!$BC$6:$BC$106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6-0775-44E5-B557-2663786532FE}"/>
            </c:ext>
          </c:extLst>
        </c:ser>
        <c:ser>
          <c:idx val="5"/>
          <c:order val="7"/>
          <c:tx>
            <c:strRef>
              <c:f>Parameters!$BD$5</c:f>
              <c:strCache>
                <c:ptCount val="1"/>
                <c:pt idx="0">
                  <c:v>High-side MOSFET Switching Loss %</c:v>
                </c:pt>
              </c:strCache>
            </c:strRef>
          </c:tx>
          <c:spPr>
            <a:solidFill>
              <a:srgbClr val="0000FF"/>
            </a:solidFill>
            <a:ln w="12700">
              <a:solidFill>
                <a:srgbClr val="000000"/>
              </a:solidFill>
              <a:prstDash val="solid"/>
            </a:ln>
          </c:spPr>
          <c:val>
            <c:numRef>
              <c:f>Parameters!$BD$6:$BD$106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7-0775-44E5-B557-2663786532FE}"/>
            </c:ext>
          </c:extLst>
        </c:ser>
        <c:ser>
          <c:idx val="10"/>
          <c:order val="8"/>
          <c:tx>
            <c:strRef>
              <c:f>Parameters!$BE$5</c:f>
              <c:strCache>
                <c:ptCount val="1"/>
                <c:pt idx="0">
                  <c:v>Reverse Recovery &amp; Leakage Loss %</c:v>
                </c:pt>
              </c:strCache>
            </c:strRef>
          </c:tx>
          <c:spPr>
            <a:solidFill>
              <a:srgbClr val="FFFF00"/>
            </a:solidFill>
            <a:ln w="12700">
              <a:solidFill>
                <a:srgbClr val="000000"/>
              </a:solidFill>
              <a:prstDash val="solid"/>
            </a:ln>
          </c:spPr>
          <c:val>
            <c:numRef>
              <c:f>Parameters!$BE$6:$BE$106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8-0775-44E5-B557-2663786532FE}"/>
            </c:ext>
          </c:extLst>
        </c:ser>
        <c:ser>
          <c:idx val="0"/>
          <c:order val="9"/>
          <c:tx>
            <c:strRef>
              <c:f>Parameters!$BJ$5</c:f>
              <c:strCache>
                <c:ptCount val="1"/>
                <c:pt idx="0">
                  <c:v>Quiescent Current Loss %</c:v>
                </c:pt>
              </c:strCache>
            </c:strRef>
          </c:tx>
          <c:val>
            <c:numRef>
              <c:f>Parameters!$BJ$6:$BJ$106</c:f>
              <c:numCache>
                <c:formatCode>0.00%</c:formatCode>
                <c:ptCount val="101"/>
                <c:pt idx="0">
                  <c:v>0</c:v>
                </c:pt>
                <c:pt idx="1">
                  <c:v>0</c:v>
                </c:pt>
                <c:pt idx="2">
                  <c:v>0</c:v>
                </c:pt>
                <c:pt idx="3">
                  <c:v>0</c:v>
                </c:pt>
                <c:pt idx="100">
                  <c:v>0</c:v>
                </c:pt>
              </c:numCache>
            </c:numRef>
          </c:val>
          <c:extLst>
            <c:ext xmlns:c16="http://schemas.microsoft.com/office/drawing/2014/chart" uri="{C3380CC4-5D6E-409C-BE32-E72D297353CC}">
              <c16:uniqueId val="{00000009-0775-44E5-B557-2663786532FE}"/>
            </c:ext>
          </c:extLst>
        </c:ser>
        <c:ser>
          <c:idx val="9"/>
          <c:order val="10"/>
          <c:tx>
            <c:strRef>
              <c:f>Parameters!$BL$5</c:f>
              <c:strCache>
                <c:ptCount val="1"/>
                <c:pt idx="0">
                  <c:v>Overall Eff %</c:v>
                </c:pt>
              </c:strCache>
            </c:strRef>
          </c:tx>
          <c:spPr>
            <a:solidFill>
              <a:srgbClr val="000000"/>
            </a:solidFill>
            <a:ln w="12700">
              <a:solidFill>
                <a:srgbClr val="000000"/>
              </a:solidFill>
              <a:prstDash val="solid"/>
            </a:ln>
          </c:spPr>
          <c:val>
            <c:numRef>
              <c:f>Parameters!$BL$6:$BL$106</c:f>
              <c:numCache>
                <c:formatCode>0.00%</c:formatCode>
                <c:ptCount val="101"/>
                <c:pt idx="0">
                  <c:v>1</c:v>
                </c:pt>
                <c:pt idx="1">
                  <c:v>1</c:v>
                </c:pt>
                <c:pt idx="2">
                  <c:v>1</c:v>
                </c:pt>
                <c:pt idx="3">
                  <c:v>1</c:v>
                </c:pt>
                <c:pt idx="100">
                  <c:v>1</c:v>
                </c:pt>
              </c:numCache>
            </c:numRef>
          </c:val>
          <c:extLst>
            <c:ext xmlns:c16="http://schemas.microsoft.com/office/drawing/2014/chart" uri="{C3380CC4-5D6E-409C-BE32-E72D297353CC}">
              <c16:uniqueId val="{0000000A-0775-44E5-B557-2663786532FE}"/>
            </c:ext>
          </c:extLst>
        </c:ser>
        <c:dLbls>
          <c:showLegendKey val="0"/>
          <c:showVal val="0"/>
          <c:showCatName val="0"/>
          <c:showSerName val="0"/>
          <c:showPercent val="0"/>
          <c:showBubbleSize val="0"/>
        </c:dLbls>
        <c:axId val="185112832"/>
        <c:axId val="185123200"/>
      </c:areaChart>
      <c:catAx>
        <c:axId val="185112832"/>
        <c:scaling>
          <c:orientation val="minMax"/>
        </c:scaling>
        <c:delete val="0"/>
        <c:axPos val="b"/>
        <c:majorGridlines>
          <c:spPr>
            <a:ln w="3175">
              <a:solidFill>
                <a:srgbClr val="000000"/>
              </a:solidFill>
              <a:prstDash val="solid"/>
            </a:ln>
          </c:spPr>
        </c:majorGridlines>
        <c:title>
          <c:tx>
            <c:rich>
              <a:bodyPr/>
              <a:lstStyle/>
              <a:p>
                <a:pPr>
                  <a:defRPr sz="1725" b="1" i="0" u="none" strike="noStrike" baseline="0">
                    <a:solidFill>
                      <a:srgbClr val="000000"/>
                    </a:solidFill>
                    <a:latin typeface="Arial"/>
                    <a:ea typeface="Arial"/>
                    <a:cs typeface="Arial"/>
                  </a:defRPr>
                </a:pPr>
                <a:r>
                  <a:rPr lang="en-US"/>
                  <a:t>I</a:t>
                </a:r>
                <a:r>
                  <a:rPr lang="en-US" baseline="-25000"/>
                  <a:t>OUT</a:t>
                </a:r>
                <a:r>
                  <a:rPr lang="en-US"/>
                  <a:t> (log scale)</a:t>
                </a:r>
              </a:p>
            </c:rich>
          </c:tx>
          <c:layout>
            <c:manualLayout>
              <c:xMode val="edge"/>
              <c:yMode val="edge"/>
              <c:x val="0.36670200647119611"/>
              <c:y val="0.89150460843557344"/>
            </c:manualLayout>
          </c:layout>
          <c:overlay val="0"/>
          <c:spPr>
            <a:noFill/>
            <a:ln w="25400">
              <a:noFill/>
            </a:ln>
          </c:spPr>
        </c:title>
        <c:numFmt formatCode="#,##0" sourceLinked="0"/>
        <c:majorTickMark val="out"/>
        <c:minorTickMark val="none"/>
        <c:tickLblPos val="none"/>
        <c:spPr>
          <a:ln w="3175">
            <a:solidFill>
              <a:srgbClr val="000000"/>
            </a:solidFill>
            <a:prstDash val="solid"/>
          </a:ln>
        </c:spPr>
        <c:txPr>
          <a:bodyPr rot="-5400000" vert="horz"/>
          <a:lstStyle/>
          <a:p>
            <a:pPr>
              <a:defRPr sz="1725" b="0" i="0" u="none" strike="noStrike" baseline="0">
                <a:solidFill>
                  <a:srgbClr val="000000"/>
                </a:solidFill>
                <a:latin typeface="Arial"/>
                <a:ea typeface="Arial"/>
                <a:cs typeface="Arial"/>
              </a:defRPr>
            </a:pPr>
            <a:endParaRPr lang="en-US"/>
          </a:p>
        </c:txPr>
        <c:crossAx val="185123200"/>
        <c:crosses val="autoZero"/>
        <c:auto val="1"/>
        <c:lblAlgn val="ctr"/>
        <c:lblOffset val="100"/>
        <c:tickMarkSkip val="1"/>
        <c:noMultiLvlLbl val="0"/>
      </c:catAx>
      <c:valAx>
        <c:axId val="185123200"/>
        <c:scaling>
          <c:orientation val="minMax"/>
          <c:max val="0.2"/>
          <c:min val="0"/>
        </c:scaling>
        <c:delete val="0"/>
        <c:axPos val="l"/>
        <c:majorGridlines>
          <c:spPr>
            <a:ln w="3175">
              <a:solidFill>
                <a:srgbClr val="000000"/>
              </a:solidFill>
              <a:prstDash val="solid"/>
            </a:ln>
          </c:spPr>
        </c:majorGridlines>
        <c:title>
          <c:tx>
            <c:rich>
              <a:bodyPr/>
              <a:lstStyle/>
              <a:p>
                <a:pPr>
                  <a:defRPr sz="1725" b="1" i="0" u="none" strike="noStrike" baseline="0">
                    <a:solidFill>
                      <a:srgbClr val="000000"/>
                    </a:solidFill>
                    <a:latin typeface="Arial"/>
                    <a:ea typeface="Arial"/>
                    <a:cs typeface="Arial"/>
                  </a:defRPr>
                </a:pPr>
                <a:r>
                  <a:rPr lang="en-US"/>
                  <a:t>Efficiency (%)</a:t>
                </a:r>
              </a:p>
            </c:rich>
          </c:tx>
          <c:layout>
            <c:manualLayout>
              <c:xMode val="edge"/>
              <c:yMode val="edge"/>
              <c:x val="0.10744349235757295"/>
              <c:y val="0.3194331835533080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85112832"/>
        <c:crosses val="autoZero"/>
        <c:crossBetween val="midCat"/>
        <c:majorUnit val="0.05"/>
      </c:valAx>
      <c:spPr>
        <a:solidFill>
          <a:srgbClr val="C0C0C0"/>
        </a:solidFill>
        <a:ln w="12700">
          <a:solidFill>
            <a:srgbClr val="808080"/>
          </a:solidFill>
          <a:prstDash val="solid"/>
        </a:ln>
      </c:spPr>
    </c:plotArea>
    <c:legend>
      <c:legendPos val="r"/>
      <c:layout>
        <c:manualLayout>
          <c:xMode val="edge"/>
          <c:yMode val="edge"/>
          <c:x val="0.6796348064312191"/>
          <c:y val="5.737748792134436E-2"/>
          <c:w val="0.26010897805044486"/>
          <c:h val="0.85864261581306134"/>
        </c:manualLayout>
      </c:layout>
      <c:overlay val="0"/>
      <c:spPr>
        <a:solidFill>
          <a:srgbClr val="FFFFFF"/>
        </a:solidFill>
        <a:ln w="3175">
          <a:solidFill>
            <a:srgbClr val="000000"/>
          </a:solidFill>
          <a:prstDash val="solid"/>
        </a:ln>
      </c:spPr>
      <c:txPr>
        <a:bodyPr/>
        <a:lstStyle/>
        <a:p>
          <a:pPr>
            <a:defRPr sz="13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no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pitchFamily="34" charset="0"/>
                <a:ea typeface="Calibri"/>
                <a:cs typeface="Arial" pitchFamily="34" charset="0"/>
              </a:defRPr>
            </a:pPr>
            <a:r>
              <a:rPr lang="en-US" sz="2000">
                <a:latin typeface="Arial" pitchFamily="34" charset="0"/>
                <a:cs typeface="Arial" pitchFamily="34" charset="0"/>
                <a:sym typeface="Symbol"/>
              </a:rPr>
              <a:t></a:t>
            </a:r>
            <a:r>
              <a:rPr lang="en-US" sz="2000" b="1" i="0" u="none" strike="noStrike" baseline="0"/>
              <a:t>, V</a:t>
            </a:r>
            <a:r>
              <a:rPr lang="en-US" sz="2000" b="1" i="0" u="none" strike="noStrike" baseline="-25000"/>
              <a:t>IN</a:t>
            </a:r>
            <a:r>
              <a:rPr lang="en-US" sz="2000" b="1" i="0" u="none" strike="noStrike" baseline="0"/>
              <a:t> = V</a:t>
            </a:r>
            <a:r>
              <a:rPr lang="en-US" sz="2000" b="1" i="0" u="none" strike="noStrike" baseline="-25000"/>
              <a:t>IN(nom)</a:t>
            </a:r>
            <a:endParaRPr lang="en-US" sz="2000">
              <a:latin typeface="Arial" pitchFamily="34" charset="0"/>
              <a:cs typeface="Arial" pitchFamily="34" charset="0"/>
            </a:endParaRPr>
          </a:p>
        </c:rich>
      </c:tx>
      <c:layout>
        <c:manualLayout>
          <c:xMode val="edge"/>
          <c:yMode val="edge"/>
          <c:x val="0.10084794235626206"/>
          <c:y val="2.0639566697272373E-2"/>
        </c:manualLayout>
      </c:layout>
      <c:overlay val="0"/>
      <c:spPr>
        <a:noFill/>
        <a:ln w="25400">
          <a:noFill/>
        </a:ln>
      </c:spPr>
    </c:title>
    <c:autoTitleDeleted val="0"/>
    <c:plotArea>
      <c:layout>
        <c:manualLayout>
          <c:layoutTarget val="inner"/>
          <c:xMode val="edge"/>
          <c:yMode val="edge"/>
          <c:x val="8.5540561846730284E-2"/>
          <c:y val="0.12372903654825702"/>
          <c:w val="0.82265898741455901"/>
          <c:h val="0.76068566810117366"/>
        </c:manualLayout>
      </c:layout>
      <c:lineChart>
        <c:grouping val="standard"/>
        <c:varyColors val="0"/>
        <c:ser>
          <c:idx val="0"/>
          <c:order val="0"/>
          <c:tx>
            <c:v> Efficiency</c:v>
          </c:tx>
          <c:spPr>
            <a:ln w="31750">
              <a:solidFill>
                <a:srgbClr val="FF0000"/>
              </a:solidFill>
              <a:prstDash val="solid"/>
            </a:ln>
          </c:spPr>
          <c:marker>
            <c:symbol val="none"/>
          </c:marker>
          <c:cat>
            <c:numRef>
              <c:f>Parameters!$BN$6:$BN$106</c:f>
              <c:numCache>
                <c:formatCode>0.000</c:formatCode>
                <c:ptCount val="101"/>
                <c:pt idx="0">
                  <c:v>0.1</c:v>
                </c:pt>
                <c:pt idx="1">
                  <c:v>1</c:v>
                </c:pt>
                <c:pt idx="2">
                  <c:v>2</c:v>
                </c:pt>
                <c:pt idx="3">
                  <c:v>3</c:v>
                </c:pt>
                <c:pt idx="100">
                  <c:v>100</c:v>
                </c:pt>
              </c:numCache>
            </c:numRef>
          </c:cat>
          <c:val>
            <c:numRef>
              <c:f>Parameters!$BZ$6:$BZ$106</c:f>
              <c:numCache>
                <c:formatCode>0.00</c:formatCode>
                <c:ptCount val="101"/>
                <c:pt idx="0">
                  <c:v>100</c:v>
                </c:pt>
                <c:pt idx="1">
                  <c:v>100</c:v>
                </c:pt>
                <c:pt idx="2">
                  <c:v>100</c:v>
                </c:pt>
                <c:pt idx="3">
                  <c:v>100</c:v>
                </c:pt>
                <c:pt idx="100">
                  <c:v>100</c:v>
                </c:pt>
              </c:numCache>
            </c:numRef>
          </c:val>
          <c:smooth val="1"/>
          <c:extLst>
            <c:ext xmlns:c16="http://schemas.microsoft.com/office/drawing/2014/chart" uri="{C3380CC4-5D6E-409C-BE32-E72D297353CC}">
              <c16:uniqueId val="{00000000-B937-47C0-AD95-B2C1D764F09C}"/>
            </c:ext>
          </c:extLst>
        </c:ser>
        <c:dLbls>
          <c:showLegendKey val="0"/>
          <c:showVal val="0"/>
          <c:showCatName val="0"/>
          <c:showSerName val="0"/>
          <c:showPercent val="0"/>
          <c:showBubbleSize val="0"/>
        </c:dLbls>
        <c:marker val="1"/>
        <c:smooth val="0"/>
        <c:axId val="184795520"/>
        <c:axId val="184797440"/>
      </c:lineChart>
      <c:lineChart>
        <c:grouping val="standard"/>
        <c:varyColors val="0"/>
        <c:ser>
          <c:idx val="2"/>
          <c:order val="1"/>
          <c:tx>
            <c:v> IC Total Power Loss</c:v>
          </c:tx>
          <c:spPr>
            <a:ln w="38100">
              <a:solidFill>
                <a:srgbClr val="808000"/>
              </a:solidFill>
              <a:prstDash val="sysDash"/>
            </a:ln>
          </c:spPr>
          <c:marker>
            <c:symbol val="none"/>
          </c:marker>
          <c:cat>
            <c:numRef>
              <c:f>Parameters!$BN$6:$BN$106</c:f>
              <c:numCache>
                <c:formatCode>0.000</c:formatCode>
                <c:ptCount val="101"/>
                <c:pt idx="0">
                  <c:v>0.1</c:v>
                </c:pt>
                <c:pt idx="1">
                  <c:v>1</c:v>
                </c:pt>
                <c:pt idx="2">
                  <c:v>2</c:v>
                </c:pt>
                <c:pt idx="3">
                  <c:v>3</c:v>
                </c:pt>
                <c:pt idx="100">
                  <c:v>100</c:v>
                </c:pt>
              </c:numCache>
            </c:numRef>
          </c:cat>
          <c:val>
            <c:numRef>
              <c:f>Parameters!$CA$6:$CA$106</c:f>
              <c:numCache>
                <c:formatCode>0.00</c:formatCode>
                <c:ptCount val="101"/>
                <c:pt idx="0">
                  <c:v>0</c:v>
                </c:pt>
                <c:pt idx="1">
                  <c:v>0</c:v>
                </c:pt>
                <c:pt idx="2">
                  <c:v>0</c:v>
                </c:pt>
                <c:pt idx="3">
                  <c:v>0</c:v>
                </c:pt>
                <c:pt idx="100">
                  <c:v>0</c:v>
                </c:pt>
              </c:numCache>
            </c:numRef>
          </c:val>
          <c:smooth val="0"/>
          <c:extLst>
            <c:ext xmlns:c16="http://schemas.microsoft.com/office/drawing/2014/chart" uri="{C3380CC4-5D6E-409C-BE32-E72D297353CC}">
              <c16:uniqueId val="{00000001-B937-47C0-AD95-B2C1D764F09C}"/>
            </c:ext>
          </c:extLst>
        </c:ser>
        <c:ser>
          <c:idx val="1"/>
          <c:order val="2"/>
          <c:tx>
            <c:v> LDO + Quiescent Loss</c:v>
          </c:tx>
          <c:spPr>
            <a:ln w="38100">
              <a:solidFill>
                <a:srgbClr val="002060"/>
              </a:solidFill>
              <a:prstDash val="sysDot"/>
            </a:ln>
          </c:spPr>
          <c:marker>
            <c:symbol val="none"/>
          </c:marker>
          <c:cat>
            <c:numRef>
              <c:f>Parameters!$BN$6:$BN$106</c:f>
              <c:numCache>
                <c:formatCode>0.000</c:formatCode>
                <c:ptCount val="101"/>
                <c:pt idx="0">
                  <c:v>0.1</c:v>
                </c:pt>
                <c:pt idx="1">
                  <c:v>1</c:v>
                </c:pt>
                <c:pt idx="2">
                  <c:v>2</c:v>
                </c:pt>
                <c:pt idx="3">
                  <c:v>3</c:v>
                </c:pt>
                <c:pt idx="100">
                  <c:v>100</c:v>
                </c:pt>
              </c:numCache>
            </c:numRef>
          </c:cat>
          <c:val>
            <c:numRef>
              <c:f>Parameters!$CB$6:$CB$106</c:f>
              <c:numCache>
                <c:formatCode>0.00</c:formatCode>
                <c:ptCount val="101"/>
                <c:pt idx="0">
                  <c:v>0</c:v>
                </c:pt>
                <c:pt idx="1">
                  <c:v>0</c:v>
                </c:pt>
                <c:pt idx="2">
                  <c:v>0</c:v>
                </c:pt>
                <c:pt idx="3">
                  <c:v>0</c:v>
                </c:pt>
                <c:pt idx="100">
                  <c:v>0</c:v>
                </c:pt>
              </c:numCache>
            </c:numRef>
          </c:val>
          <c:smooth val="0"/>
          <c:extLst>
            <c:ext xmlns:c16="http://schemas.microsoft.com/office/drawing/2014/chart" uri="{C3380CC4-5D6E-409C-BE32-E72D297353CC}">
              <c16:uniqueId val="{00000002-B937-47C0-AD95-B2C1D764F09C}"/>
            </c:ext>
          </c:extLst>
        </c:ser>
        <c:ser>
          <c:idx val="3"/>
          <c:order val="3"/>
          <c:tx>
            <c:v> Inductor Loss</c:v>
          </c:tx>
          <c:spPr>
            <a:ln w="38100">
              <a:solidFill>
                <a:srgbClr val="800080"/>
              </a:solidFill>
              <a:prstDash val="dash"/>
            </a:ln>
          </c:spPr>
          <c:marker>
            <c:symbol val="none"/>
          </c:marker>
          <c:cat>
            <c:numRef>
              <c:f>Parameters!$BN$6:$BN$106</c:f>
              <c:numCache>
                <c:formatCode>0.000</c:formatCode>
                <c:ptCount val="101"/>
                <c:pt idx="0">
                  <c:v>0.1</c:v>
                </c:pt>
                <c:pt idx="1">
                  <c:v>1</c:v>
                </c:pt>
                <c:pt idx="2">
                  <c:v>2</c:v>
                </c:pt>
                <c:pt idx="3">
                  <c:v>3</c:v>
                </c:pt>
                <c:pt idx="100">
                  <c:v>100</c:v>
                </c:pt>
              </c:numCache>
            </c:numRef>
          </c:cat>
          <c:val>
            <c:numRef>
              <c:f>Parameters!$CC$6:$CC$106</c:f>
              <c:numCache>
                <c:formatCode>0.00</c:formatCode>
                <c:ptCount val="101"/>
                <c:pt idx="0">
                  <c:v>0</c:v>
                </c:pt>
                <c:pt idx="1">
                  <c:v>0</c:v>
                </c:pt>
                <c:pt idx="2">
                  <c:v>0</c:v>
                </c:pt>
                <c:pt idx="3">
                  <c:v>0</c:v>
                </c:pt>
                <c:pt idx="100">
                  <c:v>0</c:v>
                </c:pt>
              </c:numCache>
            </c:numRef>
          </c:val>
          <c:smooth val="0"/>
          <c:extLst>
            <c:ext xmlns:c16="http://schemas.microsoft.com/office/drawing/2014/chart" uri="{C3380CC4-5D6E-409C-BE32-E72D297353CC}">
              <c16:uniqueId val="{00000003-B937-47C0-AD95-B2C1D764F09C}"/>
            </c:ext>
          </c:extLst>
        </c:ser>
        <c:dLbls>
          <c:showLegendKey val="0"/>
          <c:showVal val="0"/>
          <c:showCatName val="0"/>
          <c:showSerName val="0"/>
          <c:showPercent val="0"/>
          <c:showBubbleSize val="0"/>
        </c:dLbls>
        <c:marker val="1"/>
        <c:smooth val="0"/>
        <c:axId val="184805632"/>
        <c:axId val="184803712"/>
      </c:lineChart>
      <c:catAx>
        <c:axId val="184795520"/>
        <c:scaling>
          <c:orientation val="minMax"/>
        </c:scaling>
        <c:delete val="0"/>
        <c:axPos val="b"/>
        <c:majorGridlines>
          <c:spPr>
            <a:ln w="15875">
              <a:solidFill>
                <a:srgbClr val="969696"/>
              </a:solidFill>
              <a:prstDash val="sysDash"/>
            </a:ln>
          </c:spPr>
        </c:majorGridlines>
        <c:title>
          <c:tx>
            <c:rich>
              <a:bodyPr/>
              <a:lstStyle/>
              <a:p>
                <a:pPr>
                  <a:defRPr sz="1300" b="1" i="0" u="none" strike="noStrike" baseline="0">
                    <a:solidFill>
                      <a:sysClr val="windowText" lastClr="000000"/>
                    </a:solidFill>
                    <a:latin typeface="Arial" pitchFamily="34" charset="0"/>
                    <a:ea typeface="Calibri"/>
                    <a:cs typeface="Arial" pitchFamily="34" charset="0"/>
                  </a:defRPr>
                </a:pPr>
                <a:r>
                  <a:rPr lang="en-US" sz="1300">
                    <a:solidFill>
                      <a:sysClr val="windowText" lastClr="000000"/>
                    </a:solidFill>
                    <a:latin typeface="Arial" pitchFamily="34" charset="0"/>
                    <a:cs typeface="Arial" pitchFamily="34" charset="0"/>
                  </a:rPr>
                  <a:t>Load Current (mA)</a:t>
                </a:r>
              </a:p>
            </c:rich>
          </c:tx>
          <c:layout>
            <c:manualLayout>
              <c:xMode val="edge"/>
              <c:yMode val="edge"/>
              <c:x val="0.41625343343709942"/>
              <c:y val="0.94571913573731337"/>
            </c:manualLayout>
          </c:layout>
          <c:overlay val="0"/>
          <c:spPr>
            <a:noFill/>
            <a:ln w="25400">
              <a:noFill/>
            </a:ln>
          </c:spPr>
        </c:title>
        <c:numFmt formatCode="0" sourceLinked="0"/>
        <c:majorTickMark val="in"/>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pitchFamily="34" charset="0"/>
                <a:ea typeface="Calibri"/>
                <a:cs typeface="Arial" pitchFamily="34" charset="0"/>
              </a:defRPr>
            </a:pPr>
            <a:endParaRPr lang="en-US"/>
          </a:p>
        </c:txPr>
        <c:crossAx val="184797440"/>
        <c:crosses val="autoZero"/>
        <c:auto val="1"/>
        <c:lblAlgn val="ctr"/>
        <c:lblOffset val="100"/>
        <c:tickLblSkip val="20"/>
        <c:tickMarkSkip val="20"/>
        <c:noMultiLvlLbl val="0"/>
      </c:catAx>
      <c:valAx>
        <c:axId val="184797440"/>
        <c:scaling>
          <c:orientation val="minMax"/>
          <c:max val="95"/>
          <c:min val="65"/>
        </c:scaling>
        <c:delete val="0"/>
        <c:axPos val="l"/>
        <c:majorGridlines>
          <c:spPr>
            <a:ln w="15875">
              <a:solidFill>
                <a:srgbClr val="808080"/>
              </a:solidFill>
              <a:prstDash val="solid"/>
            </a:ln>
          </c:spPr>
        </c:majorGridlines>
        <c:min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400" b="1">
                    <a:solidFill>
                      <a:srgbClr val="FF0000"/>
                    </a:solidFill>
                    <a:latin typeface="Arial" pitchFamily="34" charset="0"/>
                    <a:cs typeface="Arial" pitchFamily="34" charset="0"/>
                  </a:rPr>
                  <a:t>Efficiency (%)</a:t>
                </a:r>
              </a:p>
            </c:rich>
          </c:tx>
          <c:layout>
            <c:manualLayout>
              <c:xMode val="edge"/>
              <c:yMode val="edge"/>
              <c:x val="1.2871858674081443E-2"/>
              <c:y val="0.37638177915688398"/>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4795520"/>
        <c:crossesAt val="0"/>
        <c:crossBetween val="between"/>
        <c:majorUnit val="5"/>
        <c:minorUnit val="2.5"/>
      </c:valAx>
      <c:valAx>
        <c:axId val="184803712"/>
        <c:scaling>
          <c:orientation val="minMax"/>
        </c:scaling>
        <c:delete val="0"/>
        <c:axPos val="r"/>
        <c:title>
          <c:tx>
            <c:rich>
              <a:bodyPr rot="-5400000" vert="horz"/>
              <a:lstStyle/>
              <a:p>
                <a:pPr>
                  <a:defRPr sz="1400" b="1">
                    <a:solidFill>
                      <a:srgbClr val="0000FF"/>
                    </a:solidFill>
                  </a:defRPr>
                </a:pPr>
                <a:r>
                  <a:rPr lang="en-US" sz="1400" b="1">
                    <a:solidFill>
                      <a:srgbClr val="0000FF"/>
                    </a:solidFill>
                  </a:rPr>
                  <a:t>Power Loss (mW)</a:t>
                </a:r>
              </a:p>
            </c:rich>
          </c:tx>
          <c:layout>
            <c:manualLayout>
              <c:xMode val="edge"/>
              <c:yMode val="edge"/>
              <c:x val="0.95720616195060426"/>
              <c:y val="0.34716258649486992"/>
            </c:manualLayout>
          </c:layout>
          <c:overlay val="0"/>
        </c:title>
        <c:numFmt formatCode="0" sourceLinked="0"/>
        <c:majorTickMark val="out"/>
        <c:minorTickMark val="none"/>
        <c:tickLblPos val="nextTo"/>
        <c:txPr>
          <a:bodyPr/>
          <a:lstStyle/>
          <a:p>
            <a:pPr>
              <a:defRPr sz="1100" b="1">
                <a:solidFill>
                  <a:srgbClr val="0000FF"/>
                </a:solidFill>
              </a:defRPr>
            </a:pPr>
            <a:endParaRPr lang="en-US"/>
          </a:p>
        </c:txPr>
        <c:crossAx val="184805632"/>
        <c:crosses val="max"/>
        <c:crossBetween val="between"/>
      </c:valAx>
      <c:catAx>
        <c:axId val="184805632"/>
        <c:scaling>
          <c:orientation val="minMax"/>
        </c:scaling>
        <c:delete val="1"/>
        <c:axPos val="b"/>
        <c:numFmt formatCode="0.000" sourceLinked="1"/>
        <c:majorTickMark val="out"/>
        <c:minorTickMark val="none"/>
        <c:tickLblPos val="nextTo"/>
        <c:crossAx val="184803712"/>
        <c:crosses val="autoZero"/>
        <c:auto val="1"/>
        <c:lblAlgn val="ctr"/>
        <c:lblOffset val="100"/>
        <c:noMultiLvlLbl val="0"/>
      </c:catAx>
      <c:spPr>
        <a:noFill/>
        <a:ln w="25400">
          <a:noFill/>
        </a:ln>
      </c:spPr>
    </c:plotArea>
    <c:legend>
      <c:legendPos val="t"/>
      <c:layout>
        <c:manualLayout>
          <c:xMode val="edge"/>
          <c:yMode val="edge"/>
          <c:x val="0.38866500767592732"/>
          <c:y val="1.1892546194234431E-2"/>
          <c:w val="0.61133499232407273"/>
          <c:h val="9.7234170816987084E-2"/>
        </c:manualLayout>
      </c:layout>
      <c:overlay val="0"/>
      <c:spPr>
        <a:solidFill>
          <a:srgbClr val="FFFFFF"/>
        </a:solidFill>
        <a:ln w="25400">
          <a:noFill/>
        </a:ln>
      </c:spPr>
      <c:txPr>
        <a:bodyPr/>
        <a:lstStyle/>
        <a:p>
          <a:pPr>
            <a:defRPr sz="12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chemeClr val="bg1"/>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66" r="0.75000000000000666" t="1" header="0.5" footer="0.5"/>
    <c:pageSetup paperSize="5"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pitchFamily="34" charset="0"/>
                <a:ea typeface="Calibri"/>
                <a:cs typeface="Arial" pitchFamily="34" charset="0"/>
              </a:defRPr>
            </a:pPr>
            <a:r>
              <a:rPr lang="en-US" sz="2000">
                <a:latin typeface="Arial" pitchFamily="34" charset="0"/>
                <a:cs typeface="Arial" pitchFamily="34" charset="0"/>
                <a:sym typeface="Symbol"/>
              </a:rPr>
              <a:t></a:t>
            </a:r>
            <a:r>
              <a:rPr lang="en-US" sz="2000" b="1" i="0" u="none" strike="noStrike" baseline="0"/>
              <a:t>, V</a:t>
            </a:r>
            <a:r>
              <a:rPr lang="en-US" sz="2000" b="1" i="0" u="none" strike="noStrike" baseline="-25000"/>
              <a:t>IN</a:t>
            </a:r>
            <a:r>
              <a:rPr lang="en-US" sz="2000" b="1" i="0" u="none" strike="noStrike" baseline="0"/>
              <a:t> = V</a:t>
            </a:r>
            <a:r>
              <a:rPr lang="en-US" sz="2000" b="1" i="0" u="none" strike="noStrike" baseline="-25000"/>
              <a:t>IN(nom)</a:t>
            </a:r>
            <a:endParaRPr lang="en-US" sz="2000">
              <a:latin typeface="Arial" pitchFamily="34" charset="0"/>
              <a:cs typeface="Arial" pitchFamily="34" charset="0"/>
            </a:endParaRPr>
          </a:p>
        </c:rich>
      </c:tx>
      <c:layout>
        <c:manualLayout>
          <c:xMode val="edge"/>
          <c:yMode val="edge"/>
          <c:x val="0.10084794235626206"/>
          <c:y val="2.0639566697272373E-2"/>
        </c:manualLayout>
      </c:layout>
      <c:overlay val="0"/>
      <c:spPr>
        <a:noFill/>
        <a:ln w="25400">
          <a:noFill/>
        </a:ln>
      </c:spPr>
    </c:title>
    <c:autoTitleDeleted val="0"/>
    <c:plotArea>
      <c:layout>
        <c:manualLayout>
          <c:layoutTarget val="inner"/>
          <c:xMode val="edge"/>
          <c:yMode val="edge"/>
          <c:x val="8.5540561846730284E-2"/>
          <c:y val="0.12372903654825702"/>
          <c:w val="0.82265898741455901"/>
          <c:h val="0.76068566810117366"/>
        </c:manualLayout>
      </c:layout>
      <c:scatterChart>
        <c:scatterStyle val="smoothMarker"/>
        <c:varyColors val="0"/>
        <c:ser>
          <c:idx val="0"/>
          <c:order val="0"/>
          <c:tx>
            <c:v> Efficiency</c:v>
          </c:tx>
          <c:spPr>
            <a:ln w="31750">
              <a:solidFill>
                <a:srgbClr val="FF0000"/>
              </a:solidFill>
              <a:prstDash val="solid"/>
            </a:ln>
          </c:spPr>
          <c:marker>
            <c:symbol val="none"/>
          </c:marker>
          <c:xVal>
            <c:numRef>
              <c:f>Parameters!$BN$6:$BN$106</c:f>
              <c:numCache>
                <c:formatCode>0.000</c:formatCode>
                <c:ptCount val="101"/>
                <c:pt idx="0">
                  <c:v>0.1</c:v>
                </c:pt>
                <c:pt idx="1">
                  <c:v>1</c:v>
                </c:pt>
                <c:pt idx="2">
                  <c:v>2</c:v>
                </c:pt>
                <c:pt idx="3">
                  <c:v>3</c:v>
                </c:pt>
                <c:pt idx="100">
                  <c:v>100</c:v>
                </c:pt>
              </c:numCache>
            </c:numRef>
          </c:xVal>
          <c:yVal>
            <c:numRef>
              <c:f>Parameters!$BZ$6:$BZ$106</c:f>
              <c:numCache>
                <c:formatCode>0.00</c:formatCode>
                <c:ptCount val="101"/>
                <c:pt idx="0">
                  <c:v>100</c:v>
                </c:pt>
                <c:pt idx="1">
                  <c:v>100</c:v>
                </c:pt>
                <c:pt idx="2">
                  <c:v>100</c:v>
                </c:pt>
                <c:pt idx="3">
                  <c:v>100</c:v>
                </c:pt>
                <c:pt idx="100">
                  <c:v>100</c:v>
                </c:pt>
              </c:numCache>
            </c:numRef>
          </c:yVal>
          <c:smooth val="1"/>
          <c:extLst>
            <c:ext xmlns:c16="http://schemas.microsoft.com/office/drawing/2014/chart" uri="{C3380CC4-5D6E-409C-BE32-E72D297353CC}">
              <c16:uniqueId val="{00000000-0B70-46A3-9CAC-00CA5BF319BD}"/>
            </c:ext>
          </c:extLst>
        </c:ser>
        <c:dLbls>
          <c:showLegendKey val="0"/>
          <c:showVal val="0"/>
          <c:showCatName val="0"/>
          <c:showSerName val="0"/>
          <c:showPercent val="0"/>
          <c:showBubbleSize val="0"/>
        </c:dLbls>
        <c:axId val="184846592"/>
        <c:axId val="184852864"/>
      </c:scatterChart>
      <c:scatterChart>
        <c:scatterStyle val="smoothMarker"/>
        <c:varyColors val="0"/>
        <c:ser>
          <c:idx val="2"/>
          <c:order val="1"/>
          <c:tx>
            <c:v> IC Total Power Loss</c:v>
          </c:tx>
          <c:spPr>
            <a:ln w="38100">
              <a:solidFill>
                <a:srgbClr val="808000"/>
              </a:solidFill>
              <a:prstDash val="sysDash"/>
            </a:ln>
          </c:spPr>
          <c:marker>
            <c:symbol val="none"/>
          </c:marker>
          <c:xVal>
            <c:numRef>
              <c:f>Parameters!$BN$6:$BN$106</c:f>
              <c:numCache>
                <c:formatCode>0.000</c:formatCode>
                <c:ptCount val="101"/>
                <c:pt idx="0">
                  <c:v>0.1</c:v>
                </c:pt>
                <c:pt idx="1">
                  <c:v>1</c:v>
                </c:pt>
                <c:pt idx="2">
                  <c:v>2</c:v>
                </c:pt>
                <c:pt idx="3">
                  <c:v>3</c:v>
                </c:pt>
                <c:pt idx="100">
                  <c:v>100</c:v>
                </c:pt>
              </c:numCache>
            </c:numRef>
          </c:xVal>
          <c:yVal>
            <c:numRef>
              <c:f>Parameters!$CA$6:$CA$106</c:f>
              <c:numCache>
                <c:formatCode>0.00</c:formatCode>
                <c:ptCount val="101"/>
                <c:pt idx="0">
                  <c:v>0</c:v>
                </c:pt>
                <c:pt idx="1">
                  <c:v>0</c:v>
                </c:pt>
                <c:pt idx="2">
                  <c:v>0</c:v>
                </c:pt>
                <c:pt idx="3">
                  <c:v>0</c:v>
                </c:pt>
                <c:pt idx="100">
                  <c:v>0</c:v>
                </c:pt>
              </c:numCache>
            </c:numRef>
          </c:yVal>
          <c:smooth val="1"/>
          <c:extLst>
            <c:ext xmlns:c16="http://schemas.microsoft.com/office/drawing/2014/chart" uri="{C3380CC4-5D6E-409C-BE32-E72D297353CC}">
              <c16:uniqueId val="{00000001-0B70-46A3-9CAC-00CA5BF319BD}"/>
            </c:ext>
          </c:extLst>
        </c:ser>
        <c:ser>
          <c:idx val="1"/>
          <c:order val="2"/>
          <c:tx>
            <c:v> LDO + Quiescent Loss</c:v>
          </c:tx>
          <c:spPr>
            <a:ln w="38100">
              <a:solidFill>
                <a:srgbClr val="002060"/>
              </a:solidFill>
              <a:prstDash val="sysDot"/>
            </a:ln>
          </c:spPr>
          <c:marker>
            <c:symbol val="none"/>
          </c:marker>
          <c:xVal>
            <c:numRef>
              <c:f>Parameters!$BN$6:$BN$106</c:f>
              <c:numCache>
                <c:formatCode>0.000</c:formatCode>
                <c:ptCount val="101"/>
                <c:pt idx="0">
                  <c:v>0.1</c:v>
                </c:pt>
                <c:pt idx="1">
                  <c:v>1</c:v>
                </c:pt>
                <c:pt idx="2">
                  <c:v>2</c:v>
                </c:pt>
                <c:pt idx="3">
                  <c:v>3</c:v>
                </c:pt>
                <c:pt idx="100">
                  <c:v>100</c:v>
                </c:pt>
              </c:numCache>
            </c:numRef>
          </c:xVal>
          <c:yVal>
            <c:numRef>
              <c:f>Parameters!$CB$6:$CB$106</c:f>
              <c:numCache>
                <c:formatCode>0.00</c:formatCode>
                <c:ptCount val="101"/>
                <c:pt idx="0">
                  <c:v>0</c:v>
                </c:pt>
                <c:pt idx="1">
                  <c:v>0</c:v>
                </c:pt>
                <c:pt idx="2">
                  <c:v>0</c:v>
                </c:pt>
                <c:pt idx="3">
                  <c:v>0</c:v>
                </c:pt>
                <c:pt idx="100">
                  <c:v>0</c:v>
                </c:pt>
              </c:numCache>
            </c:numRef>
          </c:yVal>
          <c:smooth val="1"/>
          <c:extLst>
            <c:ext xmlns:c16="http://schemas.microsoft.com/office/drawing/2014/chart" uri="{C3380CC4-5D6E-409C-BE32-E72D297353CC}">
              <c16:uniqueId val="{00000002-0B70-46A3-9CAC-00CA5BF319BD}"/>
            </c:ext>
          </c:extLst>
        </c:ser>
        <c:ser>
          <c:idx val="3"/>
          <c:order val="3"/>
          <c:tx>
            <c:v> Inductor Loss</c:v>
          </c:tx>
          <c:spPr>
            <a:ln w="38100">
              <a:solidFill>
                <a:srgbClr val="800080"/>
              </a:solidFill>
              <a:prstDash val="dash"/>
            </a:ln>
          </c:spPr>
          <c:marker>
            <c:symbol val="none"/>
          </c:marker>
          <c:xVal>
            <c:numRef>
              <c:f>Parameters!$BN$6:$BN$106</c:f>
              <c:numCache>
                <c:formatCode>0.000</c:formatCode>
                <c:ptCount val="101"/>
                <c:pt idx="0">
                  <c:v>0.1</c:v>
                </c:pt>
                <c:pt idx="1">
                  <c:v>1</c:v>
                </c:pt>
                <c:pt idx="2">
                  <c:v>2</c:v>
                </c:pt>
                <c:pt idx="3">
                  <c:v>3</c:v>
                </c:pt>
                <c:pt idx="100">
                  <c:v>100</c:v>
                </c:pt>
              </c:numCache>
            </c:numRef>
          </c:xVal>
          <c:yVal>
            <c:numRef>
              <c:f>Parameters!$CC$6:$CC$106</c:f>
              <c:numCache>
                <c:formatCode>0.00</c:formatCode>
                <c:ptCount val="101"/>
                <c:pt idx="0">
                  <c:v>0</c:v>
                </c:pt>
                <c:pt idx="1">
                  <c:v>0</c:v>
                </c:pt>
                <c:pt idx="2">
                  <c:v>0</c:v>
                </c:pt>
                <c:pt idx="3">
                  <c:v>0</c:v>
                </c:pt>
                <c:pt idx="100">
                  <c:v>0</c:v>
                </c:pt>
              </c:numCache>
            </c:numRef>
          </c:yVal>
          <c:smooth val="1"/>
          <c:extLst>
            <c:ext xmlns:c16="http://schemas.microsoft.com/office/drawing/2014/chart" uri="{C3380CC4-5D6E-409C-BE32-E72D297353CC}">
              <c16:uniqueId val="{00000003-0B70-46A3-9CAC-00CA5BF319BD}"/>
            </c:ext>
          </c:extLst>
        </c:ser>
        <c:dLbls>
          <c:showLegendKey val="0"/>
          <c:showVal val="0"/>
          <c:showCatName val="0"/>
          <c:showSerName val="0"/>
          <c:showPercent val="0"/>
          <c:showBubbleSize val="0"/>
        </c:dLbls>
        <c:axId val="184861056"/>
        <c:axId val="184854784"/>
      </c:scatterChart>
      <c:valAx>
        <c:axId val="184846592"/>
        <c:scaling>
          <c:logBase val="10"/>
          <c:orientation val="minMax"/>
          <c:min val="0.1"/>
        </c:scaling>
        <c:delete val="0"/>
        <c:axPos val="b"/>
        <c:majorGridlines>
          <c:spPr>
            <a:ln w="15875">
              <a:solidFill>
                <a:srgbClr val="969696"/>
              </a:solidFill>
              <a:prstDash val="sysDash"/>
            </a:ln>
          </c:spPr>
        </c:majorGridlines>
        <c:title>
          <c:tx>
            <c:rich>
              <a:bodyPr/>
              <a:lstStyle/>
              <a:p>
                <a:pPr>
                  <a:defRPr sz="1300" b="1" i="0" u="none" strike="noStrike" baseline="0">
                    <a:solidFill>
                      <a:sysClr val="windowText" lastClr="000000"/>
                    </a:solidFill>
                    <a:latin typeface="Arial" pitchFamily="34" charset="0"/>
                    <a:ea typeface="Calibri"/>
                    <a:cs typeface="Arial" pitchFamily="34" charset="0"/>
                  </a:defRPr>
                </a:pPr>
                <a:r>
                  <a:rPr lang="en-US" sz="1300">
                    <a:solidFill>
                      <a:sysClr val="windowText" lastClr="000000"/>
                    </a:solidFill>
                    <a:latin typeface="Arial" pitchFamily="34" charset="0"/>
                    <a:cs typeface="Arial" pitchFamily="34" charset="0"/>
                  </a:rPr>
                  <a:t>Load Current (mA)</a:t>
                </a:r>
              </a:p>
            </c:rich>
          </c:tx>
          <c:layout>
            <c:manualLayout>
              <c:xMode val="edge"/>
              <c:yMode val="edge"/>
              <c:x val="0.41625343343709942"/>
              <c:y val="0.94571913573731337"/>
            </c:manualLayout>
          </c:layout>
          <c:overlay val="0"/>
          <c:spPr>
            <a:noFill/>
            <a:ln w="25400">
              <a:noFill/>
            </a:ln>
          </c:spPr>
        </c:title>
        <c:numFmt formatCode="General" sourceLinked="0"/>
        <c:majorTickMark val="in"/>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pitchFamily="34" charset="0"/>
                <a:ea typeface="Calibri"/>
                <a:cs typeface="Arial" pitchFamily="34" charset="0"/>
              </a:defRPr>
            </a:pPr>
            <a:endParaRPr lang="en-US"/>
          </a:p>
        </c:txPr>
        <c:crossAx val="184852864"/>
        <c:crosses val="autoZero"/>
        <c:crossBetween val="midCat"/>
      </c:valAx>
      <c:valAx>
        <c:axId val="184852864"/>
        <c:scaling>
          <c:orientation val="minMax"/>
          <c:max val="95"/>
          <c:min val="60"/>
        </c:scaling>
        <c:delete val="0"/>
        <c:axPos val="l"/>
        <c:majorGridlines>
          <c:spPr>
            <a:ln w="15875">
              <a:solidFill>
                <a:srgbClr val="808080"/>
              </a:solidFill>
              <a:prstDash val="solid"/>
            </a:ln>
          </c:spPr>
        </c:majorGridlines>
        <c:min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400" b="1">
                    <a:solidFill>
                      <a:srgbClr val="FF0000"/>
                    </a:solidFill>
                    <a:latin typeface="Arial" pitchFamily="34" charset="0"/>
                    <a:cs typeface="Arial" pitchFamily="34" charset="0"/>
                  </a:rPr>
                  <a:t>Efficiency (%)</a:t>
                </a:r>
              </a:p>
            </c:rich>
          </c:tx>
          <c:layout>
            <c:manualLayout>
              <c:xMode val="edge"/>
              <c:yMode val="edge"/>
              <c:x val="1.2871858674081443E-2"/>
              <c:y val="0.37638177915688398"/>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4846592"/>
        <c:crossesAt val="0"/>
        <c:crossBetween val="midCat"/>
        <c:majorUnit val="5"/>
        <c:minorUnit val="2.5"/>
      </c:valAx>
      <c:valAx>
        <c:axId val="184854784"/>
        <c:scaling>
          <c:orientation val="minMax"/>
        </c:scaling>
        <c:delete val="0"/>
        <c:axPos val="r"/>
        <c:title>
          <c:tx>
            <c:rich>
              <a:bodyPr rot="-5400000" vert="horz"/>
              <a:lstStyle/>
              <a:p>
                <a:pPr>
                  <a:defRPr sz="1400" b="1">
                    <a:solidFill>
                      <a:srgbClr val="0000FF"/>
                    </a:solidFill>
                  </a:defRPr>
                </a:pPr>
                <a:r>
                  <a:rPr lang="en-US" sz="1400" b="1">
                    <a:solidFill>
                      <a:srgbClr val="0000FF"/>
                    </a:solidFill>
                  </a:rPr>
                  <a:t>Power Loss (mW)</a:t>
                </a:r>
              </a:p>
            </c:rich>
          </c:tx>
          <c:layout>
            <c:manualLayout>
              <c:xMode val="edge"/>
              <c:yMode val="edge"/>
              <c:x val="0.95563568688189593"/>
              <c:y val="0.33988985922214265"/>
            </c:manualLayout>
          </c:layout>
          <c:overlay val="0"/>
        </c:title>
        <c:numFmt formatCode="0" sourceLinked="0"/>
        <c:majorTickMark val="out"/>
        <c:minorTickMark val="none"/>
        <c:tickLblPos val="nextTo"/>
        <c:txPr>
          <a:bodyPr/>
          <a:lstStyle/>
          <a:p>
            <a:pPr>
              <a:defRPr sz="1100" b="1">
                <a:solidFill>
                  <a:srgbClr val="0000FF"/>
                </a:solidFill>
              </a:defRPr>
            </a:pPr>
            <a:endParaRPr lang="en-US"/>
          </a:p>
        </c:txPr>
        <c:crossAx val="184861056"/>
        <c:crosses val="max"/>
        <c:crossBetween val="midCat"/>
      </c:valAx>
      <c:valAx>
        <c:axId val="184861056"/>
        <c:scaling>
          <c:logBase val="10"/>
          <c:orientation val="minMax"/>
        </c:scaling>
        <c:delete val="1"/>
        <c:axPos val="b"/>
        <c:numFmt formatCode="0.000" sourceLinked="1"/>
        <c:majorTickMark val="out"/>
        <c:minorTickMark val="none"/>
        <c:tickLblPos val="nextTo"/>
        <c:crossAx val="184854784"/>
        <c:crosses val="autoZero"/>
        <c:crossBetween val="midCat"/>
      </c:valAx>
      <c:spPr>
        <a:noFill/>
        <a:ln w="25400">
          <a:noFill/>
        </a:ln>
      </c:spPr>
    </c:plotArea>
    <c:legend>
      <c:legendPos val="t"/>
      <c:layout>
        <c:manualLayout>
          <c:xMode val="edge"/>
          <c:yMode val="edge"/>
          <c:x val="0.38866500344700727"/>
          <c:y val="1.1892546194234431E-2"/>
          <c:w val="0.61133499655299273"/>
          <c:h val="9.2790073968026715E-2"/>
        </c:manualLayout>
      </c:layout>
      <c:overlay val="0"/>
      <c:spPr>
        <a:solidFill>
          <a:srgbClr val="FFFFFF"/>
        </a:solidFill>
        <a:ln w="25400">
          <a:noFill/>
        </a:ln>
      </c:spPr>
      <c:txPr>
        <a:bodyPr/>
        <a:lstStyle/>
        <a:p>
          <a:pPr>
            <a:defRPr sz="12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chemeClr val="bg1"/>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66" r="0.75000000000000666" t="1" header="0.5" footer="0.5"/>
    <c:pageSetup paperSize="5" orientation="portrait"/>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Breakdown of </a:t>
            </a:r>
            <a:r>
              <a:rPr lang="en-US" sz="1800" b="1" i="0" baseline="0">
                <a:solidFill>
                  <a:srgbClr val="FF0000"/>
                </a:solidFill>
              </a:rPr>
              <a:t>COT</a:t>
            </a:r>
            <a:r>
              <a:rPr lang="en-US" sz="1800" b="1" i="0" baseline="0"/>
              <a:t> Efficiency Losses (</a:t>
            </a:r>
            <a:r>
              <a:rPr lang="en-US" sz="1800" b="1" i="0" u="none" strike="noStrike" baseline="0"/>
              <a:t>I</a:t>
            </a:r>
            <a:r>
              <a:rPr lang="en-US" sz="1800" b="1" i="0" u="none" strike="noStrike" baseline="-25000"/>
              <a:t>OUT</a:t>
            </a:r>
            <a:r>
              <a:rPr lang="en-US" sz="1800" b="1" i="0" u="none" strike="noStrike" baseline="0"/>
              <a:t> = </a:t>
            </a:r>
            <a:r>
              <a:rPr lang="en-US" sz="1800" b="1" i="0" baseline="0"/>
              <a:t>1mA)</a:t>
            </a:r>
            <a:endParaRPr lang="en-US" sz="1800"/>
          </a:p>
        </c:rich>
      </c:tx>
      <c:layout>
        <c:manualLayout>
          <c:xMode val="edge"/>
          <c:yMode val="edge"/>
          <c:x val="0.32963167587477016"/>
          <c:y val="3.5906642728904876E-2"/>
        </c:manualLayout>
      </c:layout>
      <c:overlay val="0"/>
    </c:title>
    <c:autoTitleDeleted val="0"/>
    <c:plotArea>
      <c:layout>
        <c:manualLayout>
          <c:layoutTarget val="inner"/>
          <c:xMode val="edge"/>
          <c:yMode val="edge"/>
          <c:x val="9.2844202898550721E-2"/>
          <c:y val="0.14821658962288614"/>
          <c:w val="0.89442960513913661"/>
          <c:h val="0.76382419881536368"/>
        </c:manualLayout>
      </c:layout>
      <c:barChart>
        <c:barDir val="col"/>
        <c:grouping val="clustered"/>
        <c:varyColors val="0"/>
        <c:ser>
          <c:idx val="6"/>
          <c:order val="0"/>
          <c:tx>
            <c:strRef>
              <c:f>Parameters!$BA$5</c:f>
              <c:strCache>
                <c:ptCount val="1"/>
                <c:pt idx="0">
                  <c:v>High-side MOSFET Rdson %</c:v>
                </c:pt>
              </c:strCache>
            </c:strRef>
          </c:tx>
          <c:spPr>
            <a:solidFill>
              <a:srgbClr val="FF0000"/>
            </a:solidFill>
            <a:ln w="12700">
              <a:solidFill>
                <a:srgbClr val="000000"/>
              </a:solidFill>
              <a:prstDash val="solid"/>
            </a:ln>
          </c:spPr>
          <c:invertIfNegative val="0"/>
          <c:dLbls>
            <c:dLbl>
              <c:idx val="0"/>
              <c:tx>
                <c:rich>
                  <a:bodyPr/>
                  <a:lstStyle/>
                  <a:p>
                    <a:r>
                      <a:rPr lang="en-US"/>
                      <a:t>High-side MOSFET</a:t>
                    </a:r>
                  </a:p>
                  <a:p>
                    <a:r>
                      <a:rPr lang="en-US"/>
                      <a:t>Rdson</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AAF5-43F1-876A-5A34F7D62225}"/>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Parameters!$BA$108</c:f>
              <c:numCache>
                <c:formatCode>0.000%</c:formatCode>
                <c:ptCount val="1"/>
                <c:pt idx="0">
                  <c:v>3.6409104085968987E-3</c:v>
                </c:pt>
              </c:numCache>
            </c:numRef>
          </c:val>
          <c:extLst>
            <c:ext xmlns:c16="http://schemas.microsoft.com/office/drawing/2014/chart" uri="{C3380CC4-5D6E-409C-BE32-E72D297353CC}">
              <c16:uniqueId val="{00000001-AAF5-43F1-876A-5A34F7D62225}"/>
            </c:ext>
          </c:extLst>
        </c:ser>
        <c:ser>
          <c:idx val="5"/>
          <c:order val="1"/>
          <c:tx>
            <c:strRef>
              <c:f>Parameters!$BD$5</c:f>
              <c:strCache>
                <c:ptCount val="1"/>
                <c:pt idx="0">
                  <c:v>High-side MOSFET Switching Loss %</c:v>
                </c:pt>
              </c:strCache>
            </c:strRef>
          </c:tx>
          <c:spPr>
            <a:solidFill>
              <a:srgbClr val="0000FF"/>
            </a:solidFill>
            <a:ln w="12700">
              <a:solidFill>
                <a:srgbClr val="000000"/>
              </a:solidFill>
              <a:prstDash val="solid"/>
            </a:ln>
          </c:spPr>
          <c:invertIfNegative val="0"/>
          <c:dLbls>
            <c:dLbl>
              <c:idx val="0"/>
              <c:layout>
                <c:manualLayout>
                  <c:x val="-9.2081031307550637E-4"/>
                  <c:y val="-7.1813285457809741E-3"/>
                </c:manualLayout>
              </c:layout>
              <c:tx>
                <c:rich>
                  <a:bodyPr/>
                  <a:lstStyle/>
                  <a:p>
                    <a:r>
                      <a:rPr lang="en-US"/>
                      <a:t>High-side MOSFET</a:t>
                    </a:r>
                  </a:p>
                  <a:p>
                    <a:r>
                      <a:rPr lang="en-US"/>
                      <a:t>Switching</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AAF5-43F1-876A-5A34F7D62225}"/>
                </c:ext>
              </c:extLst>
            </c:dLbl>
            <c:spPr>
              <a:noFill/>
              <a:ln>
                <a:noFill/>
              </a:ln>
              <a:effectLst/>
            </c:spPr>
            <c:txPr>
              <a:bodyPr/>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Parameters!$BD$108</c:f>
              <c:numCache>
                <c:formatCode>0.000%</c:formatCode>
                <c:ptCount val="1"/>
                <c:pt idx="0">
                  <c:v>4.5907837520612008E-3</c:v>
                </c:pt>
              </c:numCache>
            </c:numRef>
          </c:val>
          <c:extLst>
            <c:ext xmlns:c16="http://schemas.microsoft.com/office/drawing/2014/chart" uri="{C3380CC4-5D6E-409C-BE32-E72D297353CC}">
              <c16:uniqueId val="{00000003-AAF5-43F1-876A-5A34F7D62225}"/>
            </c:ext>
          </c:extLst>
        </c:ser>
        <c:ser>
          <c:idx val="7"/>
          <c:order val="2"/>
          <c:tx>
            <c:strRef>
              <c:f>Parameters!$BB$5</c:f>
              <c:strCache>
                <c:ptCount val="1"/>
                <c:pt idx="0">
                  <c:v>Low-side MOSFET Rdson %</c:v>
                </c:pt>
              </c:strCache>
            </c:strRef>
          </c:tx>
          <c:spPr>
            <a:solidFill>
              <a:srgbClr val="FF6600"/>
            </a:solidFill>
            <a:ln w="12700">
              <a:solidFill>
                <a:srgbClr val="000000"/>
              </a:solidFill>
              <a:prstDash val="solid"/>
            </a:ln>
          </c:spPr>
          <c:invertIfNegative val="0"/>
          <c:dLbls>
            <c:dLbl>
              <c:idx val="0"/>
              <c:tx>
                <c:rich>
                  <a:bodyPr/>
                  <a:lstStyle/>
                  <a:p>
                    <a:r>
                      <a:rPr lang="en-US" sz="1200" b="1"/>
                      <a:t>L</a:t>
                    </a:r>
                    <a:r>
                      <a:rPr lang="en-US" sz="1200"/>
                      <a:t>ow-side MOSFET</a:t>
                    </a:r>
                  </a:p>
                  <a:p>
                    <a:r>
                      <a:rPr lang="en-US" sz="1200"/>
                      <a:t>Rdson</a:t>
                    </a:r>
                  </a:p>
                </c:rich>
              </c:tx>
              <c:dLblPos val="outEnd"/>
              <c:showLegendKey val="0"/>
              <c:showVal val="1"/>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AAF5-43F1-876A-5A34F7D62225}"/>
                </c:ext>
              </c:extLst>
            </c:dLbl>
            <c:spPr>
              <a:noFill/>
              <a:ln>
                <a:noFill/>
              </a:ln>
              <a:effectLst/>
            </c:spPr>
            <c:txPr>
              <a:bodyPr/>
              <a:lstStyle/>
              <a:p>
                <a:pPr>
                  <a:defRPr b="1"/>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val>
            <c:numRef>
              <c:f>Parameters!$BB$108</c:f>
              <c:numCache>
                <c:formatCode>0.000%</c:formatCode>
                <c:ptCount val="1"/>
                <c:pt idx="0">
                  <c:v>6.5692245841190103E-3</c:v>
                </c:pt>
              </c:numCache>
            </c:numRef>
          </c:val>
          <c:extLst>
            <c:ext xmlns:c16="http://schemas.microsoft.com/office/drawing/2014/chart" uri="{C3380CC4-5D6E-409C-BE32-E72D297353CC}">
              <c16:uniqueId val="{00000005-AAF5-43F1-876A-5A34F7D62225}"/>
            </c:ext>
          </c:extLst>
        </c:ser>
        <c:ser>
          <c:idx val="3"/>
          <c:order val="3"/>
          <c:tx>
            <c:strRef>
              <c:f>Parameters!$BF$5</c:f>
              <c:strCache>
                <c:ptCount val="1"/>
                <c:pt idx="0">
                  <c:v>Deadtime Loss %</c:v>
                </c:pt>
              </c:strCache>
            </c:strRef>
          </c:tx>
          <c:spPr>
            <a:solidFill>
              <a:srgbClr val="666699"/>
            </a:solidFill>
            <a:ln w="12700">
              <a:solidFill>
                <a:srgbClr val="000000"/>
              </a:solidFill>
              <a:prstDash val="solid"/>
            </a:ln>
          </c:spPr>
          <c:invertIfNegative val="0"/>
          <c:dLbls>
            <c:dLbl>
              <c:idx val="0"/>
              <c:layout>
                <c:manualLayout>
                  <c:x val="0"/>
                  <c:y val="-9.5751047277079695E-3"/>
                </c:manualLayout>
              </c:layout>
              <c:tx>
                <c:rich>
                  <a:bodyPr/>
                  <a:lstStyle/>
                  <a:p>
                    <a:r>
                      <a:rPr lang="en-US"/>
                      <a:t>Low-side MOSFET</a:t>
                    </a:r>
                  </a:p>
                  <a:p>
                    <a:r>
                      <a:rPr lang="en-US"/>
                      <a:t>Deadtime </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AAF5-43F1-876A-5A34F7D62225}"/>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Parameters!$BF$108</c:f>
              <c:numCache>
                <c:formatCode>0.000%</c:formatCode>
                <c:ptCount val="1"/>
                <c:pt idx="0">
                  <c:v>7.3751579484765363E-4</c:v>
                </c:pt>
              </c:numCache>
            </c:numRef>
          </c:val>
          <c:extLst>
            <c:ext xmlns:c16="http://schemas.microsoft.com/office/drawing/2014/chart" uri="{C3380CC4-5D6E-409C-BE32-E72D297353CC}">
              <c16:uniqueId val="{00000007-AAF5-43F1-876A-5A34F7D62225}"/>
            </c:ext>
          </c:extLst>
        </c:ser>
        <c:ser>
          <c:idx val="2"/>
          <c:order val="4"/>
          <c:tx>
            <c:strRef>
              <c:f>Parameters!$BC$5</c:f>
              <c:strCache>
                <c:ptCount val="1"/>
                <c:pt idx="0">
                  <c:v>Gate Drive (Qg) Loss from Vin %</c:v>
                </c:pt>
              </c:strCache>
            </c:strRef>
          </c:tx>
          <c:spPr>
            <a:solidFill>
              <a:srgbClr val="00FFFF"/>
            </a:solidFill>
            <a:ln w="12700">
              <a:solidFill>
                <a:srgbClr val="000000"/>
              </a:solidFill>
              <a:prstDash val="solid"/>
            </a:ln>
          </c:spPr>
          <c:invertIfNegative val="0"/>
          <c:dLbls>
            <c:dLbl>
              <c:idx val="0"/>
              <c:tx>
                <c:rich>
                  <a:bodyPr/>
                  <a:lstStyle/>
                  <a:p>
                    <a:r>
                      <a:rPr lang="en-US"/>
                      <a:t>Gate Drive (Qg)</a:t>
                    </a:r>
                  </a:p>
                  <a:p>
                    <a:r>
                      <a:rPr lang="en-US"/>
                      <a:t>Loss</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AF5-43F1-876A-5A34F7D62225}"/>
                </c:ext>
              </c:extLst>
            </c:dLbl>
            <c:spPr>
              <a:noFill/>
              <a:ln>
                <a:noFill/>
              </a:ln>
              <a:effectLst/>
            </c:spPr>
            <c:txPr>
              <a:bodyPr rot="0" vert="horz"/>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Parameters!$BC$108</c:f>
              <c:numCache>
                <c:formatCode>0.000%</c:formatCode>
                <c:ptCount val="1"/>
                <c:pt idx="0">
                  <c:v>5.4394694205683519E-2</c:v>
                </c:pt>
              </c:numCache>
            </c:numRef>
          </c:val>
          <c:extLst>
            <c:ext xmlns:c16="http://schemas.microsoft.com/office/drawing/2014/chart" uri="{C3380CC4-5D6E-409C-BE32-E72D297353CC}">
              <c16:uniqueId val="{00000009-AAF5-43F1-876A-5A34F7D62225}"/>
            </c:ext>
          </c:extLst>
        </c:ser>
        <c:ser>
          <c:idx val="1"/>
          <c:order val="5"/>
          <c:tx>
            <c:strRef>
              <c:f>Parameters!$BE$5</c:f>
              <c:strCache>
                <c:ptCount val="1"/>
                <c:pt idx="0">
                  <c:v>Reverse Recovery &amp; Leakage Loss %</c:v>
                </c:pt>
              </c:strCache>
            </c:strRef>
          </c:tx>
          <c:invertIfNegative val="0"/>
          <c:dLbls>
            <c:dLbl>
              <c:idx val="0"/>
              <c:tx>
                <c:rich>
                  <a:bodyPr/>
                  <a:lstStyle/>
                  <a:p>
                    <a:r>
                      <a:rPr lang="en-US" sz="1200" b="1"/>
                      <a:t>Reverse Recovery</a:t>
                    </a:r>
                  </a:p>
                  <a:p>
                    <a:r>
                      <a:rPr lang="en-US" sz="1200" b="1"/>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AAF5-43F1-876A-5A34F7D62225}"/>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Parameters!$BE$108</c:f>
              <c:numCache>
                <c:formatCode>0.000%</c:formatCode>
                <c:ptCount val="1"/>
                <c:pt idx="0">
                  <c:v>0</c:v>
                </c:pt>
              </c:numCache>
            </c:numRef>
          </c:val>
          <c:extLst>
            <c:ext xmlns:c16="http://schemas.microsoft.com/office/drawing/2014/chart" uri="{C3380CC4-5D6E-409C-BE32-E72D297353CC}">
              <c16:uniqueId val="{0000000B-AAF5-43F1-876A-5A34F7D62225}"/>
            </c:ext>
          </c:extLst>
        </c:ser>
        <c:ser>
          <c:idx val="8"/>
          <c:order val="6"/>
          <c:tx>
            <c:strRef>
              <c:f>Parameters!$BG$5</c:f>
              <c:strCache>
                <c:ptCount val="1"/>
                <c:pt idx="0">
                  <c:v>Inductor Cu Loss %</c:v>
                </c:pt>
              </c:strCache>
            </c:strRef>
          </c:tx>
          <c:spPr>
            <a:solidFill>
              <a:srgbClr val="00FF00"/>
            </a:solidFill>
            <a:ln w="12700">
              <a:solidFill>
                <a:srgbClr val="000000"/>
              </a:solidFill>
              <a:prstDash val="solid"/>
            </a:ln>
          </c:spPr>
          <c:invertIfNegative val="0"/>
          <c:dLbls>
            <c:dLbl>
              <c:idx val="0"/>
              <c:tx>
                <c:rich>
                  <a:bodyPr/>
                  <a:lstStyle/>
                  <a:p>
                    <a:r>
                      <a:rPr lang="en-US"/>
                      <a:t>Inductor DCR</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AAF5-43F1-876A-5A34F7D62225}"/>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Parameters!$BG$108</c:f>
              <c:numCache>
                <c:formatCode>0.000%</c:formatCode>
                <c:ptCount val="1"/>
                <c:pt idx="0">
                  <c:v>7.2151246180390156E-3</c:v>
                </c:pt>
              </c:numCache>
            </c:numRef>
          </c:val>
          <c:extLst>
            <c:ext xmlns:c16="http://schemas.microsoft.com/office/drawing/2014/chart" uri="{C3380CC4-5D6E-409C-BE32-E72D297353CC}">
              <c16:uniqueId val="{0000000D-AAF5-43F1-876A-5A34F7D62225}"/>
            </c:ext>
          </c:extLst>
        </c:ser>
        <c:ser>
          <c:idx val="4"/>
          <c:order val="7"/>
          <c:tx>
            <c:strRef>
              <c:f>Parameters!$BH$5</c:f>
              <c:strCache>
                <c:ptCount val="1"/>
                <c:pt idx="0">
                  <c:v>Inductor Core Loss %</c:v>
                </c:pt>
              </c:strCache>
            </c:strRef>
          </c:tx>
          <c:spPr>
            <a:solidFill>
              <a:srgbClr val="99CC00"/>
            </a:solidFill>
            <a:ln w="12700">
              <a:solidFill>
                <a:srgbClr val="000000"/>
              </a:solidFill>
              <a:prstDash val="solid"/>
            </a:ln>
          </c:spPr>
          <c:invertIfNegative val="0"/>
          <c:dLbls>
            <c:dLbl>
              <c:idx val="0"/>
              <c:tx>
                <c:rich>
                  <a:bodyPr/>
                  <a:lstStyle/>
                  <a:p>
                    <a:r>
                      <a:rPr lang="en-US"/>
                      <a:t>Inductor Core</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AAF5-43F1-876A-5A34F7D62225}"/>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Parameters!$BH$108</c:f>
              <c:numCache>
                <c:formatCode>0.000%</c:formatCode>
                <c:ptCount val="1"/>
                <c:pt idx="0">
                  <c:v>1.4929120352630757E-2</c:v>
                </c:pt>
              </c:numCache>
            </c:numRef>
          </c:val>
          <c:extLst>
            <c:ext xmlns:c16="http://schemas.microsoft.com/office/drawing/2014/chart" uri="{C3380CC4-5D6E-409C-BE32-E72D297353CC}">
              <c16:uniqueId val="{0000000F-AAF5-43F1-876A-5A34F7D62225}"/>
            </c:ext>
          </c:extLst>
        </c:ser>
        <c:ser>
          <c:idx val="0"/>
          <c:order val="8"/>
          <c:tx>
            <c:strRef>
              <c:f>Parameters!$BJ$5</c:f>
              <c:strCache>
                <c:ptCount val="1"/>
                <c:pt idx="0">
                  <c:v>Quiescent Current Loss %</c:v>
                </c:pt>
              </c:strCache>
            </c:strRef>
          </c:tx>
          <c:invertIfNegative val="0"/>
          <c:dLbls>
            <c:dLbl>
              <c:idx val="0"/>
              <c:tx>
                <c:rich>
                  <a:bodyPr/>
                  <a:lstStyle/>
                  <a:p>
                    <a:r>
                      <a:rPr lang="en-US"/>
                      <a:t>Quiescent Current</a:t>
                    </a:r>
                  </a:p>
                  <a:p>
                    <a:r>
                      <a:rPr lang="en-US"/>
                      <a:t>Loss </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AAF5-43F1-876A-5A34F7D62225}"/>
                </c:ext>
              </c:extLst>
            </c:dLbl>
            <c:numFmt formatCode="0.0E+00" sourceLinked="0"/>
            <c:spPr>
              <a:noFill/>
            </c:spPr>
            <c:txPr>
              <a:bodyPr rot="0" vert="horz" anchor="ctr" anchorCtr="0"/>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Parameters!$BJ$108</c:f>
              <c:numCache>
                <c:formatCode>0.000%</c:formatCode>
                <c:ptCount val="1"/>
                <c:pt idx="0">
                  <c:v>8.2551506228875166E-2</c:v>
                </c:pt>
              </c:numCache>
            </c:numRef>
          </c:val>
          <c:extLst>
            <c:ext xmlns:c16="http://schemas.microsoft.com/office/drawing/2014/chart" uri="{C3380CC4-5D6E-409C-BE32-E72D297353CC}">
              <c16:uniqueId val="{00000011-AAF5-43F1-876A-5A34F7D62225}"/>
            </c:ext>
          </c:extLst>
        </c:ser>
        <c:dLbls>
          <c:showLegendKey val="0"/>
          <c:showVal val="0"/>
          <c:showCatName val="0"/>
          <c:showSerName val="0"/>
          <c:showPercent val="0"/>
          <c:showBubbleSize val="0"/>
        </c:dLbls>
        <c:gapWidth val="101"/>
        <c:overlap val="-70"/>
        <c:axId val="185166848"/>
        <c:axId val="185189120"/>
      </c:barChart>
      <c:catAx>
        <c:axId val="185166848"/>
        <c:scaling>
          <c:orientation val="minMax"/>
        </c:scaling>
        <c:delete val="0"/>
        <c:axPos val="b"/>
        <c:numFmt formatCode="General" sourceLinked="1"/>
        <c:majorTickMark val="none"/>
        <c:minorTickMark val="none"/>
        <c:tickLblPos val="none"/>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85189120"/>
        <c:crossesAt val="0"/>
        <c:auto val="1"/>
        <c:lblAlgn val="ctr"/>
        <c:lblOffset val="100"/>
        <c:noMultiLvlLbl val="0"/>
      </c:catAx>
      <c:valAx>
        <c:axId val="185189120"/>
        <c:scaling>
          <c:orientation val="minMax"/>
          <c:min val="0"/>
        </c:scaling>
        <c:delete val="0"/>
        <c:axPos val="l"/>
        <c:majorGridlines>
          <c:spPr>
            <a:ln>
              <a:prstDash val="lgDash"/>
            </a:ln>
          </c:spPr>
        </c:majorGridlines>
        <c:title>
          <c:tx>
            <c:rich>
              <a:bodyPr/>
              <a:lstStyle/>
              <a:p>
                <a:pPr>
                  <a:defRPr b="1"/>
                </a:pPr>
                <a:r>
                  <a:rPr lang="en-US" b="1"/>
                  <a:t>Loss</a:t>
                </a:r>
                <a:r>
                  <a:rPr lang="en-US" b="1" baseline="0"/>
                  <a:t> Contributors</a:t>
                </a:r>
                <a:endParaRPr lang="en-US" b="1"/>
              </a:p>
            </c:rich>
          </c:tx>
          <c:layout>
            <c:manualLayout>
              <c:xMode val="edge"/>
              <c:yMode val="edge"/>
              <c:x val="9.9337306593581982E-3"/>
              <c:y val="0.30210944457795558"/>
            </c:manualLayout>
          </c:layout>
          <c:overlay val="0"/>
        </c:title>
        <c:numFmt formatCode="0.0%" sourceLinked="0"/>
        <c:majorTickMark val="out"/>
        <c:minorTickMark val="out"/>
        <c:tickLblPos val="low"/>
        <c:crossAx val="185166848"/>
        <c:crosses val="autoZero"/>
        <c:crossBetween val="between"/>
      </c:valAx>
      <c:spPr>
        <a:solidFill>
          <a:schemeClr val="bg1">
            <a:lumMod val="95000"/>
          </a:schemeClr>
        </a:solidFill>
        <a:ln w="25400">
          <a:noFill/>
        </a:ln>
      </c:spPr>
    </c:plotArea>
    <c:plotVisOnly val="1"/>
    <c:dispBlanksAs val="zero"/>
    <c:showDLblsOverMax val="0"/>
  </c:chart>
  <c:spPr>
    <a:solidFill>
      <a:srgbClr val="FFFFFF"/>
    </a:solidFill>
    <a:ln w="3175">
      <a:no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3132914835E-2"/>
          <c:y val="0.12133523343001466"/>
          <c:w val="0.80670936294253548"/>
          <c:h val="0.7558980268938309"/>
        </c:manualLayout>
      </c:layout>
      <c:lineChart>
        <c:grouping val="standard"/>
        <c:varyColors val="0"/>
        <c:ser>
          <c:idx val="1"/>
          <c:order val="0"/>
          <c:tx>
            <c:v>VIN-min</c:v>
          </c:tx>
          <c:spPr>
            <a:ln w="19050">
              <a:solidFill>
                <a:srgbClr val="00B050"/>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Single'!$AN$110:$AN$210</c:f>
              <c:numCache>
                <c:formatCode>0.0</c:formatCode>
                <c:ptCount val="101"/>
                <c:pt idx="0">
                  <c:v>12</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347.36533118781767</c:v>
                </c:pt>
                <c:pt idx="43">
                  <c:v>339.287067671822</c:v>
                </c:pt>
                <c:pt idx="44">
                  <c:v>331.57599795200781</c:v>
                </c:pt>
                <c:pt idx="45">
                  <c:v>324.20764244196317</c:v>
                </c:pt>
                <c:pt idx="46">
                  <c:v>317.15965021496402</c:v>
                </c:pt>
                <c:pt idx="47">
                  <c:v>310.41157255081589</c:v>
                </c:pt>
                <c:pt idx="48">
                  <c:v>303.94466478934049</c:v>
                </c:pt>
                <c:pt idx="49">
                  <c:v>297.74171244670094</c:v>
                </c:pt>
                <c:pt idx="50">
                  <c:v>291.7868781977669</c:v>
                </c:pt>
                <c:pt idx="51">
                  <c:v>286.0655668605558</c:v>
                </c:pt>
                <c:pt idx="52">
                  <c:v>280.56430595939122</c:v>
                </c:pt>
                <c:pt idx="53">
                  <c:v>275.270639809214</c:v>
                </c:pt>
                <c:pt idx="54">
                  <c:v>270.17303536830269</c:v>
                </c:pt>
                <c:pt idx="55">
                  <c:v>265.26079836160625</c:v>
                </c:pt>
                <c:pt idx="56">
                  <c:v>260.52399839086331</c:v>
                </c:pt>
                <c:pt idx="57">
                  <c:v>255.95340192786574</c:v>
                </c:pt>
                <c:pt idx="58">
                  <c:v>251.54041223945421</c:v>
                </c:pt>
                <c:pt idx="59">
                  <c:v>247.27701542183641</c:v>
                </c:pt>
                <c:pt idx="60">
                  <c:v>243.15573183147242</c:v>
                </c:pt>
                <c:pt idx="61">
                  <c:v>239.16957229325155</c:v>
                </c:pt>
                <c:pt idx="62">
                  <c:v>235.31199854658621</c:v>
                </c:pt>
                <c:pt idx="63">
                  <c:v>231.57688745854514</c:v>
                </c:pt>
                <c:pt idx="64">
                  <c:v>227.95849859200541</c:v>
                </c:pt>
                <c:pt idx="65">
                  <c:v>224.45144476751301</c:v>
                </c:pt>
                <c:pt idx="66">
                  <c:v>221.05066530133851</c:v>
                </c:pt>
                <c:pt idx="67">
                  <c:v>217.75140164012456</c:v>
                </c:pt>
                <c:pt idx="68">
                  <c:v>214.54917514541685</c:v>
                </c:pt>
                <c:pt idx="69">
                  <c:v>211.43976680997602</c:v>
                </c:pt>
                <c:pt idx="70">
                  <c:v>208.41919871269064</c:v>
                </c:pt>
                <c:pt idx="71">
                  <c:v>205.48371704068092</c:v>
                </c:pt>
                <c:pt idx="72">
                  <c:v>202.629776526227</c:v>
                </c:pt>
                <c:pt idx="73">
                  <c:v>199.85402616285404</c:v>
                </c:pt>
                <c:pt idx="74">
                  <c:v>197.15329607957227</c:v>
                </c:pt>
                <c:pt idx="75">
                  <c:v>194.52458546517789</c:v>
                </c:pt>
                <c:pt idx="76">
                  <c:v>191.96505144589929</c:v>
                </c:pt>
                <c:pt idx="77">
                  <c:v>189.4719988297187</c:v>
                </c:pt>
                <c:pt idx="78">
                  <c:v>187.0428706395941</c:v>
                </c:pt>
                <c:pt idx="79">
                  <c:v>184.67523936567522</c:v>
                </c:pt>
                <c:pt idx="80">
                  <c:v>182.36679887360427</c:v>
                </c:pt>
                <c:pt idx="81">
                  <c:v>180.11535691220178</c:v>
                </c:pt>
                <c:pt idx="82">
                  <c:v>177.91882816937004</c:v>
                </c:pt>
                <c:pt idx="83">
                  <c:v>175.77522782998003</c:v>
                </c:pt>
                <c:pt idx="84">
                  <c:v>173.68266559390884</c:v>
                </c:pt>
                <c:pt idx="85">
                  <c:v>171.63934011633341</c:v>
                </c:pt>
                <c:pt idx="86">
                  <c:v>169.643533835911</c:v>
                </c:pt>
                <c:pt idx="87">
                  <c:v>167.69360815963617</c:v>
                </c:pt>
                <c:pt idx="88">
                  <c:v>165.78799897600391</c:v>
                </c:pt>
                <c:pt idx="89">
                  <c:v>163.92521247065554</c:v>
                </c:pt>
                <c:pt idx="90">
                  <c:v>162.10382122098159</c:v>
                </c:pt>
                <c:pt idx="91">
                  <c:v>160.32246054822355</c:v>
                </c:pt>
                <c:pt idx="92">
                  <c:v>158.57982510748201</c:v>
                </c:pt>
                <c:pt idx="93">
                  <c:v>156.87466569772411</c:v>
                </c:pt>
                <c:pt idx="94">
                  <c:v>155.20578627540795</c:v>
                </c:pt>
                <c:pt idx="95">
                  <c:v>153.57204115671942</c:v>
                </c:pt>
                <c:pt idx="96">
                  <c:v>151.97233239467025</c:v>
                </c:pt>
                <c:pt idx="97">
                  <c:v>150.40560731843655</c:v>
                </c:pt>
                <c:pt idx="98">
                  <c:v>148.87085622335047</c:v>
                </c:pt>
                <c:pt idx="99">
                  <c:v>147.36711020089237</c:v>
                </c:pt>
                <c:pt idx="100">
                  <c:v>145.89343909888345</c:v>
                </c:pt>
              </c:numCache>
            </c:numRef>
          </c:val>
          <c:smooth val="0"/>
          <c:extLst>
            <c:ext xmlns:c16="http://schemas.microsoft.com/office/drawing/2014/chart" uri="{C3380CC4-5D6E-409C-BE32-E72D297353CC}">
              <c16:uniqueId val="{00000000-9656-4836-B2B8-6CD139011F53}"/>
            </c:ext>
          </c:extLst>
        </c:ser>
        <c:ser>
          <c:idx val="0"/>
          <c:order val="1"/>
          <c:tx>
            <c:v>VIN-nom</c:v>
          </c:tx>
          <c:spPr>
            <a:ln w="19050">
              <a:solidFill>
                <a:srgbClr val="FF0000"/>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Single'!$AN$5:$AN$105</c:f>
              <c:numCache>
                <c:formatCode>0.0</c:formatCode>
                <c:ptCount val="101"/>
                <c:pt idx="0">
                  <c:v>12</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350</c:v>
                </c:pt>
                <c:pt idx="55">
                  <c:v>350</c:v>
                </c:pt>
                <c:pt idx="56">
                  <c:v>350</c:v>
                </c:pt>
                <c:pt idx="57">
                  <c:v>350</c:v>
                </c:pt>
                <c:pt idx="58">
                  <c:v>350</c:v>
                </c:pt>
                <c:pt idx="59">
                  <c:v>350</c:v>
                </c:pt>
                <c:pt idx="60">
                  <c:v>350</c:v>
                </c:pt>
                <c:pt idx="61">
                  <c:v>350</c:v>
                </c:pt>
                <c:pt idx="62">
                  <c:v>350</c:v>
                </c:pt>
                <c:pt idx="63">
                  <c:v>350</c:v>
                </c:pt>
                <c:pt idx="64">
                  <c:v>350</c:v>
                </c:pt>
                <c:pt idx="65">
                  <c:v>350</c:v>
                </c:pt>
                <c:pt idx="66">
                  <c:v>350</c:v>
                </c:pt>
                <c:pt idx="67">
                  <c:v>350</c:v>
                </c:pt>
                <c:pt idx="68">
                  <c:v>350</c:v>
                </c:pt>
                <c:pt idx="69">
                  <c:v>350</c:v>
                </c:pt>
                <c:pt idx="70">
                  <c:v>350</c:v>
                </c:pt>
                <c:pt idx="71">
                  <c:v>350</c:v>
                </c:pt>
                <c:pt idx="72">
                  <c:v>350</c:v>
                </c:pt>
                <c:pt idx="73">
                  <c:v>350</c:v>
                </c:pt>
                <c:pt idx="74">
                  <c:v>350</c:v>
                </c:pt>
                <c:pt idx="75">
                  <c:v>350</c:v>
                </c:pt>
                <c:pt idx="76">
                  <c:v>350</c:v>
                </c:pt>
                <c:pt idx="77">
                  <c:v>350</c:v>
                </c:pt>
                <c:pt idx="78">
                  <c:v>350</c:v>
                </c:pt>
                <c:pt idx="79">
                  <c:v>350</c:v>
                </c:pt>
                <c:pt idx="80">
                  <c:v>350</c:v>
                </c:pt>
                <c:pt idx="81">
                  <c:v>350</c:v>
                </c:pt>
                <c:pt idx="82">
                  <c:v>350</c:v>
                </c:pt>
                <c:pt idx="83">
                  <c:v>350</c:v>
                </c:pt>
                <c:pt idx="84">
                  <c:v>350</c:v>
                </c:pt>
                <c:pt idx="85">
                  <c:v>350</c:v>
                </c:pt>
                <c:pt idx="86">
                  <c:v>350</c:v>
                </c:pt>
                <c:pt idx="87">
                  <c:v>350</c:v>
                </c:pt>
                <c:pt idx="88">
                  <c:v>350</c:v>
                </c:pt>
                <c:pt idx="89">
                  <c:v>350</c:v>
                </c:pt>
                <c:pt idx="90">
                  <c:v>350</c:v>
                </c:pt>
                <c:pt idx="91">
                  <c:v>350</c:v>
                </c:pt>
                <c:pt idx="92">
                  <c:v>350</c:v>
                </c:pt>
                <c:pt idx="93">
                  <c:v>350</c:v>
                </c:pt>
                <c:pt idx="94">
                  <c:v>350</c:v>
                </c:pt>
                <c:pt idx="95">
                  <c:v>350</c:v>
                </c:pt>
                <c:pt idx="96">
                  <c:v>350</c:v>
                </c:pt>
                <c:pt idx="97">
                  <c:v>350</c:v>
                </c:pt>
                <c:pt idx="98">
                  <c:v>350</c:v>
                </c:pt>
                <c:pt idx="99">
                  <c:v>350</c:v>
                </c:pt>
                <c:pt idx="100">
                  <c:v>350</c:v>
                </c:pt>
              </c:numCache>
            </c:numRef>
          </c:val>
          <c:smooth val="0"/>
          <c:extLst>
            <c:ext xmlns:c16="http://schemas.microsoft.com/office/drawing/2014/chart" uri="{C3380CC4-5D6E-409C-BE32-E72D297353CC}">
              <c16:uniqueId val="{00000001-9656-4836-B2B8-6CD139011F53}"/>
            </c:ext>
          </c:extLst>
        </c:ser>
        <c:ser>
          <c:idx val="2"/>
          <c:order val="2"/>
          <c:tx>
            <c:v>VIN-max</c:v>
          </c:tx>
          <c:spPr>
            <a:ln w="19050">
              <a:solidFill>
                <a:srgbClr val="0000FF"/>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Single'!$AN$216:$AN$316</c:f>
              <c:numCache>
                <c:formatCode>0.0</c:formatCode>
                <c:ptCount val="101"/>
                <c:pt idx="0">
                  <c:v>12</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350</c:v>
                </c:pt>
                <c:pt idx="55">
                  <c:v>350</c:v>
                </c:pt>
                <c:pt idx="56">
                  <c:v>350</c:v>
                </c:pt>
                <c:pt idx="57">
                  <c:v>350</c:v>
                </c:pt>
                <c:pt idx="58">
                  <c:v>350</c:v>
                </c:pt>
                <c:pt idx="59">
                  <c:v>350</c:v>
                </c:pt>
                <c:pt idx="60">
                  <c:v>350</c:v>
                </c:pt>
                <c:pt idx="61">
                  <c:v>350</c:v>
                </c:pt>
                <c:pt idx="62">
                  <c:v>350</c:v>
                </c:pt>
                <c:pt idx="63">
                  <c:v>350</c:v>
                </c:pt>
                <c:pt idx="64">
                  <c:v>350</c:v>
                </c:pt>
                <c:pt idx="65">
                  <c:v>350</c:v>
                </c:pt>
                <c:pt idx="66">
                  <c:v>350</c:v>
                </c:pt>
                <c:pt idx="67">
                  <c:v>350</c:v>
                </c:pt>
                <c:pt idx="68">
                  <c:v>350</c:v>
                </c:pt>
                <c:pt idx="69">
                  <c:v>350</c:v>
                </c:pt>
                <c:pt idx="70">
                  <c:v>350</c:v>
                </c:pt>
                <c:pt idx="71">
                  <c:v>350</c:v>
                </c:pt>
                <c:pt idx="72">
                  <c:v>350</c:v>
                </c:pt>
                <c:pt idx="73">
                  <c:v>350</c:v>
                </c:pt>
                <c:pt idx="74">
                  <c:v>350</c:v>
                </c:pt>
                <c:pt idx="75">
                  <c:v>350</c:v>
                </c:pt>
                <c:pt idx="76">
                  <c:v>350</c:v>
                </c:pt>
                <c:pt idx="77">
                  <c:v>350</c:v>
                </c:pt>
                <c:pt idx="78">
                  <c:v>350</c:v>
                </c:pt>
                <c:pt idx="79">
                  <c:v>350</c:v>
                </c:pt>
                <c:pt idx="80">
                  <c:v>350</c:v>
                </c:pt>
                <c:pt idx="81">
                  <c:v>350</c:v>
                </c:pt>
                <c:pt idx="82">
                  <c:v>350</c:v>
                </c:pt>
                <c:pt idx="83">
                  <c:v>350</c:v>
                </c:pt>
                <c:pt idx="84">
                  <c:v>350</c:v>
                </c:pt>
                <c:pt idx="85">
                  <c:v>350</c:v>
                </c:pt>
                <c:pt idx="86">
                  <c:v>350</c:v>
                </c:pt>
                <c:pt idx="87">
                  <c:v>350</c:v>
                </c:pt>
                <c:pt idx="88">
                  <c:v>350</c:v>
                </c:pt>
                <c:pt idx="89">
                  <c:v>350</c:v>
                </c:pt>
                <c:pt idx="90">
                  <c:v>350</c:v>
                </c:pt>
                <c:pt idx="91">
                  <c:v>350</c:v>
                </c:pt>
                <c:pt idx="92">
                  <c:v>350</c:v>
                </c:pt>
                <c:pt idx="93">
                  <c:v>350</c:v>
                </c:pt>
                <c:pt idx="94">
                  <c:v>350</c:v>
                </c:pt>
                <c:pt idx="95">
                  <c:v>350</c:v>
                </c:pt>
                <c:pt idx="96">
                  <c:v>350</c:v>
                </c:pt>
                <c:pt idx="97">
                  <c:v>350</c:v>
                </c:pt>
                <c:pt idx="98">
                  <c:v>350</c:v>
                </c:pt>
                <c:pt idx="99">
                  <c:v>350</c:v>
                </c:pt>
                <c:pt idx="100">
                  <c:v>350</c:v>
                </c:pt>
              </c:numCache>
            </c:numRef>
          </c:val>
          <c:smooth val="0"/>
          <c:extLst>
            <c:ext xmlns:c16="http://schemas.microsoft.com/office/drawing/2014/chart" uri="{C3380CC4-5D6E-409C-BE32-E72D297353CC}">
              <c16:uniqueId val="{00000002-9656-4836-B2B8-6CD139011F53}"/>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Single'!$CG$110:$CG$210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9656-4836-B2B8-6CD139011F53}"/>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Single'!$CG$5:$CG$105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9656-4836-B2B8-6CD139011F53}"/>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Single'!$CG$216:$CG$316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9656-4836-B2B8-6CD139011F53}"/>
            </c:ext>
          </c:extLst>
        </c:ser>
        <c:dLbls>
          <c:showLegendKey val="0"/>
          <c:showVal val="0"/>
          <c:showCatName val="0"/>
          <c:showSerName val="0"/>
          <c:showPercent val="0"/>
          <c:showBubbleSize val="0"/>
        </c:dLbls>
        <c:marker val="1"/>
        <c:smooth val="0"/>
        <c:axId val="561510656"/>
        <c:axId val="561529216"/>
      </c:lineChart>
      <c:lineChart>
        <c:grouping val="standard"/>
        <c:varyColors val="0"/>
        <c:ser>
          <c:idx val="6"/>
          <c:order val="6"/>
          <c:spPr>
            <a:ln w="31750">
              <a:solidFill>
                <a:srgbClr val="FF0000"/>
              </a:solidFill>
            </a:ln>
          </c:spPr>
          <c:marker>
            <c:symbol val="none"/>
          </c:marker>
          <c:val>
            <c:numRef>
              <c:f>'Calculations - Single'!$AW$5:$AW$105</c:f>
              <c:numCache>
                <c:formatCode>0.000</c:formatCode>
                <c:ptCount val="101"/>
                <c:pt idx="0">
                  <c:v>5.4000000000000003E-3</c:v>
                </c:pt>
                <c:pt idx="1">
                  <c:v>1.354666666666667E-2</c:v>
                </c:pt>
                <c:pt idx="2">
                  <c:v>2.7093333333333341E-2</c:v>
                </c:pt>
                <c:pt idx="3">
                  <c:v>4.0640000000000003E-2</c:v>
                </c:pt>
                <c:pt idx="4">
                  <c:v>5.4186666666666682E-2</c:v>
                </c:pt>
                <c:pt idx="5">
                  <c:v>6.7733333333333354E-2</c:v>
                </c:pt>
                <c:pt idx="6">
                  <c:v>8.1280000000000005E-2</c:v>
                </c:pt>
                <c:pt idx="7">
                  <c:v>9.4826666666666698E-2</c:v>
                </c:pt>
                <c:pt idx="8">
                  <c:v>0.10837333333333336</c:v>
                </c:pt>
                <c:pt idx="9">
                  <c:v>0.12192000000000003</c:v>
                </c:pt>
                <c:pt idx="10">
                  <c:v>0.13546666666666671</c:v>
                </c:pt>
                <c:pt idx="11">
                  <c:v>0.15278339659437426</c:v>
                </c:pt>
                <c:pt idx="12">
                  <c:v>0.16866534913846412</c:v>
                </c:pt>
                <c:pt idx="13">
                  <c:v>0.17555246129481258</c:v>
                </c:pt>
                <c:pt idx="14">
                  <c:v>0.18217939876213593</c:v>
                </c:pt>
                <c:pt idx="15">
                  <c:v>0.18857359306117066</c:v>
                </c:pt>
                <c:pt idx="16">
                  <c:v>0.19475796945610899</c:v>
                </c:pt>
                <c:pt idx="17">
                  <c:v>0.20075191987458885</c:v>
                </c:pt>
                <c:pt idx="18">
                  <c:v>0.20657202133880567</c:v>
                </c:pt>
                <c:pt idx="19">
                  <c:v>0.21223257682709001</c:v>
                </c:pt>
                <c:pt idx="20">
                  <c:v>0.21774602943184376</c:v>
                </c:pt>
                <c:pt idx="21">
                  <c:v>0.22312328430712922</c:v>
                </c:pt>
                <c:pt idx="22">
                  <c:v>0.22837396232203591</c:v>
                </c:pt>
                <c:pt idx="23">
                  <c:v>0.23350660233349577</c:v>
                </c:pt>
                <c:pt idx="24">
                  <c:v>0.2385288242540092</c:v>
                </c:pt>
                <c:pt idx="25">
                  <c:v>0.24344746182013619</c:v>
                </c:pt>
                <c:pt idx="26">
                  <c:v>0.24826867167110178</c:v>
                </c:pt>
                <c:pt idx="27">
                  <c:v>0.2529980237076962</c:v>
                </c:pt>
                <c:pt idx="28">
                  <c:v>0.25764057651438887</c:v>
                </c:pt>
                <c:pt idx="29">
                  <c:v>0.26220094075600364</c:v>
                </c:pt>
                <c:pt idx="30">
                  <c:v>0.26668333281253254</c:v>
                </c:pt>
                <c:pt idx="31">
                  <c:v>0.27109162042871537</c:v>
                </c:pt>
                <c:pt idx="32">
                  <c:v>0.27542936178507427</c:v>
                </c:pt>
                <c:pt idx="33">
                  <c:v>0.27969983911328949</c:v>
                </c:pt>
                <c:pt idx="34">
                  <c:v>0.28390608775908044</c:v>
                </c:pt>
                <c:pt idx="35">
                  <c:v>0.28805092142420469</c:v>
                </c:pt>
                <c:pt idx="36">
                  <c:v>0.29213695418416347</c:v>
                </c:pt>
                <c:pt idx="37">
                  <c:v>0.29616661977114617</c:v>
                </c:pt>
                <c:pt idx="38">
                  <c:v>0.30014218852626062</c:v>
                </c:pt>
                <c:pt idx="39">
                  <c:v>0.30406578235638421</c:v>
                </c:pt>
                <c:pt idx="40">
                  <c:v>0.30793938797540449</c:v>
                </c:pt>
                <c:pt idx="41">
                  <c:v>0.31176486866440439</c:v>
                </c:pt>
                <c:pt idx="42">
                  <c:v>0.31554397474837004</c:v>
                </c:pt>
                <c:pt idx="43">
                  <c:v>0.3192783529565803</c:v>
                </c:pt>
                <c:pt idx="44">
                  <c:v>0.32296955480870532</c:v>
                </c:pt>
                <c:pt idx="45">
                  <c:v>0.32661904414776555</c:v>
                </c:pt>
                <c:pt idx="46">
                  <c:v>0.33022820392369073</c:v>
                </c:pt>
                <c:pt idx="47">
                  <c:v>0.33379834231663486</c:v>
                </c:pt>
                <c:pt idx="48">
                  <c:v>0.33733069827692824</c:v>
                </c:pt>
                <c:pt idx="49">
                  <c:v>0.34082644654819072</c:v>
                </c:pt>
                <c:pt idx="50">
                  <c:v>0.34428670223134289</c:v>
                </c:pt>
                <c:pt idx="51">
                  <c:v>0.34771252493978411</c:v>
                </c:pt>
                <c:pt idx="52">
                  <c:v>0.35110492258962517</c:v>
                </c:pt>
                <c:pt idx="53">
                  <c:v>0.35446485486340307</c:v>
                </c:pt>
                <c:pt idx="54">
                  <c:v>0.35779323638101379</c:v>
                </c:pt>
                <c:pt idx="55">
                  <c:v>0.36109093960755473</c:v>
                </c:pt>
                <c:pt idx="56">
                  <c:v>0.36435879752427186</c:v>
                </c:pt>
                <c:pt idx="57">
                  <c:v>0.36759760608578507</c:v>
                </c:pt>
                <c:pt idx="58">
                  <c:v>0.37080812648412481</c:v>
                </c:pt>
                <c:pt idx="59">
                  <c:v>0.37399108723782892</c:v>
                </c:pt>
                <c:pt idx="60">
                  <c:v>0.37714718612234133</c:v>
                </c:pt>
                <c:pt idx="61">
                  <c:v>0.38027709195620329</c:v>
                </c:pt>
                <c:pt idx="62">
                  <c:v>0.38338144625598841</c:v>
                </c:pt>
                <c:pt idx="63">
                  <c:v>0.3864608647715832</c:v>
                </c:pt>
                <c:pt idx="64">
                  <c:v>0.38951593891221797</c:v>
                </c:pt>
                <c:pt idx="65">
                  <c:v>0.39254723707260164</c:v>
                </c:pt>
                <c:pt idx="66">
                  <c:v>0.39555530586758664</c:v>
                </c:pt>
                <c:pt idx="67">
                  <c:v>0.3985406712829529</c:v>
                </c:pt>
                <c:pt idx="68">
                  <c:v>0.40150383974917769</c:v>
                </c:pt>
                <c:pt idx="69">
                  <c:v>0.40444529914439603</c:v>
                </c:pt>
                <c:pt idx="70">
                  <c:v>0.40736551973217694</c:v>
                </c:pt>
                <c:pt idx="71">
                  <c:v>0.41026495503922022</c:v>
                </c:pt>
                <c:pt idx="72">
                  <c:v>0.41314404267761135</c:v>
                </c:pt>
                <c:pt idx="73">
                  <c:v>0.41600320511585809</c:v>
                </c:pt>
                <c:pt idx="74">
                  <c:v>0.41884285040255054</c:v>
                </c:pt>
                <c:pt idx="75">
                  <c:v>0.42166337284616029</c:v>
                </c:pt>
                <c:pt idx="76">
                  <c:v>0.42446515365418003</c:v>
                </c:pt>
                <c:pt idx="77">
                  <c:v>0.42724856153453972</c:v>
                </c:pt>
                <c:pt idx="78">
                  <c:v>0.43001395326198438</c:v>
                </c:pt>
                <c:pt idx="79">
                  <c:v>0.432761674211877</c:v>
                </c:pt>
                <c:pt idx="80">
                  <c:v>0.43549205886368753</c:v>
                </c:pt>
                <c:pt idx="81">
                  <c:v>0.43820543127624506</c:v>
                </c:pt>
                <c:pt idx="82">
                  <c:v>0.44090210553666753</c:v>
                </c:pt>
                <c:pt idx="83">
                  <c:v>0.44358238618472362</c:v>
                </c:pt>
                <c:pt idx="84">
                  <c:v>0.44624656861425843</c:v>
                </c:pt>
                <c:pt idx="85">
                  <c:v>0.44889493945317166</c:v>
                </c:pt>
                <c:pt idx="86">
                  <c:v>0.4515277769233399</c:v>
                </c:pt>
                <c:pt idx="87">
                  <c:v>0.45414535118175553</c:v>
                </c:pt>
                <c:pt idx="88">
                  <c:v>0.45674792464407182</c:v>
                </c:pt>
                <c:pt idx="89">
                  <c:v>0.45933575229164714</c:v>
                </c:pt>
                <c:pt idx="90">
                  <c:v>0.4619090819631067</c:v>
                </c:pt>
                <c:pt idx="91">
                  <c:v>0.4644681546313662</c:v>
                </c:pt>
                <c:pt idx="92">
                  <c:v>0.46701320466699153</c:v>
                </c:pt>
                <c:pt idx="93">
                  <c:v>0.46954446008871198</c:v>
                </c:pt>
                <c:pt idx="94">
                  <c:v>0.47206214280184194</c:v>
                </c:pt>
                <c:pt idx="95">
                  <c:v>0.47456646882531994</c:v>
                </c:pt>
                <c:pt idx="96">
                  <c:v>0.47705764850801841</c:v>
                </c:pt>
                <c:pt idx="97">
                  <c:v>0.47953588673494157</c:v>
                </c:pt>
                <c:pt idx="98">
                  <c:v>0.48200138312388002</c:v>
                </c:pt>
                <c:pt idx="99">
                  <c:v>0.48445433221305806</c:v>
                </c:pt>
                <c:pt idx="100">
                  <c:v>0.48689492364027237</c:v>
                </c:pt>
              </c:numCache>
            </c:numRef>
          </c:val>
          <c:smooth val="0"/>
          <c:extLst>
            <c:ext xmlns:c16="http://schemas.microsoft.com/office/drawing/2014/chart" uri="{C3380CC4-5D6E-409C-BE32-E72D297353CC}">
              <c16:uniqueId val="{00000006-9656-4836-B2B8-6CD139011F53}"/>
            </c:ext>
          </c:extLst>
        </c:ser>
        <c:ser>
          <c:idx val="7"/>
          <c:order val="7"/>
          <c:spPr>
            <a:ln w="31750">
              <a:solidFill>
                <a:srgbClr val="00B050"/>
              </a:solidFill>
            </a:ln>
          </c:spPr>
          <c:marker>
            <c:symbol val="none"/>
          </c:marker>
          <c:val>
            <c:numRef>
              <c:f>'Calculations - Single'!$AW$110:$AW$210</c:f>
              <c:numCache>
                <c:formatCode>0.000</c:formatCode>
                <c:ptCount val="101"/>
                <c:pt idx="0">
                  <c:v>1.2E-2</c:v>
                </c:pt>
                <c:pt idx="1">
                  <c:v>3.0103703703703709E-2</c:v>
                </c:pt>
                <c:pt idx="2">
                  <c:v>6.0207407407407418E-2</c:v>
                </c:pt>
                <c:pt idx="3">
                  <c:v>9.031111111111112E-2</c:v>
                </c:pt>
                <c:pt idx="4">
                  <c:v>0.12041481481481484</c:v>
                </c:pt>
                <c:pt idx="5">
                  <c:v>0.15051851851851858</c:v>
                </c:pt>
                <c:pt idx="6">
                  <c:v>0.18062222222222224</c:v>
                </c:pt>
                <c:pt idx="7">
                  <c:v>0.21072592592592601</c:v>
                </c:pt>
                <c:pt idx="8">
                  <c:v>0.24082962962962967</c:v>
                </c:pt>
                <c:pt idx="9">
                  <c:v>0.27093333333333341</c:v>
                </c:pt>
                <c:pt idx="10">
                  <c:v>0.30103703703703716</c:v>
                </c:pt>
                <c:pt idx="11">
                  <c:v>0.33114074074074085</c:v>
                </c:pt>
                <c:pt idx="12">
                  <c:v>0.35557777708337673</c:v>
                </c:pt>
                <c:pt idx="13">
                  <c:v>0.37009708436010669</c:v>
                </c:pt>
                <c:pt idx="14">
                  <c:v>0.38406789523227292</c:v>
                </c:pt>
                <c:pt idx="15">
                  <c:v>0.39754804042334857</c:v>
                </c:pt>
                <c:pt idx="16">
                  <c:v>0.41058585063387254</c:v>
                </c:pt>
                <c:pt idx="17">
                  <c:v>0.42322220763688323</c:v>
                </c:pt>
                <c:pt idx="18">
                  <c:v>0.43549205886368736</c:v>
                </c:pt>
                <c:pt idx="19">
                  <c:v>0.44742555764018405</c:v>
                </c:pt>
                <c:pt idx="20">
                  <c:v>0.45904893630845717</c:v>
                </c:pt>
                <c:pt idx="21">
                  <c:v>0.47038518495188836</c:v>
                </c:pt>
                <c:pt idx="22">
                  <c:v>0.48145458614340625</c:v>
                </c:pt>
                <c:pt idx="23">
                  <c:v>0.49227514137402356</c:v>
                </c:pt>
                <c:pt idx="24">
                  <c:v>0.50286291482978851</c:v>
                </c:pt>
                <c:pt idx="25">
                  <c:v>0.51323231329234076</c:v>
                </c:pt>
                <c:pt idx="26">
                  <c:v>0.52339631609680226</c:v>
                </c:pt>
                <c:pt idx="27">
                  <c:v>0.53336666562506518</c:v>
                </c:pt>
                <c:pt idx="28">
                  <c:v>0.54315402630956933</c:v>
                </c:pt>
                <c:pt idx="29">
                  <c:v>0.55276811828522865</c:v>
                </c:pt>
                <c:pt idx="30">
                  <c:v>0.56221783046154705</c:v>
                </c:pt>
                <c:pt idx="31">
                  <c:v>0.57151131676038158</c:v>
                </c:pt>
                <c:pt idx="32">
                  <c:v>0.58065607848491652</c:v>
                </c:pt>
                <c:pt idx="33">
                  <c:v>0.58965903518709673</c:v>
                </c:pt>
                <c:pt idx="34">
                  <c:v>0.59852658593756236</c:v>
                </c:pt>
                <c:pt idx="35">
                  <c:v>0.60726466254045308</c:v>
                </c:pt>
                <c:pt idx="36">
                  <c:v>0.61587877595080898</c:v>
                </c:pt>
                <c:pt idx="37">
                  <c:v>0.62437405692658532</c:v>
                </c:pt>
                <c:pt idx="38">
                  <c:v>0.63275529176709333</c:v>
                </c:pt>
                <c:pt idx="39">
                  <c:v>0.64102695384480968</c:v>
                </c:pt>
                <c:pt idx="40">
                  <c:v>0.64919323152036335</c:v>
                </c:pt>
                <c:pt idx="41">
                  <c:v>0.65725805293518336</c:v>
                </c:pt>
                <c:pt idx="42">
                  <c:v>0.66021754282580225</c:v>
                </c:pt>
                <c:pt idx="43">
                  <c:v>0.65249543457206138</c:v>
                </c:pt>
                <c:pt idx="44">
                  <c:v>0.64503809897885955</c:v>
                </c:pt>
                <c:pt idx="45">
                  <c:v>0.63783074316881061</c:v>
                </c:pt>
                <c:pt idx="46">
                  <c:v>0.69304229195088674</c:v>
                </c:pt>
                <c:pt idx="47">
                  <c:v>0.69304229195088685</c:v>
                </c:pt>
                <c:pt idx="48">
                  <c:v>0.69304229195088674</c:v>
                </c:pt>
                <c:pt idx="49">
                  <c:v>0.69304229195088674</c:v>
                </c:pt>
                <c:pt idx="50">
                  <c:v>0.69304229195088674</c:v>
                </c:pt>
                <c:pt idx="51">
                  <c:v>0.69304229195088685</c:v>
                </c:pt>
                <c:pt idx="52">
                  <c:v>0.69304229195088662</c:v>
                </c:pt>
                <c:pt idx="53">
                  <c:v>0.69304229195088674</c:v>
                </c:pt>
                <c:pt idx="54">
                  <c:v>0.69304229195088685</c:v>
                </c:pt>
                <c:pt idx="55">
                  <c:v>0.69304229195088662</c:v>
                </c:pt>
                <c:pt idx="56">
                  <c:v>0.69304229195088674</c:v>
                </c:pt>
                <c:pt idx="57">
                  <c:v>0.69304229195088662</c:v>
                </c:pt>
                <c:pt idx="58">
                  <c:v>0.69304229195088685</c:v>
                </c:pt>
                <c:pt idx="59">
                  <c:v>0.69304229195088685</c:v>
                </c:pt>
                <c:pt idx="60">
                  <c:v>0.69304229195088685</c:v>
                </c:pt>
                <c:pt idx="61">
                  <c:v>0.69304229195088674</c:v>
                </c:pt>
                <c:pt idx="62">
                  <c:v>0.69304229195088662</c:v>
                </c:pt>
                <c:pt idx="63">
                  <c:v>0.69304229195088674</c:v>
                </c:pt>
                <c:pt idx="64">
                  <c:v>0.69304229195088674</c:v>
                </c:pt>
                <c:pt idx="65">
                  <c:v>0.69304229195088685</c:v>
                </c:pt>
                <c:pt idx="66">
                  <c:v>0.69304229195088662</c:v>
                </c:pt>
                <c:pt idx="67">
                  <c:v>0.69304229195088685</c:v>
                </c:pt>
                <c:pt idx="68">
                  <c:v>0.69304229195088674</c:v>
                </c:pt>
                <c:pt idx="69">
                  <c:v>0.69304229195088662</c:v>
                </c:pt>
                <c:pt idx="70">
                  <c:v>0.69304229195088674</c:v>
                </c:pt>
                <c:pt idx="71">
                  <c:v>0.69304229195088674</c:v>
                </c:pt>
                <c:pt idx="72">
                  <c:v>0.69304229195088685</c:v>
                </c:pt>
                <c:pt idx="73">
                  <c:v>0.69304229195088662</c:v>
                </c:pt>
                <c:pt idx="74">
                  <c:v>0.69304229195088696</c:v>
                </c:pt>
                <c:pt idx="75">
                  <c:v>0.69304229195088674</c:v>
                </c:pt>
                <c:pt idx="76">
                  <c:v>0.69304229195088674</c:v>
                </c:pt>
                <c:pt idx="77">
                  <c:v>0.69304229195088674</c:v>
                </c:pt>
                <c:pt idx="78">
                  <c:v>0.69304229195088674</c:v>
                </c:pt>
                <c:pt idx="79">
                  <c:v>0.69304229195088685</c:v>
                </c:pt>
                <c:pt idx="80">
                  <c:v>0.69304229195088662</c:v>
                </c:pt>
                <c:pt idx="81">
                  <c:v>0.69304229195088696</c:v>
                </c:pt>
                <c:pt idx="82">
                  <c:v>0.69304229195088685</c:v>
                </c:pt>
                <c:pt idx="83">
                  <c:v>0.69304229195088674</c:v>
                </c:pt>
                <c:pt idx="84">
                  <c:v>0.69304229195088685</c:v>
                </c:pt>
                <c:pt idx="85">
                  <c:v>0.69304229195088662</c:v>
                </c:pt>
                <c:pt idx="86">
                  <c:v>0.69304229195088696</c:v>
                </c:pt>
                <c:pt idx="87">
                  <c:v>0.69304229195088674</c:v>
                </c:pt>
                <c:pt idx="88">
                  <c:v>0.69304229195088674</c:v>
                </c:pt>
                <c:pt idx="89">
                  <c:v>0.69304229195088685</c:v>
                </c:pt>
                <c:pt idx="90">
                  <c:v>0.69304229195088685</c:v>
                </c:pt>
                <c:pt idx="91">
                  <c:v>0.69304229195088674</c:v>
                </c:pt>
                <c:pt idx="92">
                  <c:v>0.69304229195088674</c:v>
                </c:pt>
                <c:pt idx="93">
                  <c:v>0.69304229195088674</c:v>
                </c:pt>
                <c:pt idx="94">
                  <c:v>0.69304229195088685</c:v>
                </c:pt>
                <c:pt idx="95">
                  <c:v>0.69304229195088662</c:v>
                </c:pt>
                <c:pt idx="96">
                  <c:v>0.69304229195088674</c:v>
                </c:pt>
                <c:pt idx="97">
                  <c:v>0.69304229195088674</c:v>
                </c:pt>
                <c:pt idx="98">
                  <c:v>0.69304229195088674</c:v>
                </c:pt>
                <c:pt idx="99">
                  <c:v>0.69304229195088674</c:v>
                </c:pt>
                <c:pt idx="100">
                  <c:v>0.69304229195088674</c:v>
                </c:pt>
              </c:numCache>
            </c:numRef>
          </c:val>
          <c:smooth val="0"/>
          <c:extLst>
            <c:ext xmlns:c16="http://schemas.microsoft.com/office/drawing/2014/chart" uri="{C3380CC4-5D6E-409C-BE32-E72D297353CC}">
              <c16:uniqueId val="{00000007-9656-4836-B2B8-6CD139011F53}"/>
            </c:ext>
          </c:extLst>
        </c:ser>
        <c:ser>
          <c:idx val="8"/>
          <c:order val="8"/>
          <c:spPr>
            <a:ln w="31750">
              <a:solidFill>
                <a:srgbClr val="0000FF"/>
              </a:solidFill>
            </a:ln>
          </c:spPr>
          <c:marker>
            <c:symbol val="none"/>
          </c:marker>
          <c:val>
            <c:numRef>
              <c:f>'Calculations - Single'!$AW$216:$AW$316</c:f>
              <c:numCache>
                <c:formatCode>0.000</c:formatCode>
                <c:ptCount val="101"/>
                <c:pt idx="0">
                  <c:v>5.1428571428571426E-3</c:v>
                </c:pt>
                <c:pt idx="1">
                  <c:v>1.2901587301587303E-2</c:v>
                </c:pt>
                <c:pt idx="2">
                  <c:v>2.5803174603174606E-2</c:v>
                </c:pt>
                <c:pt idx="3">
                  <c:v>3.8704761904761902E-2</c:v>
                </c:pt>
                <c:pt idx="4">
                  <c:v>5.1606349206349211E-2</c:v>
                </c:pt>
                <c:pt idx="5">
                  <c:v>6.4507936507936528E-2</c:v>
                </c:pt>
                <c:pt idx="6">
                  <c:v>7.7409523809523803E-2</c:v>
                </c:pt>
                <c:pt idx="7">
                  <c:v>9.0311111111111134E-2</c:v>
                </c:pt>
                <c:pt idx="8">
                  <c:v>0.10321269841269842</c:v>
                </c:pt>
                <c:pt idx="9">
                  <c:v>0.11611428571428574</c:v>
                </c:pt>
                <c:pt idx="10">
                  <c:v>0.12901587301587306</c:v>
                </c:pt>
                <c:pt idx="11">
                  <c:v>0.14191746031746036</c:v>
                </c:pt>
                <c:pt idx="12">
                  <c:v>0.15239047589287574</c:v>
                </c:pt>
                <c:pt idx="13">
                  <c:v>0.15861303615433142</c:v>
                </c:pt>
                <c:pt idx="14">
                  <c:v>0.16460052652811696</c:v>
                </c:pt>
                <c:pt idx="15">
                  <c:v>0.17037773161000658</c:v>
                </c:pt>
                <c:pt idx="16">
                  <c:v>0.17596536455737397</c:v>
                </c:pt>
                <c:pt idx="17">
                  <c:v>0.18138094613009284</c:v>
                </c:pt>
                <c:pt idx="18">
                  <c:v>0.18663945379872315</c:v>
                </c:pt>
                <c:pt idx="19">
                  <c:v>0.19175381041722173</c:v>
                </c:pt>
                <c:pt idx="20">
                  <c:v>0.19673525841791026</c:v>
                </c:pt>
                <c:pt idx="21">
                  <c:v>0.20159365069366644</c:v>
                </c:pt>
                <c:pt idx="22">
                  <c:v>0.20633767977574552</c:v>
                </c:pt>
                <c:pt idx="23">
                  <c:v>0.21097506058886722</c:v>
                </c:pt>
                <c:pt idx="24">
                  <c:v>0.21551267778419508</c:v>
                </c:pt>
                <c:pt idx="25">
                  <c:v>0.21995670569671746</c:v>
                </c:pt>
                <c:pt idx="26">
                  <c:v>0.22431270689862956</c:v>
                </c:pt>
                <c:pt idx="27">
                  <c:v>0.22858571383931361</c:v>
                </c:pt>
                <c:pt idx="28">
                  <c:v>0.23278029698981545</c:v>
                </c:pt>
                <c:pt idx="29">
                  <c:v>0.23690062212224086</c:v>
                </c:pt>
                <c:pt idx="30">
                  <c:v>0.24095049876923447</c:v>
                </c:pt>
                <c:pt idx="31">
                  <c:v>0.24493342146873495</c:v>
                </c:pt>
                <c:pt idx="32">
                  <c:v>0.24885260506496421</c:v>
                </c:pt>
                <c:pt idx="33">
                  <c:v>0.25271101508018434</c:v>
                </c:pt>
                <c:pt idx="34">
                  <c:v>0.25651139397324096</c:v>
                </c:pt>
                <c:pt idx="35">
                  <c:v>0.26025628394590844</c:v>
                </c:pt>
                <c:pt idx="36">
                  <c:v>0.26394804683606093</c:v>
                </c:pt>
                <c:pt idx="37">
                  <c:v>0.26758888153996518</c:v>
                </c:pt>
                <c:pt idx="38">
                  <c:v>0.27118083932875431</c:v>
                </c:pt>
                <c:pt idx="39">
                  <c:v>0.2747258373620613</c:v>
                </c:pt>
                <c:pt idx="40">
                  <c:v>0.27822567065158432</c:v>
                </c:pt>
                <c:pt idx="41">
                  <c:v>0.28168202268650711</c:v>
                </c:pt>
                <c:pt idx="42">
                  <c:v>0.28509647489928747</c:v>
                </c:pt>
                <c:pt idx="43">
                  <c:v>0.2884705151228425</c:v>
                </c:pt>
                <c:pt idx="44">
                  <c:v>0.29180554516745599</c:v>
                </c:pt>
                <c:pt idx="45">
                  <c:v>0.29510288762686537</c:v>
                </c:pt>
                <c:pt idx="46">
                  <c:v>0.29836379200726149</c:v>
                </c:pt>
                <c:pt idx="47">
                  <c:v>0.30158944025975193</c:v>
                </c:pt>
                <c:pt idx="48">
                  <c:v>0.30478095178575149</c:v>
                </c:pt>
                <c:pt idx="49">
                  <c:v>0.30793938797540449</c:v>
                </c:pt>
                <c:pt idx="50">
                  <c:v>0.31106575633120531</c:v>
                </c:pt>
                <c:pt idx="51">
                  <c:v>0.31416101422223425</c:v>
                </c:pt>
                <c:pt idx="52">
                  <c:v>0.31722607230866284</c:v>
                </c:pt>
                <c:pt idx="53">
                  <c:v>0.32026179767124752</c:v>
                </c:pt>
                <c:pt idx="54">
                  <c:v>0.3232690166762926</c:v>
                </c:pt>
                <c:pt idx="55">
                  <c:v>0.32624851760290846</c:v>
                </c:pt>
                <c:pt idx="56">
                  <c:v>0.32920105305623393</c:v>
                </c:pt>
                <c:pt idx="57">
                  <c:v>0.33212734218755835</c:v>
                </c:pt>
                <c:pt idx="58">
                  <c:v>0.33502807273989671</c:v>
                </c:pt>
                <c:pt idx="59">
                  <c:v>0.33790390293550565</c:v>
                </c:pt>
                <c:pt idx="60">
                  <c:v>0.34075546322001316</c:v>
                </c:pt>
                <c:pt idx="61">
                  <c:v>0.3435833578762566</c:v>
                </c:pt>
                <c:pt idx="62">
                  <c:v>0.34638816651953042</c:v>
                </c:pt>
                <c:pt idx="63">
                  <c:v>0.34917044548472315</c:v>
                </c:pt>
                <c:pt idx="64">
                  <c:v>0.35193072911474793</c:v>
                </c:pt>
                <c:pt idx="65">
                  <c:v>0.35466953095871689</c:v>
                </c:pt>
                <c:pt idx="66">
                  <c:v>0.35738734488746848</c:v>
                </c:pt>
                <c:pt idx="67">
                  <c:v>0.36008464613331181</c:v>
                </c:pt>
                <c:pt idx="68">
                  <c:v>0.36276189226018568</c:v>
                </c:pt>
                <c:pt idx="69">
                  <c:v>0.3654195240698403</c:v>
                </c:pt>
                <c:pt idx="70">
                  <c:v>0.36805796644912692</c:v>
                </c:pt>
                <c:pt idx="71">
                  <c:v>0.3706776291630029</c:v>
                </c:pt>
                <c:pt idx="72">
                  <c:v>0.37327890759744631</c:v>
                </c:pt>
                <c:pt idx="73">
                  <c:v>0.37586218345609201</c:v>
                </c:pt>
                <c:pt idx="74">
                  <c:v>0.37842782541406639</c:v>
                </c:pt>
                <c:pt idx="75">
                  <c:v>0.38097618973218933</c:v>
                </c:pt>
                <c:pt idx="76">
                  <c:v>0.38350762083444345</c:v>
                </c:pt>
                <c:pt idx="77">
                  <c:v>0.3860224518513572</c:v>
                </c:pt>
                <c:pt idx="78">
                  <c:v>0.38852100513173221</c:v>
                </c:pt>
                <c:pt idx="79">
                  <c:v>0.39100359272493851</c:v>
                </c:pt>
                <c:pt idx="80">
                  <c:v>0.39347051683582052</c:v>
                </c:pt>
                <c:pt idx="81">
                  <c:v>0.39592207025409148</c:v>
                </c:pt>
                <c:pt idx="82">
                  <c:v>0.39835853675994415</c:v>
                </c:pt>
                <c:pt idx="83">
                  <c:v>0.40078019150746691</c:v>
                </c:pt>
                <c:pt idx="84">
                  <c:v>0.40318730138733289</c:v>
                </c:pt>
                <c:pt idx="85">
                  <c:v>0.40558012537011484</c:v>
                </c:pt>
                <c:pt idx="86">
                  <c:v>0.40795891483147695</c:v>
                </c:pt>
                <c:pt idx="87">
                  <c:v>0.41032391386039685</c:v>
                </c:pt>
                <c:pt idx="88">
                  <c:v>0.41267535955149104</c:v>
                </c:pt>
                <c:pt idx="89">
                  <c:v>0.41501348228243201</c:v>
                </c:pt>
                <c:pt idx="90">
                  <c:v>0.41733850597737626</c:v>
                </c:pt>
                <c:pt idx="91">
                  <c:v>0.41965064835725763</c:v>
                </c:pt>
                <c:pt idx="92">
                  <c:v>0.42195012117773445</c:v>
                </c:pt>
                <c:pt idx="93">
                  <c:v>0.42423713045553063</c:v>
                </c:pt>
                <c:pt idx="94">
                  <c:v>0.4265118766838516</c:v>
                </c:pt>
                <c:pt idx="95">
                  <c:v>0.42877455503751516</c:v>
                </c:pt>
                <c:pt idx="96">
                  <c:v>0.43102535556839017</c:v>
                </c:pt>
                <c:pt idx="97">
                  <c:v>0.43326446339169711</c:v>
                </c:pt>
                <c:pt idx="98">
                  <c:v>0.43549205886368736</c:v>
                </c:pt>
                <c:pt idx="99">
                  <c:v>0.43770831775118396</c:v>
                </c:pt>
                <c:pt idx="100">
                  <c:v>0.43991341139343493</c:v>
                </c:pt>
              </c:numCache>
            </c:numRef>
          </c:val>
          <c:smooth val="0"/>
          <c:extLst>
            <c:ext xmlns:c16="http://schemas.microsoft.com/office/drawing/2014/chart" uri="{C3380CC4-5D6E-409C-BE32-E72D297353CC}">
              <c16:uniqueId val="{00000008-9656-4836-B2B8-6CD139011F53}"/>
            </c:ext>
          </c:extLst>
        </c:ser>
        <c:dLbls>
          <c:showLegendKey val="0"/>
          <c:showVal val="0"/>
          <c:showCatName val="0"/>
          <c:showSerName val="0"/>
          <c:showPercent val="0"/>
          <c:showBubbleSize val="0"/>
        </c:dLbls>
        <c:marker val="1"/>
        <c:smooth val="0"/>
        <c:axId val="561533312"/>
        <c:axId val="561531136"/>
      </c:lineChart>
      <c:catAx>
        <c:axId val="561510656"/>
        <c:scaling>
          <c:orientation val="minMax"/>
        </c:scaling>
        <c:delete val="0"/>
        <c:axPos val="b"/>
        <c:majorGridlines>
          <c:spPr>
            <a:ln w="15875">
              <a:solidFill>
                <a:srgbClr val="969696"/>
              </a:solidFill>
              <a:prstDash val="sysDash"/>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400">
                    <a:solidFill>
                      <a:schemeClr val="tx1"/>
                    </a:solidFill>
                    <a:latin typeface="Arial" pitchFamily="34" charset="0"/>
                    <a:cs typeface="Arial" pitchFamily="34" charset="0"/>
                  </a:rPr>
                  <a:t>Load Current (mA)</a:t>
                </a:r>
              </a:p>
            </c:rich>
          </c:tx>
          <c:layout>
            <c:manualLayout>
              <c:xMode val="edge"/>
              <c:yMode val="edge"/>
              <c:x val="0.4112305719849535"/>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561529216"/>
        <c:crosses val="autoZero"/>
        <c:auto val="1"/>
        <c:lblAlgn val="ctr"/>
        <c:lblOffset val="100"/>
        <c:tickLblSkip val="20"/>
        <c:tickMarkSkip val="10"/>
        <c:noMultiLvlLbl val="0"/>
      </c:catAx>
      <c:valAx>
        <c:axId val="561529216"/>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400" b="1">
                    <a:solidFill>
                      <a:schemeClr val="tx1"/>
                    </a:solidFill>
                    <a:latin typeface="Arial" pitchFamily="34" charset="0"/>
                    <a:cs typeface="Arial" pitchFamily="34" charset="0"/>
                  </a:rPr>
                  <a:t>Switching</a:t>
                </a:r>
                <a:r>
                  <a:rPr lang="en-US" sz="1400" b="1" baseline="0">
                    <a:solidFill>
                      <a:schemeClr val="tx1"/>
                    </a:solidFill>
                    <a:latin typeface="Arial" pitchFamily="34" charset="0"/>
                    <a:cs typeface="Arial" pitchFamily="34" charset="0"/>
                  </a:rPr>
                  <a:t> Frquency (kHz)</a:t>
                </a:r>
                <a:endParaRPr lang="en-US" sz="1400" b="1">
                  <a:solidFill>
                    <a:schemeClr val="tx1"/>
                  </a:solidFill>
                  <a:latin typeface="Arial" pitchFamily="34" charset="0"/>
                  <a:cs typeface="Arial" pitchFamily="34" charset="0"/>
                </a:endParaRPr>
              </a:p>
            </c:rich>
          </c:tx>
          <c:layout>
            <c:manualLayout>
              <c:xMode val="edge"/>
              <c:yMode val="edge"/>
              <c:x val="8.5568268367748525E-3"/>
              <c:y val="0.30050661099568304"/>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561510656"/>
        <c:crossesAt val="0"/>
        <c:crossBetween val="between"/>
        <c:majorUnit val="50"/>
        <c:minorUnit val="25"/>
      </c:valAx>
      <c:valAx>
        <c:axId val="561531136"/>
        <c:scaling>
          <c:orientation val="minMax"/>
          <c:min val="0"/>
        </c:scaling>
        <c:delete val="0"/>
        <c:axPos val="r"/>
        <c:title>
          <c:tx>
            <c:rich>
              <a:bodyPr rot="-5400000" vert="horz"/>
              <a:lstStyle/>
              <a:p>
                <a:pPr>
                  <a:defRPr sz="1400" b="1"/>
                </a:pPr>
                <a:r>
                  <a:rPr lang="en-US" sz="1400" b="1"/>
                  <a:t>Duty Cycle</a:t>
                </a:r>
              </a:p>
            </c:rich>
          </c:tx>
          <c:layout>
            <c:manualLayout>
              <c:xMode val="edge"/>
              <c:yMode val="edge"/>
              <c:x val="0.96323100741439582"/>
              <c:y val="0.41073169332818471"/>
            </c:manualLayout>
          </c:layout>
          <c:overlay val="0"/>
        </c:title>
        <c:numFmt formatCode="General" sourceLinked="0"/>
        <c:majorTickMark val="in"/>
        <c:minorTickMark val="in"/>
        <c:tickLblPos val="nextTo"/>
        <c:txPr>
          <a:bodyPr/>
          <a:lstStyle/>
          <a:p>
            <a:pPr>
              <a:defRPr sz="1200" b="1"/>
            </a:pPr>
            <a:endParaRPr lang="en-US"/>
          </a:p>
        </c:txPr>
        <c:crossAx val="561533312"/>
        <c:crosses val="max"/>
        <c:crossBetween val="between"/>
        <c:majorUnit val="0.1"/>
        <c:minorUnit val="2.0000000000000004E-2"/>
      </c:valAx>
      <c:catAx>
        <c:axId val="561533312"/>
        <c:scaling>
          <c:orientation val="minMax"/>
        </c:scaling>
        <c:delete val="1"/>
        <c:axPos val="b"/>
        <c:majorTickMark val="out"/>
        <c:minorTickMark val="none"/>
        <c:tickLblPos val="nextTo"/>
        <c:crossAx val="561531136"/>
        <c:crosses val="autoZero"/>
        <c:auto val="1"/>
        <c:lblAlgn val="ctr"/>
        <c:lblOffset val="100"/>
        <c:noMultiLvlLbl val="0"/>
      </c:catAx>
      <c:spPr>
        <a:solidFill>
          <a:srgbClr val="FFFFFF"/>
        </a:solidFill>
        <a:ln w="25400">
          <a:noFill/>
        </a:ln>
      </c:spPr>
    </c:plotArea>
    <c:legend>
      <c:legendPos val="t"/>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ayout>
        <c:manualLayout>
          <c:xMode val="edge"/>
          <c:yMode val="edge"/>
          <c:x val="0.21364188347424315"/>
          <c:y val="3.4655227110648466E-2"/>
          <c:w val="0.56362386153343735"/>
          <c:h val="5.4335766847817754E-2"/>
        </c:manualLayout>
      </c:layout>
      <c:overlay val="0"/>
      <c:spPr>
        <a:solidFill>
          <a:srgbClr val="FFFFFF"/>
        </a:solidFill>
        <a:ln w="25400">
          <a:noFill/>
        </a:ln>
      </c:spPr>
      <c:txPr>
        <a:bodyPr/>
        <a:lstStyle/>
        <a:p>
          <a:pPr>
            <a:defRPr sz="14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Single'!$CD$5:$CD$105</c:f>
              <c:numCache>
                <c:formatCode>0.00</c:formatCode>
                <c:ptCount val="101"/>
                <c:pt idx="0">
                  <c:v>9.2833355137899052E-5</c:v>
                </c:pt>
                <c:pt idx="1">
                  <c:v>45.092519072071603</c:v>
                </c:pt>
                <c:pt idx="2">
                  <c:v>58.163614751716672</c:v>
                </c:pt>
                <c:pt idx="3">
                  <c:v>64.384709621216047</c:v>
                </c:pt>
                <c:pt idx="4">
                  <c:v>68.022474521569549</c:v>
                </c:pt>
                <c:pt idx="5">
                  <c:v>70.409346544015051</c:v>
                </c:pt>
                <c:pt idx="6">
                  <c:v>72.095862257867836</c:v>
                </c:pt>
                <c:pt idx="7">
                  <c:v>73.35082422654537</c:v>
                </c:pt>
                <c:pt idx="8">
                  <c:v>74.321079340318235</c:v>
                </c:pt>
                <c:pt idx="9">
                  <c:v>75.093637132073823</c:v>
                </c:pt>
                <c:pt idx="10">
                  <c:v>75.723330249251603</c:v>
                </c:pt>
                <c:pt idx="11">
                  <c:v>75.947109202151097</c:v>
                </c:pt>
                <c:pt idx="12">
                  <c:v>76.249659953068644</c:v>
                </c:pt>
                <c:pt idx="13">
                  <c:v>77.091647873985636</c:v>
                </c:pt>
                <c:pt idx="14">
                  <c:v>77.832624650671875</c:v>
                </c:pt>
                <c:pt idx="15">
                  <c:v>78.490135695125318</c:v>
                </c:pt>
                <c:pt idx="16">
                  <c:v>79.077853453927688</c:v>
                </c:pt>
                <c:pt idx="17">
                  <c:v>79.606594581400444</c:v>
                </c:pt>
                <c:pt idx="18">
                  <c:v>80.085031715607499</c:v>
                </c:pt>
                <c:pt idx="19">
                  <c:v>80.520201921784206</c:v>
                </c:pt>
                <c:pt idx="20">
                  <c:v>80.917876611083059</c:v>
                </c:pt>
                <c:pt idx="21">
                  <c:v>81.282835132974185</c:v>
                </c:pt>
                <c:pt idx="22">
                  <c:v>81.619070141839529</c:v>
                </c:pt>
                <c:pt idx="23">
                  <c:v>81.929943831984843</c:v>
                </c:pt>
                <c:pt idx="24">
                  <c:v>82.218308254549527</c:v>
                </c:pt>
                <c:pt idx="25">
                  <c:v>82.48659901318392</c:v>
                </c:pt>
                <c:pt idx="26">
                  <c:v>82.736908979482877</c:v>
                </c:pt>
                <c:pt idx="27">
                  <c:v>82.971046838306833</c:v>
                </c:pt>
                <c:pt idx="28">
                  <c:v>83.190583991793943</c:v>
                </c:pt>
                <c:pt idx="29">
                  <c:v>83.396892441562628</c:v>
                </c:pt>
                <c:pt idx="30">
                  <c:v>83.591175614959923</c:v>
                </c:pt>
                <c:pt idx="31">
                  <c:v>83.774493625709198</c:v>
                </c:pt>
                <c:pt idx="32">
                  <c:v>83.947784109547058</c:v>
                </c:pt>
                <c:pt idx="33">
                  <c:v>84.111879515492177</c:v>
                </c:pt>
                <c:pt idx="34">
                  <c:v>84.267521538319627</c:v>
                </c:pt>
                <c:pt idx="35">
                  <c:v>84.415373230102205</c:v>
                </c:pt>
                <c:pt idx="36">
                  <c:v>84.556029215874204</c:v>
                </c:pt>
                <c:pt idx="37">
                  <c:v>84.690024351634605</c:v>
                </c:pt>
                <c:pt idx="38">
                  <c:v>84.81784109555349</c:v>
                </c:pt>
                <c:pt idx="39">
                  <c:v>84.939915810633138</c:v>
                </c:pt>
                <c:pt idx="40">
                  <c:v>85.056644175701095</c:v>
                </c:pt>
                <c:pt idx="41">
                  <c:v>85.16838584886888</c:v>
                </c:pt>
                <c:pt idx="42">
                  <c:v>85.275468501519299</c:v>
                </c:pt>
                <c:pt idx="43">
                  <c:v>85.378191320009179</c:v>
                </c:pt>
                <c:pt idx="44">
                  <c:v>85.476828055466655</c:v>
                </c:pt>
                <c:pt idx="45">
                  <c:v>85.571629688459055</c:v>
                </c:pt>
                <c:pt idx="46">
                  <c:v>85.662826764244045</c:v>
                </c:pt>
                <c:pt idx="47">
                  <c:v>85.750631445276667</c:v>
                </c:pt>
                <c:pt idx="48">
                  <c:v>85.835239320223351</c:v>
                </c:pt>
                <c:pt idx="49">
                  <c:v>85.916831002617428</c:v>
                </c:pt>
                <c:pt idx="50">
                  <c:v>85.995573547225717</c:v>
                </c:pt>
                <c:pt idx="51">
                  <c:v>86.071621707988015</c:v>
                </c:pt>
                <c:pt idx="52">
                  <c:v>86.145119057880322</c:v>
                </c:pt>
                <c:pt idx="53">
                  <c:v>86.216198988113277</c:v>
                </c:pt>
                <c:pt idx="54">
                  <c:v>86.284985601607644</c:v>
                </c:pt>
                <c:pt idx="55">
                  <c:v>86.351594513607211</c:v>
                </c:pt>
                <c:pt idx="56">
                  <c:v>86.416133570528245</c:v>
                </c:pt>
                <c:pt idx="57">
                  <c:v>86.478703496651789</c:v>
                </c:pt>
                <c:pt idx="58">
                  <c:v>86.539398476993242</c:v>
                </c:pt>
                <c:pt idx="59">
                  <c:v>86.598306683599873</c:v>
                </c:pt>
                <c:pt idx="60">
                  <c:v>86.655510751598086</c:v>
                </c:pt>
                <c:pt idx="61">
                  <c:v>86.711088210516621</c:v>
                </c:pt>
                <c:pt idx="62">
                  <c:v>86.765111875726248</c:v>
                </c:pt>
                <c:pt idx="63">
                  <c:v>86.817650204245552</c:v>
                </c:pt>
                <c:pt idx="64">
                  <c:v>86.868767618652299</c:v>
                </c:pt>
                <c:pt idx="65">
                  <c:v>86.91852480239632</c:v>
                </c:pt>
                <c:pt idx="66">
                  <c:v>86.966978969425966</c:v>
                </c:pt>
                <c:pt idx="67">
                  <c:v>87.014184110705202</c:v>
                </c:pt>
                <c:pt idx="68">
                  <c:v>87.060191219906784</c:v>
                </c:pt>
                <c:pt idx="69">
                  <c:v>87.105048500311185</c:v>
                </c:pt>
                <c:pt idx="70">
                  <c:v>87.148801554718162</c:v>
                </c:pt>
                <c:pt idx="71">
                  <c:v>87.191493559980813</c:v>
                </c:pt>
                <c:pt idx="72">
                  <c:v>87.23316542760044</c:v>
                </c:pt>
                <c:pt idx="73">
                  <c:v>87.273855951667585</c:v>
                </c:pt>
                <c:pt idx="74">
                  <c:v>87.313601945301357</c:v>
                </c:pt>
                <c:pt idx="75">
                  <c:v>87.35243836662022</c:v>
                </c:pt>
                <c:pt idx="76">
                  <c:v>87.390398435172216</c:v>
                </c:pt>
                <c:pt idx="77">
                  <c:v>87.42751373966027</c:v>
                </c:pt>
                <c:pt idx="78">
                  <c:v>87.463814337714609</c:v>
                </c:pt>
                <c:pt idx="79">
                  <c:v>87.499328848391443</c:v>
                </c:pt>
                <c:pt idx="80">
                  <c:v>87.534084538010987</c:v>
                </c:pt>
                <c:pt idx="81">
                  <c:v>87.568107399889755</c:v>
                </c:pt>
                <c:pt idx="82">
                  <c:v>87.601422228469417</c:v>
                </c:pt>
                <c:pt idx="83">
                  <c:v>87.634052688297999</c:v>
                </c:pt>
                <c:pt idx="84">
                  <c:v>87.66602137827708</c:v>
                </c:pt>
                <c:pt idx="85">
                  <c:v>87.697349891550871</c:v>
                </c:pt>
                <c:pt idx="86">
                  <c:v>87.728058871379588</c:v>
                </c:pt>
                <c:pt idx="87">
                  <c:v>87.758168063308872</c:v>
                </c:pt>
                <c:pt idx="88">
                  <c:v>87.787696363919238</c:v>
                </c:pt>
                <c:pt idx="89">
                  <c:v>87.816661866415728</c:v>
                </c:pt>
                <c:pt idx="90">
                  <c:v>87.84508190329457</c:v>
                </c:pt>
                <c:pt idx="91">
                  <c:v>87.872973086304114</c:v>
                </c:pt>
                <c:pt idx="92">
                  <c:v>87.900351343898819</c:v>
                </c:pt>
                <c:pt idx="93">
                  <c:v>87.927231956368587</c:v>
                </c:pt>
                <c:pt idx="94">
                  <c:v>87.953629588810472</c:v>
                </c:pt>
                <c:pt idx="95">
                  <c:v>87.979558322096622</c:v>
                </c:pt>
                <c:pt idx="96">
                  <c:v>88.005031681979375</c:v>
                </c:pt>
                <c:pt idx="97">
                  <c:v>88.030062666463607</c:v>
                </c:pt>
                <c:pt idx="98">
                  <c:v>88.054663771565743</c:v>
                </c:pt>
                <c:pt idx="99">
                  <c:v>88.078847015569934</c:v>
                </c:pt>
                <c:pt idx="100">
                  <c:v>88.102623961882855</c:v>
                </c:pt>
              </c:numCache>
            </c:numRef>
          </c:val>
          <c:smooth val="0"/>
          <c:extLst>
            <c:ext xmlns:c16="http://schemas.microsoft.com/office/drawing/2014/chart" uri="{C3380CC4-5D6E-409C-BE32-E72D297353CC}">
              <c16:uniqueId val="{00000000-71B7-4BA8-87DA-8A845B848952}"/>
            </c:ext>
          </c:extLst>
        </c:ser>
        <c:dLbls>
          <c:showLegendKey val="0"/>
          <c:showVal val="0"/>
          <c:showCatName val="0"/>
          <c:showSerName val="0"/>
          <c:showPercent val="0"/>
          <c:showBubbleSize val="0"/>
        </c:dLbls>
        <c:marker val="1"/>
        <c:smooth val="0"/>
        <c:axId val="185214080"/>
        <c:axId val="185216000"/>
      </c:lineChart>
      <c:lineChart>
        <c:grouping val="standard"/>
        <c:varyColors val="0"/>
        <c:ser>
          <c:idx val="2"/>
          <c:order val="1"/>
          <c:tx>
            <c:strRef>
              <c:f>'Calculations - Single'!$BQ$3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Single'!$BT$5:$BT$105</c:f>
              <c:numCache>
                <c:formatCode>0.0</c:formatCode>
                <c:ptCount val="101"/>
                <c:pt idx="0">
                  <c:v>5.6990583820000023</c:v>
                </c:pt>
                <c:pt idx="1">
                  <c:v>6.0343776000000027</c:v>
                </c:pt>
                <c:pt idx="2">
                  <c:v>6.3387551999999996</c:v>
                </c:pt>
                <c:pt idx="3">
                  <c:v>6.6431328000000009</c:v>
                </c:pt>
                <c:pt idx="4">
                  <c:v>6.9475104000000005</c:v>
                </c:pt>
                <c:pt idx="5">
                  <c:v>7.251888000000001</c:v>
                </c:pt>
                <c:pt idx="6">
                  <c:v>7.5562656000000015</c:v>
                </c:pt>
                <c:pt idx="7">
                  <c:v>7.8606431999999993</c:v>
                </c:pt>
                <c:pt idx="8">
                  <c:v>8.1650208000000006</c:v>
                </c:pt>
                <c:pt idx="9">
                  <c:v>8.4693984000000011</c:v>
                </c:pt>
                <c:pt idx="10">
                  <c:v>8.773775999999998</c:v>
                </c:pt>
                <c:pt idx="11">
                  <c:v>9.3053005067945058</c:v>
                </c:pt>
                <c:pt idx="12">
                  <c:v>10.046873295494985</c:v>
                </c:pt>
                <c:pt idx="13">
                  <c:v>10.835084699605392</c:v>
                </c:pt>
                <c:pt idx="14">
                  <c:v>11.617747934570467</c:v>
                </c:pt>
                <c:pt idx="15">
                  <c:v>12.395065093118369</c:v>
                </c:pt>
                <c:pt idx="16">
                  <c:v>13.167217663965026</c:v>
                </c:pt>
                <c:pt idx="17">
                  <c:v>13.934369812842005</c:v>
                </c:pt>
                <c:pt idx="18">
                  <c:v>14.696670975343578</c:v>
                </c:pt>
                <c:pt idx="19">
                  <c:v>15.454257936800289</c:v>
                </c:pt>
                <c:pt idx="20">
                  <c:v>16.207256522755507</c:v>
                </c:pt>
                <c:pt idx="21">
                  <c:v>16.955782989066417</c:v>
                </c:pt>
                <c:pt idx="22">
                  <c:v>17.69994517696782</c:v>
                </c:pt>
                <c:pt idx="23">
                  <c:v>18.439843481860002</c:v>
                </c:pt>
                <c:pt idx="24">
                  <c:v>19.175571672757776</c:v>
                </c:pt>
                <c:pt idx="25">
                  <c:v>19.907217590760613</c:v>
                </c:pt>
                <c:pt idx="26">
                  <c:v>20.634863748585573</c:v>
                </c:pt>
                <c:pt idx="27">
                  <c:v>21.358587848486046</c:v>
                </c:pt>
                <c:pt idx="28">
                  <c:v>22.078463232310032</c:v>
                </c:pt>
                <c:pt idx="29">
                  <c:v>22.794559274720104</c:v>
                </c:pt>
                <c:pt idx="30">
                  <c:v>23.506941728485177</c:v>
                </c:pt>
                <c:pt idx="31">
                  <c:v>24.215673029103751</c:v>
                </c:pt>
                <c:pt idx="32">
                  <c:v>24.920812564717995</c:v>
                </c:pt>
                <c:pt idx="33">
                  <c:v>25.622416916244209</c:v>
                </c:pt>
                <c:pt idx="34">
                  <c:v>26.32054007181662</c:v>
                </c:pt>
                <c:pt idx="35">
                  <c:v>27.015233618973291</c:v>
                </c:pt>
                <c:pt idx="36">
                  <c:v>27.706546917469254</c:v>
                </c:pt>
                <c:pt idx="37">
                  <c:v>28.394527255157808</c:v>
                </c:pt>
                <c:pt idx="38">
                  <c:v>29.079219989015098</c:v>
                </c:pt>
                <c:pt idx="39">
                  <c:v>29.760668673080588</c:v>
                </c:pt>
                <c:pt idx="40">
                  <c:v>30.438915174833998</c:v>
                </c:pt>
                <c:pt idx="41">
                  <c:v>31.113999781318874</c:v>
                </c:pt>
                <c:pt idx="42">
                  <c:v>31.78596129614581</c:v>
                </c:pt>
                <c:pt idx="43">
                  <c:v>32.454837128359202</c:v>
                </c:pt>
                <c:pt idx="44">
                  <c:v>33.120663374024254</c:v>
                </c:pt>
                <c:pt idx="45">
                  <c:v>33.783474891283966</c:v>
                </c:pt>
                <c:pt idx="46">
                  <c:v>34.443305369542657</c:v>
                </c:pt>
                <c:pt idx="47">
                  <c:v>35.100187393354346</c:v>
                </c:pt>
                <c:pt idx="48">
                  <c:v>35.754152501526008</c:v>
                </c:pt>
                <c:pt idx="49">
                  <c:v>36.405231241886625</c:v>
                </c:pt>
                <c:pt idx="50">
                  <c:v>37.053453222122691</c:v>
                </c:pt>
                <c:pt idx="51">
                  <c:v>37.698847157035765</c:v>
                </c:pt>
                <c:pt idx="52">
                  <c:v>38.341440912539781</c:v>
                </c:pt>
                <c:pt idx="53">
                  <c:v>38.981261546681509</c:v>
                </c:pt>
                <c:pt idx="54">
                  <c:v>39.618335347938448</c:v>
                </c:pt>
                <c:pt idx="55">
                  <c:v>40.252687871021948</c:v>
                </c:pt>
                <c:pt idx="56">
                  <c:v>40.884343970390901</c:v>
                </c:pt>
                <c:pt idx="57">
                  <c:v>41.51332783166071</c:v>
                </c:pt>
                <c:pt idx="58">
                  <c:v>42.139663001074595</c:v>
                </c:pt>
                <c:pt idx="59">
                  <c:v>42.763372413188229</c:v>
                </c:pt>
                <c:pt idx="60">
                  <c:v>43.384478416904628</c:v>
                </c:pt>
                <c:pt idx="61">
                  <c:v>44.003002799983548</c:v>
                </c:pt>
                <c:pt idx="62">
                  <c:v>44.618966812138474</c:v>
                </c:pt>
                <c:pt idx="63">
                  <c:v>45.23239118682411</c:v>
                </c:pt>
                <c:pt idx="64">
                  <c:v>45.843296161808368</c:v>
                </c:pt>
                <c:pt idx="65">
                  <c:v>46.451701498614611</c:v>
                </c:pt>
                <c:pt idx="66">
                  <c:v>47.057626500912704</c:v>
                </c:pt>
                <c:pt idx="67">
                  <c:v>47.661090031930947</c:v>
                </c:pt>
                <c:pt idx="68">
                  <c:v>48.262110530954736</c:v>
                </c:pt>
                <c:pt idx="69">
                  <c:v>48.860706028972757</c:v>
                </c:pt>
                <c:pt idx="70">
                  <c:v>49.456894163526442</c:v>
                </c:pt>
                <c:pt idx="71">
                  <c:v>50.050692192814246</c:v>
                </c:pt>
                <c:pt idx="72">
                  <c:v>50.642117009097838</c:v>
                </c:pt>
                <c:pt idx="73">
                  <c:v>51.231185151454554</c:v>
                </c:pt>
                <c:pt idx="74">
                  <c:v>51.817912817915804</c:v>
                </c:pt>
                <c:pt idx="75">
                  <c:v>52.40231587702975</c:v>
                </c:pt>
                <c:pt idx="76">
                  <c:v>52.98440987888204</c:v>
                </c:pt>
                <c:pt idx="77">
                  <c:v>53.564210065607661</c:v>
                </c:pt>
                <c:pt idx="78">
                  <c:v>54.141731381423099</c:v>
                </c:pt>
                <c:pt idx="79">
                  <c:v>54.716988482206901</c:v>
                </c:pt>
                <c:pt idx="80">
                  <c:v>55.289995744654298</c:v>
                </c:pt>
                <c:pt idx="81">
                  <c:v>55.86076727503017</c:v>
                </c:pt>
                <c:pt idx="82">
                  <c:v>56.429316917542351</c:v>
                </c:pt>
                <c:pt idx="83">
                  <c:v>56.995658262356521</c:v>
                </c:pt>
                <c:pt idx="84">
                  <c:v>57.559804653272053</c:v>
                </c:pt>
                <c:pt idx="85">
                  <c:v>58.121769195076979</c:v>
                </c:pt>
                <c:pt idx="86">
                  <c:v>58.681564760599194</c:v>
                </c:pt>
                <c:pt idx="87">
                  <c:v>59.239203997469843</c:v>
                </c:pt>
                <c:pt idx="88">
                  <c:v>59.794699334613803</c:v>
                </c:pt>
                <c:pt idx="89">
                  <c:v>60.348062988481139</c:v>
                </c:pt>
                <c:pt idx="90">
                  <c:v>60.899306969032999</c:v>
                </c:pt>
                <c:pt idx="91">
                  <c:v>61.4484430854938</c:v>
                </c:pt>
                <c:pt idx="92">
                  <c:v>61.995482951881755</c:v>
                </c:pt>
                <c:pt idx="93">
                  <c:v>62.540437992328236</c:v>
                </c:pt>
                <c:pt idx="94">
                  <c:v>63.083319446196548</c:v>
                </c:pt>
                <c:pt idx="95">
                  <c:v>63.624138373009401</c:v>
                </c:pt>
                <c:pt idx="96">
                  <c:v>64.162905657194472</c:v>
                </c:pt>
                <c:pt idx="97">
                  <c:v>64.699632012656451</c:v>
                </c:pt>
                <c:pt idx="98">
                  <c:v>65.234327987183676</c:v>
                </c:pt>
                <c:pt idx="99">
                  <c:v>65.767003966696905</c:v>
                </c:pt>
                <c:pt idx="100">
                  <c:v>66.297670179347676</c:v>
                </c:pt>
              </c:numCache>
            </c:numRef>
          </c:val>
          <c:smooth val="0"/>
          <c:extLst>
            <c:ext xmlns:c16="http://schemas.microsoft.com/office/drawing/2014/chart" uri="{C3380CC4-5D6E-409C-BE32-E72D297353CC}">
              <c16:uniqueId val="{00000001-71B7-4BA8-87DA-8A845B848952}"/>
            </c:ext>
          </c:extLst>
        </c:ser>
        <c:ser>
          <c:idx val="3"/>
          <c:order val="2"/>
          <c:tx>
            <c:strRef>
              <c:f>'Calculations - Single'!$BI$3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Single'!$BP$5:$BP$105</c:f>
              <c:numCache>
                <c:formatCode>0.0</c:formatCode>
                <c:ptCount val="101"/>
                <c:pt idx="0">
                  <c:v>7.3048591693068747</c:v>
                </c:pt>
                <c:pt idx="1">
                  <c:v>9.5751677741374213</c:v>
                </c:pt>
                <c:pt idx="2">
                  <c:v>13.350385085317322</c:v>
                </c:pt>
                <c:pt idx="3">
                  <c:v>17.125651934514728</c:v>
                </c:pt>
                <c:pt idx="4">
                  <c:v>20.900968322704706</c:v>
                </c:pt>
                <c:pt idx="5">
                  <c:v>24.676334250862332</c:v>
                </c:pt>
                <c:pt idx="6">
                  <c:v>28.451749719962702</c:v>
                </c:pt>
                <c:pt idx="7">
                  <c:v>32.227214730980968</c:v>
                </c:pt>
                <c:pt idx="8">
                  <c:v>36.002729284892261</c:v>
                </c:pt>
                <c:pt idx="9">
                  <c:v>39.778293382671798</c:v>
                </c:pt>
                <c:pt idx="10">
                  <c:v>43.55390702529477</c:v>
                </c:pt>
                <c:pt idx="11">
                  <c:v>47.617763786570755</c:v>
                </c:pt>
                <c:pt idx="12">
                  <c:v>50.55325500710525</c:v>
                </c:pt>
                <c:pt idx="13">
                  <c:v>51.090246689758708</c:v>
                </c:pt>
                <c:pt idx="14">
                  <c:v>51.612674789142588</c:v>
                </c:pt>
                <c:pt idx="15">
                  <c:v>52.122277152750179</c:v>
                </c:pt>
                <c:pt idx="16">
                  <c:v>52.620499588245067</c:v>
                </c:pt>
                <c:pt idx="17">
                  <c:v>53.108559526963241</c:v>
                </c:pt>
                <c:pt idx="18">
                  <c:v>53.587492945837212</c:v>
                </c:pt>
                <c:pt idx="19">
                  <c:v>54.058189625048719</c:v>
                </c:pt>
                <c:pt idx="20">
                  <c:v>54.521420094939693</c:v>
                </c:pt>
                <c:pt idx="21">
                  <c:v>54.977856543552434</c:v>
                </c:pt>
                <c:pt idx="22">
                  <c:v>55.428089257775653</c:v>
                </c:pt>
                <c:pt idx="23">
                  <c:v>55.872639709182074</c:v>
                </c:pt>
                <c:pt idx="24">
                  <c:v>56.311971083422101</c:v>
                </c:pt>
                <c:pt idx="25">
                  <c:v>56.746496836808248</c:v>
                </c:pt>
                <c:pt idx="26">
                  <c:v>57.176587712705881</c:v>
                </c:pt>
                <c:pt idx="27">
                  <c:v>57.602577542662509</c:v>
                </c:pt>
                <c:pt idx="28">
                  <c:v>58.024768079291384</c:v>
                </c:pt>
                <c:pt idx="29">
                  <c:v>58.443433050785004</c:v>
                </c:pt>
                <c:pt idx="30">
                  <c:v>58.858821584508817</c:v>
                </c:pt>
                <c:pt idx="31">
                  <c:v>59.271161115266068</c:v>
                </c:pt>
                <c:pt idx="32">
                  <c:v>59.680659869645183</c:v>
                </c:pt>
                <c:pt idx="33">
                  <c:v>60.087508999330453</c:v>
                </c:pt>
                <c:pt idx="34">
                  <c:v>60.491884421924979</c:v>
                </c:pt>
                <c:pt idx="35">
                  <c:v>60.89394841665645</c:v>
                </c:pt>
                <c:pt idx="36">
                  <c:v>61.293851013546522</c:v>
                </c:pt>
                <c:pt idx="37">
                  <c:v>61.691731207663615</c:v>
                </c:pt>
                <c:pt idx="38">
                  <c:v>62.087718024525067</c:v>
                </c:pt>
                <c:pt idx="39">
                  <c:v>62.481931458255801</c:v>
                </c:pt>
                <c:pt idx="40">
                  <c:v>62.874483300508295</c:v>
                </c:pt>
                <c:pt idx="41">
                  <c:v>63.265477875220547</c:v>
                </c:pt>
                <c:pt idx="42">
                  <c:v>63.655012691896189</c:v>
                </c:pt>
                <c:pt idx="43">
                  <c:v>64.043179028125479</c:v>
                </c:pt>
                <c:pt idx="44">
                  <c:v>64.430062450442662</c:v>
                </c:pt>
                <c:pt idx="45">
                  <c:v>64.815743281269178</c:v>
                </c:pt>
                <c:pt idx="46">
                  <c:v>65.200297018570438</c:v>
                </c:pt>
                <c:pt idx="47">
                  <c:v>65.583794713914372</c:v>
                </c:pt>
                <c:pt idx="48">
                  <c:v>65.966303313832185</c:v>
                </c:pt>
                <c:pt idx="49">
                  <c:v>66.347885968715033</c:v>
                </c:pt>
                <c:pt idx="50">
                  <c:v>66.728602312917161</c:v>
                </c:pt>
                <c:pt idx="51">
                  <c:v>67.108508719257699</c:v>
                </c:pt>
                <c:pt idx="52">
                  <c:v>67.487658530703911</c:v>
                </c:pt>
                <c:pt idx="53">
                  <c:v>67.86610227166986</c:v>
                </c:pt>
                <c:pt idx="54">
                  <c:v>68.243887841064947</c:v>
                </c:pt>
                <c:pt idx="55">
                  <c:v>68.621060688967731</c:v>
                </c:pt>
                <c:pt idx="56">
                  <c:v>68.997663978578672</c:v>
                </c:pt>
                <c:pt idx="57">
                  <c:v>69.373738734911768</c:v>
                </c:pt>
                <c:pt idx="58">
                  <c:v>69.749323981517747</c:v>
                </c:pt>
                <c:pt idx="59">
                  <c:v>70.124456866386268</c:v>
                </c:pt>
                <c:pt idx="60">
                  <c:v>70.499172778046685</c:v>
                </c:pt>
                <c:pt idx="61">
                  <c:v>70.873505452776342</c:v>
                </c:pt>
                <c:pt idx="62">
                  <c:v>71.247487073727427</c:v>
                </c:pt>
                <c:pt idx="63">
                  <c:v>71.621148362698051</c:v>
                </c:pt>
                <c:pt idx="64">
                  <c:v>71.994518665198157</c:v>
                </c:pt>
                <c:pt idx="65">
                  <c:v>72.367626029392937</c:v>
                </c:pt>
                <c:pt idx="66">
                  <c:v>72.740497279449983</c:v>
                </c:pt>
                <c:pt idx="67">
                  <c:v>73.113158083761761</c:v>
                </c:pt>
                <c:pt idx="68">
                  <c:v>73.485633018470466</c:v>
                </c:pt>
                <c:pt idx="69">
                  <c:v>73.857945626680703</c:v>
                </c:pt>
                <c:pt idx="70">
                  <c:v>74.230118473708615</c:v>
                </c:pt>
                <c:pt idx="71">
                  <c:v>74.602173198683474</c:v>
                </c:pt>
                <c:pt idx="72">
                  <c:v>74.974130562788886</c:v>
                </c:pt>
                <c:pt idx="73">
                  <c:v>75.346010494404325</c:v>
                </c:pt>
                <c:pt idx="74">
                  <c:v>75.717832131384</c:v>
                </c:pt>
                <c:pt idx="75">
                  <c:v>76.08961386068971</c:v>
                </c:pt>
                <c:pt idx="76">
                  <c:v>76.461373355574793</c:v>
                </c:pt>
                <c:pt idx="77">
                  <c:v>76.833127610499389</c:v>
                </c:pt>
                <c:pt idx="78">
                  <c:v>77.204892973942222</c:v>
                </c:pt>
                <c:pt idx="79">
                  <c:v>77.576685179259314</c:v>
                </c:pt>
                <c:pt idx="80">
                  <c:v>77.948519373728857</c:v>
                </c:pt>
                <c:pt idx="81">
                  <c:v>78.320410145908468</c:v>
                </c:pt>
                <c:pt idx="82">
                  <c:v>78.692371551422383</c:v>
                </c:pt>
                <c:pt idx="83">
                  <c:v>79.064417137284906</c:v>
                </c:pt>
                <c:pt idx="84">
                  <c:v>79.436559964860507</c:v>
                </c:pt>
                <c:pt idx="85">
                  <c:v>79.80881263155004</c:v>
                </c:pt>
                <c:pt idx="86">
                  <c:v>80.181187291288239</c:v>
                </c:pt>
                <c:pt idx="87">
                  <c:v>80.553695673929852</c:v>
                </c:pt>
                <c:pt idx="88">
                  <c:v>80.92634910359584</c:v>
                </c:pt>
                <c:pt idx="89">
                  <c:v>81.299158516046617</c:v>
                </c:pt>
                <c:pt idx="90">
                  <c:v>81.672134475143082</c:v>
                </c:pt>
                <c:pt idx="91">
                  <c:v>82.045287188453159</c:v>
                </c:pt>
                <c:pt idx="92">
                  <c:v>82.418626522055973</c:v>
                </c:pt>
                <c:pt idx="93">
                  <c:v>82.792162014593302</c:v>
                </c:pt>
                <c:pt idx="94">
                  <c:v>83.16590289061341</c:v>
                </c:pt>
                <c:pt idx="95">
                  <c:v>83.539858073250088</c:v>
                </c:pt>
                <c:pt idx="96">
                  <c:v>83.914036196275674</c:v>
                </c:pt>
                <c:pt idx="97">
                  <c:v>84.288445615565763</c:v>
                </c:pt>
                <c:pt idx="98">
                  <c:v>84.663094420008775</c:v>
                </c:pt>
                <c:pt idx="99">
                  <c:v>85.037990441892802</c:v>
                </c:pt>
                <c:pt idx="100">
                  <c:v>85.413141266799869</c:v>
                </c:pt>
              </c:numCache>
            </c:numRef>
          </c:val>
          <c:smooth val="0"/>
          <c:extLst>
            <c:ext xmlns:c16="http://schemas.microsoft.com/office/drawing/2014/chart" uri="{C3380CC4-5D6E-409C-BE32-E72D297353CC}">
              <c16:uniqueId val="{00000002-71B7-4BA8-87DA-8A845B848952}"/>
            </c:ext>
          </c:extLst>
        </c:ser>
        <c:ser>
          <c:idx val="1"/>
          <c:order val="3"/>
          <c:tx>
            <c:strRef>
              <c:f>'Calculations - Single'!$BU$3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Single'!$BZ$5:$BZ$105</c:f>
              <c:numCache>
                <c:formatCode>0.0</c:formatCode>
                <c:ptCount val="101"/>
                <c:pt idx="0">
                  <c:v>8.5400430258154909</c:v>
                </c:pt>
                <c:pt idx="1">
                  <c:v>8.7437096924821596</c:v>
                </c:pt>
                <c:pt idx="2">
                  <c:v>9.0823763591488227</c:v>
                </c:pt>
                <c:pt idx="3">
                  <c:v>9.4210430258154911</c:v>
                </c:pt>
                <c:pt idx="4">
                  <c:v>9.7597096924821578</c:v>
                </c:pt>
                <c:pt idx="5">
                  <c:v>10.098376359148821</c:v>
                </c:pt>
                <c:pt idx="6">
                  <c:v>10.437043025815495</c:v>
                </c:pt>
                <c:pt idx="7">
                  <c:v>10.775709692482158</c:v>
                </c:pt>
                <c:pt idx="8">
                  <c:v>11.114376359148826</c:v>
                </c:pt>
                <c:pt idx="9">
                  <c:v>11.453043025815491</c:v>
                </c:pt>
                <c:pt idx="10">
                  <c:v>11.791709692482158</c:v>
                </c:pt>
                <c:pt idx="11">
                  <c:v>12.752214082824489</c:v>
                </c:pt>
                <c:pt idx="12">
                  <c:v>14.155373751728971</c:v>
                </c:pt>
                <c:pt idx="13">
                  <c:v>15.335587491235277</c:v>
                </c:pt>
                <c:pt idx="14">
                  <c:v>16.515893498687326</c:v>
                </c:pt>
                <c:pt idx="15">
                  <c:v>17.696291789970839</c:v>
                </c:pt>
                <c:pt idx="16">
                  <c:v>18.876782380975165</c:v>
                </c:pt>
                <c:pt idx="17">
                  <c:v>20.057365287593292</c:v>
                </c:pt>
                <c:pt idx="18">
                  <c:v>21.238040525721868</c:v>
                </c:pt>
                <c:pt idx="19">
                  <c:v>22.418808111261203</c:v>
                </c:pt>
                <c:pt idx="20">
                  <c:v>23.599668060115235</c:v>
                </c:pt>
                <c:pt idx="21">
                  <c:v>24.780620388191565</c:v>
                </c:pt>
                <c:pt idx="22">
                  <c:v>25.961665111401437</c:v>
                </c:pt>
                <c:pt idx="23">
                  <c:v>27.14280224565977</c:v>
                </c:pt>
                <c:pt idx="24">
                  <c:v>28.324031806885124</c:v>
                </c:pt>
                <c:pt idx="25">
                  <c:v>29.505353810999722</c:v>
                </c:pt>
                <c:pt idx="26">
                  <c:v>30.686768273929438</c:v>
                </c:pt>
                <c:pt idx="27">
                  <c:v>31.868275211603798</c:v>
                </c:pt>
                <c:pt idx="28">
                  <c:v>33.049874639956009</c:v>
                </c:pt>
                <c:pt idx="29">
                  <c:v>34.231566574922923</c:v>
                </c:pt>
                <c:pt idx="30">
                  <c:v>35.413351032445043</c:v>
                </c:pt>
                <c:pt idx="31">
                  <c:v>36.595228028466572</c:v>
                </c:pt>
                <c:pt idx="32">
                  <c:v>37.777197578935336</c:v>
                </c:pt>
                <c:pt idx="33">
                  <c:v>38.959259699802857</c:v>
                </c:pt>
                <c:pt idx="34">
                  <c:v>40.141414407024293</c:v>
                </c:pt>
                <c:pt idx="35">
                  <c:v>41.323661716558476</c:v>
                </c:pt>
                <c:pt idx="36">
                  <c:v>42.506001644367942</c:v>
                </c:pt>
                <c:pt idx="37">
                  <c:v>43.688434206418854</c:v>
                </c:pt>
                <c:pt idx="38">
                  <c:v>44.870959418681068</c:v>
                </c:pt>
                <c:pt idx="39">
                  <c:v>46.053577297128093</c:v>
                </c:pt>
                <c:pt idx="40">
                  <c:v>47.236287857737111</c:v>
                </c:pt>
                <c:pt idx="41">
                  <c:v>48.419091116488993</c:v>
                </c:pt>
                <c:pt idx="42">
                  <c:v>49.601987089368279</c:v>
                </c:pt>
                <c:pt idx="43">
                  <c:v>50.784975792363205</c:v>
                </c:pt>
                <c:pt idx="44">
                  <c:v>51.968057241465623</c:v>
                </c:pt>
                <c:pt idx="45">
                  <c:v>53.151231452671119</c:v>
                </c:pt>
                <c:pt idx="46">
                  <c:v>54.334498441978937</c:v>
                </c:pt>
                <c:pt idx="47">
                  <c:v>55.517858225391983</c:v>
                </c:pt>
                <c:pt idx="48">
                  <c:v>56.70131081891688</c:v>
                </c:pt>
                <c:pt idx="49">
                  <c:v>57.884856238563948</c:v>
                </c:pt>
                <c:pt idx="50">
                  <c:v>59.068494500347107</c:v>
                </c:pt>
                <c:pt idx="51">
                  <c:v>60.252225620284023</c:v>
                </c:pt>
                <c:pt idx="52">
                  <c:v>61.436049614396055</c:v>
                </c:pt>
                <c:pt idx="53">
                  <c:v>62.619966498708187</c:v>
                </c:pt>
                <c:pt idx="54">
                  <c:v>63.803976289249164</c:v>
                </c:pt>
                <c:pt idx="55">
                  <c:v>64.988079002051393</c:v>
                </c:pt>
                <c:pt idx="56">
                  <c:v>66.172274653150907</c:v>
                </c:pt>
                <c:pt idx="57">
                  <c:v>67.356563258587542</c:v>
                </c:pt>
                <c:pt idx="58">
                  <c:v>68.540944834404769</c:v>
                </c:pt>
                <c:pt idx="59">
                  <c:v>69.725419396649713</c:v>
                </c:pt>
                <c:pt idx="60">
                  <c:v>70.909986961373235</c:v>
                </c:pt>
                <c:pt idx="61">
                  <c:v>72.094647544629936</c:v>
                </c:pt>
                <c:pt idx="62">
                  <c:v>73.279401162477981</c:v>
                </c:pt>
                <c:pt idx="63">
                  <c:v>74.464247830979318</c:v>
                </c:pt>
                <c:pt idx="64">
                  <c:v>75.649187566199728</c:v>
                </c:pt>
                <c:pt idx="65">
                  <c:v>76.834220384208365</c:v>
                </c:pt>
                <c:pt idx="66">
                  <c:v>78.019346301078372</c:v>
                </c:pt>
                <c:pt idx="67">
                  <c:v>79.204565332886432</c:v>
                </c:pt>
                <c:pt idx="68">
                  <c:v>80.389877495713023</c:v>
                </c:pt>
                <c:pt idx="69">
                  <c:v>81.575282805642246</c:v>
                </c:pt>
                <c:pt idx="70">
                  <c:v>82.760781278761982</c:v>
                </c:pt>
                <c:pt idx="71">
                  <c:v>83.946372931163836</c:v>
                </c:pt>
                <c:pt idx="72">
                  <c:v>85.132057778942936</c:v>
                </c:pt>
                <c:pt idx="73">
                  <c:v>86.317835838198377</c:v>
                </c:pt>
                <c:pt idx="74">
                  <c:v>87.503707125032719</c:v>
                </c:pt>
                <c:pt idx="75">
                  <c:v>88.689671655552445</c:v>
                </c:pt>
                <c:pt idx="76">
                  <c:v>89.875729445867606</c:v>
                </c:pt>
                <c:pt idx="77">
                  <c:v>91.061880512091975</c:v>
                </c:pt>
                <c:pt idx="78">
                  <c:v>92.248124870343133</c:v>
                </c:pt>
                <c:pt idx="79">
                  <c:v>93.434462536742231</c:v>
                </c:pt>
                <c:pt idx="80">
                  <c:v>94.620893527414296</c:v>
                </c:pt>
                <c:pt idx="81">
                  <c:v>95.807417858487881</c:v>
                </c:pt>
                <c:pt idx="82">
                  <c:v>96.994035546095532</c:v>
                </c:pt>
                <c:pt idx="83">
                  <c:v>98.180746606373148</c:v>
                </c:pt>
                <c:pt idx="84">
                  <c:v>99.367551055460694</c:v>
                </c:pt>
                <c:pt idx="85">
                  <c:v>100.55444890950166</c:v>
                </c:pt>
                <c:pt idx="86">
                  <c:v>101.74144018464327</c:v>
                </c:pt>
                <c:pt idx="87">
                  <c:v>102.92852489703655</c:v>
                </c:pt>
                <c:pt idx="88">
                  <c:v>104.11570306283613</c:v>
                </c:pt>
                <c:pt idx="89">
                  <c:v>105.3029746982005</c:v>
                </c:pt>
                <c:pt idx="90">
                  <c:v>106.49033981929179</c:v>
                </c:pt>
                <c:pt idx="91">
                  <c:v>107.67779844227587</c:v>
                </c:pt>
                <c:pt idx="92">
                  <c:v>108.86535058332237</c:v>
                </c:pt>
                <c:pt idx="93">
                  <c:v>110.05299625860457</c:v>
                </c:pt>
                <c:pt idx="94">
                  <c:v>111.24073548429961</c:v>
                </c:pt>
                <c:pt idx="95">
                  <c:v>112.42856827658822</c:v>
                </c:pt>
                <c:pt idx="96">
                  <c:v>113.61649465165489</c:v>
                </c:pt>
                <c:pt idx="97">
                  <c:v>114.80451462568804</c:v>
                </c:pt>
                <c:pt idx="98">
                  <c:v>115.99262821487947</c:v>
                </c:pt>
                <c:pt idx="99">
                  <c:v>117.18083543542501</c:v>
                </c:pt>
                <c:pt idx="100">
                  <c:v>118.36913630352413</c:v>
                </c:pt>
              </c:numCache>
            </c:numRef>
          </c:val>
          <c:smooth val="0"/>
          <c:extLst>
            <c:ext xmlns:c16="http://schemas.microsoft.com/office/drawing/2014/chart" uri="{C3380CC4-5D6E-409C-BE32-E72D297353CC}">
              <c16:uniqueId val="{00000003-71B7-4BA8-87DA-8A845B848952}"/>
            </c:ext>
          </c:extLst>
        </c:ser>
        <c:dLbls>
          <c:showLegendKey val="0"/>
          <c:showVal val="0"/>
          <c:showCatName val="0"/>
          <c:showSerName val="0"/>
          <c:showPercent val="0"/>
          <c:showBubbleSize val="0"/>
        </c:dLbls>
        <c:marker val="1"/>
        <c:smooth val="0"/>
        <c:axId val="185232384"/>
        <c:axId val="185230464"/>
      </c:lineChart>
      <c:catAx>
        <c:axId val="185214080"/>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Load Current (mA)</a:t>
                </a:r>
              </a:p>
            </c:rich>
          </c:tx>
          <c:layout>
            <c:manualLayout>
              <c:xMode val="edge"/>
              <c:yMode val="edge"/>
              <c:x val="0.42471011396394504"/>
              <c:y val="0.93853771636955563"/>
            </c:manualLayout>
          </c:layout>
          <c:overlay val="0"/>
          <c:spPr>
            <a:noFill/>
            <a:ln w="25400">
              <a:noFill/>
            </a:ln>
          </c:spPr>
        </c:title>
        <c:numFmt formatCode="0"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85216000"/>
        <c:crosses val="autoZero"/>
        <c:auto val="1"/>
        <c:lblAlgn val="ctr"/>
        <c:lblOffset val="100"/>
        <c:tickLblSkip val="20"/>
        <c:tickMarkSkip val="20"/>
        <c:noMultiLvlLbl val="0"/>
      </c:catAx>
      <c:valAx>
        <c:axId val="185216000"/>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5214080"/>
        <c:crossesAt val="0"/>
        <c:crossBetween val="between"/>
        <c:majorUnit val="5"/>
        <c:minorUnit val="2.5"/>
      </c:valAx>
      <c:valAx>
        <c:axId val="185230464"/>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85232384"/>
        <c:crosses val="max"/>
        <c:crossBetween val="between"/>
      </c:valAx>
      <c:catAx>
        <c:axId val="185232384"/>
        <c:scaling>
          <c:orientation val="minMax"/>
        </c:scaling>
        <c:delete val="1"/>
        <c:axPos val="b"/>
        <c:numFmt formatCode="General" sourceLinked="1"/>
        <c:majorTickMark val="out"/>
        <c:minorTickMark val="none"/>
        <c:tickLblPos val="nextTo"/>
        <c:crossAx val="185230464"/>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4467583520385743"/>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Dual'!$CF$5:$CF$105</c:f>
              <c:numCache>
                <c:formatCode>0.00</c:formatCode>
                <c:ptCount val="101"/>
                <c:pt idx="0">
                  <c:v>1.3162342301611181E-4</c:v>
                </c:pt>
                <c:pt idx="1">
                  <c:v>53.928576738465871</c:v>
                </c:pt>
                <c:pt idx="2">
                  <c:v>66.993847915669306</c:v>
                </c:pt>
                <c:pt idx="3">
                  <c:v>72.87931365678655</c:v>
                </c:pt>
                <c:pt idx="4">
                  <c:v>76.227624942864367</c:v>
                </c:pt>
                <c:pt idx="5">
                  <c:v>78.388460065630966</c:v>
                </c:pt>
                <c:pt idx="6">
                  <c:v>79.898372578333891</c:v>
                </c:pt>
                <c:pt idx="7">
                  <c:v>80.590309556505773</c:v>
                </c:pt>
                <c:pt idx="8">
                  <c:v>80.619421543799021</c:v>
                </c:pt>
                <c:pt idx="9">
                  <c:v>80.617498200462052</c:v>
                </c:pt>
                <c:pt idx="10">
                  <c:v>80.595642900651626</c:v>
                </c:pt>
                <c:pt idx="11">
                  <c:v>80.560765994289625</c:v>
                </c:pt>
                <c:pt idx="12">
                  <c:v>80.763613190790508</c:v>
                </c:pt>
                <c:pt idx="13">
                  <c:v>81.321932433864134</c:v>
                </c:pt>
                <c:pt idx="14">
                  <c:v>81.811851628896946</c:v>
                </c:pt>
                <c:pt idx="15">
                  <c:v>82.245763415460189</c:v>
                </c:pt>
                <c:pt idx="16">
                  <c:v>82.633205122170523</c:v>
                </c:pt>
                <c:pt idx="17">
                  <c:v>82.981640360895241</c:v>
                </c:pt>
                <c:pt idx="18">
                  <c:v>83.296996491581609</c:v>
                </c:pt>
                <c:pt idx="19">
                  <c:v>83.584042676946069</c:v>
                </c:pt>
                <c:pt idx="20">
                  <c:v>83.846661192050036</c:v>
                </c:pt>
                <c:pt idx="21">
                  <c:v>84.088045639683131</c:v>
                </c:pt>
                <c:pt idx="22">
                  <c:v>84.310848105023382</c:v>
                </c:pt>
                <c:pt idx="23">
                  <c:v>84.517289995379613</c:v>
                </c:pt>
                <c:pt idx="24">
                  <c:v>84.709246629931229</c:v>
                </c:pt>
                <c:pt idx="25">
                  <c:v>84.888312573048481</c:v>
                </c:pt>
                <c:pt idx="26">
                  <c:v>85.055852650200137</c:v>
                </c:pt>
                <c:pt idx="27">
                  <c:v>85.213042186612</c:v>
                </c:pt>
                <c:pt idx="28">
                  <c:v>85.360899040965677</c:v>
                </c:pt>
                <c:pt idx="29">
                  <c:v>85.500309326751221</c:v>
                </c:pt>
                <c:pt idx="30">
                  <c:v>85.632048230029994</c:v>
                </c:pt>
                <c:pt idx="31">
                  <c:v>85.756796983529654</c:v>
                </c:pt>
                <c:pt idx="32">
                  <c:v>85.875156802537816</c:v>
                </c:pt>
                <c:pt idx="33">
                  <c:v>85.987660400412452</c:v>
                </c:pt>
                <c:pt idx="34">
                  <c:v>86.094781561732631</c:v>
                </c:pt>
                <c:pt idx="35">
                  <c:v>86.196943145972782</c:v>
                </c:pt>
                <c:pt idx="36">
                  <c:v>86.29452381479723</c:v>
                </c:pt>
                <c:pt idx="37">
                  <c:v>86.387863715019449</c:v>
                </c:pt>
                <c:pt idx="38">
                  <c:v>86.477269302180432</c:v>
                </c:pt>
                <c:pt idx="39">
                  <c:v>86.563017453112508</c:v>
                </c:pt>
                <c:pt idx="40">
                  <c:v>86.645358987223602</c:v>
                </c:pt>
                <c:pt idx="41">
                  <c:v>86.724521693685134</c:v>
                </c:pt>
                <c:pt idx="42">
                  <c:v>86.800712943830845</c:v>
                </c:pt>
                <c:pt idx="43">
                  <c:v>86.874121953819085</c:v>
                </c:pt>
                <c:pt idx="44">
                  <c:v>86.944921751180431</c:v>
                </c:pt>
                <c:pt idx="45">
                  <c:v>87.013270889656752</c:v>
                </c:pt>
                <c:pt idx="46">
                  <c:v>87.079314949268394</c:v>
                </c:pt>
                <c:pt idx="47">
                  <c:v>87.143187852464465</c:v>
                </c:pt>
                <c:pt idx="48">
                  <c:v>87.205013022234951</c:v>
                </c:pt>
                <c:pt idx="49">
                  <c:v>87.264904403972935</c:v>
                </c:pt>
                <c:pt idx="50">
                  <c:v>87.322967369500532</c:v>
                </c:pt>
                <c:pt idx="51">
                  <c:v>87.379299518874475</c:v>
                </c:pt>
                <c:pt idx="52">
                  <c:v>87.433991393260285</c:v>
                </c:pt>
                <c:pt idx="53">
                  <c:v>87.487127110219475</c:v>
                </c:pt>
                <c:pt idx="54">
                  <c:v>87.538784931127523</c:v>
                </c:pt>
                <c:pt idx="55">
                  <c:v>87.589037769067389</c:v>
                </c:pt>
                <c:pt idx="56">
                  <c:v>87.637953644390194</c:v>
                </c:pt>
                <c:pt idx="57">
                  <c:v>87.685596094154377</c:v>
                </c:pt>
                <c:pt idx="58">
                  <c:v>87.73202454082417</c:v>
                </c:pt>
                <c:pt idx="59">
                  <c:v>87.77729462490052</c:v>
                </c:pt>
                <c:pt idx="60">
                  <c:v>87.821458505553309</c:v>
                </c:pt>
                <c:pt idx="61">
                  <c:v>87.883581314243642</c:v>
                </c:pt>
                <c:pt idx="62">
                  <c:v>87.959939069451764</c:v>
                </c:pt>
                <c:pt idx="63">
                  <c:v>88.03312112555642</c:v>
                </c:pt>
                <c:pt idx="64">
                  <c:v>88.103303190109443</c:v>
                </c:pt>
                <c:pt idx="65">
                  <c:v>88.170648867543051</c:v>
                </c:pt>
                <c:pt idx="66">
                  <c:v>88.235310650303731</c:v>
                </c:pt>
                <c:pt idx="67">
                  <c:v>88.297430816473025</c:v>
                </c:pt>
                <c:pt idx="68">
                  <c:v>88.357142243812973</c:v>
                </c:pt>
                <c:pt idx="69">
                  <c:v>88.414569149005345</c:v>
                </c:pt>
                <c:pt idx="70">
                  <c:v>88.469827759833962</c:v>
                </c:pt>
                <c:pt idx="71">
                  <c:v>88.523026927170079</c:v>
                </c:pt>
                <c:pt idx="72">
                  <c:v>88.57426868284216</c:v>
                </c:pt>
                <c:pt idx="73">
                  <c:v>88.623648748790757</c:v>
                </c:pt>
                <c:pt idx="74">
                  <c:v>88.671257002310512</c:v>
                </c:pt>
                <c:pt idx="75">
                  <c:v>88.717177901656456</c:v>
                </c:pt>
                <c:pt idx="76">
                  <c:v>88.76149087582877</c:v>
                </c:pt>
                <c:pt idx="77">
                  <c:v>88.804270681943152</c:v>
                </c:pt>
                <c:pt idx="78">
                  <c:v>88.845587733233373</c:v>
                </c:pt>
                <c:pt idx="79">
                  <c:v>88.885508400414679</c:v>
                </c:pt>
                <c:pt idx="80">
                  <c:v>88.924095288854943</c:v>
                </c:pt>
                <c:pt idx="81">
                  <c:v>88.961407493750428</c:v>
                </c:pt>
                <c:pt idx="82">
                  <c:v>88.997500835281187</c:v>
                </c:pt>
                <c:pt idx="83">
                  <c:v>89.032428075524024</c:v>
                </c:pt>
                <c:pt idx="84">
                  <c:v>89.066239118724894</c:v>
                </c:pt>
                <c:pt idx="85">
                  <c:v>89.098981196376641</c:v>
                </c:pt>
                <c:pt idx="86">
                  <c:v>89.130699038407244</c:v>
                </c:pt>
                <c:pt idx="87">
                  <c:v>89.161435031660062</c:v>
                </c:pt>
                <c:pt idx="88">
                  <c:v>89.19122936673449</c:v>
                </c:pt>
                <c:pt idx="89">
                  <c:v>89.220120174156264</c:v>
                </c:pt>
                <c:pt idx="90">
                  <c:v>89.248143650755949</c:v>
                </c:pt>
                <c:pt idx="91">
                  <c:v>89.275334177054589</c:v>
                </c:pt>
                <c:pt idx="92">
                  <c:v>89.301724426381426</c:v>
                </c:pt>
                <c:pt idx="93">
                  <c:v>89.327345466384827</c:v>
                </c:pt>
                <c:pt idx="94">
                  <c:v>89.352226853537758</c:v>
                </c:pt>
                <c:pt idx="95">
                  <c:v>89.37421021414707</c:v>
                </c:pt>
                <c:pt idx="96">
                  <c:v>89.393584222844751</c:v>
                </c:pt>
                <c:pt idx="97">
                  <c:v>89.412566801947051</c:v>
                </c:pt>
                <c:pt idx="98">
                  <c:v>89.431168944309107</c:v>
                </c:pt>
                <c:pt idx="99">
                  <c:v>89.449401234924395</c:v>
                </c:pt>
                <c:pt idx="100">
                  <c:v>89.467273869877602</c:v>
                </c:pt>
              </c:numCache>
            </c:numRef>
          </c:val>
          <c:smooth val="0"/>
          <c:extLst>
            <c:ext xmlns:c16="http://schemas.microsoft.com/office/drawing/2014/chart" uri="{C3380CC4-5D6E-409C-BE32-E72D297353CC}">
              <c16:uniqueId val="{00000000-EFCC-454E-AFD4-5C20AD610981}"/>
            </c:ext>
          </c:extLst>
        </c:ser>
        <c:dLbls>
          <c:showLegendKey val="0"/>
          <c:showVal val="0"/>
          <c:showCatName val="0"/>
          <c:showSerName val="0"/>
          <c:showPercent val="0"/>
          <c:showBubbleSize val="0"/>
        </c:dLbls>
        <c:marker val="1"/>
        <c:smooth val="0"/>
        <c:axId val="184691328"/>
        <c:axId val="184697600"/>
      </c:lineChart>
      <c:lineChart>
        <c:grouping val="standard"/>
        <c:varyColors val="0"/>
        <c:ser>
          <c:idx val="2"/>
          <c:order val="1"/>
          <c:tx>
            <c:strRef>
              <c:f>'Calculations - Dual'!$BP$3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Dual'!$BT$5:$BT$105</c:f>
              <c:numCache>
                <c:formatCode>0.0</c:formatCode>
                <c:ptCount val="101"/>
                <c:pt idx="0">
                  <c:v>11.363779546237609</c:v>
                </c:pt>
                <c:pt idx="1">
                  <c:v>12.024509752888893</c:v>
                </c:pt>
                <c:pt idx="2">
                  <c:v>12.633872562294505</c:v>
                </c:pt>
                <c:pt idx="3">
                  <c:v>13.243235371700118</c:v>
                </c:pt>
                <c:pt idx="4">
                  <c:v>13.852598181105732</c:v>
                </c:pt>
                <c:pt idx="5">
                  <c:v>14.461960990511342</c:v>
                </c:pt>
                <c:pt idx="6">
                  <c:v>15.071323799916959</c:v>
                </c:pt>
                <c:pt idx="7">
                  <c:v>16.331665832086117</c:v>
                </c:pt>
                <c:pt idx="8">
                  <c:v>18.362528318017112</c:v>
                </c:pt>
                <c:pt idx="9">
                  <c:v>20.295859379933898</c:v>
                </c:pt>
                <c:pt idx="10">
                  <c:v>22.125735650267508</c:v>
                </c:pt>
                <c:pt idx="11">
                  <c:v>23.846555649712855</c:v>
                </c:pt>
                <c:pt idx="12">
                  <c:v>25.595815902279274</c:v>
                </c:pt>
                <c:pt idx="13">
                  <c:v>27.532146304246442</c:v>
                </c:pt>
                <c:pt idx="14">
                  <c:v>29.446222682979979</c:v>
                </c:pt>
                <c:pt idx="15">
                  <c:v>31.338855643951668</c:v>
                </c:pt>
                <c:pt idx="16">
                  <c:v>33.21077314876382</c:v>
                </c:pt>
                <c:pt idx="17">
                  <c:v>35.062633675539402</c:v>
                </c:pt>
                <c:pt idx="18">
                  <c:v>36.895036618979539</c:v>
                </c:pt>
                <c:pt idx="19">
                  <c:v>38.708530632855258</c:v>
                </c:pt>
                <c:pt idx="20">
                  <c:v>40.503620410605485</c:v>
                </c:pt>
                <c:pt idx="21">
                  <c:v>42.28077226111138</c:v>
                </c:pt>
                <c:pt idx="22">
                  <c:v>44.040418741723322</c:v>
                </c:pt>
                <c:pt idx="23">
                  <c:v>45.782962544124281</c:v>
                </c:pt>
                <c:pt idx="24">
                  <c:v>47.508779781186725</c:v>
                </c:pt>
                <c:pt idx="25">
                  <c:v>49.21822278857622</c:v>
                </c:pt>
                <c:pt idx="26">
                  <c:v>50.911622529512215</c:v>
                </c:pt>
                <c:pt idx="27">
                  <c:v>52.589290672169817</c:v>
                </c:pt>
                <c:pt idx="28">
                  <c:v>54.251521394888954</c:v>
                </c:pt>
                <c:pt idx="29">
                  <c:v>55.89859296340245</c:v>
                </c:pt>
                <c:pt idx="30">
                  <c:v>57.530769115820803</c:v>
                </c:pt>
                <c:pt idx="31">
                  <c:v>59.148300284493438</c:v>
                </c:pt>
                <c:pt idx="32">
                  <c:v>60.75142467864957</c:v>
                </c:pt>
                <c:pt idx="33">
                  <c:v>62.340369247575147</c:v>
                </c:pt>
                <c:pt idx="34">
                  <c:v>63.915350540759249</c:v>
                </c:pt>
                <c:pt idx="35">
                  <c:v>65.476575478762541</c:v>
                </c:pt>
                <c:pt idx="36">
                  <c:v>67.024242046380877</c:v>
                </c:pt>
                <c:pt idx="37">
                  <c:v>68.558539917893881</c:v>
                </c:pt>
                <c:pt idx="38">
                  <c:v>70.0796510227227</c:v>
                </c:pt>
                <c:pt idx="39">
                  <c:v>71.58775005860646</c:v>
                </c:pt>
                <c:pt idx="40">
                  <c:v>73.083004958396899</c:v>
                </c:pt>
                <c:pt idx="41">
                  <c:v>74.56557731572596</c:v>
                </c:pt>
                <c:pt idx="42">
                  <c:v>76.035622774091479</c:v>
                </c:pt>
                <c:pt idx="43">
                  <c:v>77.493291383306385</c:v>
                </c:pt>
                <c:pt idx="44">
                  <c:v>78.938727926749351</c:v>
                </c:pt>
                <c:pt idx="45">
                  <c:v>80.372072222422261</c:v>
                </c:pt>
                <c:pt idx="46">
                  <c:v>81.793459400449393</c:v>
                </c:pt>
                <c:pt idx="47">
                  <c:v>83.203020159337555</c:v>
                </c:pt>
                <c:pt idx="48">
                  <c:v>84.600881003042218</c:v>
                </c:pt>
                <c:pt idx="49">
                  <c:v>85.98716446064978</c:v>
                </c:pt>
                <c:pt idx="50">
                  <c:v>87.361989290281187</c:v>
                </c:pt>
                <c:pt idx="51">
                  <c:v>88.725470668645201</c:v>
                </c:pt>
                <c:pt idx="52">
                  <c:v>90.077720367513578</c:v>
                </c:pt>
                <c:pt idx="53">
                  <c:v>91.418846918257017</c:v>
                </c:pt>
                <c:pt idx="54">
                  <c:v>92.748955765459712</c:v>
                </c:pt>
                <c:pt idx="55">
                  <c:v>94.068149410528079</c:v>
                </c:pt>
                <c:pt idx="56">
                  <c:v>95.376527546115838</c:v>
                </c:pt>
                <c:pt idx="57">
                  <c:v>96.674187182107289</c:v>
                </c:pt>
                <c:pt idx="58">
                  <c:v>97.961222763828516</c:v>
                </c:pt>
                <c:pt idx="59">
                  <c:v>99.237726283091845</c:v>
                </c:pt>
                <c:pt idx="60">
                  <c:v>100.50378738262333</c:v>
                </c:pt>
                <c:pt idx="61">
                  <c:v>102.20019368273141</c:v>
                </c:pt>
                <c:pt idx="62">
                  <c:v>104.29130870151437</c:v>
                </c:pt>
                <c:pt idx="63">
                  <c:v>106.3857358165084</c:v>
                </c:pt>
                <c:pt idx="64">
                  <c:v>108.48339647376659</c:v>
                </c:pt>
                <c:pt idx="65">
                  <c:v>110.58421517624619</c:v>
                </c:pt>
                <c:pt idx="66">
                  <c:v>112.6881193198147</c:v>
                </c:pt>
                <c:pt idx="67">
                  <c:v>114.79503904039659</c:v>
                </c:pt>
                <c:pt idx="68">
                  <c:v>116.90490707134998</c:v>
                </c:pt>
                <c:pt idx="69">
                  <c:v>119.01765861024836</c:v>
                </c:pt>
                <c:pt idx="70">
                  <c:v>121.13323119432043</c:v>
                </c:pt>
                <c:pt idx="71">
                  <c:v>123.25156458387005</c:v>
                </c:pt>
                <c:pt idx="72">
                  <c:v>125.37260065305999</c:v>
                </c:pt>
                <c:pt idx="73">
                  <c:v>127.49628328749939</c:v>
                </c:pt>
                <c:pt idx="74">
                  <c:v>129.62255828812309</c:v>
                </c:pt>
                <c:pt idx="75">
                  <c:v>131.75137328089775</c:v>
                </c:pt>
                <c:pt idx="76">
                  <c:v>133.88267763192775</c:v>
                </c:pt>
                <c:pt idx="77">
                  <c:v>136.01642236757232</c:v>
                </c:pt>
                <c:pt idx="78">
                  <c:v>138.15256009921629</c:v>
                </c:pt>
                <c:pt idx="79">
                  <c:v>140.29104495236766</c:v>
                </c:pt>
                <c:pt idx="80">
                  <c:v>142.43183249978185</c:v>
                </c:pt>
                <c:pt idx="81">
                  <c:v>144.57487969833593</c:v>
                </c:pt>
                <c:pt idx="82">
                  <c:v>146.72014482940017</c:v>
                </c:pt>
                <c:pt idx="83">
                  <c:v>148.8675874424714</c:v>
                </c:pt>
                <c:pt idx="84">
                  <c:v>151.01716830185416</c:v>
                </c:pt>
                <c:pt idx="85">
                  <c:v>153.16884933618996</c:v>
                </c:pt>
                <c:pt idx="86">
                  <c:v>155.32259359065043</c:v>
                </c:pt>
                <c:pt idx="87">
                  <c:v>157.47836518162575</c:v>
                </c:pt>
                <c:pt idx="88">
                  <c:v>159.63612925374966</c:v>
                </c:pt>
                <c:pt idx="89">
                  <c:v>161.7958519391164</c:v>
                </c:pt>
                <c:pt idx="90">
                  <c:v>163.95750031855366</c:v>
                </c:pt>
                <c:pt idx="91">
                  <c:v>166.12104238482755</c:v>
                </c:pt>
                <c:pt idx="92">
                  <c:v>168.28644700766125</c:v>
                </c:pt>
                <c:pt idx="93">
                  <c:v>170.4536839004609</c:v>
                </c:pt>
                <c:pt idx="94">
                  <c:v>172.62272358864701</c:v>
                </c:pt>
                <c:pt idx="95">
                  <c:v>174.62124483065224</c:v>
                </c:pt>
                <c:pt idx="96">
                  <c:v>176.45314217600566</c:v>
                </c:pt>
                <c:pt idx="97">
                  <c:v>178.28660634968202</c:v>
                </c:pt>
                <c:pt idx="98">
                  <c:v>180.12163676520581</c:v>
                </c:pt>
                <c:pt idx="99">
                  <c:v>181.95823245989095</c:v>
                </c:pt>
                <c:pt idx="100">
                  <c:v>183.79639211447937</c:v>
                </c:pt>
              </c:numCache>
            </c:numRef>
          </c:val>
          <c:smooth val="0"/>
          <c:extLst>
            <c:ext xmlns:c16="http://schemas.microsoft.com/office/drawing/2014/chart" uri="{C3380CC4-5D6E-409C-BE32-E72D297353CC}">
              <c16:uniqueId val="{00000001-EFCC-454E-AFD4-5C20AD610981}"/>
            </c:ext>
          </c:extLst>
        </c:ser>
        <c:ser>
          <c:idx val="3"/>
          <c:order val="2"/>
          <c:tx>
            <c:strRef>
              <c:f>'Calculations - Dual'!$BH$3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Dual'!$BO$5:$BO$105</c:f>
              <c:numCache>
                <c:formatCode>0.0</c:formatCode>
                <c:ptCount val="101"/>
                <c:pt idx="0">
                  <c:v>7.0540487611379588</c:v>
                </c:pt>
                <c:pt idx="1">
                  <c:v>9.5751677741374213</c:v>
                </c:pt>
                <c:pt idx="2">
                  <c:v>13.350385085317322</c:v>
                </c:pt>
                <c:pt idx="3">
                  <c:v>17.125651934514728</c:v>
                </c:pt>
                <c:pt idx="4">
                  <c:v>20.900968322704706</c:v>
                </c:pt>
                <c:pt idx="5">
                  <c:v>24.676334250862332</c:v>
                </c:pt>
                <c:pt idx="6">
                  <c:v>28.451749719962702</c:v>
                </c:pt>
                <c:pt idx="7">
                  <c:v>32.465080245693265</c:v>
                </c:pt>
                <c:pt idx="8">
                  <c:v>36.873312072936528</c:v>
                </c:pt>
                <c:pt idx="9">
                  <c:v>41.401679948070495</c:v>
                </c:pt>
                <c:pt idx="10">
                  <c:v>46.046393242643951</c:v>
                </c:pt>
                <c:pt idx="11">
                  <c:v>50.804421761407525</c:v>
                </c:pt>
                <c:pt idx="12">
                  <c:v>54.120614017294869</c:v>
                </c:pt>
                <c:pt idx="13">
                  <c:v>54.854501103414286</c:v>
                </c:pt>
                <c:pt idx="14">
                  <c:v>55.572203236989537</c:v>
                </c:pt>
                <c:pt idx="15">
                  <c:v>56.275836004568419</c:v>
                </c:pt>
                <c:pt idx="16">
                  <c:v>56.967154318071053</c:v>
                </c:pt>
                <c:pt idx="17">
                  <c:v>57.647631515927607</c:v>
                </c:pt>
                <c:pt idx="18">
                  <c:v>58.318517594415852</c:v>
                </c:pt>
                <c:pt idx="19">
                  <c:v>58.980882911651548</c:v>
                </c:pt>
                <c:pt idx="20">
                  <c:v>59.635651550297382</c:v>
                </c:pt>
                <c:pt idx="21">
                  <c:v>60.283627172154716</c:v>
                </c:pt>
                <c:pt idx="22">
                  <c:v>60.925513325220329</c:v>
                </c:pt>
                <c:pt idx="23">
                  <c:v>61.561929587057591</c:v>
                </c:pt>
                <c:pt idx="24">
                  <c:v>62.193424538724479</c:v>
                </c:pt>
                <c:pt idx="25">
                  <c:v>62.820486295093126</c:v>
                </c:pt>
                <c:pt idx="26">
                  <c:v>63.443551129179767</c:v>
                </c:pt>
                <c:pt idx="27">
                  <c:v>64.063010593983137</c:v>
                </c:pt>
                <c:pt idx="28">
                  <c:v>64.679217448343579</c:v>
                </c:pt>
                <c:pt idx="29">
                  <c:v>65.292490622255201</c:v>
                </c:pt>
                <c:pt idx="30">
                  <c:v>65.903119404321217</c:v>
                </c:pt>
                <c:pt idx="31">
                  <c:v>66.511366994461795</c:v>
                </c:pt>
                <c:pt idx="32">
                  <c:v>67.117473534960979</c:v>
                </c:pt>
                <c:pt idx="33">
                  <c:v>67.721658709947363</c:v>
                </c:pt>
                <c:pt idx="34">
                  <c:v>68.324123985630777</c:v>
                </c:pt>
                <c:pt idx="35">
                  <c:v>68.925054549763942</c:v>
                </c:pt>
                <c:pt idx="36">
                  <c:v>69.524620997914198</c:v>
                </c:pt>
                <c:pt idx="37">
                  <c:v>70.122980805512526</c:v>
                </c:pt>
                <c:pt idx="38">
                  <c:v>70.720279617779937</c:v>
                </c:pt>
                <c:pt idx="39">
                  <c:v>71.316652384118782</c:v>
                </c:pt>
                <c:pt idx="40">
                  <c:v>71.912224359106915</c:v>
                </c:pt>
                <c:pt idx="41">
                  <c:v>72.507111988617709</c:v>
                </c:pt>
                <c:pt idx="42">
                  <c:v>73.101423696637937</c:v>
                </c:pt>
                <c:pt idx="43">
                  <c:v>73.695260585931834</c:v>
                </c:pt>
                <c:pt idx="44">
                  <c:v>74.288717063699551</c:v>
                </c:pt>
                <c:pt idx="45">
                  <c:v>74.881881401721884</c:v>
                </c:pt>
                <c:pt idx="46">
                  <c:v>75.474836239101478</c:v>
                </c:pt>
                <c:pt idx="47">
                  <c:v>76.067659034556939</c:v>
                </c:pt>
                <c:pt idx="48">
                  <c:v>76.660422474256521</c:v>
                </c:pt>
                <c:pt idx="49">
                  <c:v>77.253194840361132</c:v>
                </c:pt>
                <c:pt idx="50">
                  <c:v>77.846040344753959</c:v>
                </c:pt>
                <c:pt idx="51">
                  <c:v>78.439019431847242</c:v>
                </c:pt>
                <c:pt idx="52">
                  <c:v>79.032189053856541</c:v>
                </c:pt>
                <c:pt idx="53">
                  <c:v>79.625602921503955</c:v>
                </c:pt>
                <c:pt idx="54">
                  <c:v>80.219311732745069</c:v>
                </c:pt>
                <c:pt idx="55">
                  <c:v>80.813363381799789</c:v>
                </c:pt>
                <c:pt idx="56">
                  <c:v>81.40780315049301</c:v>
                </c:pt>
                <c:pt idx="57">
                  <c:v>82.002673883677005</c:v>
                </c:pt>
                <c:pt idx="58">
                  <c:v>82.598016150302087</c:v>
                </c:pt>
                <c:pt idx="59">
                  <c:v>83.193868391524717</c:v>
                </c:pt>
                <c:pt idx="60">
                  <c:v>83.790267057087377</c:v>
                </c:pt>
                <c:pt idx="61">
                  <c:v>83.70604741529597</c:v>
                </c:pt>
                <c:pt idx="62">
                  <c:v>83.029579588117755</c:v>
                </c:pt>
                <c:pt idx="63">
                  <c:v>82.375120726826538</c:v>
                </c:pt>
                <c:pt idx="64">
                  <c:v>81.741666645147447</c:v>
                </c:pt>
                <c:pt idx="65">
                  <c:v>81.128273596332136</c:v>
                </c:pt>
                <c:pt idx="66">
                  <c:v>80.534053772951637</c:v>
                </c:pt>
                <c:pt idx="67">
                  <c:v>79.958171204181312</c:v>
                </c:pt>
                <c:pt idx="68">
                  <c:v>79.399838010115928</c:v>
                </c:pt>
                <c:pt idx="69">
                  <c:v>78.858310977303091</c:v>
                </c:pt>
                <c:pt idx="70">
                  <c:v>78.332888423733479</c:v>
                </c:pt>
                <c:pt idx="71">
                  <c:v>77.822907325076102</c:v>
                </c:pt>
                <c:pt idx="72">
                  <c:v>77.327740677047629</c:v>
                </c:pt>
                <c:pt idx="73">
                  <c:v>76.84679507153318</c:v>
                </c:pt>
                <c:pt idx="74">
                  <c:v>76.379508466470682</c:v>
                </c:pt>
                <c:pt idx="75">
                  <c:v>75.925348131624048</c:v>
                </c:pt>
                <c:pt idx="76">
                  <c:v>75.4838087542323</c:v>
                </c:pt>
                <c:pt idx="77">
                  <c:v>75.054410690170229</c:v>
                </c:pt>
                <c:pt idx="78">
                  <c:v>74.636698347714145</c:v>
                </c:pt>
                <c:pt idx="79">
                  <c:v>74.230238692302166</c:v>
                </c:pt>
                <c:pt idx="80">
                  <c:v>73.834619861825345</c:v>
                </c:pt>
                <c:pt idx="81">
                  <c:v>73.449449883012079</c:v>
                </c:pt>
                <c:pt idx="82">
                  <c:v>73.074355480377577</c:v>
                </c:pt>
                <c:pt idx="83">
                  <c:v>72.708980970025337</c:v>
                </c:pt>
                <c:pt idx="84">
                  <c:v>72.352987231314046</c:v>
                </c:pt>
                <c:pt idx="85">
                  <c:v>72.006050750054314</c:v>
                </c:pt>
                <c:pt idx="86">
                  <c:v>71.667862727483865</c:v>
                </c:pt>
                <c:pt idx="87">
                  <c:v>71.338128249791936</c:v>
                </c:pt>
                <c:pt idx="88">
                  <c:v>71.01656551343541</c:v>
                </c:pt>
                <c:pt idx="89">
                  <c:v>70.702905101911668</c:v>
                </c:pt>
                <c:pt idx="90">
                  <c:v>70.396889310034993</c:v>
                </c:pt>
                <c:pt idx="91">
                  <c:v>70.09827151210709</c:v>
                </c:pt>
                <c:pt idx="92">
                  <c:v>69.806815570683398</c:v>
                </c:pt>
                <c:pt idx="93">
                  <c:v>69.522295282915962</c:v>
                </c:pt>
                <c:pt idx="94">
                  <c:v>69.244493861710893</c:v>
                </c:pt>
                <c:pt idx="95">
                  <c:v>69.146339949877003</c:v>
                </c:pt>
                <c:pt idx="96">
                  <c:v>69.218864461999914</c:v>
                </c:pt>
                <c:pt idx="97">
                  <c:v>69.291434757518715</c:v>
                </c:pt>
                <c:pt idx="98">
                  <c:v>69.364054144630614</c:v>
                </c:pt>
                <c:pt idx="99">
                  <c:v>69.436725702318839</c:v>
                </c:pt>
                <c:pt idx="100">
                  <c:v>69.509452292914659</c:v>
                </c:pt>
              </c:numCache>
            </c:numRef>
          </c:val>
          <c:smooth val="0"/>
          <c:extLst>
            <c:ext xmlns:c16="http://schemas.microsoft.com/office/drawing/2014/chart" uri="{C3380CC4-5D6E-409C-BE32-E72D297353CC}">
              <c16:uniqueId val="{00000002-EFCC-454E-AFD4-5C20AD610981}"/>
            </c:ext>
          </c:extLst>
        </c:ser>
        <c:ser>
          <c:idx val="1"/>
          <c:order val="3"/>
          <c:tx>
            <c:strRef>
              <c:f>'Calculations - Dual'!$BU$3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Dual'!$CB$5:$CB$105</c:f>
              <c:numCache>
                <c:formatCode>0.0</c:formatCode>
                <c:ptCount val="101"/>
                <c:pt idx="0">
                  <c:v>8.932890729281775</c:v>
                </c:pt>
                <c:pt idx="1">
                  <c:v>9.1552827875894423</c:v>
                </c:pt>
                <c:pt idx="2">
                  <c:v>9.4882972810621418</c:v>
                </c:pt>
                <c:pt idx="3">
                  <c:v>9.82131177909584</c:v>
                </c:pt>
                <c:pt idx="4">
                  <c:v>10.154326281690519</c:v>
                </c:pt>
                <c:pt idx="5">
                  <c:v>10.487340788846181</c:v>
                </c:pt>
                <c:pt idx="6">
                  <c:v>10.820355300562822</c:v>
                </c:pt>
                <c:pt idx="7">
                  <c:v>11.89593544531437</c:v>
                </c:pt>
                <c:pt idx="8">
                  <c:v>13.998179011598189</c:v>
                </c:pt>
                <c:pt idx="9">
                  <c:v>16.200320606010628</c:v>
                </c:pt>
                <c:pt idx="10">
                  <c:v>18.502141630327142</c:v>
                </c:pt>
                <c:pt idx="11">
                  <c:v>20.903435102868801</c:v>
                </c:pt>
                <c:pt idx="12">
                  <c:v>23.177915358753562</c:v>
                </c:pt>
                <c:pt idx="13">
                  <c:v>25.103858035757728</c:v>
                </c:pt>
                <c:pt idx="14">
                  <c:v>27.029237059438</c:v>
                </c:pt>
                <c:pt idx="15">
                  <c:v>28.954081714574762</c:v>
                </c:pt>
                <c:pt idx="16">
                  <c:v>30.878418282313593</c:v>
                </c:pt>
                <c:pt idx="17">
                  <c:v>32.802270519266649</c:v>
                </c:pt>
                <c:pt idx="18">
                  <c:v>34.725660036052268</c:v>
                </c:pt>
                <c:pt idx="19">
                  <c:v>36.648606600885238</c:v>
                </c:pt>
                <c:pt idx="20">
                  <c:v>38.571128386281401</c:v>
                </c:pt>
                <c:pt idx="21">
                  <c:v>40.49324217188714</c:v>
                </c:pt>
                <c:pt idx="22">
                  <c:v>42.414963512982595</c:v>
                </c:pt>
                <c:pt idx="23">
                  <c:v>44.336306881783436</c:v>
                </c:pt>
                <c:pt idx="24">
                  <c:v>46.257285786938127</c:v>
                </c:pt>
                <c:pt idx="25">
                  <c:v>48.177912875364079</c:v>
                </c:pt>
                <c:pt idx="26">
                  <c:v>50.098200019641901</c:v>
                </c:pt>
                <c:pt idx="27">
                  <c:v>52.018158393498744</c:v>
                </c:pt>
                <c:pt idx="28">
                  <c:v>53.937798537388524</c:v>
                </c:pt>
                <c:pt idx="29">
                  <c:v>55.857130415779395</c:v>
                </c:pt>
                <c:pt idx="30">
                  <c:v>57.776163467448853</c:v>
                </c:pt>
                <c:pt idx="31">
                  <c:v>59.694906649846963</c:v>
                </c:pt>
                <c:pt idx="32">
                  <c:v>61.613368478396879</c:v>
                </c:pt>
                <c:pt idx="33">
                  <c:v>63.531557061452553</c:v>
                </c:pt>
                <c:pt idx="34">
                  <c:v>65.449480131510995</c:v>
                </c:pt>
                <c:pt idx="35">
                  <c:v>67.367145073179273</c:v>
                </c:pt>
                <c:pt idx="36">
                  <c:v>69.284558948318278</c:v>
                </c:pt>
                <c:pt idx="37">
                  <c:v>71.201728518717957</c:v>
                </c:pt>
                <c:pt idx="38">
                  <c:v>73.118660266608074</c:v>
                </c:pt>
                <c:pt idx="39">
                  <c:v>75.035360413262126</c:v>
                </c:pt>
                <c:pt idx="40">
                  <c:v>76.951834935916935</c:v>
                </c:pt>
                <c:pt idx="41">
                  <c:v>78.868089583198284</c:v>
                </c:pt>
                <c:pt idx="42">
                  <c:v>80.784129889218534</c:v>
                </c:pt>
                <c:pt idx="43">
                  <c:v>82.699961186488977</c:v>
                </c:pt>
                <c:pt idx="44">
                  <c:v>84.615588617772502</c:v>
                </c:pt>
                <c:pt idx="45">
                  <c:v>86.531017146985434</c:v>
                </c:pt>
                <c:pt idx="46">
                  <c:v>88.446251569244296</c:v>
                </c:pt>
                <c:pt idx="47">
                  <c:v>90.361296520141963</c:v>
                </c:pt>
                <c:pt idx="48">
                  <c:v>92.276156484327529</c:v>
                </c:pt>
                <c:pt idx="49">
                  <c:v>94.190835803455244</c:v>
                </c:pt>
                <c:pt idx="50">
                  <c:v>96.105338683561257</c:v>
                </c:pt>
                <c:pt idx="51">
                  <c:v>98.019669201920209</c:v>
                </c:pt>
                <c:pt idx="52">
                  <c:v>99.933831313426893</c:v>
                </c:pt>
                <c:pt idx="53">
                  <c:v>101.84782885654583</c:v>
                </c:pt>
                <c:pt idx="54">
                  <c:v>103.76166555886431</c:v>
                </c:pt>
                <c:pt idx="55">
                  <c:v>105.67534504228277</c:v>
                </c:pt>
                <c:pt idx="56">
                  <c:v>107.58887082787304</c:v>
                </c:pt>
                <c:pt idx="57">
                  <c:v>109.50224634042962</c:v>
                </c:pt>
                <c:pt idx="58">
                  <c:v>111.41547491274021</c:v>
                </c:pt>
                <c:pt idx="59">
                  <c:v>113.32855978959611</c:v>
                </c:pt>
                <c:pt idx="60">
                  <c:v>115.24150413156306</c:v>
                </c:pt>
                <c:pt idx="61">
                  <c:v>116.85401327509008</c:v>
                </c:pt>
                <c:pt idx="62">
                  <c:v>118.19792267458266</c:v>
                </c:pt>
                <c:pt idx="63">
                  <c:v>119.54221098653967</c:v>
                </c:pt>
                <c:pt idx="64">
                  <c:v>120.88687545213469</c:v>
                </c:pt>
                <c:pt idx="65">
                  <c:v>122.23191342336551</c:v>
                </c:pt>
                <c:pt idx="66">
                  <c:v>123.57732235709898</c:v>
                </c:pt>
                <c:pt idx="67">
                  <c:v>124.92309980951987</c:v>
                </c:pt>
                <c:pt idx="68">
                  <c:v>126.26924343095259</c:v>
                </c:pt>
                <c:pt idx="69">
                  <c:v>127.61575096102415</c:v>
                </c:pt>
                <c:pt idx="70">
                  <c:v>128.96262022414228</c:v>
                </c:pt>
                <c:pt idx="71">
                  <c:v>130.30984912526316</c:v>
                </c:pt>
                <c:pt idx="72">
                  <c:v>131.65743564592719</c:v>
                </c:pt>
                <c:pt idx="73">
                  <c:v>133.00537784054183</c:v>
                </c:pt>
                <c:pt idx="74">
                  <c:v>134.35367383289309</c:v>
                </c:pt>
                <c:pt idx="75">
                  <c:v>135.70232181286889</c:v>
                </c:pt>
                <c:pt idx="76">
                  <c:v>137.05132003337846</c:v>
                </c:pt>
                <c:pt idx="77">
                  <c:v>138.400666807454</c:v>
                </c:pt>
                <c:pt idx="78">
                  <c:v>139.75036050552094</c:v>
                </c:pt>
                <c:pt idx="79">
                  <c:v>141.10039955282633</c:v>
                </c:pt>
                <c:pt idx="80">
                  <c:v>142.45078242701243</c:v>
                </c:pt>
                <c:pt idx="81">
                  <c:v>143.80150765582718</c:v>
                </c:pt>
                <c:pt idx="82">
                  <c:v>145.15257381496184</c:v>
                </c:pt>
                <c:pt idx="83">
                  <c:v>146.50397952600625</c:v>
                </c:pt>
                <c:pt idx="84">
                  <c:v>147.85572345451561</c:v>
                </c:pt>
                <c:pt idx="85">
                  <c:v>149.2078043081805</c:v>
                </c:pt>
                <c:pt idx="86">
                  <c:v>150.56022083509336</c:v>
                </c:pt>
                <c:pt idx="87">
                  <c:v>151.91297182210579</c:v>
                </c:pt>
                <c:pt idx="88">
                  <c:v>153.26605609327072</c:v>
                </c:pt>
                <c:pt idx="89">
                  <c:v>154.61947250836414</c:v>
                </c:pt>
                <c:pt idx="90">
                  <c:v>155.97321996148111</c:v>
                </c:pt>
                <c:pt idx="91">
                  <c:v>157.32729737970251</c:v>
                </c:pt>
                <c:pt idx="92">
                  <c:v>158.68170372182755</c:v>
                </c:pt>
                <c:pt idx="93">
                  <c:v>160.03643797716737</c:v>
                </c:pt>
                <c:pt idx="94">
                  <c:v>161.39149916439806</c:v>
                </c:pt>
                <c:pt idx="95">
                  <c:v>162.83965662102563</c:v>
                </c:pt>
                <c:pt idx="96">
                  <c:v>164.37725186886024</c:v>
                </c:pt>
                <c:pt idx="97">
                  <c:v>165.91323925715801</c:v>
                </c:pt>
                <c:pt idx="98">
                  <c:v>167.44764905016001</c:v>
                </c:pt>
                <c:pt idx="99">
                  <c:v>168.98051086941612</c:v>
                </c:pt>
                <c:pt idx="100">
                  <c:v>170.51185371078947</c:v>
                </c:pt>
              </c:numCache>
            </c:numRef>
          </c:val>
          <c:smooth val="0"/>
          <c:extLst>
            <c:ext xmlns:c16="http://schemas.microsoft.com/office/drawing/2014/chart" uri="{C3380CC4-5D6E-409C-BE32-E72D297353CC}">
              <c16:uniqueId val="{00000003-EFCC-454E-AFD4-5C20AD610981}"/>
            </c:ext>
          </c:extLst>
        </c:ser>
        <c:dLbls>
          <c:showLegendKey val="0"/>
          <c:showVal val="0"/>
          <c:showCatName val="0"/>
          <c:showSerName val="0"/>
          <c:showPercent val="0"/>
          <c:showBubbleSize val="0"/>
        </c:dLbls>
        <c:marker val="1"/>
        <c:smooth val="0"/>
        <c:axId val="184709888"/>
        <c:axId val="184699520"/>
      </c:lineChart>
      <c:catAx>
        <c:axId val="184691328"/>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a:t>
                </a:r>
                <a:r>
                  <a:rPr lang="en-US" sz="1200" baseline="0">
                    <a:solidFill>
                      <a:srgbClr val="0000FF"/>
                    </a:solidFill>
                    <a:latin typeface="Arial" pitchFamily="34" charset="0"/>
                    <a:cs typeface="Arial" pitchFamily="34" charset="0"/>
                  </a:rPr>
                  <a:t> Total Rated Output Power</a:t>
                </a:r>
                <a:endParaRPr lang="en-US" sz="1200">
                  <a:solidFill>
                    <a:srgbClr val="0000FF"/>
                  </a:solidFill>
                  <a:latin typeface="Arial" pitchFamily="34" charset="0"/>
                  <a:cs typeface="Arial" pitchFamily="34" charset="0"/>
                </a:endParaRPr>
              </a:p>
            </c:rich>
          </c:tx>
          <c:layout>
            <c:manualLayout>
              <c:xMode val="edge"/>
              <c:yMode val="edge"/>
              <c:x val="0.37236214410842988"/>
              <c:y val="0.9410299506954154"/>
            </c:manualLayout>
          </c:layout>
          <c:overlay val="0"/>
          <c:spPr>
            <a:noFill/>
            <a:ln w="25400">
              <a:noFill/>
            </a:ln>
          </c:spPr>
        </c:title>
        <c:numFmt formatCode="General"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84697600"/>
        <c:crosses val="autoZero"/>
        <c:auto val="1"/>
        <c:lblAlgn val="ctr"/>
        <c:lblOffset val="100"/>
        <c:tickLblSkip val="20"/>
        <c:tickMarkSkip val="20"/>
        <c:noMultiLvlLbl val="0"/>
      </c:catAx>
      <c:valAx>
        <c:axId val="184697600"/>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4691328"/>
        <c:crossesAt val="0"/>
        <c:crossBetween val="between"/>
        <c:majorUnit val="5"/>
        <c:minorUnit val="2.5"/>
      </c:valAx>
      <c:valAx>
        <c:axId val="184699520"/>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84709888"/>
        <c:crosses val="max"/>
        <c:crossBetween val="between"/>
      </c:valAx>
      <c:catAx>
        <c:axId val="184709888"/>
        <c:scaling>
          <c:orientation val="minMax"/>
        </c:scaling>
        <c:delete val="1"/>
        <c:axPos val="b"/>
        <c:numFmt formatCode="General" sourceLinked="1"/>
        <c:majorTickMark val="out"/>
        <c:minorTickMark val="none"/>
        <c:tickLblPos val="nextTo"/>
        <c:crossAx val="184699520"/>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0550962619267337"/>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Single'!$AN$110:$AN$210</c:f>
              <c:numCache>
                <c:formatCode>0.0</c:formatCode>
                <c:ptCount val="101"/>
                <c:pt idx="0">
                  <c:v>12</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347.36533118781767</c:v>
                </c:pt>
                <c:pt idx="43">
                  <c:v>339.287067671822</c:v>
                </c:pt>
                <c:pt idx="44">
                  <c:v>331.57599795200781</c:v>
                </c:pt>
                <c:pt idx="45">
                  <c:v>324.20764244196317</c:v>
                </c:pt>
                <c:pt idx="46">
                  <c:v>317.15965021496402</c:v>
                </c:pt>
                <c:pt idx="47">
                  <c:v>310.41157255081589</c:v>
                </c:pt>
                <c:pt idx="48">
                  <c:v>303.94466478934049</c:v>
                </c:pt>
                <c:pt idx="49">
                  <c:v>297.74171244670094</c:v>
                </c:pt>
                <c:pt idx="50">
                  <c:v>291.7868781977669</c:v>
                </c:pt>
                <c:pt idx="51">
                  <c:v>286.0655668605558</c:v>
                </c:pt>
                <c:pt idx="52">
                  <c:v>280.56430595939122</c:v>
                </c:pt>
                <c:pt idx="53">
                  <c:v>275.270639809214</c:v>
                </c:pt>
                <c:pt idx="54">
                  <c:v>270.17303536830269</c:v>
                </c:pt>
                <c:pt idx="55">
                  <c:v>265.26079836160625</c:v>
                </c:pt>
                <c:pt idx="56">
                  <c:v>260.52399839086331</c:v>
                </c:pt>
                <c:pt idx="57">
                  <c:v>255.95340192786574</c:v>
                </c:pt>
                <c:pt idx="58">
                  <c:v>251.54041223945421</c:v>
                </c:pt>
                <c:pt idx="59">
                  <c:v>247.27701542183641</c:v>
                </c:pt>
                <c:pt idx="60">
                  <c:v>243.15573183147242</c:v>
                </c:pt>
                <c:pt idx="61">
                  <c:v>239.16957229325155</c:v>
                </c:pt>
                <c:pt idx="62">
                  <c:v>235.31199854658621</c:v>
                </c:pt>
                <c:pt idx="63">
                  <c:v>231.57688745854514</c:v>
                </c:pt>
                <c:pt idx="64">
                  <c:v>227.95849859200541</c:v>
                </c:pt>
                <c:pt idx="65">
                  <c:v>224.45144476751301</c:v>
                </c:pt>
                <c:pt idx="66">
                  <c:v>221.05066530133851</c:v>
                </c:pt>
                <c:pt idx="67">
                  <c:v>217.75140164012456</c:v>
                </c:pt>
                <c:pt idx="68">
                  <c:v>214.54917514541685</c:v>
                </c:pt>
                <c:pt idx="69">
                  <c:v>211.43976680997602</c:v>
                </c:pt>
                <c:pt idx="70">
                  <c:v>208.41919871269064</c:v>
                </c:pt>
                <c:pt idx="71">
                  <c:v>205.48371704068092</c:v>
                </c:pt>
                <c:pt idx="72">
                  <c:v>202.629776526227</c:v>
                </c:pt>
                <c:pt idx="73">
                  <c:v>199.85402616285404</c:v>
                </c:pt>
                <c:pt idx="74">
                  <c:v>197.15329607957227</c:v>
                </c:pt>
                <c:pt idx="75">
                  <c:v>194.52458546517789</c:v>
                </c:pt>
                <c:pt idx="76">
                  <c:v>191.96505144589929</c:v>
                </c:pt>
                <c:pt idx="77">
                  <c:v>189.4719988297187</c:v>
                </c:pt>
                <c:pt idx="78">
                  <c:v>187.0428706395941</c:v>
                </c:pt>
                <c:pt idx="79">
                  <c:v>184.67523936567522</c:v>
                </c:pt>
                <c:pt idx="80">
                  <c:v>182.36679887360427</c:v>
                </c:pt>
                <c:pt idx="81">
                  <c:v>180.11535691220178</c:v>
                </c:pt>
                <c:pt idx="82">
                  <c:v>177.91882816937004</c:v>
                </c:pt>
                <c:pt idx="83">
                  <c:v>175.77522782998003</c:v>
                </c:pt>
                <c:pt idx="84">
                  <c:v>173.68266559390884</c:v>
                </c:pt>
                <c:pt idx="85">
                  <c:v>171.63934011633341</c:v>
                </c:pt>
                <c:pt idx="86">
                  <c:v>169.643533835911</c:v>
                </c:pt>
                <c:pt idx="87">
                  <c:v>167.69360815963617</c:v>
                </c:pt>
                <c:pt idx="88">
                  <c:v>165.78799897600391</c:v>
                </c:pt>
                <c:pt idx="89">
                  <c:v>163.92521247065554</c:v>
                </c:pt>
                <c:pt idx="90">
                  <c:v>162.10382122098159</c:v>
                </c:pt>
                <c:pt idx="91">
                  <c:v>160.32246054822355</c:v>
                </c:pt>
                <c:pt idx="92">
                  <c:v>158.57982510748201</c:v>
                </c:pt>
                <c:pt idx="93">
                  <c:v>156.87466569772411</c:v>
                </c:pt>
                <c:pt idx="94">
                  <c:v>155.20578627540795</c:v>
                </c:pt>
                <c:pt idx="95">
                  <c:v>153.57204115671942</c:v>
                </c:pt>
                <c:pt idx="96">
                  <c:v>151.97233239467025</c:v>
                </c:pt>
                <c:pt idx="97">
                  <c:v>150.40560731843655</c:v>
                </c:pt>
                <c:pt idx="98">
                  <c:v>148.87085622335047</c:v>
                </c:pt>
                <c:pt idx="99">
                  <c:v>147.36711020089237</c:v>
                </c:pt>
                <c:pt idx="100">
                  <c:v>145.89343909888345</c:v>
                </c:pt>
              </c:numCache>
            </c:numRef>
          </c:val>
          <c:smooth val="0"/>
          <c:extLst>
            <c:ext xmlns:c16="http://schemas.microsoft.com/office/drawing/2014/chart" uri="{C3380CC4-5D6E-409C-BE32-E72D297353CC}">
              <c16:uniqueId val="{00000000-3868-497C-9F08-50FBB68BFCC3}"/>
            </c:ext>
          </c:extLst>
        </c:ser>
        <c:ser>
          <c:idx val="0"/>
          <c:order val="1"/>
          <c:tx>
            <c:v>VIN-nom</c:v>
          </c:tx>
          <c:spPr>
            <a:ln w="28575">
              <a:solidFill>
                <a:srgbClr val="FF0000"/>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Single'!$AN$5:$AN$105</c:f>
              <c:numCache>
                <c:formatCode>0.0</c:formatCode>
                <c:ptCount val="101"/>
                <c:pt idx="0">
                  <c:v>12</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350</c:v>
                </c:pt>
                <c:pt idx="55">
                  <c:v>350</c:v>
                </c:pt>
                <c:pt idx="56">
                  <c:v>350</c:v>
                </c:pt>
                <c:pt idx="57">
                  <c:v>350</c:v>
                </c:pt>
                <c:pt idx="58">
                  <c:v>350</c:v>
                </c:pt>
                <c:pt idx="59">
                  <c:v>350</c:v>
                </c:pt>
                <c:pt idx="60">
                  <c:v>350</c:v>
                </c:pt>
                <c:pt idx="61">
                  <c:v>350</c:v>
                </c:pt>
                <c:pt idx="62">
                  <c:v>350</c:v>
                </c:pt>
                <c:pt idx="63">
                  <c:v>350</c:v>
                </c:pt>
                <c:pt idx="64">
                  <c:v>350</c:v>
                </c:pt>
                <c:pt idx="65">
                  <c:v>350</c:v>
                </c:pt>
                <c:pt idx="66">
                  <c:v>350</c:v>
                </c:pt>
                <c:pt idx="67">
                  <c:v>350</c:v>
                </c:pt>
                <c:pt idx="68">
                  <c:v>350</c:v>
                </c:pt>
                <c:pt idx="69">
                  <c:v>350</c:v>
                </c:pt>
                <c:pt idx="70">
                  <c:v>350</c:v>
                </c:pt>
                <c:pt idx="71">
                  <c:v>350</c:v>
                </c:pt>
                <c:pt idx="72">
                  <c:v>350</c:v>
                </c:pt>
                <c:pt idx="73">
                  <c:v>350</c:v>
                </c:pt>
                <c:pt idx="74">
                  <c:v>350</c:v>
                </c:pt>
                <c:pt idx="75">
                  <c:v>350</c:v>
                </c:pt>
                <c:pt idx="76">
                  <c:v>350</c:v>
                </c:pt>
                <c:pt idx="77">
                  <c:v>350</c:v>
                </c:pt>
                <c:pt idx="78">
                  <c:v>350</c:v>
                </c:pt>
                <c:pt idx="79">
                  <c:v>350</c:v>
                </c:pt>
                <c:pt idx="80">
                  <c:v>350</c:v>
                </c:pt>
                <c:pt idx="81">
                  <c:v>350</c:v>
                </c:pt>
                <c:pt idx="82">
                  <c:v>350</c:v>
                </c:pt>
                <c:pt idx="83">
                  <c:v>350</c:v>
                </c:pt>
                <c:pt idx="84">
                  <c:v>350</c:v>
                </c:pt>
                <c:pt idx="85">
                  <c:v>350</c:v>
                </c:pt>
                <c:pt idx="86">
                  <c:v>350</c:v>
                </c:pt>
                <c:pt idx="87">
                  <c:v>350</c:v>
                </c:pt>
                <c:pt idx="88">
                  <c:v>350</c:v>
                </c:pt>
                <c:pt idx="89">
                  <c:v>350</c:v>
                </c:pt>
                <c:pt idx="90">
                  <c:v>350</c:v>
                </c:pt>
                <c:pt idx="91">
                  <c:v>350</c:v>
                </c:pt>
                <c:pt idx="92">
                  <c:v>350</c:v>
                </c:pt>
                <c:pt idx="93">
                  <c:v>350</c:v>
                </c:pt>
                <c:pt idx="94">
                  <c:v>350</c:v>
                </c:pt>
                <c:pt idx="95">
                  <c:v>350</c:v>
                </c:pt>
                <c:pt idx="96">
                  <c:v>350</c:v>
                </c:pt>
                <c:pt idx="97">
                  <c:v>350</c:v>
                </c:pt>
                <c:pt idx="98">
                  <c:v>350</c:v>
                </c:pt>
                <c:pt idx="99">
                  <c:v>350</c:v>
                </c:pt>
                <c:pt idx="100">
                  <c:v>350</c:v>
                </c:pt>
              </c:numCache>
            </c:numRef>
          </c:val>
          <c:smooth val="0"/>
          <c:extLst>
            <c:ext xmlns:c16="http://schemas.microsoft.com/office/drawing/2014/chart" uri="{C3380CC4-5D6E-409C-BE32-E72D297353CC}">
              <c16:uniqueId val="{00000001-3868-497C-9F08-50FBB68BFCC3}"/>
            </c:ext>
          </c:extLst>
        </c:ser>
        <c:ser>
          <c:idx val="2"/>
          <c:order val="2"/>
          <c:tx>
            <c:v>VIN-max</c:v>
          </c:tx>
          <c:spPr>
            <a:ln>
              <a:solidFill>
                <a:srgbClr val="0000FF"/>
              </a:solidFill>
              <a:prstDash val="solid"/>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Single'!$AN$216:$AN$316</c:f>
              <c:numCache>
                <c:formatCode>0.0</c:formatCode>
                <c:ptCount val="101"/>
                <c:pt idx="0">
                  <c:v>12</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350</c:v>
                </c:pt>
                <c:pt idx="55">
                  <c:v>350</c:v>
                </c:pt>
                <c:pt idx="56">
                  <c:v>350</c:v>
                </c:pt>
                <c:pt idx="57">
                  <c:v>350</c:v>
                </c:pt>
                <c:pt idx="58">
                  <c:v>350</c:v>
                </c:pt>
                <c:pt idx="59">
                  <c:v>350</c:v>
                </c:pt>
                <c:pt idx="60">
                  <c:v>350</c:v>
                </c:pt>
                <c:pt idx="61">
                  <c:v>350</c:v>
                </c:pt>
                <c:pt idx="62">
                  <c:v>350</c:v>
                </c:pt>
                <c:pt idx="63">
                  <c:v>350</c:v>
                </c:pt>
                <c:pt idx="64">
                  <c:v>350</c:v>
                </c:pt>
                <c:pt idx="65">
                  <c:v>350</c:v>
                </c:pt>
                <c:pt idx="66">
                  <c:v>350</c:v>
                </c:pt>
                <c:pt idx="67">
                  <c:v>350</c:v>
                </c:pt>
                <c:pt idx="68">
                  <c:v>350</c:v>
                </c:pt>
                <c:pt idx="69">
                  <c:v>350</c:v>
                </c:pt>
                <c:pt idx="70">
                  <c:v>350</c:v>
                </c:pt>
                <c:pt idx="71">
                  <c:v>350</c:v>
                </c:pt>
                <c:pt idx="72">
                  <c:v>350</c:v>
                </c:pt>
                <c:pt idx="73">
                  <c:v>350</c:v>
                </c:pt>
                <c:pt idx="74">
                  <c:v>350</c:v>
                </c:pt>
                <c:pt idx="75">
                  <c:v>350</c:v>
                </c:pt>
                <c:pt idx="76">
                  <c:v>350</c:v>
                </c:pt>
                <c:pt idx="77">
                  <c:v>350</c:v>
                </c:pt>
                <c:pt idx="78">
                  <c:v>350</c:v>
                </c:pt>
                <c:pt idx="79">
                  <c:v>350</c:v>
                </c:pt>
                <c:pt idx="80">
                  <c:v>350</c:v>
                </c:pt>
                <c:pt idx="81">
                  <c:v>350</c:v>
                </c:pt>
                <c:pt idx="82">
                  <c:v>350</c:v>
                </c:pt>
                <c:pt idx="83">
                  <c:v>350</c:v>
                </c:pt>
                <c:pt idx="84">
                  <c:v>350</c:v>
                </c:pt>
                <c:pt idx="85">
                  <c:v>350</c:v>
                </c:pt>
                <c:pt idx="86">
                  <c:v>350</c:v>
                </c:pt>
                <c:pt idx="87">
                  <c:v>350</c:v>
                </c:pt>
                <c:pt idx="88">
                  <c:v>350</c:v>
                </c:pt>
                <c:pt idx="89">
                  <c:v>350</c:v>
                </c:pt>
                <c:pt idx="90">
                  <c:v>350</c:v>
                </c:pt>
                <c:pt idx="91">
                  <c:v>350</c:v>
                </c:pt>
                <c:pt idx="92">
                  <c:v>350</c:v>
                </c:pt>
                <c:pt idx="93">
                  <c:v>350</c:v>
                </c:pt>
                <c:pt idx="94">
                  <c:v>350</c:v>
                </c:pt>
                <c:pt idx="95">
                  <c:v>350</c:v>
                </c:pt>
                <c:pt idx="96">
                  <c:v>350</c:v>
                </c:pt>
                <c:pt idx="97">
                  <c:v>350</c:v>
                </c:pt>
                <c:pt idx="98">
                  <c:v>350</c:v>
                </c:pt>
                <c:pt idx="99">
                  <c:v>350</c:v>
                </c:pt>
                <c:pt idx="100">
                  <c:v>350</c:v>
                </c:pt>
              </c:numCache>
            </c:numRef>
          </c:val>
          <c:smooth val="0"/>
          <c:extLst>
            <c:ext xmlns:c16="http://schemas.microsoft.com/office/drawing/2014/chart" uri="{C3380CC4-5D6E-409C-BE32-E72D297353CC}">
              <c16:uniqueId val="{00000002-3868-497C-9F08-50FBB68BFCC3}"/>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Single'!$CG$110:$CG$210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3868-497C-9F08-50FBB68BFCC3}"/>
            </c:ext>
          </c:extLst>
        </c:ser>
        <c:ser>
          <c:idx val="4"/>
          <c:order val="4"/>
          <c:spPr>
            <a:ln>
              <a:noFill/>
            </a:ln>
          </c:spPr>
          <c:marker>
            <c:symbol val="x"/>
            <c:size val="10"/>
            <c:spPr>
              <a:pattFill prst="pct5">
                <a:fgClr>
                  <a:schemeClr val="tx1"/>
                </a:fgClr>
                <a:bgClr>
                  <a:schemeClr val="bg1"/>
                </a:bgClr>
              </a:pattFill>
              <a:ln>
                <a:solidFill>
                  <a:srgbClr val="FF0000"/>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Single'!$CG$5:$CG$105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3868-497C-9F08-50FBB68BFCC3}"/>
            </c:ext>
          </c:extLst>
        </c:ser>
        <c:ser>
          <c:idx val="5"/>
          <c:order val="5"/>
          <c:spPr>
            <a:ln>
              <a:noFill/>
            </a:ln>
          </c:spPr>
          <c:marker>
            <c:symbol val="x"/>
            <c:size val="10"/>
            <c:spPr>
              <a:pattFill prst="pct5">
                <a:fgClr>
                  <a:schemeClr val="tx1"/>
                </a:fgClr>
                <a:bgClr>
                  <a:schemeClr val="bg1"/>
                </a:bgClr>
              </a:pattFill>
              <a:ln>
                <a:solidFill>
                  <a:srgbClr val="0000FF"/>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Single'!$CG$216:$CG$316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3868-497C-9F08-50FBB68BFCC3}"/>
            </c:ext>
          </c:extLst>
        </c:ser>
        <c:dLbls>
          <c:showLegendKey val="0"/>
          <c:showVal val="0"/>
          <c:showCatName val="0"/>
          <c:showSerName val="0"/>
          <c:showPercent val="0"/>
          <c:showBubbleSize val="0"/>
        </c:dLbls>
        <c:smooth val="0"/>
        <c:axId val="187946496"/>
        <c:axId val="199897088"/>
      </c:lineChart>
      <c:catAx>
        <c:axId val="187946496"/>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99897088"/>
        <c:crosses val="autoZero"/>
        <c:auto val="1"/>
        <c:lblAlgn val="ctr"/>
        <c:lblOffset val="100"/>
        <c:tickLblSkip val="20"/>
        <c:tickMarkSkip val="10"/>
        <c:noMultiLvlLbl val="0"/>
      </c:catAx>
      <c:valAx>
        <c:axId val="199897088"/>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Switching</a:t>
                </a:r>
                <a:r>
                  <a:rPr lang="en-US" sz="1200" b="1" baseline="0">
                    <a:solidFill>
                      <a:schemeClr val="tx1"/>
                    </a:solidFill>
                    <a:latin typeface="Arial" pitchFamily="34" charset="0"/>
                    <a:cs typeface="Arial" pitchFamily="34" charset="0"/>
                  </a:rPr>
                  <a:t> Frquency (kHz)</a:t>
                </a:r>
                <a:endParaRPr lang="en-US" sz="1200" b="1">
                  <a:solidFill>
                    <a:schemeClr val="tx1"/>
                  </a:solidFill>
                  <a:latin typeface="Arial" pitchFamily="34" charset="0"/>
                  <a:cs typeface="Arial" pitchFamily="34" charset="0"/>
                </a:endParaRPr>
              </a:p>
            </c:rich>
          </c:tx>
          <c:layout>
            <c:manualLayout>
              <c:xMode val="edge"/>
              <c:yMode val="edge"/>
              <c:x val="8.5568268367748525E-3"/>
              <c:y val="0.30050661099568304"/>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7946496"/>
        <c:crossesAt val="0"/>
        <c:crossBetween val="between"/>
        <c:majorUnit val="50"/>
        <c:minorUnit val="25"/>
      </c:valAx>
      <c:spPr>
        <a:solidFill>
          <a:srgbClr val="FFFFFF"/>
        </a:solidFill>
        <a:ln w="25400">
          <a:noFill/>
        </a:ln>
      </c:spPr>
    </c:plotArea>
    <c:legend>
      <c:legendPos val="t"/>
      <c:legendEntry>
        <c:idx val="3"/>
        <c:delete val="1"/>
      </c:legendEntry>
      <c:legendEntry>
        <c:idx val="4"/>
        <c:delete val="1"/>
      </c:legendEntry>
      <c:legendEntry>
        <c:idx val="5"/>
        <c:delete val="1"/>
      </c:legendEntry>
      <c:layout>
        <c:manualLayout>
          <c:xMode val="edge"/>
          <c:yMode val="edge"/>
          <c:x val="0.30119952469789996"/>
          <c:y val="2.20093690871901E-2"/>
          <c:w val="0.4533572736110989"/>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337.71629421037835</c:v>
                </c:pt>
                <c:pt idx="25">
                  <c:v>324.20764244196323</c:v>
                </c:pt>
                <c:pt idx="26">
                  <c:v>311.73811773265697</c:v>
                </c:pt>
                <c:pt idx="27">
                  <c:v>300.19226152033627</c:v>
                </c:pt>
                <c:pt idx="28">
                  <c:v>289.47110932318151</c:v>
                </c:pt>
                <c:pt idx="29">
                  <c:v>279.48934693272685</c:v>
                </c:pt>
                <c:pt idx="30">
                  <c:v>270.17303536830269</c:v>
                </c:pt>
                <c:pt idx="31">
                  <c:v>261.45777616287359</c:v>
                </c:pt>
                <c:pt idx="32">
                  <c:v>253.28722065778376</c:v>
                </c:pt>
                <c:pt idx="33">
                  <c:v>245.61185033482056</c:v>
                </c:pt>
                <c:pt idx="34">
                  <c:v>238.38797238379647</c:v>
                </c:pt>
                <c:pt idx="35">
                  <c:v>231.5768874585452</c:v>
                </c:pt>
                <c:pt idx="36">
                  <c:v>225.14419614025226</c:v>
                </c:pt>
                <c:pt idx="37">
                  <c:v>219.0592178661914</c:v>
                </c:pt>
                <c:pt idx="38">
                  <c:v>213.29450160655472</c:v>
                </c:pt>
                <c:pt idx="39">
                  <c:v>207.82541182177124</c:v>
                </c:pt>
                <c:pt idx="40">
                  <c:v>202.62977652622695</c:v>
                </c:pt>
                <c:pt idx="41">
                  <c:v>197.68758685485565</c:v>
                </c:pt>
                <c:pt idx="42">
                  <c:v>192.98073954878765</c:v>
                </c:pt>
                <c:pt idx="43">
                  <c:v>188.49281537323441</c:v>
                </c:pt>
                <c:pt idx="44">
                  <c:v>184.20888775111547</c:v>
                </c:pt>
                <c:pt idx="45">
                  <c:v>180.1153569122018</c:v>
                </c:pt>
                <c:pt idx="46">
                  <c:v>176.19980567497998</c:v>
                </c:pt>
                <c:pt idx="47">
                  <c:v>172.45087363934218</c:v>
                </c:pt>
                <c:pt idx="48">
                  <c:v>168.85814710518918</c:v>
                </c:pt>
                <c:pt idx="49">
                  <c:v>165.41206247038946</c:v>
                </c:pt>
                <c:pt idx="50">
                  <c:v>162.10382122098162</c:v>
                </c:pt>
                <c:pt idx="51">
                  <c:v>158.92531492253096</c:v>
                </c:pt>
                <c:pt idx="52">
                  <c:v>155.86905886632849</c:v>
                </c:pt>
                <c:pt idx="53">
                  <c:v>152.92813322734114</c:v>
                </c:pt>
                <c:pt idx="54">
                  <c:v>150.09613076016814</c:v>
                </c:pt>
                <c:pt idx="55">
                  <c:v>147.36711020089237</c:v>
                </c:pt>
                <c:pt idx="56">
                  <c:v>144.73555466159075</c:v>
                </c:pt>
                <c:pt idx="57">
                  <c:v>142.19633440436988</c:v>
                </c:pt>
                <c:pt idx="58">
                  <c:v>139.74467346636342</c:v>
                </c:pt>
                <c:pt idx="59">
                  <c:v>138.23386786021658</c:v>
                </c:pt>
                <c:pt idx="60">
                  <c:v>137.52562850808701</c:v>
                </c:pt>
                <c:pt idx="61">
                  <c:v>136.82498487647121</c:v>
                </c:pt>
                <c:pt idx="62">
                  <c:v>136.13181542332944</c:v>
                </c:pt>
                <c:pt idx="63">
                  <c:v>135.44600118598524</c:v>
                </c:pt>
                <c:pt idx="64">
                  <c:v>134.76742571306258</c:v>
                </c:pt>
                <c:pt idx="65">
                  <c:v>134.09597499856682</c:v>
                </c:pt>
                <c:pt idx="66">
                  <c:v>133.43153741803127</c:v>
                </c:pt>
                <c:pt idx="67">
                  <c:v>132.77400366665407</c:v>
                </c:pt>
                <c:pt idx="68">
                  <c:v>132.12326669935348</c:v>
                </c:pt>
                <c:pt idx="69">
                  <c:v>131.47922167267271</c:v>
                </c:pt>
                <c:pt idx="70">
                  <c:v>130.84176588846742</c:v>
                </c:pt>
                <c:pt idx="71">
                  <c:v>130.21079873931339</c:v>
                </c:pt>
                <c:pt idx="72">
                  <c:v>129.58622165557236</c:v>
                </c:pt>
                <c:pt idx="73">
                  <c:v>128.96793805405829</c:v>
                </c:pt>
                <c:pt idx="74">
                  <c:v>128.35585328824763</c:v>
                </c:pt>
                <c:pt idx="75">
                  <c:v>127.74987459997938</c:v>
                </c:pt>
                <c:pt idx="76">
                  <c:v>127.14991107259397</c:v>
                </c:pt>
                <c:pt idx="77">
                  <c:v>126.55587358546002</c:v>
                </c:pt>
                <c:pt idx="78">
                  <c:v>125.96767476984294</c:v>
                </c:pt>
                <c:pt idx="79">
                  <c:v>125.38522896606736</c:v>
                </c:pt>
                <c:pt idx="80">
                  <c:v>124.80845218193116</c:v>
                </c:pt>
                <c:pt idx="81">
                  <c:v>124.23726205232762</c:v>
                </c:pt>
                <c:pt idx="82">
                  <c:v>123.67157780003512</c:v>
                </c:pt>
                <c:pt idx="83">
                  <c:v>123.11132019763561</c:v>
                </c:pt>
                <c:pt idx="84">
                  <c:v>122.55641153052338</c:v>
                </c:pt>
                <c:pt idx="85">
                  <c:v>122.00677556096856</c:v>
                </c:pt>
                <c:pt idx="86">
                  <c:v>121.46233749320025</c:v>
                </c:pt>
                <c:pt idx="87">
                  <c:v>120.92302393947537</c:v>
                </c:pt>
                <c:pt idx="88">
                  <c:v>120.38876288710122</c:v>
                </c:pt>
                <c:pt idx="89">
                  <c:v>119.85948366638073</c:v>
                </c:pt>
                <c:pt idx="90">
                  <c:v>119.33511691945003</c:v>
                </c:pt>
                <c:pt idx="91">
                  <c:v>118.81559456997987</c:v>
                </c:pt>
                <c:pt idx="92">
                  <c:v>118.30084979371276</c:v>
                </c:pt>
                <c:pt idx="93">
                  <c:v>117.79081698980937</c:v>
                </c:pt>
                <c:pt idx="94">
                  <c:v>117.28543175297827</c:v>
                </c:pt>
                <c:pt idx="95">
                  <c:v>116.78463084636381</c:v>
                </c:pt>
                <c:pt idx="96">
                  <c:v>116.28835217516885</c:v>
                </c:pt>
                <c:pt idx="97">
                  <c:v>115.79653476098854</c:v>
                </c:pt>
                <c:pt idx="98">
                  <c:v>115.3091187168333</c:v>
                </c:pt>
                <c:pt idx="99">
                  <c:v>114.82604522281943</c:v>
                </c:pt>
                <c:pt idx="100">
                  <c:v>114.34725650250647</c:v>
                </c:pt>
              </c:numCache>
            </c:numRef>
          </c:val>
          <c:smooth val="0"/>
          <c:extLst>
            <c:ext xmlns:c16="http://schemas.microsoft.com/office/drawing/2014/chart" uri="{C3380CC4-5D6E-409C-BE32-E72D297353CC}">
              <c16:uniqueId val="{00000000-E80B-454F-A9D0-303FE0C70254}"/>
            </c:ext>
          </c:extLst>
        </c:ser>
        <c:ser>
          <c:idx val="0"/>
          <c:order val="1"/>
          <c:tx>
            <c:v>VIN-nom</c:v>
          </c:tx>
          <c:spPr>
            <a:ln w="28575">
              <a:solidFill>
                <a:srgbClr val="FF0000"/>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350</c:v>
                </c:pt>
                <c:pt idx="55">
                  <c:v>350</c:v>
                </c:pt>
                <c:pt idx="56">
                  <c:v>350</c:v>
                </c:pt>
                <c:pt idx="57">
                  <c:v>350</c:v>
                </c:pt>
                <c:pt idx="58">
                  <c:v>350</c:v>
                </c:pt>
                <c:pt idx="59">
                  <c:v>350</c:v>
                </c:pt>
                <c:pt idx="60">
                  <c:v>350</c:v>
                </c:pt>
                <c:pt idx="61">
                  <c:v>346.97267897241881</c:v>
                </c:pt>
                <c:pt idx="62">
                  <c:v>341.37634544060546</c:v>
                </c:pt>
                <c:pt idx="63">
                  <c:v>335.95767329075471</c:v>
                </c:pt>
                <c:pt idx="64">
                  <c:v>330.70833464558655</c:v>
                </c:pt>
                <c:pt idx="65">
                  <c:v>325.62051411257761</c:v>
                </c:pt>
                <c:pt idx="66">
                  <c:v>320.68686995935667</c:v>
                </c:pt>
                <c:pt idx="67">
                  <c:v>315.90049876593349</c:v>
                </c:pt>
                <c:pt idx="68">
                  <c:v>311.25490319584611</c:v>
                </c:pt>
                <c:pt idx="69">
                  <c:v>306.74396256981947</c:v>
                </c:pt>
                <c:pt idx="70">
                  <c:v>302.36190596167927</c:v>
                </c:pt>
                <c:pt idx="71">
                  <c:v>298.10328756785276</c:v>
                </c:pt>
                <c:pt idx="72">
                  <c:v>293.9629641294103</c:v>
                </c:pt>
                <c:pt idx="73">
                  <c:v>289.93607420982931</c:v>
                </c:pt>
                <c:pt idx="74">
                  <c:v>286.01801915293981</c:v>
                </c:pt>
                <c:pt idx="75">
                  <c:v>282.20444556423388</c:v>
                </c:pt>
                <c:pt idx="76">
                  <c:v>278.49122917523073</c:v>
                </c:pt>
                <c:pt idx="77">
                  <c:v>274.87445996516288</c:v>
                </c:pt>
                <c:pt idx="78">
                  <c:v>271.3504284271479</c:v>
                </c:pt>
                <c:pt idx="79">
                  <c:v>267.91561287743718</c:v>
                </c:pt>
                <c:pt idx="80">
                  <c:v>264.56666771646923</c:v>
                </c:pt>
                <c:pt idx="81">
                  <c:v>261.30041255947583</c:v>
                </c:pt>
                <c:pt idx="82">
                  <c:v>258.11382216240906</c:v>
                </c:pt>
                <c:pt idx="83">
                  <c:v>255.00401707611491</c:v>
                </c:pt>
                <c:pt idx="84">
                  <c:v>251.96825496806596</c:v>
                </c:pt>
                <c:pt idx="85">
                  <c:v>249.00392255667694</c:v>
                </c:pt>
                <c:pt idx="86">
                  <c:v>246.10852810834353</c:v>
                </c:pt>
                <c:pt idx="87">
                  <c:v>243.27969445192574</c:v>
                </c:pt>
                <c:pt idx="88">
                  <c:v>240.51515246951749</c:v>
                </c:pt>
                <c:pt idx="89">
                  <c:v>237.81273502603977</c:v>
                </c:pt>
                <c:pt idx="90">
                  <c:v>235.1703713035283</c:v>
                </c:pt>
                <c:pt idx="91">
                  <c:v>232.58608150898394</c:v>
                </c:pt>
                <c:pt idx="92">
                  <c:v>230.05797192736458</c:v>
                </c:pt>
                <c:pt idx="93">
                  <c:v>227.58423029373699</c:v>
                </c:pt>
                <c:pt idx="94">
                  <c:v>225.1631214608249</c:v>
                </c:pt>
                <c:pt idx="95">
                  <c:v>223.40194653126011</c:v>
                </c:pt>
                <c:pt idx="96">
                  <c:v>222.2569941173503</c:v>
                </c:pt>
                <c:pt idx="97">
                  <c:v>221.124093456552</c:v>
                </c:pt>
                <c:pt idx="98">
                  <c:v>220.00305526021279</c:v>
                </c:pt>
                <c:pt idx="99">
                  <c:v>218.8936941830716</c:v>
                </c:pt>
                <c:pt idx="100">
                  <c:v>217.79582872110146</c:v>
                </c:pt>
              </c:numCache>
            </c:numRef>
          </c:val>
          <c:smooth val="0"/>
          <c:extLst>
            <c:ext xmlns:c16="http://schemas.microsoft.com/office/drawing/2014/chart" uri="{C3380CC4-5D6E-409C-BE32-E72D297353CC}">
              <c16:uniqueId val="{00000001-E80B-454F-A9D0-303FE0C70254}"/>
            </c:ext>
          </c:extLst>
        </c:ser>
        <c:ser>
          <c:idx val="2"/>
          <c:order val="2"/>
          <c:tx>
            <c:v>VIN-max</c:v>
          </c:tx>
          <c:spPr>
            <a:ln>
              <a:solidFill>
                <a:srgbClr val="0000FF"/>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350</c:v>
                </c:pt>
                <c:pt idx="55">
                  <c:v>350</c:v>
                </c:pt>
                <c:pt idx="56">
                  <c:v>350</c:v>
                </c:pt>
                <c:pt idx="57">
                  <c:v>350</c:v>
                </c:pt>
                <c:pt idx="58">
                  <c:v>350</c:v>
                </c:pt>
                <c:pt idx="59">
                  <c:v>350</c:v>
                </c:pt>
                <c:pt idx="60">
                  <c:v>350</c:v>
                </c:pt>
                <c:pt idx="61">
                  <c:v>350</c:v>
                </c:pt>
                <c:pt idx="62">
                  <c:v>350</c:v>
                </c:pt>
                <c:pt idx="63">
                  <c:v>350</c:v>
                </c:pt>
                <c:pt idx="64">
                  <c:v>347.1715749576652</c:v>
                </c:pt>
                <c:pt idx="65">
                  <c:v>341.83047380447039</c:v>
                </c:pt>
                <c:pt idx="66">
                  <c:v>336.65122420137232</c:v>
                </c:pt>
                <c:pt idx="67">
                  <c:v>331.62657906403837</c:v>
                </c:pt>
                <c:pt idx="68">
                  <c:v>326.74971760721434</c:v>
                </c:pt>
                <c:pt idx="69">
                  <c:v>322.01421445348649</c:v>
                </c:pt>
                <c:pt idx="70">
                  <c:v>317.41401138986538</c:v>
                </c:pt>
                <c:pt idx="71">
                  <c:v>312.94339151113479</c:v>
                </c:pt>
                <c:pt idx="72">
                  <c:v>308.5969555179247</c:v>
                </c:pt>
                <c:pt idx="73">
                  <c:v>304.36959996288454</c:v>
                </c:pt>
                <c:pt idx="74">
                  <c:v>300.25649726068343</c:v>
                </c:pt>
                <c:pt idx="75">
                  <c:v>296.2530772972076</c:v>
                </c:pt>
                <c:pt idx="76">
                  <c:v>292.35501049066539</c:v>
                </c:pt>
                <c:pt idx="77">
                  <c:v>288.55819217260489</c:v>
                </c:pt>
                <c:pt idx="78">
                  <c:v>284.85872817039188</c:v>
                </c:pt>
                <c:pt idx="79">
                  <c:v>281.25292148469077</c:v>
                </c:pt>
                <c:pt idx="80">
                  <c:v>277.73725996613206</c:v>
                </c:pt>
                <c:pt idx="81">
                  <c:v>274.30840490482188</c:v>
                </c:pt>
                <c:pt idx="82">
                  <c:v>270.96318045476306</c:v>
                </c:pt>
                <c:pt idx="83">
                  <c:v>267.69856382277794</c:v>
                </c:pt>
                <c:pt idx="84">
                  <c:v>264.51167615822112</c:v>
                </c:pt>
                <c:pt idx="85">
                  <c:v>261.39977408577141</c:v>
                </c:pt>
                <c:pt idx="86">
                  <c:v>258.36024182896017</c:v>
                </c:pt>
                <c:pt idx="87">
                  <c:v>255.39058387690312</c:v>
                </c:pt>
                <c:pt idx="88">
                  <c:v>252.48841815102924</c:v>
                </c:pt>
                <c:pt idx="89">
                  <c:v>249.65146963247832</c:v>
                </c:pt>
                <c:pt idx="90">
                  <c:v>246.87756441433967</c:v>
                </c:pt>
                <c:pt idx="91">
                  <c:v>244.16462414605013</c:v>
                </c:pt>
                <c:pt idx="92">
                  <c:v>241.51066084011495</c:v>
                </c:pt>
                <c:pt idx="93">
                  <c:v>238.91377201387704</c:v>
                </c:pt>
                <c:pt idx="94">
                  <c:v>236.37213614138909</c:v>
                </c:pt>
                <c:pt idx="95">
                  <c:v>233.88400839253237</c:v>
                </c:pt>
                <c:pt idx="96">
                  <c:v>231.44771663844344</c:v>
                </c:pt>
                <c:pt idx="97">
                  <c:v>229.27722742938724</c:v>
                </c:pt>
                <c:pt idx="98">
                  <c:v>228.10007938775817</c:v>
                </c:pt>
                <c:pt idx="99">
                  <c:v>226.93533391964397</c:v>
                </c:pt>
                <c:pt idx="100">
                  <c:v>225.78279603972706</c:v>
                </c:pt>
              </c:numCache>
            </c:numRef>
          </c:val>
          <c:smooth val="0"/>
          <c:extLst>
            <c:ext xmlns:c16="http://schemas.microsoft.com/office/drawing/2014/chart" uri="{C3380CC4-5D6E-409C-BE32-E72D297353CC}">
              <c16:uniqueId val="{00000002-E80B-454F-A9D0-303FE0C70254}"/>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139.74467346636342</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E80B-454F-A9D0-303FE0C70254}"/>
            </c:ext>
          </c:extLst>
        </c:ser>
        <c:ser>
          <c:idx val="4"/>
          <c:order val="4"/>
          <c:spPr>
            <a:ln>
              <a:noFill/>
            </a:ln>
          </c:spPr>
          <c:marker>
            <c:symbol val="x"/>
            <c:size val="10"/>
            <c:spPr>
              <a:pattFill prst="pct5">
                <a:fgClr>
                  <a:schemeClr val="tx1"/>
                </a:fgClr>
                <a:bgClr>
                  <a:schemeClr val="bg1"/>
                </a:bgClr>
              </a:pattFill>
              <a:ln>
                <a:solidFill>
                  <a:srgbClr val="FF0000"/>
                </a:solidFill>
              </a:ln>
            </c:spPr>
          </c:marker>
          <c:dPt>
            <c:idx val="65"/>
            <c:bubble3D val="0"/>
            <c:extLst>
              <c:ext xmlns:c16="http://schemas.microsoft.com/office/drawing/2014/chart" uri="{C3380CC4-5D6E-409C-BE32-E72D297353CC}">
                <c16:uniqueId val="{00000004-E80B-454F-A9D0-303FE0C70254}"/>
              </c:ext>
            </c:extLst>
          </c:dPt>
          <c:dPt>
            <c:idx val="92"/>
            <c:bubble3D val="0"/>
            <c:extLst>
              <c:ext xmlns:c16="http://schemas.microsoft.com/office/drawing/2014/chart" uri="{C3380CC4-5D6E-409C-BE32-E72D297353CC}">
                <c16:uniqueId val="{00000005-E80B-454F-A9D0-303FE0C70254}"/>
              </c:ext>
            </c:extLst>
          </c:dPt>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6-E80B-454F-A9D0-303FE0C70254}"/>
            </c:ext>
          </c:extLst>
        </c:ser>
        <c:ser>
          <c:idx val="5"/>
          <c:order val="5"/>
          <c:spPr>
            <a:ln>
              <a:noFill/>
            </a:ln>
          </c:spPr>
          <c:marker>
            <c:symbol val="x"/>
            <c:size val="10"/>
            <c:spPr>
              <a:pattFill prst="pct5">
                <a:fgClr>
                  <a:schemeClr val="tx1"/>
                </a:fgClr>
                <a:bgClr>
                  <a:schemeClr val="bg1"/>
                </a:bgClr>
              </a:pattFill>
              <a:ln>
                <a:solidFill>
                  <a:srgbClr val="0000FF"/>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229.27722742938724</c:v>
                </c:pt>
                <c:pt idx="98">
                  <c:v>-50</c:v>
                </c:pt>
                <c:pt idx="99">
                  <c:v>-50</c:v>
                </c:pt>
                <c:pt idx="100">
                  <c:v>-50</c:v>
                </c:pt>
              </c:numCache>
            </c:numRef>
          </c:val>
          <c:smooth val="0"/>
          <c:extLst>
            <c:ext xmlns:c16="http://schemas.microsoft.com/office/drawing/2014/chart" uri="{C3380CC4-5D6E-409C-BE32-E72D297353CC}">
              <c16:uniqueId val="{00000007-E80B-454F-A9D0-303FE0C70254}"/>
            </c:ext>
          </c:extLst>
        </c:ser>
        <c:dLbls>
          <c:showLegendKey val="0"/>
          <c:showVal val="0"/>
          <c:showCatName val="0"/>
          <c:showSerName val="0"/>
          <c:showPercent val="0"/>
          <c:showBubbleSize val="0"/>
        </c:dLbls>
        <c:smooth val="0"/>
        <c:axId val="199758208"/>
        <c:axId val="199760512"/>
      </c:lineChart>
      <c:catAx>
        <c:axId val="199758208"/>
        <c:scaling>
          <c:orientation val="minMax"/>
        </c:scaling>
        <c:delete val="0"/>
        <c:axPos val="b"/>
        <c:majorGridlines>
          <c:spPr>
            <a:ln w="15875">
              <a:solidFill>
                <a:srgbClr val="969696"/>
              </a:solidFill>
              <a:prstDash val="sysDash"/>
            </a:ln>
          </c:spPr>
        </c:majorGridlines>
        <c:title>
          <c:tx>
            <c:rich>
              <a:bodyPr/>
              <a:lstStyle/>
              <a:p>
                <a:pPr>
                  <a:defRPr sz="1000" b="1" i="0" u="none" strike="noStrike" baseline="0">
                    <a:solidFill>
                      <a:schemeClr val="tx1"/>
                    </a:solidFill>
                    <a:latin typeface="Arial" pitchFamily="34" charset="0"/>
                    <a:ea typeface="Calibri"/>
                    <a:cs typeface="Arial" pitchFamily="34" charset="0"/>
                  </a:defRPr>
                </a:pPr>
                <a:r>
                  <a:rPr lang="en-US" sz="1200" b="1" i="0" baseline="0">
                    <a:effectLst/>
                  </a:rPr>
                  <a:t>% Total Rated Output Power</a:t>
                </a:r>
                <a:endParaRPr lang="en-US" sz="1000">
                  <a:effectLst/>
                </a:endParaRPr>
              </a:p>
            </c:rich>
          </c:tx>
          <c:layout>
            <c:manualLayout>
              <c:xMode val="edge"/>
              <c:yMode val="edge"/>
              <c:x val="0.40984320248210387"/>
              <c:y val="0.93853774450069472"/>
            </c:manualLayout>
          </c:layout>
          <c:overlay val="0"/>
          <c:spPr>
            <a:noFill/>
            <a:ln w="25400">
              <a:noFill/>
            </a:ln>
          </c:spPr>
        </c:title>
        <c:numFmt formatCode="General"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99760512"/>
        <c:crosses val="autoZero"/>
        <c:auto val="1"/>
        <c:lblAlgn val="ctr"/>
        <c:lblOffset val="100"/>
        <c:tickLblSkip val="20"/>
        <c:tickMarkSkip val="10"/>
        <c:noMultiLvlLbl val="0"/>
      </c:catAx>
      <c:valAx>
        <c:axId val="199760512"/>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Switching</a:t>
                </a:r>
                <a:r>
                  <a:rPr lang="en-US" sz="1200" b="1" baseline="0">
                    <a:solidFill>
                      <a:schemeClr val="tx1"/>
                    </a:solidFill>
                    <a:latin typeface="Arial" pitchFamily="34" charset="0"/>
                    <a:cs typeface="Arial" pitchFamily="34" charset="0"/>
                  </a:rPr>
                  <a:t> Frquency (kHz)</a:t>
                </a:r>
                <a:endParaRPr lang="en-US" sz="1200" b="1">
                  <a:solidFill>
                    <a:schemeClr val="tx1"/>
                  </a:solidFill>
                  <a:latin typeface="Arial" pitchFamily="34" charset="0"/>
                  <a:cs typeface="Arial" pitchFamily="34" charset="0"/>
                </a:endParaRPr>
              </a:p>
            </c:rich>
          </c:tx>
          <c:layout>
            <c:manualLayout>
              <c:xMode val="edge"/>
              <c:yMode val="edge"/>
              <c:x val="8.5568268367748525E-3"/>
              <c:y val="0.30050661099568304"/>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99758208"/>
        <c:crossesAt val="0"/>
        <c:crossBetween val="between"/>
        <c:majorUnit val="50"/>
        <c:minorUnit val="25"/>
      </c:valAx>
      <c:spPr>
        <a:solidFill>
          <a:srgbClr val="FFFFFF"/>
        </a:solidFill>
        <a:ln w="25400">
          <a:noFill/>
        </a:ln>
      </c:spPr>
    </c:plotArea>
    <c:legend>
      <c:legendPos val="t"/>
      <c:legendEntry>
        <c:idx val="3"/>
        <c:delete val="1"/>
      </c:legendEntry>
      <c:legendEntry>
        <c:idx val="4"/>
        <c:delete val="1"/>
      </c:legendEntry>
      <c:legendEntry>
        <c:idx val="5"/>
        <c:delete val="1"/>
      </c:legendEntry>
      <c:layout>
        <c:manualLayout>
          <c:xMode val="edge"/>
          <c:yMode val="edge"/>
          <c:x val="0.31258613484968906"/>
          <c:y val="1.9480197482498431E-2"/>
          <c:w val="0.42410841724909248"/>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Single'!$AJ$110:$AJ$210</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c:v>
                </c:pt>
                <c:pt idx="12">
                  <c:v>0.15239047589287574</c:v>
                </c:pt>
                <c:pt idx="13">
                  <c:v>0.15861303615433142</c:v>
                </c:pt>
                <c:pt idx="14">
                  <c:v>0.16460052652811696</c:v>
                </c:pt>
                <c:pt idx="15">
                  <c:v>0.17037773161000655</c:v>
                </c:pt>
                <c:pt idx="16">
                  <c:v>0.17596536455737397</c:v>
                </c:pt>
                <c:pt idx="17">
                  <c:v>0.18138094613009281</c:v>
                </c:pt>
                <c:pt idx="18">
                  <c:v>0.18663945379872315</c:v>
                </c:pt>
                <c:pt idx="19">
                  <c:v>0.19175381041722173</c:v>
                </c:pt>
                <c:pt idx="20">
                  <c:v>0.19673525841791023</c:v>
                </c:pt>
                <c:pt idx="21">
                  <c:v>0.20159365069366644</c:v>
                </c:pt>
                <c:pt idx="22">
                  <c:v>0.20633767977574552</c:v>
                </c:pt>
                <c:pt idx="23">
                  <c:v>0.21097506058886722</c:v>
                </c:pt>
                <c:pt idx="24">
                  <c:v>0.21551267778419508</c:v>
                </c:pt>
                <c:pt idx="25">
                  <c:v>0.21995670569671746</c:v>
                </c:pt>
                <c:pt idx="26">
                  <c:v>0.22431270689862953</c:v>
                </c:pt>
                <c:pt idx="27">
                  <c:v>0.22858571383931364</c:v>
                </c:pt>
                <c:pt idx="28">
                  <c:v>0.23278029698981542</c:v>
                </c:pt>
                <c:pt idx="29">
                  <c:v>0.23690062212224086</c:v>
                </c:pt>
                <c:pt idx="30">
                  <c:v>0.24095049876923447</c:v>
                </c:pt>
                <c:pt idx="31">
                  <c:v>0.24493342146873495</c:v>
                </c:pt>
                <c:pt idx="32">
                  <c:v>0.24885260506496421</c:v>
                </c:pt>
                <c:pt idx="33">
                  <c:v>0.25271101508018434</c:v>
                </c:pt>
                <c:pt idx="34">
                  <c:v>0.25651139397324096</c:v>
                </c:pt>
                <c:pt idx="35">
                  <c:v>0.26025628394590844</c:v>
                </c:pt>
                <c:pt idx="36">
                  <c:v>0.26394804683606093</c:v>
                </c:pt>
                <c:pt idx="37">
                  <c:v>0.26758888153996518</c:v>
                </c:pt>
                <c:pt idx="38">
                  <c:v>0.27118083932875425</c:v>
                </c:pt>
                <c:pt idx="39">
                  <c:v>0.27472583736206124</c:v>
                </c:pt>
                <c:pt idx="40">
                  <c:v>0.27822567065158427</c:v>
                </c:pt>
                <c:pt idx="41">
                  <c:v>0.28168202268650711</c:v>
                </c:pt>
                <c:pt idx="42">
                  <c:v>0.28509647489928741</c:v>
                </c:pt>
                <c:pt idx="43">
                  <c:v>0.2884705151228425</c:v>
                </c:pt>
                <c:pt idx="44">
                  <c:v>0.29180554516745599</c:v>
                </c:pt>
                <c:pt idx="45">
                  <c:v>0.29510288762686532</c:v>
                </c:pt>
                <c:pt idx="46">
                  <c:v>0.32777291727422969</c:v>
                </c:pt>
                <c:pt idx="47">
                  <c:v>0.33489841547584331</c:v>
                </c:pt>
                <c:pt idx="48">
                  <c:v>0.34202391367745699</c:v>
                </c:pt>
                <c:pt idx="49">
                  <c:v>0.34914941187907067</c:v>
                </c:pt>
                <c:pt idx="50">
                  <c:v>0.3562749100806844</c:v>
                </c:pt>
                <c:pt idx="51">
                  <c:v>0.36340040828229808</c:v>
                </c:pt>
                <c:pt idx="52">
                  <c:v>0.37052590648391176</c:v>
                </c:pt>
                <c:pt idx="53">
                  <c:v>0.37765140468552549</c:v>
                </c:pt>
                <c:pt idx="54">
                  <c:v>0.38477690288713917</c:v>
                </c:pt>
                <c:pt idx="55">
                  <c:v>0.39190240108875285</c:v>
                </c:pt>
                <c:pt idx="56">
                  <c:v>0.39902789929036653</c:v>
                </c:pt>
                <c:pt idx="57">
                  <c:v>0.40615339749198015</c:v>
                </c:pt>
                <c:pt idx="58">
                  <c:v>0.41327889569359388</c:v>
                </c:pt>
                <c:pt idx="59">
                  <c:v>0.42040439389520756</c:v>
                </c:pt>
                <c:pt idx="60">
                  <c:v>0.42752989209682124</c:v>
                </c:pt>
                <c:pt idx="61">
                  <c:v>0.43465539029843492</c:v>
                </c:pt>
                <c:pt idx="62">
                  <c:v>0.44178088850004865</c:v>
                </c:pt>
                <c:pt idx="63">
                  <c:v>0.44890638670166233</c:v>
                </c:pt>
                <c:pt idx="64">
                  <c:v>0.45603188490327601</c:v>
                </c:pt>
                <c:pt idx="65">
                  <c:v>0.46315738310488974</c:v>
                </c:pt>
                <c:pt idx="66">
                  <c:v>0.47028288130650342</c:v>
                </c:pt>
                <c:pt idx="67">
                  <c:v>0.4774083795081171</c:v>
                </c:pt>
                <c:pt idx="68">
                  <c:v>0.48453387770973078</c:v>
                </c:pt>
                <c:pt idx="69">
                  <c:v>0.4916593759113444</c:v>
                </c:pt>
                <c:pt idx="70">
                  <c:v>0.49878487411295813</c:v>
                </c:pt>
                <c:pt idx="71">
                  <c:v>0.50591037231457181</c:v>
                </c:pt>
                <c:pt idx="72">
                  <c:v>0.51303587051618549</c:v>
                </c:pt>
                <c:pt idx="73">
                  <c:v>0.52016136871779917</c:v>
                </c:pt>
                <c:pt idx="74">
                  <c:v>0.52728686691941284</c:v>
                </c:pt>
                <c:pt idx="75">
                  <c:v>0.53441236512102663</c:v>
                </c:pt>
                <c:pt idx="76">
                  <c:v>0.54153786332264031</c:v>
                </c:pt>
                <c:pt idx="77">
                  <c:v>0.5486633615242541</c:v>
                </c:pt>
                <c:pt idx="78">
                  <c:v>0.55578885972586778</c:v>
                </c:pt>
                <c:pt idx="79">
                  <c:v>0.56291435792748146</c:v>
                </c:pt>
                <c:pt idx="80">
                  <c:v>0.57003985612909513</c:v>
                </c:pt>
                <c:pt idx="81">
                  <c:v>0.57716535433070881</c:v>
                </c:pt>
                <c:pt idx="82">
                  <c:v>0.58429085253232249</c:v>
                </c:pt>
                <c:pt idx="83">
                  <c:v>0.59141635073393617</c:v>
                </c:pt>
                <c:pt idx="84">
                  <c:v>0.59854184893554985</c:v>
                </c:pt>
                <c:pt idx="85">
                  <c:v>0.60566734713716353</c:v>
                </c:pt>
                <c:pt idx="86">
                  <c:v>0.6127928453387772</c:v>
                </c:pt>
                <c:pt idx="87">
                  <c:v>0.61991834354039088</c:v>
                </c:pt>
                <c:pt idx="88">
                  <c:v>0.62704384174200456</c:v>
                </c:pt>
                <c:pt idx="89">
                  <c:v>0.63416933994361835</c:v>
                </c:pt>
                <c:pt idx="90">
                  <c:v>0.64129483814523203</c:v>
                </c:pt>
                <c:pt idx="91">
                  <c:v>0.6484203363468457</c:v>
                </c:pt>
                <c:pt idx="92">
                  <c:v>0.65554583454845938</c:v>
                </c:pt>
                <c:pt idx="93">
                  <c:v>0.66267133275007306</c:v>
                </c:pt>
                <c:pt idx="94">
                  <c:v>0.66979683095168663</c:v>
                </c:pt>
                <c:pt idx="95">
                  <c:v>0.67692232915330031</c:v>
                </c:pt>
                <c:pt idx="96">
                  <c:v>0.68404782735491398</c:v>
                </c:pt>
                <c:pt idx="97">
                  <c:v>0.69117332555652766</c:v>
                </c:pt>
                <c:pt idx="98">
                  <c:v>0.69829882375814134</c:v>
                </c:pt>
                <c:pt idx="99">
                  <c:v>0.70542432195975513</c:v>
                </c:pt>
                <c:pt idx="100">
                  <c:v>0.71254982016136881</c:v>
                </c:pt>
              </c:numCache>
            </c:numRef>
          </c:val>
          <c:smooth val="0"/>
          <c:extLst>
            <c:ext xmlns:c16="http://schemas.microsoft.com/office/drawing/2014/chart" uri="{C3380CC4-5D6E-409C-BE32-E72D297353CC}">
              <c16:uniqueId val="{00000000-6B63-4F74-A12B-7223AE432F59}"/>
            </c:ext>
          </c:extLst>
        </c:ser>
        <c:ser>
          <c:idx val="0"/>
          <c:order val="1"/>
          <c:tx>
            <c:v>VIN-nom</c:v>
          </c:tx>
          <c:spPr>
            <a:ln w="28575">
              <a:solidFill>
                <a:srgbClr val="0000FF"/>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Single'!$AJ$5:$AJ$105</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0.1537950260993835</c:v>
                </c:pt>
                <c:pt idx="12">
                  <c:v>0.16063366584615629</c:v>
                </c:pt>
                <c:pt idx="13">
                  <c:v>0.1671928202807739</c:v>
                </c:pt>
                <c:pt idx="14">
                  <c:v>0.17350418929727232</c:v>
                </c:pt>
                <c:pt idx="15">
                  <c:v>0.17959389815349588</c:v>
                </c:pt>
                <c:pt idx="16">
                  <c:v>0.18548378043438948</c:v>
                </c:pt>
                <c:pt idx="17">
                  <c:v>0.19119230464246556</c:v>
                </c:pt>
                <c:pt idx="18">
                  <c:v>0.19673525841791017</c:v>
                </c:pt>
                <c:pt idx="19">
                  <c:v>0.20212626364484765</c:v>
                </c:pt>
                <c:pt idx="20">
                  <c:v>0.20737717088747021</c:v>
                </c:pt>
                <c:pt idx="21">
                  <c:v>0.2124983660067897</c:v>
                </c:pt>
                <c:pt idx="22">
                  <c:v>0.21749901173527228</c:v>
                </c:pt>
                <c:pt idx="23">
                  <c:v>0.22238724031761503</c:v>
                </c:pt>
                <c:pt idx="24">
                  <c:v>0.22717030881334208</c:v>
                </c:pt>
                <c:pt idx="25">
                  <c:v>0.23185472554298686</c:v>
                </c:pt>
                <c:pt idx="26">
                  <c:v>0.2364463539724779</c:v>
                </c:pt>
                <c:pt idx="27">
                  <c:v>0.24095049876923447</c:v>
                </c:pt>
                <c:pt idx="28">
                  <c:v>0.24537197763275131</c:v>
                </c:pt>
                <c:pt idx="29">
                  <c:v>0.24971518167238443</c:v>
                </c:pt>
                <c:pt idx="30">
                  <c:v>0.25398412648812624</c:v>
                </c:pt>
                <c:pt idx="31">
                  <c:v>0.25818249564639556</c:v>
                </c:pt>
                <c:pt idx="32">
                  <c:v>0.26231367789054694</c:v>
                </c:pt>
                <c:pt idx="33">
                  <c:v>0.26638079915551377</c:v>
                </c:pt>
                <c:pt idx="34">
                  <c:v>0.27038675024674325</c:v>
                </c:pt>
                <c:pt idx="35">
                  <c:v>0.27433421088019488</c:v>
                </c:pt>
                <c:pt idx="36">
                  <c:v>0.27822567065158421</c:v>
                </c:pt>
                <c:pt idx="37">
                  <c:v>0.28206344740109157</c:v>
                </c:pt>
                <c:pt idx="38">
                  <c:v>0.28584970335834342</c:v>
                </c:pt>
                <c:pt idx="39">
                  <c:v>0.28958645938703259</c:v>
                </c:pt>
                <c:pt idx="40">
                  <c:v>0.29327560759562332</c:v>
                </c:pt>
                <c:pt idx="41">
                  <c:v>0.296918922537528</c:v>
                </c:pt>
                <c:pt idx="42">
                  <c:v>0.30051807118892387</c:v>
                </c:pt>
                <c:pt idx="43">
                  <c:v>0.30407462186340983</c:v>
                </c:pt>
                <c:pt idx="44">
                  <c:v>0.30759005219876701</c:v>
                </c:pt>
                <c:pt idx="45">
                  <c:v>0.31106575633120526</c:v>
                </c:pt>
                <c:pt idx="46">
                  <c:v>0.31450305135589596</c:v>
                </c:pt>
                <c:pt idx="47">
                  <c:v>0.31790318315869986</c:v>
                </c:pt>
                <c:pt idx="48">
                  <c:v>0.32126733169231259</c:v>
                </c:pt>
                <c:pt idx="49">
                  <c:v>0.32459661576018162</c:v>
                </c:pt>
                <c:pt idx="50">
                  <c:v>0.3278920973631837</c:v>
                </c:pt>
                <c:pt idx="51">
                  <c:v>0.33115478565693729</c:v>
                </c:pt>
                <c:pt idx="52">
                  <c:v>0.33438564056154779</c:v>
                </c:pt>
                <c:pt idx="53">
                  <c:v>0.33758557606038381</c:v>
                </c:pt>
                <c:pt idx="54">
                  <c:v>0.34075546322001316</c:v>
                </c:pt>
                <c:pt idx="55">
                  <c:v>0.34389613295957588</c:v>
                </c:pt>
                <c:pt idx="56">
                  <c:v>0.34700837859454464</c:v>
                </c:pt>
                <c:pt idx="57">
                  <c:v>0.35009295817693814</c:v>
                </c:pt>
                <c:pt idx="58">
                  <c:v>0.35315059665154741</c:v>
                </c:pt>
                <c:pt idx="59">
                  <c:v>0.35618198784555133</c:v>
                </c:pt>
                <c:pt idx="60">
                  <c:v>0.35918779630699177</c:v>
                </c:pt>
                <c:pt idx="61">
                  <c:v>0.36216865900590789</c:v>
                </c:pt>
                <c:pt idx="62">
                  <c:v>0.36512518691046514</c:v>
                </c:pt>
                <c:pt idx="63">
                  <c:v>0.36805796644912692</c:v>
                </c:pt>
                <c:pt idx="64">
                  <c:v>0.37096756086877897</c:v>
                </c:pt>
                <c:pt idx="65">
                  <c:v>0.37385451149771592</c:v>
                </c:pt>
                <c:pt idx="66">
                  <c:v>0.3767193389215111</c:v>
                </c:pt>
                <c:pt idx="67">
                  <c:v>0.37956254407900275</c:v>
                </c:pt>
                <c:pt idx="68">
                  <c:v>0.38238460928493112</c:v>
                </c:pt>
                <c:pt idx="69">
                  <c:v>0.38518599918513907</c:v>
                </c:pt>
                <c:pt idx="70">
                  <c:v>0.3879671616496923</c:v>
                </c:pt>
                <c:pt idx="71">
                  <c:v>0.3907285286087811</c:v>
                </c:pt>
                <c:pt idx="72">
                  <c:v>0.39347051683582035</c:v>
                </c:pt>
                <c:pt idx="73">
                  <c:v>0.3961935286817696</c:v>
                </c:pt>
                <c:pt idx="74">
                  <c:v>0.39889795276433382</c:v>
                </c:pt>
                <c:pt idx="75">
                  <c:v>0.40158416461539076</c:v>
                </c:pt>
                <c:pt idx="76">
                  <c:v>0.4042525272896953</c:v>
                </c:pt>
                <c:pt idx="77">
                  <c:v>0.40690339193765684</c:v>
                </c:pt>
                <c:pt idx="78">
                  <c:v>0.409537098344747</c:v>
                </c:pt>
                <c:pt idx="79">
                  <c:v>0.4121539754398828</c:v>
                </c:pt>
                <c:pt idx="80">
                  <c:v>0.41475434177494042</c:v>
                </c:pt>
                <c:pt idx="81">
                  <c:v>0.41733850597737632</c:v>
                </c:pt>
                <c:pt idx="82">
                  <c:v>0.41990676717777858</c:v>
                </c:pt>
                <c:pt idx="83">
                  <c:v>0.42245941541402254</c:v>
                </c:pt>
                <c:pt idx="84">
                  <c:v>0.4249967320135794</c:v>
                </c:pt>
                <c:pt idx="85">
                  <c:v>0.42751898995540161</c:v>
                </c:pt>
                <c:pt idx="86">
                  <c:v>0.43002645421270463</c:v>
                </c:pt>
                <c:pt idx="87">
                  <c:v>0.43251938207786239</c:v>
                </c:pt>
                <c:pt idx="88">
                  <c:v>0.43499802347054456</c:v>
                </c:pt>
                <c:pt idx="89">
                  <c:v>0.43746262123014007</c:v>
                </c:pt>
                <c:pt idx="90">
                  <c:v>0.43991341139343493</c:v>
                </c:pt>
                <c:pt idx="91">
                  <c:v>0.442350623458444</c:v>
                </c:pt>
                <c:pt idx="92">
                  <c:v>0.44477448063523006</c:v>
                </c:pt>
                <c:pt idx="93">
                  <c:v>0.44718520008448759</c:v>
                </c:pt>
                <c:pt idx="94">
                  <c:v>0.44958299314461142</c:v>
                </c:pt>
                <c:pt idx="95">
                  <c:v>0.45196806554792374</c:v>
                </c:pt>
                <c:pt idx="96">
                  <c:v>0.45434061762668415</c:v>
                </c:pt>
                <c:pt idx="97">
                  <c:v>0.45670084450946813</c:v>
                </c:pt>
                <c:pt idx="98">
                  <c:v>0.45904893630845717</c:v>
                </c:pt>
                <c:pt idx="99">
                  <c:v>0.46138507829815051</c:v>
                </c:pt>
                <c:pt idx="100">
                  <c:v>0.46370945108597372</c:v>
                </c:pt>
              </c:numCache>
            </c:numRef>
          </c:val>
          <c:smooth val="0"/>
          <c:extLst>
            <c:ext xmlns:c16="http://schemas.microsoft.com/office/drawing/2014/chart" uri="{C3380CC4-5D6E-409C-BE32-E72D297353CC}">
              <c16:uniqueId val="{00000001-6B63-4F74-A12B-7223AE432F59}"/>
            </c:ext>
          </c:extLst>
        </c:ser>
        <c:ser>
          <c:idx val="2"/>
          <c:order val="2"/>
          <c:tx>
            <c:v>VIN-max</c:v>
          </c:tx>
          <c:spPr>
            <a:ln>
              <a:solidFill>
                <a:srgbClr val="FF0000"/>
              </a:solidFill>
              <a:prstDash val="solid"/>
            </a:ln>
          </c:spPr>
          <c:marker>
            <c:symbol val="none"/>
          </c:marker>
          <c:val>
            <c:numRef>
              <c:f>'Calculations - Single'!$AJ$216:$AJ$316</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c:v>
                </c:pt>
                <c:pt idx="12">
                  <c:v>0.15239047589287574</c:v>
                </c:pt>
                <c:pt idx="13">
                  <c:v>0.15861303615433142</c:v>
                </c:pt>
                <c:pt idx="14">
                  <c:v>0.16460052652811696</c:v>
                </c:pt>
                <c:pt idx="15">
                  <c:v>0.17037773161000655</c:v>
                </c:pt>
                <c:pt idx="16">
                  <c:v>0.17596536455737397</c:v>
                </c:pt>
                <c:pt idx="17">
                  <c:v>0.18138094613009281</c:v>
                </c:pt>
                <c:pt idx="18">
                  <c:v>0.18663945379872315</c:v>
                </c:pt>
                <c:pt idx="19">
                  <c:v>0.19175381041722173</c:v>
                </c:pt>
                <c:pt idx="20">
                  <c:v>0.19673525841791023</c:v>
                </c:pt>
                <c:pt idx="21">
                  <c:v>0.20159365069366644</c:v>
                </c:pt>
                <c:pt idx="22">
                  <c:v>0.20633767977574552</c:v>
                </c:pt>
                <c:pt idx="23">
                  <c:v>0.21097506058886722</c:v>
                </c:pt>
                <c:pt idx="24">
                  <c:v>0.21551267778419508</c:v>
                </c:pt>
                <c:pt idx="25">
                  <c:v>0.21995670569671746</c:v>
                </c:pt>
                <c:pt idx="26">
                  <c:v>0.22431270689862953</c:v>
                </c:pt>
                <c:pt idx="27">
                  <c:v>0.22858571383931364</c:v>
                </c:pt>
                <c:pt idx="28">
                  <c:v>0.23278029698981542</c:v>
                </c:pt>
                <c:pt idx="29">
                  <c:v>0.23690062212224086</c:v>
                </c:pt>
                <c:pt idx="30">
                  <c:v>0.24095049876923447</c:v>
                </c:pt>
                <c:pt idx="31">
                  <c:v>0.24493342146873495</c:v>
                </c:pt>
                <c:pt idx="32">
                  <c:v>0.24885260506496421</c:v>
                </c:pt>
                <c:pt idx="33">
                  <c:v>0.25271101508018434</c:v>
                </c:pt>
                <c:pt idx="34">
                  <c:v>0.25651139397324096</c:v>
                </c:pt>
                <c:pt idx="35">
                  <c:v>0.26025628394590844</c:v>
                </c:pt>
                <c:pt idx="36">
                  <c:v>0.26394804683606093</c:v>
                </c:pt>
                <c:pt idx="37">
                  <c:v>0.26758888153996518</c:v>
                </c:pt>
                <c:pt idx="38">
                  <c:v>0.27118083932875425</c:v>
                </c:pt>
                <c:pt idx="39">
                  <c:v>0.27472583736206124</c:v>
                </c:pt>
                <c:pt idx="40">
                  <c:v>0.27822567065158427</c:v>
                </c:pt>
                <c:pt idx="41">
                  <c:v>0.28168202268650711</c:v>
                </c:pt>
                <c:pt idx="42">
                  <c:v>0.28509647489928741</c:v>
                </c:pt>
                <c:pt idx="43">
                  <c:v>0.2884705151228425</c:v>
                </c:pt>
                <c:pt idx="44">
                  <c:v>0.29180554516745599</c:v>
                </c:pt>
                <c:pt idx="45">
                  <c:v>0.29510288762686532</c:v>
                </c:pt>
                <c:pt idx="46">
                  <c:v>0.29836379200726149</c:v>
                </c:pt>
                <c:pt idx="47">
                  <c:v>0.30158944025975193</c:v>
                </c:pt>
                <c:pt idx="48">
                  <c:v>0.30478095178575149</c:v>
                </c:pt>
                <c:pt idx="49">
                  <c:v>0.30793938797540443</c:v>
                </c:pt>
                <c:pt idx="50">
                  <c:v>0.31106575633120526</c:v>
                </c:pt>
                <c:pt idx="51">
                  <c:v>0.31416101422223425</c:v>
                </c:pt>
                <c:pt idx="52">
                  <c:v>0.31722607230866284</c:v>
                </c:pt>
                <c:pt idx="53">
                  <c:v>0.32026179767124746</c:v>
                </c:pt>
                <c:pt idx="54">
                  <c:v>0.32326901667629265</c:v>
                </c:pt>
                <c:pt idx="55">
                  <c:v>0.32624851760290846</c:v>
                </c:pt>
                <c:pt idx="56">
                  <c:v>0.32920105305623393</c:v>
                </c:pt>
                <c:pt idx="57">
                  <c:v>0.33212734218755829</c:v>
                </c:pt>
                <c:pt idx="58">
                  <c:v>0.33502807273989671</c:v>
                </c:pt>
                <c:pt idx="59">
                  <c:v>0.33790390293550565</c:v>
                </c:pt>
                <c:pt idx="60">
                  <c:v>0.3407554632200131</c:v>
                </c:pt>
                <c:pt idx="61">
                  <c:v>0.3435833578762566</c:v>
                </c:pt>
                <c:pt idx="62">
                  <c:v>0.34638816651953042</c:v>
                </c:pt>
                <c:pt idx="63">
                  <c:v>0.34917044548472315</c:v>
                </c:pt>
                <c:pt idx="64">
                  <c:v>0.35193072911474793</c:v>
                </c:pt>
                <c:pt idx="65">
                  <c:v>0.35466953095871684</c:v>
                </c:pt>
                <c:pt idx="66">
                  <c:v>0.35738734488746843</c:v>
                </c:pt>
                <c:pt idx="67">
                  <c:v>0.36008464613331181</c:v>
                </c:pt>
                <c:pt idx="68">
                  <c:v>0.36276189226018563</c:v>
                </c:pt>
                <c:pt idx="69">
                  <c:v>0.36541952406984024</c:v>
                </c:pt>
                <c:pt idx="70">
                  <c:v>0.36805796644912692</c:v>
                </c:pt>
                <c:pt idx="71">
                  <c:v>0.37067762916300295</c:v>
                </c:pt>
                <c:pt idx="72">
                  <c:v>0.37327890759744631</c:v>
                </c:pt>
                <c:pt idx="73">
                  <c:v>0.37586218345609201</c:v>
                </c:pt>
                <c:pt idx="74">
                  <c:v>0.37842782541406633</c:v>
                </c:pt>
                <c:pt idx="75">
                  <c:v>0.38097618973218939</c:v>
                </c:pt>
                <c:pt idx="76">
                  <c:v>0.38350762083444345</c:v>
                </c:pt>
                <c:pt idx="77">
                  <c:v>0.38602245185135714</c:v>
                </c:pt>
                <c:pt idx="78">
                  <c:v>0.38852100513173216</c:v>
                </c:pt>
                <c:pt idx="79">
                  <c:v>0.39100359272493845</c:v>
                </c:pt>
                <c:pt idx="80">
                  <c:v>0.39347051683582046</c:v>
                </c:pt>
                <c:pt idx="81">
                  <c:v>0.39592207025409148</c:v>
                </c:pt>
                <c:pt idx="82">
                  <c:v>0.3983585367599442</c:v>
                </c:pt>
                <c:pt idx="83">
                  <c:v>0.40078019150746697</c:v>
                </c:pt>
                <c:pt idx="84">
                  <c:v>0.40318730138733289</c:v>
                </c:pt>
                <c:pt idx="85">
                  <c:v>0.4055801253701149</c:v>
                </c:pt>
                <c:pt idx="86">
                  <c:v>0.40795891483147689</c:v>
                </c:pt>
                <c:pt idx="87">
                  <c:v>0.41032391386039679</c:v>
                </c:pt>
                <c:pt idx="88">
                  <c:v>0.41267535955149104</c:v>
                </c:pt>
                <c:pt idx="89">
                  <c:v>0.41501348228243201</c:v>
                </c:pt>
                <c:pt idx="90">
                  <c:v>0.41733850597737632</c:v>
                </c:pt>
                <c:pt idx="91">
                  <c:v>0.41965064835725763</c:v>
                </c:pt>
                <c:pt idx="92">
                  <c:v>0.42195012117773445</c:v>
                </c:pt>
                <c:pt idx="93">
                  <c:v>0.42423713045553058</c:v>
                </c:pt>
                <c:pt idx="94">
                  <c:v>0.42651187668385154</c:v>
                </c:pt>
                <c:pt idx="95">
                  <c:v>0.4287745550375151</c:v>
                </c:pt>
                <c:pt idx="96">
                  <c:v>0.43102535556839017</c:v>
                </c:pt>
                <c:pt idx="97">
                  <c:v>0.43326446339169711</c:v>
                </c:pt>
                <c:pt idx="98">
                  <c:v>0.43549205886368736</c:v>
                </c:pt>
                <c:pt idx="99">
                  <c:v>0.43770831775118396</c:v>
                </c:pt>
                <c:pt idx="100">
                  <c:v>0.43991341139343493</c:v>
                </c:pt>
              </c:numCache>
            </c:numRef>
          </c:val>
          <c:smooth val="0"/>
          <c:extLst>
            <c:ext xmlns:c16="http://schemas.microsoft.com/office/drawing/2014/chart" uri="{C3380CC4-5D6E-409C-BE32-E72D297353CC}">
              <c16:uniqueId val="{00000002-6B63-4F74-A12B-7223AE432F59}"/>
            </c:ext>
          </c:extLst>
        </c:ser>
        <c:dLbls>
          <c:showLegendKey val="0"/>
          <c:showVal val="0"/>
          <c:showCatName val="0"/>
          <c:showSerName val="0"/>
          <c:showPercent val="0"/>
          <c:showBubbleSize val="0"/>
        </c:dLbls>
        <c:smooth val="0"/>
        <c:axId val="157683712"/>
        <c:axId val="157685632"/>
      </c:lineChart>
      <c:catAx>
        <c:axId val="157683712"/>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685632"/>
        <c:crosses val="autoZero"/>
        <c:auto val="1"/>
        <c:lblAlgn val="ctr"/>
        <c:lblOffset val="100"/>
        <c:tickLblSkip val="20"/>
        <c:tickMarkSkip val="10"/>
        <c:noMultiLvlLbl val="0"/>
      </c:catAx>
      <c:valAx>
        <c:axId val="157685632"/>
        <c:scaling>
          <c:orientation val="minMax"/>
          <c:max val="2.5"/>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Peak</a:t>
                </a:r>
                <a:r>
                  <a:rPr lang="en-US" sz="1200" b="1" baseline="0">
                    <a:solidFill>
                      <a:schemeClr val="tx1"/>
                    </a:solidFill>
                    <a:latin typeface="Arial" pitchFamily="34" charset="0"/>
                    <a:cs typeface="Arial" pitchFamily="34" charset="0"/>
                  </a:rPr>
                  <a:t> Primary Current (A)</a:t>
                </a:r>
                <a:endParaRPr lang="en-US" sz="1200" b="1">
                  <a:solidFill>
                    <a:schemeClr val="tx1"/>
                  </a:solidFill>
                  <a:latin typeface="Arial" pitchFamily="34" charset="0"/>
                  <a:cs typeface="Arial" pitchFamily="34" charset="0"/>
                </a:endParaRPr>
              </a:p>
            </c:rich>
          </c:tx>
          <c:layout>
            <c:manualLayout>
              <c:xMode val="edge"/>
              <c:yMode val="edge"/>
              <c:x val="1.8892754684734177E-2"/>
              <c:y val="0.30303578260037478"/>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683712"/>
        <c:crossesAt val="0"/>
        <c:crossBetween val="between"/>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Single'!$AK$110:$AK$210</c:f>
              <c:numCache>
                <c:formatCode>0.000</c:formatCode>
                <c:ptCount val="101"/>
                <c:pt idx="0">
                  <c:v>1.0068571428571429</c:v>
                </c:pt>
                <c:pt idx="1">
                  <c:v>1.0172021164021163</c:v>
                </c:pt>
                <c:pt idx="2">
                  <c:v>1.0344042328042329</c:v>
                </c:pt>
                <c:pt idx="3">
                  <c:v>1.0516063492063492</c:v>
                </c:pt>
                <c:pt idx="4">
                  <c:v>1.0688084656084655</c:v>
                </c:pt>
                <c:pt idx="5">
                  <c:v>1.0860105820105821</c:v>
                </c:pt>
                <c:pt idx="6">
                  <c:v>1.1032126984126984</c:v>
                </c:pt>
                <c:pt idx="7">
                  <c:v>1.1204148148148148</c:v>
                </c:pt>
                <c:pt idx="8">
                  <c:v>1.1376169312169313</c:v>
                </c:pt>
                <c:pt idx="9">
                  <c:v>1.1548190476190476</c:v>
                </c:pt>
                <c:pt idx="10">
                  <c:v>1.1720211640211642</c:v>
                </c:pt>
                <c:pt idx="11">
                  <c:v>1.1892232804232805</c:v>
                </c:pt>
                <c:pt idx="12">
                  <c:v>1.2015936505952505</c:v>
                </c:pt>
                <c:pt idx="13">
                  <c:v>1.2057420241028876</c:v>
                </c:pt>
                <c:pt idx="14">
                  <c:v>1.2097336843520778</c:v>
                </c:pt>
                <c:pt idx="15">
                  <c:v>1.2135851544066709</c:v>
                </c:pt>
                <c:pt idx="16">
                  <c:v>1.2173102430382492</c:v>
                </c:pt>
                <c:pt idx="17">
                  <c:v>1.2209206307533951</c:v>
                </c:pt>
                <c:pt idx="18">
                  <c:v>1.224426302532482</c:v>
                </c:pt>
                <c:pt idx="19">
                  <c:v>1.2278358736114812</c:v>
                </c:pt>
                <c:pt idx="20">
                  <c:v>1.2311568389452734</c:v>
                </c:pt>
                <c:pt idx="21">
                  <c:v>1.234395767129111</c:v>
                </c:pt>
                <c:pt idx="22">
                  <c:v>1.2375584531838304</c:v>
                </c:pt>
                <c:pt idx="23">
                  <c:v>1.2406500403925782</c:v>
                </c:pt>
                <c:pt idx="24">
                  <c:v>1.2436751185227968</c:v>
                </c:pt>
                <c:pt idx="25">
                  <c:v>1.2466378037978116</c:v>
                </c:pt>
                <c:pt idx="26">
                  <c:v>1.2495418045990863</c:v>
                </c:pt>
                <c:pt idx="27">
                  <c:v>1.2523904758928757</c:v>
                </c:pt>
                <c:pt idx="28">
                  <c:v>1.2551868646598769</c:v>
                </c:pt>
                <c:pt idx="29">
                  <c:v>1.2579337480814938</c:v>
                </c:pt>
                <c:pt idx="30">
                  <c:v>1.2606336658461563</c:v>
                </c:pt>
                <c:pt idx="31">
                  <c:v>1.2632889476458233</c:v>
                </c:pt>
                <c:pt idx="32">
                  <c:v>1.2659017367099761</c:v>
                </c:pt>
                <c:pt idx="33">
                  <c:v>1.2684740100534562</c:v>
                </c:pt>
                <c:pt idx="34">
                  <c:v>1.2710075959821605</c:v>
                </c:pt>
                <c:pt idx="35">
                  <c:v>1.2735041892972723</c:v>
                </c:pt>
                <c:pt idx="36">
                  <c:v>1.2759653645573739</c:v>
                </c:pt>
                <c:pt idx="37">
                  <c:v>1.2783925876933102</c:v>
                </c:pt>
                <c:pt idx="38">
                  <c:v>1.2807872262191695</c:v>
                </c:pt>
                <c:pt idx="39">
                  <c:v>1.283150558241374</c:v>
                </c:pt>
                <c:pt idx="40">
                  <c:v>1.2854837804343895</c:v>
                </c:pt>
                <c:pt idx="41">
                  <c:v>1.2877880151243382</c:v>
                </c:pt>
                <c:pt idx="42">
                  <c:v>1.2900643165995249</c:v>
                </c:pt>
                <c:pt idx="43">
                  <c:v>1.2923136767485617</c:v>
                </c:pt>
                <c:pt idx="44">
                  <c:v>1.2945370301116372</c:v>
                </c:pt>
                <c:pt idx="45">
                  <c:v>1.2967352584179102</c:v>
                </c:pt>
                <c:pt idx="46">
                  <c:v>1.3185152781828198</c:v>
                </c:pt>
                <c:pt idx="47">
                  <c:v>1.3232656103172289</c:v>
                </c:pt>
                <c:pt idx="48">
                  <c:v>1.328015942451638</c:v>
                </c:pt>
                <c:pt idx="49">
                  <c:v>1.3327662745860471</c:v>
                </c:pt>
                <c:pt idx="50">
                  <c:v>1.3375166067204562</c:v>
                </c:pt>
                <c:pt idx="51">
                  <c:v>1.3422669388548654</c:v>
                </c:pt>
                <c:pt idx="52">
                  <c:v>1.3470172709892745</c:v>
                </c:pt>
                <c:pt idx="53">
                  <c:v>1.3517676031236836</c:v>
                </c:pt>
                <c:pt idx="54">
                  <c:v>1.3565179352580927</c:v>
                </c:pt>
                <c:pt idx="55">
                  <c:v>1.3612682673925018</c:v>
                </c:pt>
                <c:pt idx="56">
                  <c:v>1.366018599526911</c:v>
                </c:pt>
                <c:pt idx="57">
                  <c:v>1.3707689316613201</c:v>
                </c:pt>
                <c:pt idx="58">
                  <c:v>1.3755192637957292</c:v>
                </c:pt>
                <c:pt idx="59">
                  <c:v>1.3802695959301383</c:v>
                </c:pt>
                <c:pt idx="60">
                  <c:v>1.3850199280645474</c:v>
                </c:pt>
                <c:pt idx="61">
                  <c:v>1.3897702601989566</c:v>
                </c:pt>
                <c:pt idx="62">
                  <c:v>1.3945205923333659</c:v>
                </c:pt>
                <c:pt idx="63">
                  <c:v>1.3992709244677748</c:v>
                </c:pt>
                <c:pt idx="64">
                  <c:v>1.4040212566021841</c:v>
                </c:pt>
                <c:pt idx="65">
                  <c:v>1.408771588736593</c:v>
                </c:pt>
                <c:pt idx="66">
                  <c:v>1.4135219208710024</c:v>
                </c:pt>
                <c:pt idx="67">
                  <c:v>1.4182722530054113</c:v>
                </c:pt>
                <c:pt idx="68">
                  <c:v>1.4230225851398206</c:v>
                </c:pt>
                <c:pt idx="69">
                  <c:v>1.4277729172742295</c:v>
                </c:pt>
                <c:pt idx="70">
                  <c:v>1.4325232494086388</c:v>
                </c:pt>
                <c:pt idx="71">
                  <c:v>1.4372735815430477</c:v>
                </c:pt>
                <c:pt idx="72">
                  <c:v>1.4420239136774571</c:v>
                </c:pt>
                <c:pt idx="73">
                  <c:v>1.446774245811866</c:v>
                </c:pt>
                <c:pt idx="74">
                  <c:v>1.4515245779462753</c:v>
                </c:pt>
                <c:pt idx="75">
                  <c:v>1.4562749100806844</c:v>
                </c:pt>
                <c:pt idx="76">
                  <c:v>1.4610252422150936</c:v>
                </c:pt>
                <c:pt idx="77">
                  <c:v>1.4657755743495027</c:v>
                </c:pt>
                <c:pt idx="78">
                  <c:v>1.4705259064839118</c:v>
                </c:pt>
                <c:pt idx="79">
                  <c:v>1.4752762386183209</c:v>
                </c:pt>
                <c:pt idx="80">
                  <c:v>1.48002657075273</c:v>
                </c:pt>
                <c:pt idx="81">
                  <c:v>1.4847769028871391</c:v>
                </c:pt>
                <c:pt idx="82">
                  <c:v>1.4895272350215483</c:v>
                </c:pt>
                <c:pt idx="83">
                  <c:v>1.4942775671559574</c:v>
                </c:pt>
                <c:pt idx="84">
                  <c:v>1.4990278992903665</c:v>
                </c:pt>
                <c:pt idx="85">
                  <c:v>1.5037782314247756</c:v>
                </c:pt>
                <c:pt idx="86">
                  <c:v>1.5085285635591847</c:v>
                </c:pt>
                <c:pt idx="87">
                  <c:v>1.5132788956935939</c:v>
                </c:pt>
                <c:pt idx="88">
                  <c:v>1.518029227828003</c:v>
                </c:pt>
                <c:pt idx="89">
                  <c:v>1.5227795599624123</c:v>
                </c:pt>
                <c:pt idx="90">
                  <c:v>1.5275298920968212</c:v>
                </c:pt>
                <c:pt idx="91">
                  <c:v>1.5322802242312306</c:v>
                </c:pt>
                <c:pt idx="92">
                  <c:v>1.5370305563656395</c:v>
                </c:pt>
                <c:pt idx="93">
                  <c:v>1.5417808885000488</c:v>
                </c:pt>
                <c:pt idx="94">
                  <c:v>1.5465312206344577</c:v>
                </c:pt>
                <c:pt idx="95">
                  <c:v>1.5512815527688668</c:v>
                </c:pt>
                <c:pt idx="96">
                  <c:v>1.5560318849032759</c:v>
                </c:pt>
                <c:pt idx="97">
                  <c:v>1.560782217037685</c:v>
                </c:pt>
                <c:pt idx="98">
                  <c:v>1.5655325491720942</c:v>
                </c:pt>
                <c:pt idx="99">
                  <c:v>1.5702828813065035</c:v>
                </c:pt>
                <c:pt idx="100">
                  <c:v>1.5750332134409124</c:v>
                </c:pt>
              </c:numCache>
            </c:numRef>
          </c:val>
          <c:smooth val="0"/>
          <c:extLst>
            <c:ext xmlns:c16="http://schemas.microsoft.com/office/drawing/2014/chart" uri="{C3380CC4-5D6E-409C-BE32-E72D297353CC}">
              <c16:uniqueId val="{00000000-23DF-4DAC-8FFF-2901EA380426}"/>
            </c:ext>
          </c:extLst>
        </c:ser>
        <c:ser>
          <c:idx val="0"/>
          <c:order val="1"/>
          <c:tx>
            <c:v>VIN-nom</c:v>
          </c:tx>
          <c:spPr>
            <a:ln w="28575">
              <a:solidFill>
                <a:srgbClr val="0000FF"/>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Single'!$AK$5:$AK$105</c:f>
              <c:numCache>
                <c:formatCode>0.000</c:formatCode>
                <c:ptCount val="101"/>
                <c:pt idx="0">
                  <c:v>1.0068571428571429</c:v>
                </c:pt>
                <c:pt idx="1">
                  <c:v>1.0172021164021163</c:v>
                </c:pt>
                <c:pt idx="2">
                  <c:v>1.0344042328042329</c:v>
                </c:pt>
                <c:pt idx="3">
                  <c:v>1.0516063492063492</c:v>
                </c:pt>
                <c:pt idx="4">
                  <c:v>1.0688084656084655</c:v>
                </c:pt>
                <c:pt idx="5">
                  <c:v>1.0860105820105821</c:v>
                </c:pt>
                <c:pt idx="6">
                  <c:v>1.1032126984126984</c:v>
                </c:pt>
                <c:pt idx="7">
                  <c:v>1.1204148148148148</c:v>
                </c:pt>
                <c:pt idx="8">
                  <c:v>1.1376169312169313</c:v>
                </c:pt>
                <c:pt idx="9">
                  <c:v>1.1548190476190476</c:v>
                </c:pt>
                <c:pt idx="10">
                  <c:v>1.1720211640211642</c:v>
                </c:pt>
                <c:pt idx="11">
                  <c:v>1.1892232804232805</c:v>
                </c:pt>
                <c:pt idx="12">
                  <c:v>1.2070891105641042</c:v>
                </c:pt>
                <c:pt idx="13">
                  <c:v>1.2114618801871826</c:v>
                </c:pt>
                <c:pt idx="14">
                  <c:v>1.2156694595315147</c:v>
                </c:pt>
                <c:pt idx="15">
                  <c:v>1.219729265435664</c:v>
                </c:pt>
                <c:pt idx="16">
                  <c:v>1.2236558536229263</c:v>
                </c:pt>
                <c:pt idx="17">
                  <c:v>1.2274615364283104</c:v>
                </c:pt>
                <c:pt idx="18">
                  <c:v>1.2311568389452734</c:v>
                </c:pt>
                <c:pt idx="19">
                  <c:v>1.2347508424298983</c:v>
                </c:pt>
                <c:pt idx="20">
                  <c:v>1.2382514472583135</c:v>
                </c:pt>
                <c:pt idx="21">
                  <c:v>1.2416655773378598</c:v>
                </c:pt>
                <c:pt idx="22">
                  <c:v>1.2449993411568481</c:v>
                </c:pt>
                <c:pt idx="23">
                  <c:v>1.2482581602117433</c:v>
                </c:pt>
                <c:pt idx="24">
                  <c:v>1.2514468725422281</c:v>
                </c:pt>
                <c:pt idx="25">
                  <c:v>1.2545698170286579</c:v>
                </c:pt>
                <c:pt idx="26">
                  <c:v>1.2576309026483186</c:v>
                </c:pt>
                <c:pt idx="27">
                  <c:v>1.2606336658461563</c:v>
                </c:pt>
                <c:pt idx="28">
                  <c:v>1.2635813184218341</c:v>
                </c:pt>
                <c:pt idx="29">
                  <c:v>1.2664767877815897</c:v>
                </c:pt>
                <c:pt idx="30">
                  <c:v>1.2693227509920841</c:v>
                </c:pt>
                <c:pt idx="31">
                  <c:v>1.2721216637642636</c:v>
                </c:pt>
                <c:pt idx="32">
                  <c:v>1.2748757852603645</c:v>
                </c:pt>
                <c:pt idx="33">
                  <c:v>1.2775871994370092</c:v>
                </c:pt>
                <c:pt idx="34">
                  <c:v>1.2802578334978287</c:v>
                </c:pt>
                <c:pt idx="35">
                  <c:v>1.28288947392013</c:v>
                </c:pt>
                <c:pt idx="36">
                  <c:v>1.2854837804343895</c:v>
                </c:pt>
                <c:pt idx="37">
                  <c:v>1.2880422982673942</c:v>
                </c:pt>
                <c:pt idx="38">
                  <c:v>1.2905664689055623</c:v>
                </c:pt>
                <c:pt idx="39">
                  <c:v>1.2930576395913551</c:v>
                </c:pt>
                <c:pt idx="40">
                  <c:v>1.2955170717304156</c:v>
                </c:pt>
                <c:pt idx="41">
                  <c:v>1.297945948358352</c:v>
                </c:pt>
                <c:pt idx="42">
                  <c:v>1.300345380792616</c:v>
                </c:pt>
                <c:pt idx="43">
                  <c:v>1.3027164145756065</c:v>
                </c:pt>
                <c:pt idx="44">
                  <c:v>1.3050600347991779</c:v>
                </c:pt>
                <c:pt idx="45">
                  <c:v>1.3073771708874702</c:v>
                </c:pt>
                <c:pt idx="46">
                  <c:v>1.3096687009039305</c:v>
                </c:pt>
                <c:pt idx="47">
                  <c:v>1.3119354554391331</c:v>
                </c:pt>
                <c:pt idx="48">
                  <c:v>1.3141782211282083</c:v>
                </c:pt>
                <c:pt idx="49">
                  <c:v>1.3163977438401211</c:v>
                </c:pt>
                <c:pt idx="50">
                  <c:v>1.3185947315754558</c:v>
                </c:pt>
                <c:pt idx="51">
                  <c:v>1.3207698571046249</c:v>
                </c:pt>
                <c:pt idx="52">
                  <c:v>1.3229237603743651</c:v>
                </c:pt>
                <c:pt idx="53">
                  <c:v>1.3250570507069226</c:v>
                </c:pt>
                <c:pt idx="54">
                  <c:v>1.327170308813342</c:v>
                </c:pt>
                <c:pt idx="55">
                  <c:v>1.3292640886397171</c:v>
                </c:pt>
                <c:pt idx="56">
                  <c:v>1.3313389190630298</c:v>
                </c:pt>
                <c:pt idx="57">
                  <c:v>1.3333953054512921</c:v>
                </c:pt>
                <c:pt idx="58">
                  <c:v>1.3354337311010316</c:v>
                </c:pt>
                <c:pt idx="59">
                  <c:v>1.3374546585637008</c:v>
                </c:pt>
                <c:pt idx="60">
                  <c:v>1.3394585308713278</c:v>
                </c:pt>
                <c:pt idx="61">
                  <c:v>1.3414457726706053</c:v>
                </c:pt>
                <c:pt idx="62">
                  <c:v>1.3434167912736434</c:v>
                </c:pt>
                <c:pt idx="63">
                  <c:v>1.3453719776327513</c:v>
                </c:pt>
                <c:pt idx="64">
                  <c:v>1.3473117072458527</c:v>
                </c:pt>
                <c:pt idx="65">
                  <c:v>1.3492363409984773</c:v>
                </c:pt>
                <c:pt idx="66">
                  <c:v>1.3511462259476741</c:v>
                </c:pt>
                <c:pt idx="67">
                  <c:v>1.3530416960526686</c:v>
                </c:pt>
                <c:pt idx="68">
                  <c:v>1.3549230728566206</c:v>
                </c:pt>
                <c:pt idx="69">
                  <c:v>1.3567906661234259</c:v>
                </c:pt>
                <c:pt idx="70">
                  <c:v>1.3586447744331283</c:v>
                </c:pt>
                <c:pt idx="71">
                  <c:v>1.3604856857391874</c:v>
                </c:pt>
                <c:pt idx="72">
                  <c:v>1.3623136778905469</c:v>
                </c:pt>
                <c:pt idx="73">
                  <c:v>1.3641290191211797</c:v>
                </c:pt>
                <c:pt idx="74">
                  <c:v>1.3659319685095559</c:v>
                </c:pt>
                <c:pt idx="75">
                  <c:v>1.3677227764102606</c:v>
                </c:pt>
                <c:pt idx="76">
                  <c:v>1.369501684859797</c:v>
                </c:pt>
                <c:pt idx="77">
                  <c:v>1.3712689279584378</c:v>
                </c:pt>
                <c:pt idx="78">
                  <c:v>1.3730247322298315</c:v>
                </c:pt>
                <c:pt idx="79">
                  <c:v>1.374769316959922</c:v>
                </c:pt>
                <c:pt idx="80">
                  <c:v>1.3765028945166269</c:v>
                </c:pt>
                <c:pt idx="81">
                  <c:v>1.3782256706515841</c:v>
                </c:pt>
                <c:pt idx="82">
                  <c:v>1.3799378447851858</c:v>
                </c:pt>
                <c:pt idx="83">
                  <c:v>1.3816396102760149</c:v>
                </c:pt>
                <c:pt idx="84">
                  <c:v>1.3833311546757197</c:v>
                </c:pt>
                <c:pt idx="85">
                  <c:v>1.3850126599702677</c:v>
                </c:pt>
                <c:pt idx="86">
                  <c:v>1.3866843028084697</c:v>
                </c:pt>
                <c:pt idx="87">
                  <c:v>1.388346254718575</c:v>
                </c:pt>
                <c:pt idx="88">
                  <c:v>1.3899986823136965</c:v>
                </c:pt>
                <c:pt idx="89">
                  <c:v>1.39164174748676</c:v>
                </c:pt>
                <c:pt idx="90">
                  <c:v>1.3932756075956232</c:v>
                </c:pt>
                <c:pt idx="91">
                  <c:v>1.3949004156389626</c:v>
                </c:pt>
                <c:pt idx="92">
                  <c:v>1.3965163204234867</c:v>
                </c:pt>
                <c:pt idx="93">
                  <c:v>1.3981234667229918</c:v>
                </c:pt>
                <c:pt idx="94">
                  <c:v>1.3997219954297409</c:v>
                </c:pt>
                <c:pt idx="95">
                  <c:v>1.4013120436986157</c:v>
                </c:pt>
                <c:pt idx="96">
                  <c:v>1.4028937450844561</c:v>
                </c:pt>
                <c:pt idx="97">
                  <c:v>1.4044672296729788</c:v>
                </c:pt>
                <c:pt idx="98">
                  <c:v>1.406032624205638</c:v>
                </c:pt>
                <c:pt idx="99">
                  <c:v>1.407590052198767</c:v>
                </c:pt>
                <c:pt idx="100">
                  <c:v>1.4091396340573157</c:v>
                </c:pt>
              </c:numCache>
            </c:numRef>
          </c:val>
          <c:smooth val="0"/>
          <c:extLst>
            <c:ext xmlns:c16="http://schemas.microsoft.com/office/drawing/2014/chart" uri="{C3380CC4-5D6E-409C-BE32-E72D297353CC}">
              <c16:uniqueId val="{00000001-23DF-4DAC-8FFF-2901EA380426}"/>
            </c:ext>
          </c:extLst>
        </c:ser>
        <c:ser>
          <c:idx val="2"/>
          <c:order val="2"/>
          <c:tx>
            <c:v>VIN-max</c:v>
          </c:tx>
          <c:spPr>
            <a:ln>
              <a:solidFill>
                <a:srgbClr val="FF0000"/>
              </a:solidFill>
              <a:prstDash val="solid"/>
            </a:ln>
          </c:spPr>
          <c:marker>
            <c:symbol val="none"/>
          </c:marker>
          <c:val>
            <c:numRef>
              <c:f>'Calculations - Single'!$AK$216:$AK$316</c:f>
              <c:numCache>
                <c:formatCode>0.000</c:formatCode>
                <c:ptCount val="101"/>
                <c:pt idx="0">
                  <c:v>1.0068571428571429</c:v>
                </c:pt>
                <c:pt idx="1">
                  <c:v>1.0172021164021163</c:v>
                </c:pt>
                <c:pt idx="2">
                  <c:v>1.0344042328042329</c:v>
                </c:pt>
                <c:pt idx="3">
                  <c:v>1.0516063492063492</c:v>
                </c:pt>
                <c:pt idx="4">
                  <c:v>1.0688084656084655</c:v>
                </c:pt>
                <c:pt idx="5">
                  <c:v>1.0860105820105821</c:v>
                </c:pt>
                <c:pt idx="6">
                  <c:v>1.1032126984126984</c:v>
                </c:pt>
                <c:pt idx="7">
                  <c:v>1.1204148148148148</c:v>
                </c:pt>
                <c:pt idx="8">
                  <c:v>1.1376169312169313</c:v>
                </c:pt>
                <c:pt idx="9">
                  <c:v>1.1548190476190476</c:v>
                </c:pt>
                <c:pt idx="10">
                  <c:v>1.1720211640211642</c:v>
                </c:pt>
                <c:pt idx="11">
                  <c:v>1.1892232804232805</c:v>
                </c:pt>
                <c:pt idx="12">
                  <c:v>1.2015936505952505</c:v>
                </c:pt>
                <c:pt idx="13">
                  <c:v>1.2057420241028876</c:v>
                </c:pt>
                <c:pt idx="14">
                  <c:v>1.2097336843520778</c:v>
                </c:pt>
                <c:pt idx="15">
                  <c:v>1.2135851544066709</c:v>
                </c:pt>
                <c:pt idx="16">
                  <c:v>1.2173102430382492</c:v>
                </c:pt>
                <c:pt idx="17">
                  <c:v>1.2209206307533951</c:v>
                </c:pt>
                <c:pt idx="18">
                  <c:v>1.224426302532482</c:v>
                </c:pt>
                <c:pt idx="19">
                  <c:v>1.2278358736114812</c:v>
                </c:pt>
                <c:pt idx="20">
                  <c:v>1.2311568389452734</c:v>
                </c:pt>
                <c:pt idx="21">
                  <c:v>1.234395767129111</c:v>
                </c:pt>
                <c:pt idx="22">
                  <c:v>1.2375584531838304</c:v>
                </c:pt>
                <c:pt idx="23">
                  <c:v>1.2406500403925782</c:v>
                </c:pt>
                <c:pt idx="24">
                  <c:v>1.2436751185227968</c:v>
                </c:pt>
                <c:pt idx="25">
                  <c:v>1.2466378037978116</c:v>
                </c:pt>
                <c:pt idx="26">
                  <c:v>1.2495418045990863</c:v>
                </c:pt>
                <c:pt idx="27">
                  <c:v>1.2523904758928757</c:v>
                </c:pt>
                <c:pt idx="28">
                  <c:v>1.2551868646598769</c:v>
                </c:pt>
                <c:pt idx="29">
                  <c:v>1.2579337480814938</c:v>
                </c:pt>
                <c:pt idx="30">
                  <c:v>1.2606336658461563</c:v>
                </c:pt>
                <c:pt idx="31">
                  <c:v>1.2632889476458233</c:v>
                </c:pt>
                <c:pt idx="32">
                  <c:v>1.2659017367099761</c:v>
                </c:pt>
                <c:pt idx="33">
                  <c:v>1.2684740100534562</c:v>
                </c:pt>
                <c:pt idx="34">
                  <c:v>1.2710075959821605</c:v>
                </c:pt>
                <c:pt idx="35">
                  <c:v>1.2735041892972723</c:v>
                </c:pt>
                <c:pt idx="36">
                  <c:v>1.2759653645573739</c:v>
                </c:pt>
                <c:pt idx="37">
                  <c:v>1.2783925876933102</c:v>
                </c:pt>
                <c:pt idx="38">
                  <c:v>1.2807872262191695</c:v>
                </c:pt>
                <c:pt idx="39">
                  <c:v>1.283150558241374</c:v>
                </c:pt>
                <c:pt idx="40">
                  <c:v>1.2854837804343895</c:v>
                </c:pt>
                <c:pt idx="41">
                  <c:v>1.2877880151243382</c:v>
                </c:pt>
                <c:pt idx="42">
                  <c:v>1.2900643165995249</c:v>
                </c:pt>
                <c:pt idx="43">
                  <c:v>1.2923136767485617</c:v>
                </c:pt>
                <c:pt idx="44">
                  <c:v>1.2945370301116372</c:v>
                </c:pt>
                <c:pt idx="45">
                  <c:v>1.2967352584179102</c:v>
                </c:pt>
                <c:pt idx="46">
                  <c:v>1.2989091946715077</c:v>
                </c:pt>
                <c:pt idx="47">
                  <c:v>1.3010596268398347</c:v>
                </c:pt>
                <c:pt idx="48">
                  <c:v>1.3031873011905009</c:v>
                </c:pt>
                <c:pt idx="49">
                  <c:v>1.3052929253169363</c:v>
                </c:pt>
                <c:pt idx="50">
                  <c:v>1.3073771708874702</c:v>
                </c:pt>
                <c:pt idx="51">
                  <c:v>1.3094406761481561</c:v>
                </c:pt>
                <c:pt idx="52">
                  <c:v>1.3114840482057752</c:v>
                </c:pt>
                <c:pt idx="53">
                  <c:v>1.313507865114165</c:v>
                </c:pt>
                <c:pt idx="54">
                  <c:v>1.315512677784195</c:v>
                </c:pt>
                <c:pt idx="55">
                  <c:v>1.3174990117352723</c:v>
                </c:pt>
                <c:pt idx="56">
                  <c:v>1.3194673687041558</c:v>
                </c:pt>
                <c:pt idx="57">
                  <c:v>1.3214182281250388</c:v>
                </c:pt>
                <c:pt idx="58">
                  <c:v>1.3233520484932644</c:v>
                </c:pt>
                <c:pt idx="59">
                  <c:v>1.3252692686236704</c:v>
                </c:pt>
                <c:pt idx="60">
                  <c:v>1.327170308813342</c:v>
                </c:pt>
                <c:pt idx="61">
                  <c:v>1.3290555719175043</c:v>
                </c:pt>
                <c:pt idx="62">
                  <c:v>1.3309254443463536</c:v>
                </c:pt>
                <c:pt idx="63">
                  <c:v>1.3327802969898155</c:v>
                </c:pt>
                <c:pt idx="64">
                  <c:v>1.3346204860764985</c:v>
                </c:pt>
                <c:pt idx="65">
                  <c:v>1.3364463539724778</c:v>
                </c:pt>
                <c:pt idx="66">
                  <c:v>1.338258229924979</c:v>
                </c:pt>
                <c:pt idx="67">
                  <c:v>1.3400564307555412</c:v>
                </c:pt>
                <c:pt idx="68">
                  <c:v>1.3418412615067903</c:v>
                </c:pt>
                <c:pt idx="69">
                  <c:v>1.34361301604656</c:v>
                </c:pt>
                <c:pt idx="70">
                  <c:v>1.3453719776327513</c:v>
                </c:pt>
                <c:pt idx="71">
                  <c:v>1.3471184194420018</c:v>
                </c:pt>
                <c:pt idx="72">
                  <c:v>1.3488526050649641</c:v>
                </c:pt>
                <c:pt idx="73">
                  <c:v>1.350574788970728</c:v>
                </c:pt>
                <c:pt idx="74">
                  <c:v>1.3522852169427109</c:v>
                </c:pt>
                <c:pt idx="75">
                  <c:v>1.3539841264881263</c:v>
                </c:pt>
                <c:pt idx="76">
                  <c:v>1.3556717472229622</c:v>
                </c:pt>
                <c:pt idx="77">
                  <c:v>1.357348301234238</c:v>
                </c:pt>
                <c:pt idx="78">
                  <c:v>1.3590140034211546</c:v>
                </c:pt>
                <c:pt idx="79">
                  <c:v>1.3606690618166257</c:v>
                </c:pt>
                <c:pt idx="80">
                  <c:v>1.3623136778905469</c:v>
                </c:pt>
                <c:pt idx="81">
                  <c:v>1.363948046836061</c:v>
                </c:pt>
                <c:pt idx="82">
                  <c:v>1.3655723578399628</c:v>
                </c:pt>
                <c:pt idx="83">
                  <c:v>1.3671867943383114</c:v>
                </c:pt>
                <c:pt idx="84">
                  <c:v>1.368791534258222</c:v>
                </c:pt>
                <c:pt idx="85">
                  <c:v>1.3703867502467433</c:v>
                </c:pt>
                <c:pt idx="86">
                  <c:v>1.3719726098876512</c:v>
                </c:pt>
                <c:pt idx="87">
                  <c:v>1.3735492759069312</c:v>
                </c:pt>
                <c:pt idx="88">
                  <c:v>1.3751169063676607</c:v>
                </c:pt>
                <c:pt idx="89">
                  <c:v>1.3766756548549548</c:v>
                </c:pt>
                <c:pt idx="90">
                  <c:v>1.3782256706515841</c:v>
                </c:pt>
                <c:pt idx="91">
                  <c:v>1.3797670989048383</c:v>
                </c:pt>
                <c:pt idx="92">
                  <c:v>1.3813000807851563</c:v>
                </c:pt>
                <c:pt idx="93">
                  <c:v>1.3828247536370204</c:v>
                </c:pt>
                <c:pt idx="94">
                  <c:v>1.3843412511225677</c:v>
                </c:pt>
                <c:pt idx="95">
                  <c:v>1.3858497033583435</c:v>
                </c:pt>
                <c:pt idx="96">
                  <c:v>1.3873502370455935</c:v>
                </c:pt>
                <c:pt idx="97">
                  <c:v>1.3888429755944647</c:v>
                </c:pt>
                <c:pt idx="98">
                  <c:v>1.3903280392424582</c:v>
                </c:pt>
                <c:pt idx="99">
                  <c:v>1.391805545167456</c:v>
                </c:pt>
                <c:pt idx="100">
                  <c:v>1.3932756075956232</c:v>
                </c:pt>
              </c:numCache>
            </c:numRef>
          </c:val>
          <c:smooth val="0"/>
          <c:extLst>
            <c:ext xmlns:c16="http://schemas.microsoft.com/office/drawing/2014/chart" uri="{C3380CC4-5D6E-409C-BE32-E72D297353CC}">
              <c16:uniqueId val="{00000002-23DF-4DAC-8FFF-2901EA380426}"/>
            </c:ext>
          </c:extLst>
        </c:ser>
        <c:dLbls>
          <c:showLegendKey val="0"/>
          <c:showVal val="0"/>
          <c:showCatName val="0"/>
          <c:showSerName val="0"/>
          <c:showPercent val="0"/>
          <c:showBubbleSize val="0"/>
        </c:dLbls>
        <c:smooth val="0"/>
        <c:axId val="157715840"/>
        <c:axId val="157726208"/>
      </c:lineChart>
      <c:catAx>
        <c:axId val="157715840"/>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726208"/>
        <c:crosses val="autoZero"/>
        <c:auto val="1"/>
        <c:lblAlgn val="ctr"/>
        <c:lblOffset val="100"/>
        <c:tickLblSkip val="20"/>
        <c:tickMarkSkip val="10"/>
        <c:noMultiLvlLbl val="0"/>
      </c:catAx>
      <c:valAx>
        <c:axId val="157726208"/>
        <c:scaling>
          <c:orientation val="minMax"/>
          <c:max val="2.2000000000000002"/>
          <c:min val="1"/>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COMP</a:t>
                </a:r>
                <a:r>
                  <a:rPr lang="en-US" sz="1200" b="1" baseline="0">
                    <a:solidFill>
                      <a:schemeClr val="tx1"/>
                    </a:solidFill>
                    <a:latin typeface="Arial" pitchFamily="34" charset="0"/>
                    <a:cs typeface="Arial" pitchFamily="34" charset="0"/>
                  </a:rPr>
                  <a:t> Voltage (V)</a:t>
                </a:r>
                <a:endParaRPr lang="en-US" sz="1200" b="1">
                  <a:solidFill>
                    <a:schemeClr val="tx1"/>
                  </a:solidFill>
                  <a:latin typeface="Arial" pitchFamily="34" charset="0"/>
                  <a:cs typeface="Arial" pitchFamily="34" charset="0"/>
                </a:endParaRPr>
              </a:p>
            </c:rich>
          </c:tx>
          <c:layout>
            <c:manualLayout>
              <c:xMode val="edge"/>
              <c:yMode val="edge"/>
              <c:x val="1.5939635452545176E-2"/>
              <c:y val="0.34603169988013316"/>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715840"/>
        <c:crossesAt val="0"/>
        <c:crossBetween val="between"/>
        <c:majorUnit val="0.2"/>
        <c:minorUnit val="0.1"/>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Single'!$CD$5:$CD$105</c:f>
              <c:numCache>
                <c:formatCode>0.00</c:formatCode>
                <c:ptCount val="101"/>
                <c:pt idx="0">
                  <c:v>9.2833355137899052E-5</c:v>
                </c:pt>
                <c:pt idx="1">
                  <c:v>45.092519072071603</c:v>
                </c:pt>
                <c:pt idx="2">
                  <c:v>58.163614751716672</c:v>
                </c:pt>
                <c:pt idx="3">
                  <c:v>64.384709621216047</c:v>
                </c:pt>
                <c:pt idx="4">
                  <c:v>68.022474521569549</c:v>
                </c:pt>
                <c:pt idx="5">
                  <c:v>70.409346544015051</c:v>
                </c:pt>
                <c:pt idx="6">
                  <c:v>72.095862257867836</c:v>
                </c:pt>
                <c:pt idx="7">
                  <c:v>73.35082422654537</c:v>
                </c:pt>
                <c:pt idx="8">
                  <c:v>74.321079340318235</c:v>
                </c:pt>
                <c:pt idx="9">
                  <c:v>75.093637132073823</c:v>
                </c:pt>
                <c:pt idx="10">
                  <c:v>75.723330249251603</c:v>
                </c:pt>
                <c:pt idx="11">
                  <c:v>75.947109202151097</c:v>
                </c:pt>
                <c:pt idx="12">
                  <c:v>76.249659953068644</c:v>
                </c:pt>
                <c:pt idx="13">
                  <c:v>77.091647873985636</c:v>
                </c:pt>
                <c:pt idx="14">
                  <c:v>77.832624650671875</c:v>
                </c:pt>
                <c:pt idx="15">
                  <c:v>78.490135695125318</c:v>
                </c:pt>
                <c:pt idx="16">
                  <c:v>79.077853453927688</c:v>
                </c:pt>
                <c:pt idx="17">
                  <c:v>79.606594581400444</c:v>
                </c:pt>
                <c:pt idx="18">
                  <c:v>80.085031715607499</c:v>
                </c:pt>
                <c:pt idx="19">
                  <c:v>80.520201921784206</c:v>
                </c:pt>
                <c:pt idx="20">
                  <c:v>80.917876611083059</c:v>
                </c:pt>
                <c:pt idx="21">
                  <c:v>81.282835132974185</c:v>
                </c:pt>
                <c:pt idx="22">
                  <c:v>81.619070141839529</c:v>
                </c:pt>
                <c:pt idx="23">
                  <c:v>81.929943831984843</c:v>
                </c:pt>
                <c:pt idx="24">
                  <c:v>82.218308254549527</c:v>
                </c:pt>
                <c:pt idx="25">
                  <c:v>82.48659901318392</c:v>
                </c:pt>
                <c:pt idx="26">
                  <c:v>82.736908979482877</c:v>
                </c:pt>
                <c:pt idx="27">
                  <c:v>82.971046838306833</c:v>
                </c:pt>
                <c:pt idx="28">
                  <c:v>83.190583991793943</c:v>
                </c:pt>
                <c:pt idx="29">
                  <c:v>83.396892441562628</c:v>
                </c:pt>
                <c:pt idx="30">
                  <c:v>83.591175614959923</c:v>
                </c:pt>
                <c:pt idx="31">
                  <c:v>83.774493625709198</c:v>
                </c:pt>
                <c:pt idx="32">
                  <c:v>83.947784109547058</c:v>
                </c:pt>
                <c:pt idx="33">
                  <c:v>84.111879515492177</c:v>
                </c:pt>
                <c:pt idx="34">
                  <c:v>84.267521538319627</c:v>
                </c:pt>
                <c:pt idx="35">
                  <c:v>84.415373230102205</c:v>
                </c:pt>
                <c:pt idx="36">
                  <c:v>84.556029215874204</c:v>
                </c:pt>
                <c:pt idx="37">
                  <c:v>84.690024351634605</c:v>
                </c:pt>
                <c:pt idx="38">
                  <c:v>84.81784109555349</c:v>
                </c:pt>
                <c:pt idx="39">
                  <c:v>84.939915810633138</c:v>
                </c:pt>
                <c:pt idx="40">
                  <c:v>85.056644175701095</c:v>
                </c:pt>
                <c:pt idx="41">
                  <c:v>85.16838584886888</c:v>
                </c:pt>
                <c:pt idx="42">
                  <c:v>85.275468501519299</c:v>
                </c:pt>
                <c:pt idx="43">
                  <c:v>85.378191320009179</c:v>
                </c:pt>
                <c:pt idx="44">
                  <c:v>85.476828055466655</c:v>
                </c:pt>
                <c:pt idx="45">
                  <c:v>85.571629688459055</c:v>
                </c:pt>
                <c:pt idx="46">
                  <c:v>85.662826764244045</c:v>
                </c:pt>
                <c:pt idx="47">
                  <c:v>85.750631445276667</c:v>
                </c:pt>
                <c:pt idx="48">
                  <c:v>85.835239320223351</c:v>
                </c:pt>
                <c:pt idx="49">
                  <c:v>85.916831002617428</c:v>
                </c:pt>
                <c:pt idx="50">
                  <c:v>85.995573547225717</c:v>
                </c:pt>
                <c:pt idx="51">
                  <c:v>86.071621707988015</c:v>
                </c:pt>
                <c:pt idx="52">
                  <c:v>86.145119057880322</c:v>
                </c:pt>
                <c:pt idx="53">
                  <c:v>86.216198988113277</c:v>
                </c:pt>
                <c:pt idx="54">
                  <c:v>86.284985601607644</c:v>
                </c:pt>
                <c:pt idx="55">
                  <c:v>86.351594513607211</c:v>
                </c:pt>
                <c:pt idx="56">
                  <c:v>86.416133570528245</c:v>
                </c:pt>
                <c:pt idx="57">
                  <c:v>86.478703496651789</c:v>
                </c:pt>
                <c:pt idx="58">
                  <c:v>86.539398476993242</c:v>
                </c:pt>
                <c:pt idx="59">
                  <c:v>86.598306683599873</c:v>
                </c:pt>
                <c:pt idx="60">
                  <c:v>86.655510751598086</c:v>
                </c:pt>
                <c:pt idx="61">
                  <c:v>86.711088210516621</c:v>
                </c:pt>
                <c:pt idx="62">
                  <c:v>86.765111875726248</c:v>
                </c:pt>
                <c:pt idx="63">
                  <c:v>86.817650204245552</c:v>
                </c:pt>
                <c:pt idx="64">
                  <c:v>86.868767618652299</c:v>
                </c:pt>
                <c:pt idx="65">
                  <c:v>86.91852480239632</c:v>
                </c:pt>
                <c:pt idx="66">
                  <c:v>86.966978969425966</c:v>
                </c:pt>
                <c:pt idx="67">
                  <c:v>87.014184110705202</c:v>
                </c:pt>
                <c:pt idx="68">
                  <c:v>87.060191219906784</c:v>
                </c:pt>
                <c:pt idx="69">
                  <c:v>87.105048500311185</c:v>
                </c:pt>
                <c:pt idx="70">
                  <c:v>87.148801554718162</c:v>
                </c:pt>
                <c:pt idx="71">
                  <c:v>87.191493559980813</c:v>
                </c:pt>
                <c:pt idx="72">
                  <c:v>87.23316542760044</c:v>
                </c:pt>
                <c:pt idx="73">
                  <c:v>87.273855951667585</c:v>
                </c:pt>
                <c:pt idx="74">
                  <c:v>87.313601945301357</c:v>
                </c:pt>
                <c:pt idx="75">
                  <c:v>87.35243836662022</c:v>
                </c:pt>
                <c:pt idx="76">
                  <c:v>87.390398435172216</c:v>
                </c:pt>
                <c:pt idx="77">
                  <c:v>87.42751373966027</c:v>
                </c:pt>
                <c:pt idx="78">
                  <c:v>87.463814337714609</c:v>
                </c:pt>
                <c:pt idx="79">
                  <c:v>87.499328848391443</c:v>
                </c:pt>
                <c:pt idx="80">
                  <c:v>87.534084538010987</c:v>
                </c:pt>
                <c:pt idx="81">
                  <c:v>87.568107399889755</c:v>
                </c:pt>
                <c:pt idx="82">
                  <c:v>87.601422228469417</c:v>
                </c:pt>
                <c:pt idx="83">
                  <c:v>87.634052688297999</c:v>
                </c:pt>
                <c:pt idx="84">
                  <c:v>87.66602137827708</c:v>
                </c:pt>
                <c:pt idx="85">
                  <c:v>87.697349891550871</c:v>
                </c:pt>
                <c:pt idx="86">
                  <c:v>87.728058871379588</c:v>
                </c:pt>
                <c:pt idx="87">
                  <c:v>87.758168063308872</c:v>
                </c:pt>
                <c:pt idx="88">
                  <c:v>87.787696363919238</c:v>
                </c:pt>
                <c:pt idx="89">
                  <c:v>87.816661866415728</c:v>
                </c:pt>
                <c:pt idx="90">
                  <c:v>87.84508190329457</c:v>
                </c:pt>
                <c:pt idx="91">
                  <c:v>87.872973086304114</c:v>
                </c:pt>
                <c:pt idx="92">
                  <c:v>87.900351343898819</c:v>
                </c:pt>
                <c:pt idx="93">
                  <c:v>87.927231956368587</c:v>
                </c:pt>
                <c:pt idx="94">
                  <c:v>87.953629588810472</c:v>
                </c:pt>
                <c:pt idx="95">
                  <c:v>87.979558322096622</c:v>
                </c:pt>
                <c:pt idx="96">
                  <c:v>88.005031681979375</c:v>
                </c:pt>
                <c:pt idx="97">
                  <c:v>88.030062666463607</c:v>
                </c:pt>
                <c:pt idx="98">
                  <c:v>88.054663771565743</c:v>
                </c:pt>
                <c:pt idx="99">
                  <c:v>88.078847015569934</c:v>
                </c:pt>
                <c:pt idx="100">
                  <c:v>88.102623961882855</c:v>
                </c:pt>
              </c:numCache>
            </c:numRef>
          </c:val>
          <c:smooth val="0"/>
          <c:extLst>
            <c:ext xmlns:c16="http://schemas.microsoft.com/office/drawing/2014/chart" uri="{C3380CC4-5D6E-409C-BE32-E72D297353CC}">
              <c16:uniqueId val="{00000000-BC04-4A48-8E12-FC2153F3722F}"/>
            </c:ext>
          </c:extLst>
        </c:ser>
        <c:dLbls>
          <c:showLegendKey val="0"/>
          <c:showVal val="0"/>
          <c:showCatName val="0"/>
          <c:showSerName val="0"/>
          <c:showPercent val="0"/>
          <c:showBubbleSize val="0"/>
        </c:dLbls>
        <c:marker val="1"/>
        <c:smooth val="0"/>
        <c:axId val="167707776"/>
        <c:axId val="167709696"/>
      </c:lineChart>
      <c:lineChart>
        <c:grouping val="standard"/>
        <c:varyColors val="0"/>
        <c:ser>
          <c:idx val="2"/>
          <c:order val="1"/>
          <c:tx>
            <c:strRef>
              <c:f>'Calculations - Single'!$BQ$3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Single'!$BT$5:$BT$105</c:f>
              <c:numCache>
                <c:formatCode>0.0</c:formatCode>
                <c:ptCount val="101"/>
                <c:pt idx="0">
                  <c:v>5.6990583820000023</c:v>
                </c:pt>
                <c:pt idx="1">
                  <c:v>6.0343776000000027</c:v>
                </c:pt>
                <c:pt idx="2">
                  <c:v>6.3387551999999996</c:v>
                </c:pt>
                <c:pt idx="3">
                  <c:v>6.6431328000000009</c:v>
                </c:pt>
                <c:pt idx="4">
                  <c:v>6.9475104000000005</c:v>
                </c:pt>
                <c:pt idx="5">
                  <c:v>7.251888000000001</c:v>
                </c:pt>
                <c:pt idx="6">
                  <c:v>7.5562656000000015</c:v>
                </c:pt>
                <c:pt idx="7">
                  <c:v>7.8606431999999993</c:v>
                </c:pt>
                <c:pt idx="8">
                  <c:v>8.1650208000000006</c:v>
                </c:pt>
                <c:pt idx="9">
                  <c:v>8.4693984000000011</c:v>
                </c:pt>
                <c:pt idx="10">
                  <c:v>8.773775999999998</c:v>
                </c:pt>
                <c:pt idx="11">
                  <c:v>9.3053005067945058</c:v>
                </c:pt>
                <c:pt idx="12">
                  <c:v>10.046873295494985</c:v>
                </c:pt>
                <c:pt idx="13">
                  <c:v>10.835084699605392</c:v>
                </c:pt>
                <c:pt idx="14">
                  <c:v>11.617747934570467</c:v>
                </c:pt>
                <c:pt idx="15">
                  <c:v>12.395065093118369</c:v>
                </c:pt>
                <c:pt idx="16">
                  <c:v>13.167217663965026</c:v>
                </c:pt>
                <c:pt idx="17">
                  <c:v>13.934369812842005</c:v>
                </c:pt>
                <c:pt idx="18">
                  <c:v>14.696670975343578</c:v>
                </c:pt>
                <c:pt idx="19">
                  <c:v>15.454257936800289</c:v>
                </c:pt>
                <c:pt idx="20">
                  <c:v>16.207256522755507</c:v>
                </c:pt>
                <c:pt idx="21">
                  <c:v>16.955782989066417</c:v>
                </c:pt>
                <c:pt idx="22">
                  <c:v>17.69994517696782</c:v>
                </c:pt>
                <c:pt idx="23">
                  <c:v>18.439843481860002</c:v>
                </c:pt>
                <c:pt idx="24">
                  <c:v>19.175571672757776</c:v>
                </c:pt>
                <c:pt idx="25">
                  <c:v>19.907217590760613</c:v>
                </c:pt>
                <c:pt idx="26">
                  <c:v>20.634863748585573</c:v>
                </c:pt>
                <c:pt idx="27">
                  <c:v>21.358587848486046</c:v>
                </c:pt>
                <c:pt idx="28">
                  <c:v>22.078463232310032</c:v>
                </c:pt>
                <c:pt idx="29">
                  <c:v>22.794559274720104</c:v>
                </c:pt>
                <c:pt idx="30">
                  <c:v>23.506941728485177</c:v>
                </c:pt>
                <c:pt idx="31">
                  <c:v>24.215673029103751</c:v>
                </c:pt>
                <c:pt idx="32">
                  <c:v>24.920812564717995</c:v>
                </c:pt>
                <c:pt idx="33">
                  <c:v>25.622416916244209</c:v>
                </c:pt>
                <c:pt idx="34">
                  <c:v>26.32054007181662</c:v>
                </c:pt>
                <c:pt idx="35">
                  <c:v>27.015233618973291</c:v>
                </c:pt>
                <c:pt idx="36">
                  <c:v>27.706546917469254</c:v>
                </c:pt>
                <c:pt idx="37">
                  <c:v>28.394527255157808</c:v>
                </c:pt>
                <c:pt idx="38">
                  <c:v>29.079219989015098</c:v>
                </c:pt>
                <c:pt idx="39">
                  <c:v>29.760668673080588</c:v>
                </c:pt>
                <c:pt idx="40">
                  <c:v>30.438915174833998</c:v>
                </c:pt>
                <c:pt idx="41">
                  <c:v>31.113999781318874</c:v>
                </c:pt>
                <c:pt idx="42">
                  <c:v>31.78596129614581</c:v>
                </c:pt>
                <c:pt idx="43">
                  <c:v>32.454837128359202</c:v>
                </c:pt>
                <c:pt idx="44">
                  <c:v>33.120663374024254</c:v>
                </c:pt>
                <c:pt idx="45">
                  <c:v>33.783474891283966</c:v>
                </c:pt>
                <c:pt idx="46">
                  <c:v>34.443305369542657</c:v>
                </c:pt>
                <c:pt idx="47">
                  <c:v>35.100187393354346</c:v>
                </c:pt>
                <c:pt idx="48">
                  <c:v>35.754152501526008</c:v>
                </c:pt>
                <c:pt idx="49">
                  <c:v>36.405231241886625</c:v>
                </c:pt>
                <c:pt idx="50">
                  <c:v>37.053453222122691</c:v>
                </c:pt>
                <c:pt idx="51">
                  <c:v>37.698847157035765</c:v>
                </c:pt>
                <c:pt idx="52">
                  <c:v>38.341440912539781</c:v>
                </c:pt>
                <c:pt idx="53">
                  <c:v>38.981261546681509</c:v>
                </c:pt>
                <c:pt idx="54">
                  <c:v>39.618335347938448</c:v>
                </c:pt>
                <c:pt idx="55">
                  <c:v>40.252687871021948</c:v>
                </c:pt>
                <c:pt idx="56">
                  <c:v>40.884343970390901</c:v>
                </c:pt>
                <c:pt idx="57">
                  <c:v>41.51332783166071</c:v>
                </c:pt>
                <c:pt idx="58">
                  <c:v>42.139663001074595</c:v>
                </c:pt>
                <c:pt idx="59">
                  <c:v>42.763372413188229</c:v>
                </c:pt>
                <c:pt idx="60">
                  <c:v>43.384478416904628</c:v>
                </c:pt>
                <c:pt idx="61">
                  <c:v>44.003002799983548</c:v>
                </c:pt>
                <c:pt idx="62">
                  <c:v>44.618966812138474</c:v>
                </c:pt>
                <c:pt idx="63">
                  <c:v>45.23239118682411</c:v>
                </c:pt>
                <c:pt idx="64">
                  <c:v>45.843296161808368</c:v>
                </c:pt>
                <c:pt idx="65">
                  <c:v>46.451701498614611</c:v>
                </c:pt>
                <c:pt idx="66">
                  <c:v>47.057626500912704</c:v>
                </c:pt>
                <c:pt idx="67">
                  <c:v>47.661090031930947</c:v>
                </c:pt>
                <c:pt idx="68">
                  <c:v>48.262110530954736</c:v>
                </c:pt>
                <c:pt idx="69">
                  <c:v>48.860706028972757</c:v>
                </c:pt>
                <c:pt idx="70">
                  <c:v>49.456894163526442</c:v>
                </c:pt>
                <c:pt idx="71">
                  <c:v>50.050692192814246</c:v>
                </c:pt>
                <c:pt idx="72">
                  <c:v>50.642117009097838</c:v>
                </c:pt>
                <c:pt idx="73">
                  <c:v>51.231185151454554</c:v>
                </c:pt>
                <c:pt idx="74">
                  <c:v>51.817912817915804</c:v>
                </c:pt>
                <c:pt idx="75">
                  <c:v>52.40231587702975</c:v>
                </c:pt>
                <c:pt idx="76">
                  <c:v>52.98440987888204</c:v>
                </c:pt>
                <c:pt idx="77">
                  <c:v>53.564210065607661</c:v>
                </c:pt>
                <c:pt idx="78">
                  <c:v>54.141731381423099</c:v>
                </c:pt>
                <c:pt idx="79">
                  <c:v>54.716988482206901</c:v>
                </c:pt>
                <c:pt idx="80">
                  <c:v>55.289995744654298</c:v>
                </c:pt>
                <c:pt idx="81">
                  <c:v>55.86076727503017</c:v>
                </c:pt>
                <c:pt idx="82">
                  <c:v>56.429316917542351</c:v>
                </c:pt>
                <c:pt idx="83">
                  <c:v>56.995658262356521</c:v>
                </c:pt>
                <c:pt idx="84">
                  <c:v>57.559804653272053</c:v>
                </c:pt>
                <c:pt idx="85">
                  <c:v>58.121769195076979</c:v>
                </c:pt>
                <c:pt idx="86">
                  <c:v>58.681564760599194</c:v>
                </c:pt>
                <c:pt idx="87">
                  <c:v>59.239203997469843</c:v>
                </c:pt>
                <c:pt idx="88">
                  <c:v>59.794699334613803</c:v>
                </c:pt>
                <c:pt idx="89">
                  <c:v>60.348062988481139</c:v>
                </c:pt>
                <c:pt idx="90">
                  <c:v>60.899306969032999</c:v>
                </c:pt>
                <c:pt idx="91">
                  <c:v>61.4484430854938</c:v>
                </c:pt>
                <c:pt idx="92">
                  <c:v>61.995482951881755</c:v>
                </c:pt>
                <c:pt idx="93">
                  <c:v>62.540437992328236</c:v>
                </c:pt>
                <c:pt idx="94">
                  <c:v>63.083319446196548</c:v>
                </c:pt>
                <c:pt idx="95">
                  <c:v>63.624138373009401</c:v>
                </c:pt>
                <c:pt idx="96">
                  <c:v>64.162905657194472</c:v>
                </c:pt>
                <c:pt idx="97">
                  <c:v>64.699632012656451</c:v>
                </c:pt>
                <c:pt idx="98">
                  <c:v>65.234327987183676</c:v>
                </c:pt>
                <c:pt idx="99">
                  <c:v>65.767003966696905</c:v>
                </c:pt>
                <c:pt idx="100">
                  <c:v>66.297670179347676</c:v>
                </c:pt>
              </c:numCache>
            </c:numRef>
          </c:val>
          <c:smooth val="0"/>
          <c:extLst>
            <c:ext xmlns:c16="http://schemas.microsoft.com/office/drawing/2014/chart" uri="{C3380CC4-5D6E-409C-BE32-E72D297353CC}">
              <c16:uniqueId val="{00000001-BC04-4A48-8E12-FC2153F3722F}"/>
            </c:ext>
          </c:extLst>
        </c:ser>
        <c:ser>
          <c:idx val="3"/>
          <c:order val="2"/>
          <c:tx>
            <c:strRef>
              <c:f>'Calculations - Single'!$BI$3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Single'!$BP$5:$BP$105</c:f>
              <c:numCache>
                <c:formatCode>0.0</c:formatCode>
                <c:ptCount val="101"/>
                <c:pt idx="0">
                  <c:v>7.3048591693068747</c:v>
                </c:pt>
                <c:pt idx="1">
                  <c:v>9.5751677741374213</c:v>
                </c:pt>
                <c:pt idx="2">
                  <c:v>13.350385085317322</c:v>
                </c:pt>
                <c:pt idx="3">
                  <c:v>17.125651934514728</c:v>
                </c:pt>
                <c:pt idx="4">
                  <c:v>20.900968322704706</c:v>
                </c:pt>
                <c:pt idx="5">
                  <c:v>24.676334250862332</c:v>
                </c:pt>
                <c:pt idx="6">
                  <c:v>28.451749719962702</c:v>
                </c:pt>
                <c:pt idx="7">
                  <c:v>32.227214730980968</c:v>
                </c:pt>
                <c:pt idx="8">
                  <c:v>36.002729284892261</c:v>
                </c:pt>
                <c:pt idx="9">
                  <c:v>39.778293382671798</c:v>
                </c:pt>
                <c:pt idx="10">
                  <c:v>43.55390702529477</c:v>
                </c:pt>
                <c:pt idx="11">
                  <c:v>47.617763786570755</c:v>
                </c:pt>
                <c:pt idx="12">
                  <c:v>50.55325500710525</c:v>
                </c:pt>
                <c:pt idx="13">
                  <c:v>51.090246689758708</c:v>
                </c:pt>
                <c:pt idx="14">
                  <c:v>51.612674789142588</c:v>
                </c:pt>
                <c:pt idx="15">
                  <c:v>52.122277152750179</c:v>
                </c:pt>
                <c:pt idx="16">
                  <c:v>52.620499588245067</c:v>
                </c:pt>
                <c:pt idx="17">
                  <c:v>53.108559526963241</c:v>
                </c:pt>
                <c:pt idx="18">
                  <c:v>53.587492945837212</c:v>
                </c:pt>
                <c:pt idx="19">
                  <c:v>54.058189625048719</c:v>
                </c:pt>
                <c:pt idx="20">
                  <c:v>54.521420094939693</c:v>
                </c:pt>
                <c:pt idx="21">
                  <c:v>54.977856543552434</c:v>
                </c:pt>
                <c:pt idx="22">
                  <c:v>55.428089257775653</c:v>
                </c:pt>
                <c:pt idx="23">
                  <c:v>55.872639709182074</c:v>
                </c:pt>
                <c:pt idx="24">
                  <c:v>56.311971083422101</c:v>
                </c:pt>
                <c:pt idx="25">
                  <c:v>56.746496836808248</c:v>
                </c:pt>
                <c:pt idx="26">
                  <c:v>57.176587712705881</c:v>
                </c:pt>
                <c:pt idx="27">
                  <c:v>57.602577542662509</c:v>
                </c:pt>
                <c:pt idx="28">
                  <c:v>58.024768079291384</c:v>
                </c:pt>
                <c:pt idx="29">
                  <c:v>58.443433050785004</c:v>
                </c:pt>
                <c:pt idx="30">
                  <c:v>58.858821584508817</c:v>
                </c:pt>
                <c:pt idx="31">
                  <c:v>59.271161115266068</c:v>
                </c:pt>
                <c:pt idx="32">
                  <c:v>59.680659869645183</c:v>
                </c:pt>
                <c:pt idx="33">
                  <c:v>60.087508999330453</c:v>
                </c:pt>
                <c:pt idx="34">
                  <c:v>60.491884421924979</c:v>
                </c:pt>
                <c:pt idx="35">
                  <c:v>60.89394841665645</c:v>
                </c:pt>
                <c:pt idx="36">
                  <c:v>61.293851013546522</c:v>
                </c:pt>
                <c:pt idx="37">
                  <c:v>61.691731207663615</c:v>
                </c:pt>
                <c:pt idx="38">
                  <c:v>62.087718024525067</c:v>
                </c:pt>
                <c:pt idx="39">
                  <c:v>62.481931458255801</c:v>
                </c:pt>
                <c:pt idx="40">
                  <c:v>62.874483300508295</c:v>
                </c:pt>
                <c:pt idx="41">
                  <c:v>63.265477875220547</c:v>
                </c:pt>
                <c:pt idx="42">
                  <c:v>63.655012691896189</c:v>
                </c:pt>
                <c:pt idx="43">
                  <c:v>64.043179028125479</c:v>
                </c:pt>
                <c:pt idx="44">
                  <c:v>64.430062450442662</c:v>
                </c:pt>
                <c:pt idx="45">
                  <c:v>64.815743281269178</c:v>
                </c:pt>
                <c:pt idx="46">
                  <c:v>65.200297018570438</c:v>
                </c:pt>
                <c:pt idx="47">
                  <c:v>65.583794713914372</c:v>
                </c:pt>
                <c:pt idx="48">
                  <c:v>65.966303313832185</c:v>
                </c:pt>
                <c:pt idx="49">
                  <c:v>66.347885968715033</c:v>
                </c:pt>
                <c:pt idx="50">
                  <c:v>66.728602312917161</c:v>
                </c:pt>
                <c:pt idx="51">
                  <c:v>67.108508719257699</c:v>
                </c:pt>
                <c:pt idx="52">
                  <c:v>67.487658530703911</c:v>
                </c:pt>
                <c:pt idx="53">
                  <c:v>67.86610227166986</c:v>
                </c:pt>
                <c:pt idx="54">
                  <c:v>68.243887841064947</c:v>
                </c:pt>
                <c:pt idx="55">
                  <c:v>68.621060688967731</c:v>
                </c:pt>
                <c:pt idx="56">
                  <c:v>68.997663978578672</c:v>
                </c:pt>
                <c:pt idx="57">
                  <c:v>69.373738734911768</c:v>
                </c:pt>
                <c:pt idx="58">
                  <c:v>69.749323981517747</c:v>
                </c:pt>
                <c:pt idx="59">
                  <c:v>70.124456866386268</c:v>
                </c:pt>
                <c:pt idx="60">
                  <c:v>70.499172778046685</c:v>
                </c:pt>
                <c:pt idx="61">
                  <c:v>70.873505452776342</c:v>
                </c:pt>
                <c:pt idx="62">
                  <c:v>71.247487073727427</c:v>
                </c:pt>
                <c:pt idx="63">
                  <c:v>71.621148362698051</c:v>
                </c:pt>
                <c:pt idx="64">
                  <c:v>71.994518665198157</c:v>
                </c:pt>
                <c:pt idx="65">
                  <c:v>72.367626029392937</c:v>
                </c:pt>
                <c:pt idx="66">
                  <c:v>72.740497279449983</c:v>
                </c:pt>
                <c:pt idx="67">
                  <c:v>73.113158083761761</c:v>
                </c:pt>
                <c:pt idx="68">
                  <c:v>73.485633018470466</c:v>
                </c:pt>
                <c:pt idx="69">
                  <c:v>73.857945626680703</c:v>
                </c:pt>
                <c:pt idx="70">
                  <c:v>74.230118473708615</c:v>
                </c:pt>
                <c:pt idx="71">
                  <c:v>74.602173198683474</c:v>
                </c:pt>
                <c:pt idx="72">
                  <c:v>74.974130562788886</c:v>
                </c:pt>
                <c:pt idx="73">
                  <c:v>75.346010494404325</c:v>
                </c:pt>
                <c:pt idx="74">
                  <c:v>75.717832131384</c:v>
                </c:pt>
                <c:pt idx="75">
                  <c:v>76.08961386068971</c:v>
                </c:pt>
                <c:pt idx="76">
                  <c:v>76.461373355574793</c:v>
                </c:pt>
                <c:pt idx="77">
                  <c:v>76.833127610499389</c:v>
                </c:pt>
                <c:pt idx="78">
                  <c:v>77.204892973942222</c:v>
                </c:pt>
                <c:pt idx="79">
                  <c:v>77.576685179259314</c:v>
                </c:pt>
                <c:pt idx="80">
                  <c:v>77.948519373728857</c:v>
                </c:pt>
                <c:pt idx="81">
                  <c:v>78.320410145908468</c:v>
                </c:pt>
                <c:pt idx="82">
                  <c:v>78.692371551422383</c:v>
                </c:pt>
                <c:pt idx="83">
                  <c:v>79.064417137284906</c:v>
                </c:pt>
                <c:pt idx="84">
                  <c:v>79.436559964860507</c:v>
                </c:pt>
                <c:pt idx="85">
                  <c:v>79.80881263155004</c:v>
                </c:pt>
                <c:pt idx="86">
                  <c:v>80.181187291288239</c:v>
                </c:pt>
                <c:pt idx="87">
                  <c:v>80.553695673929852</c:v>
                </c:pt>
                <c:pt idx="88">
                  <c:v>80.92634910359584</c:v>
                </c:pt>
                <c:pt idx="89">
                  <c:v>81.299158516046617</c:v>
                </c:pt>
                <c:pt idx="90">
                  <c:v>81.672134475143082</c:v>
                </c:pt>
                <c:pt idx="91">
                  <c:v>82.045287188453159</c:v>
                </c:pt>
                <c:pt idx="92">
                  <c:v>82.418626522055973</c:v>
                </c:pt>
                <c:pt idx="93">
                  <c:v>82.792162014593302</c:v>
                </c:pt>
                <c:pt idx="94">
                  <c:v>83.16590289061341</c:v>
                </c:pt>
                <c:pt idx="95">
                  <c:v>83.539858073250088</c:v>
                </c:pt>
                <c:pt idx="96">
                  <c:v>83.914036196275674</c:v>
                </c:pt>
                <c:pt idx="97">
                  <c:v>84.288445615565763</c:v>
                </c:pt>
                <c:pt idx="98">
                  <c:v>84.663094420008775</c:v>
                </c:pt>
                <c:pt idx="99">
                  <c:v>85.037990441892802</c:v>
                </c:pt>
                <c:pt idx="100">
                  <c:v>85.413141266799869</c:v>
                </c:pt>
              </c:numCache>
            </c:numRef>
          </c:val>
          <c:smooth val="0"/>
          <c:extLst>
            <c:ext xmlns:c16="http://schemas.microsoft.com/office/drawing/2014/chart" uri="{C3380CC4-5D6E-409C-BE32-E72D297353CC}">
              <c16:uniqueId val="{00000002-BC04-4A48-8E12-FC2153F3722F}"/>
            </c:ext>
          </c:extLst>
        </c:ser>
        <c:ser>
          <c:idx val="1"/>
          <c:order val="3"/>
          <c:tx>
            <c:strRef>
              <c:f>'Calculations - Single'!$BU$3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Single'!$BZ$5:$BZ$105</c:f>
              <c:numCache>
                <c:formatCode>0.0</c:formatCode>
                <c:ptCount val="101"/>
                <c:pt idx="0">
                  <c:v>8.5400430258154909</c:v>
                </c:pt>
                <c:pt idx="1">
                  <c:v>8.7437096924821596</c:v>
                </c:pt>
                <c:pt idx="2">
                  <c:v>9.0823763591488227</c:v>
                </c:pt>
                <c:pt idx="3">
                  <c:v>9.4210430258154911</c:v>
                </c:pt>
                <c:pt idx="4">
                  <c:v>9.7597096924821578</c:v>
                </c:pt>
                <c:pt idx="5">
                  <c:v>10.098376359148821</c:v>
                </c:pt>
                <c:pt idx="6">
                  <c:v>10.437043025815495</c:v>
                </c:pt>
                <c:pt idx="7">
                  <c:v>10.775709692482158</c:v>
                </c:pt>
                <c:pt idx="8">
                  <c:v>11.114376359148826</c:v>
                </c:pt>
                <c:pt idx="9">
                  <c:v>11.453043025815491</c:v>
                </c:pt>
                <c:pt idx="10">
                  <c:v>11.791709692482158</c:v>
                </c:pt>
                <c:pt idx="11">
                  <c:v>12.752214082824489</c:v>
                </c:pt>
                <c:pt idx="12">
                  <c:v>14.155373751728971</c:v>
                </c:pt>
                <c:pt idx="13">
                  <c:v>15.335587491235277</c:v>
                </c:pt>
                <c:pt idx="14">
                  <c:v>16.515893498687326</c:v>
                </c:pt>
                <c:pt idx="15">
                  <c:v>17.696291789970839</c:v>
                </c:pt>
                <c:pt idx="16">
                  <c:v>18.876782380975165</c:v>
                </c:pt>
                <c:pt idx="17">
                  <c:v>20.057365287593292</c:v>
                </c:pt>
                <c:pt idx="18">
                  <c:v>21.238040525721868</c:v>
                </c:pt>
                <c:pt idx="19">
                  <c:v>22.418808111261203</c:v>
                </c:pt>
                <c:pt idx="20">
                  <c:v>23.599668060115235</c:v>
                </c:pt>
                <c:pt idx="21">
                  <c:v>24.780620388191565</c:v>
                </c:pt>
                <c:pt idx="22">
                  <c:v>25.961665111401437</c:v>
                </c:pt>
                <c:pt idx="23">
                  <c:v>27.14280224565977</c:v>
                </c:pt>
                <c:pt idx="24">
                  <c:v>28.324031806885124</c:v>
                </c:pt>
                <c:pt idx="25">
                  <c:v>29.505353810999722</c:v>
                </c:pt>
                <c:pt idx="26">
                  <c:v>30.686768273929438</c:v>
                </c:pt>
                <c:pt idx="27">
                  <c:v>31.868275211603798</c:v>
                </c:pt>
                <c:pt idx="28">
                  <c:v>33.049874639956009</c:v>
                </c:pt>
                <c:pt idx="29">
                  <c:v>34.231566574922923</c:v>
                </c:pt>
                <c:pt idx="30">
                  <c:v>35.413351032445043</c:v>
                </c:pt>
                <c:pt idx="31">
                  <c:v>36.595228028466572</c:v>
                </c:pt>
                <c:pt idx="32">
                  <c:v>37.777197578935336</c:v>
                </c:pt>
                <c:pt idx="33">
                  <c:v>38.959259699802857</c:v>
                </c:pt>
                <c:pt idx="34">
                  <c:v>40.141414407024293</c:v>
                </c:pt>
                <c:pt idx="35">
                  <c:v>41.323661716558476</c:v>
                </c:pt>
                <c:pt idx="36">
                  <c:v>42.506001644367942</c:v>
                </c:pt>
                <c:pt idx="37">
                  <c:v>43.688434206418854</c:v>
                </c:pt>
                <c:pt idx="38">
                  <c:v>44.870959418681068</c:v>
                </c:pt>
                <c:pt idx="39">
                  <c:v>46.053577297128093</c:v>
                </c:pt>
                <c:pt idx="40">
                  <c:v>47.236287857737111</c:v>
                </c:pt>
                <c:pt idx="41">
                  <c:v>48.419091116488993</c:v>
                </c:pt>
                <c:pt idx="42">
                  <c:v>49.601987089368279</c:v>
                </c:pt>
                <c:pt idx="43">
                  <c:v>50.784975792363205</c:v>
                </c:pt>
                <c:pt idx="44">
                  <c:v>51.968057241465623</c:v>
                </c:pt>
                <c:pt idx="45">
                  <c:v>53.151231452671119</c:v>
                </c:pt>
                <c:pt idx="46">
                  <c:v>54.334498441978937</c:v>
                </c:pt>
                <c:pt idx="47">
                  <c:v>55.517858225391983</c:v>
                </c:pt>
                <c:pt idx="48">
                  <c:v>56.70131081891688</c:v>
                </c:pt>
                <c:pt idx="49">
                  <c:v>57.884856238563948</c:v>
                </c:pt>
                <c:pt idx="50">
                  <c:v>59.068494500347107</c:v>
                </c:pt>
                <c:pt idx="51">
                  <c:v>60.252225620284023</c:v>
                </c:pt>
                <c:pt idx="52">
                  <c:v>61.436049614396055</c:v>
                </c:pt>
                <c:pt idx="53">
                  <c:v>62.619966498708187</c:v>
                </c:pt>
                <c:pt idx="54">
                  <c:v>63.803976289249164</c:v>
                </c:pt>
                <c:pt idx="55">
                  <c:v>64.988079002051393</c:v>
                </c:pt>
                <c:pt idx="56">
                  <c:v>66.172274653150907</c:v>
                </c:pt>
                <c:pt idx="57">
                  <c:v>67.356563258587542</c:v>
                </c:pt>
                <c:pt idx="58">
                  <c:v>68.540944834404769</c:v>
                </c:pt>
                <c:pt idx="59">
                  <c:v>69.725419396649713</c:v>
                </c:pt>
                <c:pt idx="60">
                  <c:v>70.909986961373235</c:v>
                </c:pt>
                <c:pt idx="61">
                  <c:v>72.094647544629936</c:v>
                </c:pt>
                <c:pt idx="62">
                  <c:v>73.279401162477981</c:v>
                </c:pt>
                <c:pt idx="63">
                  <c:v>74.464247830979318</c:v>
                </c:pt>
                <c:pt idx="64">
                  <c:v>75.649187566199728</c:v>
                </c:pt>
                <c:pt idx="65">
                  <c:v>76.834220384208365</c:v>
                </c:pt>
                <c:pt idx="66">
                  <c:v>78.019346301078372</c:v>
                </c:pt>
                <c:pt idx="67">
                  <c:v>79.204565332886432</c:v>
                </c:pt>
                <c:pt idx="68">
                  <c:v>80.389877495713023</c:v>
                </c:pt>
                <c:pt idx="69">
                  <c:v>81.575282805642246</c:v>
                </c:pt>
                <c:pt idx="70">
                  <c:v>82.760781278761982</c:v>
                </c:pt>
                <c:pt idx="71">
                  <c:v>83.946372931163836</c:v>
                </c:pt>
                <c:pt idx="72">
                  <c:v>85.132057778942936</c:v>
                </c:pt>
                <c:pt idx="73">
                  <c:v>86.317835838198377</c:v>
                </c:pt>
                <c:pt idx="74">
                  <c:v>87.503707125032719</c:v>
                </c:pt>
                <c:pt idx="75">
                  <c:v>88.689671655552445</c:v>
                </c:pt>
                <c:pt idx="76">
                  <c:v>89.875729445867606</c:v>
                </c:pt>
                <c:pt idx="77">
                  <c:v>91.061880512091975</c:v>
                </c:pt>
                <c:pt idx="78">
                  <c:v>92.248124870343133</c:v>
                </c:pt>
                <c:pt idx="79">
                  <c:v>93.434462536742231</c:v>
                </c:pt>
                <c:pt idx="80">
                  <c:v>94.620893527414296</c:v>
                </c:pt>
                <c:pt idx="81">
                  <c:v>95.807417858487881</c:v>
                </c:pt>
                <c:pt idx="82">
                  <c:v>96.994035546095532</c:v>
                </c:pt>
                <c:pt idx="83">
                  <c:v>98.180746606373148</c:v>
                </c:pt>
                <c:pt idx="84">
                  <c:v>99.367551055460694</c:v>
                </c:pt>
                <c:pt idx="85">
                  <c:v>100.55444890950166</c:v>
                </c:pt>
                <c:pt idx="86">
                  <c:v>101.74144018464327</c:v>
                </c:pt>
                <c:pt idx="87">
                  <c:v>102.92852489703655</c:v>
                </c:pt>
                <c:pt idx="88">
                  <c:v>104.11570306283613</c:v>
                </c:pt>
                <c:pt idx="89">
                  <c:v>105.3029746982005</c:v>
                </c:pt>
                <c:pt idx="90">
                  <c:v>106.49033981929179</c:v>
                </c:pt>
                <c:pt idx="91">
                  <c:v>107.67779844227587</c:v>
                </c:pt>
                <c:pt idx="92">
                  <c:v>108.86535058332237</c:v>
                </c:pt>
                <c:pt idx="93">
                  <c:v>110.05299625860457</c:v>
                </c:pt>
                <c:pt idx="94">
                  <c:v>111.24073548429961</c:v>
                </c:pt>
                <c:pt idx="95">
                  <c:v>112.42856827658822</c:v>
                </c:pt>
                <c:pt idx="96">
                  <c:v>113.61649465165489</c:v>
                </c:pt>
                <c:pt idx="97">
                  <c:v>114.80451462568804</c:v>
                </c:pt>
                <c:pt idx="98">
                  <c:v>115.99262821487947</c:v>
                </c:pt>
                <c:pt idx="99">
                  <c:v>117.18083543542501</c:v>
                </c:pt>
                <c:pt idx="100">
                  <c:v>118.36913630352413</c:v>
                </c:pt>
              </c:numCache>
            </c:numRef>
          </c:val>
          <c:smooth val="0"/>
          <c:extLst>
            <c:ext xmlns:c16="http://schemas.microsoft.com/office/drawing/2014/chart" uri="{C3380CC4-5D6E-409C-BE32-E72D297353CC}">
              <c16:uniqueId val="{00000003-BC04-4A48-8E12-FC2153F3722F}"/>
            </c:ext>
          </c:extLst>
        </c:ser>
        <c:dLbls>
          <c:showLegendKey val="0"/>
          <c:showVal val="0"/>
          <c:showCatName val="0"/>
          <c:showSerName val="0"/>
          <c:showPercent val="0"/>
          <c:showBubbleSize val="0"/>
        </c:dLbls>
        <c:marker val="1"/>
        <c:smooth val="0"/>
        <c:axId val="167717888"/>
        <c:axId val="167715968"/>
      </c:lineChart>
      <c:catAx>
        <c:axId val="167707776"/>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Load Current (mA)</a:t>
                </a:r>
              </a:p>
            </c:rich>
          </c:tx>
          <c:layout>
            <c:manualLayout>
              <c:xMode val="edge"/>
              <c:yMode val="edge"/>
              <c:x val="0.42471011396394504"/>
              <c:y val="0.93853771636955563"/>
            </c:manualLayout>
          </c:layout>
          <c:overlay val="0"/>
          <c:spPr>
            <a:noFill/>
            <a:ln w="25400">
              <a:noFill/>
            </a:ln>
          </c:spPr>
        </c:title>
        <c:numFmt formatCode="0"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67709696"/>
        <c:crosses val="autoZero"/>
        <c:auto val="1"/>
        <c:lblAlgn val="ctr"/>
        <c:lblOffset val="100"/>
        <c:tickLblSkip val="20"/>
        <c:tickMarkSkip val="20"/>
        <c:noMultiLvlLbl val="0"/>
      </c:catAx>
      <c:valAx>
        <c:axId val="167709696"/>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67707776"/>
        <c:crossesAt val="0"/>
        <c:crossBetween val="between"/>
        <c:majorUnit val="5"/>
        <c:minorUnit val="2.5"/>
      </c:valAx>
      <c:valAx>
        <c:axId val="167715968"/>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67717888"/>
        <c:crosses val="max"/>
        <c:crossBetween val="between"/>
      </c:valAx>
      <c:catAx>
        <c:axId val="167717888"/>
        <c:scaling>
          <c:orientation val="minMax"/>
        </c:scaling>
        <c:delete val="1"/>
        <c:axPos val="b"/>
        <c:numFmt formatCode="General" sourceLinked="1"/>
        <c:majorTickMark val="out"/>
        <c:minorTickMark val="none"/>
        <c:tickLblPos val="nextTo"/>
        <c:crossAx val="167715968"/>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0550962619267337"/>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32787415920151"/>
          <c:y val="3.9892589721079133E-2"/>
          <c:w val="0.83742553316686907"/>
          <c:h val="0.83734080468357386"/>
        </c:manualLayout>
      </c:layout>
      <c:lineChart>
        <c:grouping val="standard"/>
        <c:varyColors val="0"/>
        <c:ser>
          <c:idx val="1"/>
          <c:order val="0"/>
          <c:tx>
            <c:v>VIN = 18V</c:v>
          </c:tx>
          <c:spPr>
            <a:ln>
              <a:solidFill>
                <a:srgbClr val="00B050"/>
              </a:solidFill>
              <a:prstDash val="sys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Single'!$AN$110:$AN$210</c:f>
              <c:numCache>
                <c:formatCode>0.0</c:formatCode>
                <c:ptCount val="101"/>
                <c:pt idx="0">
                  <c:v>12</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347.36533118781767</c:v>
                </c:pt>
                <c:pt idx="43">
                  <c:v>339.287067671822</c:v>
                </c:pt>
                <c:pt idx="44">
                  <c:v>331.57599795200781</c:v>
                </c:pt>
                <c:pt idx="45">
                  <c:v>324.20764244196317</c:v>
                </c:pt>
                <c:pt idx="46">
                  <c:v>317.15965021496402</c:v>
                </c:pt>
                <c:pt idx="47">
                  <c:v>310.41157255081589</c:v>
                </c:pt>
                <c:pt idx="48">
                  <c:v>303.94466478934049</c:v>
                </c:pt>
                <c:pt idx="49">
                  <c:v>297.74171244670094</c:v>
                </c:pt>
                <c:pt idx="50">
                  <c:v>291.7868781977669</c:v>
                </c:pt>
                <c:pt idx="51">
                  <c:v>286.0655668605558</c:v>
                </c:pt>
                <c:pt idx="52">
                  <c:v>280.56430595939122</c:v>
                </c:pt>
                <c:pt idx="53">
                  <c:v>275.270639809214</c:v>
                </c:pt>
                <c:pt idx="54">
                  <c:v>270.17303536830269</c:v>
                </c:pt>
                <c:pt idx="55">
                  <c:v>265.26079836160625</c:v>
                </c:pt>
                <c:pt idx="56">
                  <c:v>260.52399839086331</c:v>
                </c:pt>
                <c:pt idx="57">
                  <c:v>255.95340192786574</c:v>
                </c:pt>
                <c:pt idx="58">
                  <c:v>251.54041223945421</c:v>
                </c:pt>
                <c:pt idx="59">
                  <c:v>247.27701542183641</c:v>
                </c:pt>
                <c:pt idx="60">
                  <c:v>243.15573183147242</c:v>
                </c:pt>
                <c:pt idx="61">
                  <c:v>239.16957229325155</c:v>
                </c:pt>
                <c:pt idx="62">
                  <c:v>235.31199854658621</c:v>
                </c:pt>
                <c:pt idx="63">
                  <c:v>231.57688745854514</c:v>
                </c:pt>
                <c:pt idx="64">
                  <c:v>227.95849859200541</c:v>
                </c:pt>
                <c:pt idx="65">
                  <c:v>224.45144476751301</c:v>
                </c:pt>
                <c:pt idx="66">
                  <c:v>221.05066530133851</c:v>
                </c:pt>
                <c:pt idx="67">
                  <c:v>217.75140164012456</c:v>
                </c:pt>
                <c:pt idx="68">
                  <c:v>214.54917514541685</c:v>
                </c:pt>
                <c:pt idx="69">
                  <c:v>211.43976680997602</c:v>
                </c:pt>
                <c:pt idx="70">
                  <c:v>208.41919871269064</c:v>
                </c:pt>
                <c:pt idx="71">
                  <c:v>205.48371704068092</c:v>
                </c:pt>
                <c:pt idx="72">
                  <c:v>202.629776526227</c:v>
                </c:pt>
                <c:pt idx="73">
                  <c:v>199.85402616285404</c:v>
                </c:pt>
                <c:pt idx="74">
                  <c:v>197.15329607957227</c:v>
                </c:pt>
                <c:pt idx="75">
                  <c:v>194.52458546517789</c:v>
                </c:pt>
                <c:pt idx="76">
                  <c:v>191.96505144589929</c:v>
                </c:pt>
                <c:pt idx="77">
                  <c:v>189.4719988297187</c:v>
                </c:pt>
                <c:pt idx="78">
                  <c:v>187.0428706395941</c:v>
                </c:pt>
                <c:pt idx="79">
                  <c:v>184.67523936567522</c:v>
                </c:pt>
                <c:pt idx="80">
                  <c:v>182.36679887360427</c:v>
                </c:pt>
                <c:pt idx="81">
                  <c:v>180.11535691220178</c:v>
                </c:pt>
                <c:pt idx="82">
                  <c:v>177.91882816937004</c:v>
                </c:pt>
                <c:pt idx="83">
                  <c:v>175.77522782998003</c:v>
                </c:pt>
                <c:pt idx="84">
                  <c:v>173.68266559390884</c:v>
                </c:pt>
                <c:pt idx="85">
                  <c:v>171.63934011633341</c:v>
                </c:pt>
                <c:pt idx="86">
                  <c:v>169.643533835911</c:v>
                </c:pt>
                <c:pt idx="87">
                  <c:v>167.69360815963617</c:v>
                </c:pt>
                <c:pt idx="88">
                  <c:v>165.78799897600391</c:v>
                </c:pt>
                <c:pt idx="89">
                  <c:v>163.92521247065554</c:v>
                </c:pt>
                <c:pt idx="90">
                  <c:v>162.10382122098159</c:v>
                </c:pt>
                <c:pt idx="91">
                  <c:v>160.32246054822355</c:v>
                </c:pt>
                <c:pt idx="92">
                  <c:v>158.57982510748201</c:v>
                </c:pt>
                <c:pt idx="93">
                  <c:v>156.87466569772411</c:v>
                </c:pt>
                <c:pt idx="94">
                  <c:v>155.20578627540795</c:v>
                </c:pt>
                <c:pt idx="95">
                  <c:v>153.57204115671942</c:v>
                </c:pt>
                <c:pt idx="96">
                  <c:v>151.97233239467025</c:v>
                </c:pt>
                <c:pt idx="97">
                  <c:v>150.40560731843655</c:v>
                </c:pt>
                <c:pt idx="98">
                  <c:v>148.87085622335047</c:v>
                </c:pt>
                <c:pt idx="99">
                  <c:v>147.36711020089237</c:v>
                </c:pt>
                <c:pt idx="100">
                  <c:v>145.89343909888345</c:v>
                </c:pt>
              </c:numCache>
            </c:numRef>
          </c:val>
          <c:smooth val="0"/>
          <c:extLst>
            <c:ext xmlns:c16="http://schemas.microsoft.com/office/drawing/2014/chart" uri="{C3380CC4-5D6E-409C-BE32-E72D297353CC}">
              <c16:uniqueId val="{00000000-09E4-47EF-950F-D46DEB57291A}"/>
            </c:ext>
          </c:extLst>
        </c:ser>
        <c:ser>
          <c:idx val="0"/>
          <c:order val="1"/>
          <c:tx>
            <c:v>VIN = 24V</c:v>
          </c:tx>
          <c:spPr>
            <a:ln w="28575">
              <a:solidFill>
                <a:srgbClr val="0000FF"/>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Single'!$AN$5:$AN$105</c:f>
              <c:numCache>
                <c:formatCode>0.0</c:formatCode>
                <c:ptCount val="101"/>
                <c:pt idx="0">
                  <c:v>12</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350</c:v>
                </c:pt>
                <c:pt idx="55">
                  <c:v>350</c:v>
                </c:pt>
                <c:pt idx="56">
                  <c:v>350</c:v>
                </c:pt>
                <c:pt idx="57">
                  <c:v>350</c:v>
                </c:pt>
                <c:pt idx="58">
                  <c:v>350</c:v>
                </c:pt>
                <c:pt idx="59">
                  <c:v>350</c:v>
                </c:pt>
                <c:pt idx="60">
                  <c:v>350</c:v>
                </c:pt>
                <c:pt idx="61">
                  <c:v>350</c:v>
                </c:pt>
                <c:pt idx="62">
                  <c:v>350</c:v>
                </c:pt>
                <c:pt idx="63">
                  <c:v>350</c:v>
                </c:pt>
                <c:pt idx="64">
                  <c:v>350</c:v>
                </c:pt>
                <c:pt idx="65">
                  <c:v>350</c:v>
                </c:pt>
                <c:pt idx="66">
                  <c:v>350</c:v>
                </c:pt>
                <c:pt idx="67">
                  <c:v>350</c:v>
                </c:pt>
                <c:pt idx="68">
                  <c:v>350</c:v>
                </c:pt>
                <c:pt idx="69">
                  <c:v>350</c:v>
                </c:pt>
                <c:pt idx="70">
                  <c:v>350</c:v>
                </c:pt>
                <c:pt idx="71">
                  <c:v>350</c:v>
                </c:pt>
                <c:pt idx="72">
                  <c:v>350</c:v>
                </c:pt>
                <c:pt idx="73">
                  <c:v>350</c:v>
                </c:pt>
                <c:pt idx="74">
                  <c:v>350</c:v>
                </c:pt>
                <c:pt idx="75">
                  <c:v>350</c:v>
                </c:pt>
                <c:pt idx="76">
                  <c:v>350</c:v>
                </c:pt>
                <c:pt idx="77">
                  <c:v>350</c:v>
                </c:pt>
                <c:pt idx="78">
                  <c:v>350</c:v>
                </c:pt>
                <c:pt idx="79">
                  <c:v>350</c:v>
                </c:pt>
                <c:pt idx="80">
                  <c:v>350</c:v>
                </c:pt>
                <c:pt idx="81">
                  <c:v>350</c:v>
                </c:pt>
                <c:pt idx="82">
                  <c:v>350</c:v>
                </c:pt>
                <c:pt idx="83">
                  <c:v>350</c:v>
                </c:pt>
                <c:pt idx="84">
                  <c:v>350</c:v>
                </c:pt>
                <c:pt idx="85">
                  <c:v>350</c:v>
                </c:pt>
                <c:pt idx="86">
                  <c:v>350</c:v>
                </c:pt>
                <c:pt idx="87">
                  <c:v>350</c:v>
                </c:pt>
                <c:pt idx="88">
                  <c:v>350</c:v>
                </c:pt>
                <c:pt idx="89">
                  <c:v>350</c:v>
                </c:pt>
                <c:pt idx="90">
                  <c:v>350</c:v>
                </c:pt>
                <c:pt idx="91">
                  <c:v>350</c:v>
                </c:pt>
                <c:pt idx="92">
                  <c:v>350</c:v>
                </c:pt>
                <c:pt idx="93">
                  <c:v>350</c:v>
                </c:pt>
                <c:pt idx="94">
                  <c:v>350</c:v>
                </c:pt>
                <c:pt idx="95">
                  <c:v>350</c:v>
                </c:pt>
                <c:pt idx="96">
                  <c:v>350</c:v>
                </c:pt>
                <c:pt idx="97">
                  <c:v>350</c:v>
                </c:pt>
                <c:pt idx="98">
                  <c:v>350</c:v>
                </c:pt>
                <c:pt idx="99">
                  <c:v>350</c:v>
                </c:pt>
                <c:pt idx="100">
                  <c:v>350</c:v>
                </c:pt>
              </c:numCache>
            </c:numRef>
          </c:val>
          <c:smooth val="0"/>
          <c:extLst>
            <c:ext xmlns:c16="http://schemas.microsoft.com/office/drawing/2014/chart" uri="{C3380CC4-5D6E-409C-BE32-E72D297353CC}">
              <c16:uniqueId val="{00000001-09E4-47EF-950F-D46DEB57291A}"/>
            </c:ext>
          </c:extLst>
        </c:ser>
        <c:ser>
          <c:idx val="2"/>
          <c:order val="2"/>
          <c:tx>
            <c:v>VIN = 36V</c:v>
          </c:tx>
          <c:spPr>
            <a:ln>
              <a:solidFill>
                <a:srgbClr val="FF0000"/>
              </a:solidFill>
              <a:prstDash val="solid"/>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Single'!$AN$216:$AN$316</c:f>
              <c:numCache>
                <c:formatCode>0.0</c:formatCode>
                <c:ptCount val="101"/>
                <c:pt idx="0">
                  <c:v>12</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350</c:v>
                </c:pt>
                <c:pt idx="55">
                  <c:v>350</c:v>
                </c:pt>
                <c:pt idx="56">
                  <c:v>350</c:v>
                </c:pt>
                <c:pt idx="57">
                  <c:v>350</c:v>
                </c:pt>
                <c:pt idx="58">
                  <c:v>350</c:v>
                </c:pt>
                <c:pt idx="59">
                  <c:v>350</c:v>
                </c:pt>
                <c:pt idx="60">
                  <c:v>350</c:v>
                </c:pt>
                <c:pt idx="61">
                  <c:v>350</c:v>
                </c:pt>
                <c:pt idx="62">
                  <c:v>350</c:v>
                </c:pt>
                <c:pt idx="63">
                  <c:v>350</c:v>
                </c:pt>
                <c:pt idx="64">
                  <c:v>350</c:v>
                </c:pt>
                <c:pt idx="65">
                  <c:v>350</c:v>
                </c:pt>
                <c:pt idx="66">
                  <c:v>350</c:v>
                </c:pt>
                <c:pt idx="67">
                  <c:v>350</c:v>
                </c:pt>
                <c:pt idx="68">
                  <c:v>350</c:v>
                </c:pt>
                <c:pt idx="69">
                  <c:v>350</c:v>
                </c:pt>
                <c:pt idx="70">
                  <c:v>350</c:v>
                </c:pt>
                <c:pt idx="71">
                  <c:v>350</c:v>
                </c:pt>
                <c:pt idx="72">
                  <c:v>350</c:v>
                </c:pt>
                <c:pt idx="73">
                  <c:v>350</c:v>
                </c:pt>
                <c:pt idx="74">
                  <c:v>350</c:v>
                </c:pt>
                <c:pt idx="75">
                  <c:v>350</c:v>
                </c:pt>
                <c:pt idx="76">
                  <c:v>350</c:v>
                </c:pt>
                <c:pt idx="77">
                  <c:v>350</c:v>
                </c:pt>
                <c:pt idx="78">
                  <c:v>350</c:v>
                </c:pt>
                <c:pt idx="79">
                  <c:v>350</c:v>
                </c:pt>
                <c:pt idx="80">
                  <c:v>350</c:v>
                </c:pt>
                <c:pt idx="81">
                  <c:v>350</c:v>
                </c:pt>
                <c:pt idx="82">
                  <c:v>350</c:v>
                </c:pt>
                <c:pt idx="83">
                  <c:v>350</c:v>
                </c:pt>
                <c:pt idx="84">
                  <c:v>350</c:v>
                </c:pt>
                <c:pt idx="85">
                  <c:v>350</c:v>
                </c:pt>
                <c:pt idx="86">
                  <c:v>350</c:v>
                </c:pt>
                <c:pt idx="87">
                  <c:v>350</c:v>
                </c:pt>
                <c:pt idx="88">
                  <c:v>350</c:v>
                </c:pt>
                <c:pt idx="89">
                  <c:v>350</c:v>
                </c:pt>
                <c:pt idx="90">
                  <c:v>350</c:v>
                </c:pt>
                <c:pt idx="91">
                  <c:v>350</c:v>
                </c:pt>
                <c:pt idx="92">
                  <c:v>350</c:v>
                </c:pt>
                <c:pt idx="93">
                  <c:v>350</c:v>
                </c:pt>
                <c:pt idx="94">
                  <c:v>350</c:v>
                </c:pt>
                <c:pt idx="95">
                  <c:v>350</c:v>
                </c:pt>
                <c:pt idx="96">
                  <c:v>350</c:v>
                </c:pt>
                <c:pt idx="97">
                  <c:v>350</c:v>
                </c:pt>
                <c:pt idx="98">
                  <c:v>350</c:v>
                </c:pt>
                <c:pt idx="99">
                  <c:v>350</c:v>
                </c:pt>
                <c:pt idx="100">
                  <c:v>350</c:v>
                </c:pt>
              </c:numCache>
            </c:numRef>
          </c:val>
          <c:smooth val="0"/>
          <c:extLst>
            <c:ext xmlns:c16="http://schemas.microsoft.com/office/drawing/2014/chart" uri="{C3380CC4-5D6E-409C-BE32-E72D297353CC}">
              <c16:uniqueId val="{00000002-09E4-47EF-950F-D46DEB57291A}"/>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Single'!$CG$110:$CG$210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09E4-47EF-950F-D46DEB57291A}"/>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Single'!$CG$5:$CG$105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09E4-47EF-950F-D46DEB57291A}"/>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Single'!$CG$216:$CG$316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09E4-47EF-950F-D46DEB57291A}"/>
            </c:ext>
          </c:extLst>
        </c:ser>
        <c:dLbls>
          <c:showLegendKey val="0"/>
          <c:showVal val="0"/>
          <c:showCatName val="0"/>
          <c:showSerName val="0"/>
          <c:showPercent val="0"/>
          <c:showBubbleSize val="0"/>
        </c:dLbls>
        <c:smooth val="0"/>
        <c:axId val="167770752"/>
        <c:axId val="178984064"/>
      </c:lineChart>
      <c:catAx>
        <c:axId val="167770752"/>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2543478293742543"/>
              <c:y val="0.94106692471810893"/>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78984064"/>
        <c:crosses val="autoZero"/>
        <c:auto val="1"/>
        <c:lblAlgn val="ctr"/>
        <c:lblOffset val="100"/>
        <c:tickLblSkip val="20"/>
        <c:tickMarkSkip val="10"/>
        <c:noMultiLvlLbl val="0"/>
      </c:catAx>
      <c:valAx>
        <c:axId val="178984064"/>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Switching</a:t>
                </a:r>
                <a:r>
                  <a:rPr lang="en-US" sz="1200" b="1" baseline="0">
                    <a:solidFill>
                      <a:schemeClr val="tx1"/>
                    </a:solidFill>
                    <a:latin typeface="Arial" pitchFamily="34" charset="0"/>
                    <a:cs typeface="Arial" pitchFamily="34" charset="0"/>
                  </a:rPr>
                  <a:t> Frquency (kHz)</a:t>
                </a:r>
                <a:endParaRPr lang="en-US" sz="1200" b="1">
                  <a:solidFill>
                    <a:schemeClr val="tx1"/>
                  </a:solidFill>
                  <a:latin typeface="Arial" pitchFamily="34" charset="0"/>
                  <a:cs typeface="Arial" pitchFamily="34" charset="0"/>
                </a:endParaRPr>
              </a:p>
            </c:rich>
          </c:tx>
          <c:layout>
            <c:manualLayout>
              <c:xMode val="edge"/>
              <c:yMode val="edge"/>
              <c:x val="8.5568306292577653E-3"/>
              <c:y val="0.25732715553237367"/>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67770752"/>
        <c:crossesAt val="0"/>
        <c:crossBetween val="between"/>
        <c:majorUnit val="50"/>
        <c:minorUnit val="25"/>
      </c:valAx>
      <c:spPr>
        <a:solidFill>
          <a:srgbClr val="FFFFFF"/>
        </a:solidFill>
        <a:ln w="25400">
          <a:noFill/>
        </a:ln>
      </c:spPr>
    </c:plotArea>
    <c:legend>
      <c:legendPos val="l"/>
      <c:legendEntry>
        <c:idx val="3"/>
        <c:delete val="1"/>
      </c:legendEntry>
      <c:legendEntry>
        <c:idx val="4"/>
        <c:delete val="1"/>
      </c:legendEntry>
      <c:legendEntry>
        <c:idx val="5"/>
        <c:delete val="1"/>
      </c:legendEntry>
      <c:layout>
        <c:manualLayout>
          <c:xMode val="edge"/>
          <c:yMode val="edge"/>
          <c:x val="0.71162527422808852"/>
          <c:y val="0.6653383790463161"/>
          <c:w val="0.22738313152556208"/>
          <c:h val="0.19125690419070665"/>
        </c:manualLayout>
      </c:layout>
      <c:overlay val="0"/>
      <c:spPr>
        <a:solidFill>
          <a:srgbClr val="FFFFFF"/>
        </a:solidFill>
        <a:ln w="25400">
          <a:noFill/>
        </a:ln>
      </c:spPr>
      <c:txPr>
        <a:bodyPr/>
        <a:lstStyle/>
        <a:p>
          <a:pPr>
            <a:defRPr sz="14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37724383206249"/>
          <c:y val="5.3841379336306346E-2"/>
          <c:w val="0.83437623886771184"/>
          <c:h val="0.82339183462065391"/>
        </c:manualLayout>
      </c:layout>
      <c:lineChart>
        <c:grouping val="standard"/>
        <c:varyColors val="0"/>
        <c:ser>
          <c:idx val="1"/>
          <c:order val="0"/>
          <c:tx>
            <c:v>VIN = 18V</c:v>
          </c:tx>
          <c:spPr>
            <a:ln>
              <a:solidFill>
                <a:srgbClr val="00B050"/>
              </a:solidFill>
              <a:prstDash val="sysDash"/>
            </a:ln>
          </c:spPr>
          <c:marker>
            <c:symbol val="none"/>
          </c:marker>
          <c:val>
            <c:numRef>
              <c:f>'Calculations - Single'!$AJ$110:$AJ$210</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c:v>
                </c:pt>
                <c:pt idx="12">
                  <c:v>0.15239047589287574</c:v>
                </c:pt>
                <c:pt idx="13">
                  <c:v>0.15861303615433142</c:v>
                </c:pt>
                <c:pt idx="14">
                  <c:v>0.16460052652811696</c:v>
                </c:pt>
                <c:pt idx="15">
                  <c:v>0.17037773161000655</c:v>
                </c:pt>
                <c:pt idx="16">
                  <c:v>0.17596536455737397</c:v>
                </c:pt>
                <c:pt idx="17">
                  <c:v>0.18138094613009281</c:v>
                </c:pt>
                <c:pt idx="18">
                  <c:v>0.18663945379872315</c:v>
                </c:pt>
                <c:pt idx="19">
                  <c:v>0.19175381041722173</c:v>
                </c:pt>
                <c:pt idx="20">
                  <c:v>0.19673525841791023</c:v>
                </c:pt>
                <c:pt idx="21">
                  <c:v>0.20159365069366644</c:v>
                </c:pt>
                <c:pt idx="22">
                  <c:v>0.20633767977574552</c:v>
                </c:pt>
                <c:pt idx="23">
                  <c:v>0.21097506058886722</c:v>
                </c:pt>
                <c:pt idx="24">
                  <c:v>0.21551267778419508</c:v>
                </c:pt>
                <c:pt idx="25">
                  <c:v>0.21995670569671746</c:v>
                </c:pt>
                <c:pt idx="26">
                  <c:v>0.22431270689862953</c:v>
                </c:pt>
                <c:pt idx="27">
                  <c:v>0.22858571383931364</c:v>
                </c:pt>
                <c:pt idx="28">
                  <c:v>0.23278029698981542</c:v>
                </c:pt>
                <c:pt idx="29">
                  <c:v>0.23690062212224086</c:v>
                </c:pt>
                <c:pt idx="30">
                  <c:v>0.24095049876923447</c:v>
                </c:pt>
                <c:pt idx="31">
                  <c:v>0.24493342146873495</c:v>
                </c:pt>
                <c:pt idx="32">
                  <c:v>0.24885260506496421</c:v>
                </c:pt>
                <c:pt idx="33">
                  <c:v>0.25271101508018434</c:v>
                </c:pt>
                <c:pt idx="34">
                  <c:v>0.25651139397324096</c:v>
                </c:pt>
                <c:pt idx="35">
                  <c:v>0.26025628394590844</c:v>
                </c:pt>
                <c:pt idx="36">
                  <c:v>0.26394804683606093</c:v>
                </c:pt>
                <c:pt idx="37">
                  <c:v>0.26758888153996518</c:v>
                </c:pt>
                <c:pt idx="38">
                  <c:v>0.27118083932875425</c:v>
                </c:pt>
                <c:pt idx="39">
                  <c:v>0.27472583736206124</c:v>
                </c:pt>
                <c:pt idx="40">
                  <c:v>0.27822567065158427</c:v>
                </c:pt>
                <c:pt idx="41">
                  <c:v>0.28168202268650711</c:v>
                </c:pt>
                <c:pt idx="42">
                  <c:v>0.28509647489928741</c:v>
                </c:pt>
                <c:pt idx="43">
                  <c:v>0.2884705151228425</c:v>
                </c:pt>
                <c:pt idx="44">
                  <c:v>0.29180554516745599</c:v>
                </c:pt>
                <c:pt idx="45">
                  <c:v>0.29510288762686532</c:v>
                </c:pt>
                <c:pt idx="46">
                  <c:v>0.32777291727422969</c:v>
                </c:pt>
                <c:pt idx="47">
                  <c:v>0.33489841547584331</c:v>
                </c:pt>
                <c:pt idx="48">
                  <c:v>0.34202391367745699</c:v>
                </c:pt>
                <c:pt idx="49">
                  <c:v>0.34914941187907067</c:v>
                </c:pt>
                <c:pt idx="50">
                  <c:v>0.3562749100806844</c:v>
                </c:pt>
                <c:pt idx="51">
                  <c:v>0.36340040828229808</c:v>
                </c:pt>
                <c:pt idx="52">
                  <c:v>0.37052590648391176</c:v>
                </c:pt>
                <c:pt idx="53">
                  <c:v>0.37765140468552549</c:v>
                </c:pt>
                <c:pt idx="54">
                  <c:v>0.38477690288713917</c:v>
                </c:pt>
                <c:pt idx="55">
                  <c:v>0.39190240108875285</c:v>
                </c:pt>
                <c:pt idx="56">
                  <c:v>0.39902789929036653</c:v>
                </c:pt>
                <c:pt idx="57">
                  <c:v>0.40615339749198015</c:v>
                </c:pt>
                <c:pt idx="58">
                  <c:v>0.41327889569359388</c:v>
                </c:pt>
                <c:pt idx="59">
                  <c:v>0.42040439389520756</c:v>
                </c:pt>
                <c:pt idx="60">
                  <c:v>0.42752989209682124</c:v>
                </c:pt>
                <c:pt idx="61">
                  <c:v>0.43465539029843492</c:v>
                </c:pt>
                <c:pt idx="62">
                  <c:v>0.44178088850004865</c:v>
                </c:pt>
                <c:pt idx="63">
                  <c:v>0.44890638670166233</c:v>
                </c:pt>
                <c:pt idx="64">
                  <c:v>0.45603188490327601</c:v>
                </c:pt>
                <c:pt idx="65">
                  <c:v>0.46315738310488974</c:v>
                </c:pt>
                <c:pt idx="66">
                  <c:v>0.47028288130650342</c:v>
                </c:pt>
                <c:pt idx="67">
                  <c:v>0.4774083795081171</c:v>
                </c:pt>
                <c:pt idx="68">
                  <c:v>0.48453387770973078</c:v>
                </c:pt>
                <c:pt idx="69">
                  <c:v>0.4916593759113444</c:v>
                </c:pt>
                <c:pt idx="70">
                  <c:v>0.49878487411295813</c:v>
                </c:pt>
                <c:pt idx="71">
                  <c:v>0.50591037231457181</c:v>
                </c:pt>
                <c:pt idx="72">
                  <c:v>0.51303587051618549</c:v>
                </c:pt>
                <c:pt idx="73">
                  <c:v>0.52016136871779917</c:v>
                </c:pt>
                <c:pt idx="74">
                  <c:v>0.52728686691941284</c:v>
                </c:pt>
                <c:pt idx="75">
                  <c:v>0.53441236512102663</c:v>
                </c:pt>
                <c:pt idx="76">
                  <c:v>0.54153786332264031</c:v>
                </c:pt>
                <c:pt idx="77">
                  <c:v>0.5486633615242541</c:v>
                </c:pt>
                <c:pt idx="78">
                  <c:v>0.55578885972586778</c:v>
                </c:pt>
                <c:pt idx="79">
                  <c:v>0.56291435792748146</c:v>
                </c:pt>
                <c:pt idx="80">
                  <c:v>0.57003985612909513</c:v>
                </c:pt>
                <c:pt idx="81">
                  <c:v>0.57716535433070881</c:v>
                </c:pt>
                <c:pt idx="82">
                  <c:v>0.58429085253232249</c:v>
                </c:pt>
                <c:pt idx="83">
                  <c:v>0.59141635073393617</c:v>
                </c:pt>
                <c:pt idx="84">
                  <c:v>0.59854184893554985</c:v>
                </c:pt>
                <c:pt idx="85">
                  <c:v>0.60566734713716353</c:v>
                </c:pt>
                <c:pt idx="86">
                  <c:v>0.6127928453387772</c:v>
                </c:pt>
                <c:pt idx="87">
                  <c:v>0.61991834354039088</c:v>
                </c:pt>
                <c:pt idx="88">
                  <c:v>0.62704384174200456</c:v>
                </c:pt>
                <c:pt idx="89">
                  <c:v>0.63416933994361835</c:v>
                </c:pt>
                <c:pt idx="90">
                  <c:v>0.64129483814523203</c:v>
                </c:pt>
                <c:pt idx="91">
                  <c:v>0.6484203363468457</c:v>
                </c:pt>
                <c:pt idx="92">
                  <c:v>0.65554583454845938</c:v>
                </c:pt>
                <c:pt idx="93">
                  <c:v>0.66267133275007306</c:v>
                </c:pt>
                <c:pt idx="94">
                  <c:v>0.66979683095168663</c:v>
                </c:pt>
                <c:pt idx="95">
                  <c:v>0.67692232915330031</c:v>
                </c:pt>
                <c:pt idx="96">
                  <c:v>0.68404782735491398</c:v>
                </c:pt>
                <c:pt idx="97">
                  <c:v>0.69117332555652766</c:v>
                </c:pt>
                <c:pt idx="98">
                  <c:v>0.69829882375814134</c:v>
                </c:pt>
                <c:pt idx="99">
                  <c:v>0.70542432195975513</c:v>
                </c:pt>
                <c:pt idx="100">
                  <c:v>0.71254982016136881</c:v>
                </c:pt>
              </c:numCache>
            </c:numRef>
          </c:val>
          <c:smooth val="0"/>
          <c:extLst>
            <c:ext xmlns:c16="http://schemas.microsoft.com/office/drawing/2014/chart" uri="{C3380CC4-5D6E-409C-BE32-E72D297353CC}">
              <c16:uniqueId val="{00000000-877F-4FE3-8969-9219A667E0D5}"/>
            </c:ext>
          </c:extLst>
        </c:ser>
        <c:ser>
          <c:idx val="0"/>
          <c:order val="1"/>
          <c:tx>
            <c:v>VIN = 24V</c:v>
          </c:tx>
          <c:spPr>
            <a:ln w="28575">
              <a:solidFill>
                <a:srgbClr val="0000FF"/>
              </a:solidFill>
              <a:prstDash val="lgDash"/>
            </a:ln>
          </c:spPr>
          <c:marker>
            <c:symbol val="none"/>
          </c:marker>
          <c:cat>
            <c:numRef>
              <c:f>'Calculations - Single'!$AM$5:$AM$105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Single'!$AJ$5:$AJ$105</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0.1537950260993835</c:v>
                </c:pt>
                <c:pt idx="12">
                  <c:v>0.16063366584615629</c:v>
                </c:pt>
                <c:pt idx="13">
                  <c:v>0.1671928202807739</c:v>
                </c:pt>
                <c:pt idx="14">
                  <c:v>0.17350418929727232</c:v>
                </c:pt>
                <c:pt idx="15">
                  <c:v>0.17959389815349588</c:v>
                </c:pt>
                <c:pt idx="16">
                  <c:v>0.18548378043438948</c:v>
                </c:pt>
                <c:pt idx="17">
                  <c:v>0.19119230464246556</c:v>
                </c:pt>
                <c:pt idx="18">
                  <c:v>0.19673525841791017</c:v>
                </c:pt>
                <c:pt idx="19">
                  <c:v>0.20212626364484765</c:v>
                </c:pt>
                <c:pt idx="20">
                  <c:v>0.20737717088747021</c:v>
                </c:pt>
                <c:pt idx="21">
                  <c:v>0.2124983660067897</c:v>
                </c:pt>
                <c:pt idx="22">
                  <c:v>0.21749901173527228</c:v>
                </c:pt>
                <c:pt idx="23">
                  <c:v>0.22238724031761503</c:v>
                </c:pt>
                <c:pt idx="24">
                  <c:v>0.22717030881334208</c:v>
                </c:pt>
                <c:pt idx="25">
                  <c:v>0.23185472554298686</c:v>
                </c:pt>
                <c:pt idx="26">
                  <c:v>0.2364463539724779</c:v>
                </c:pt>
                <c:pt idx="27">
                  <c:v>0.24095049876923447</c:v>
                </c:pt>
                <c:pt idx="28">
                  <c:v>0.24537197763275131</c:v>
                </c:pt>
                <c:pt idx="29">
                  <c:v>0.24971518167238443</c:v>
                </c:pt>
                <c:pt idx="30">
                  <c:v>0.25398412648812624</c:v>
                </c:pt>
                <c:pt idx="31">
                  <c:v>0.25818249564639556</c:v>
                </c:pt>
                <c:pt idx="32">
                  <c:v>0.26231367789054694</c:v>
                </c:pt>
                <c:pt idx="33">
                  <c:v>0.26638079915551377</c:v>
                </c:pt>
                <c:pt idx="34">
                  <c:v>0.27038675024674325</c:v>
                </c:pt>
                <c:pt idx="35">
                  <c:v>0.27433421088019488</c:v>
                </c:pt>
                <c:pt idx="36">
                  <c:v>0.27822567065158421</c:v>
                </c:pt>
                <c:pt idx="37">
                  <c:v>0.28206344740109157</c:v>
                </c:pt>
                <c:pt idx="38">
                  <c:v>0.28584970335834342</c:v>
                </c:pt>
                <c:pt idx="39">
                  <c:v>0.28958645938703259</c:v>
                </c:pt>
                <c:pt idx="40">
                  <c:v>0.29327560759562332</c:v>
                </c:pt>
                <c:pt idx="41">
                  <c:v>0.296918922537528</c:v>
                </c:pt>
                <c:pt idx="42">
                  <c:v>0.30051807118892387</c:v>
                </c:pt>
                <c:pt idx="43">
                  <c:v>0.30407462186340983</c:v>
                </c:pt>
                <c:pt idx="44">
                  <c:v>0.30759005219876701</c:v>
                </c:pt>
                <c:pt idx="45">
                  <c:v>0.31106575633120526</c:v>
                </c:pt>
                <c:pt idx="46">
                  <c:v>0.31450305135589596</c:v>
                </c:pt>
                <c:pt idx="47">
                  <c:v>0.31790318315869986</c:v>
                </c:pt>
                <c:pt idx="48">
                  <c:v>0.32126733169231259</c:v>
                </c:pt>
                <c:pt idx="49">
                  <c:v>0.32459661576018162</c:v>
                </c:pt>
                <c:pt idx="50">
                  <c:v>0.3278920973631837</c:v>
                </c:pt>
                <c:pt idx="51">
                  <c:v>0.33115478565693729</c:v>
                </c:pt>
                <c:pt idx="52">
                  <c:v>0.33438564056154779</c:v>
                </c:pt>
                <c:pt idx="53">
                  <c:v>0.33758557606038381</c:v>
                </c:pt>
                <c:pt idx="54">
                  <c:v>0.34075546322001316</c:v>
                </c:pt>
                <c:pt idx="55">
                  <c:v>0.34389613295957588</c:v>
                </c:pt>
                <c:pt idx="56">
                  <c:v>0.34700837859454464</c:v>
                </c:pt>
                <c:pt idx="57">
                  <c:v>0.35009295817693814</c:v>
                </c:pt>
                <c:pt idx="58">
                  <c:v>0.35315059665154741</c:v>
                </c:pt>
                <c:pt idx="59">
                  <c:v>0.35618198784555133</c:v>
                </c:pt>
                <c:pt idx="60">
                  <c:v>0.35918779630699177</c:v>
                </c:pt>
                <c:pt idx="61">
                  <c:v>0.36216865900590789</c:v>
                </c:pt>
                <c:pt idx="62">
                  <c:v>0.36512518691046514</c:v>
                </c:pt>
                <c:pt idx="63">
                  <c:v>0.36805796644912692</c:v>
                </c:pt>
                <c:pt idx="64">
                  <c:v>0.37096756086877897</c:v>
                </c:pt>
                <c:pt idx="65">
                  <c:v>0.37385451149771592</c:v>
                </c:pt>
                <c:pt idx="66">
                  <c:v>0.3767193389215111</c:v>
                </c:pt>
                <c:pt idx="67">
                  <c:v>0.37956254407900275</c:v>
                </c:pt>
                <c:pt idx="68">
                  <c:v>0.38238460928493112</c:v>
                </c:pt>
                <c:pt idx="69">
                  <c:v>0.38518599918513907</c:v>
                </c:pt>
                <c:pt idx="70">
                  <c:v>0.3879671616496923</c:v>
                </c:pt>
                <c:pt idx="71">
                  <c:v>0.3907285286087811</c:v>
                </c:pt>
                <c:pt idx="72">
                  <c:v>0.39347051683582035</c:v>
                </c:pt>
                <c:pt idx="73">
                  <c:v>0.3961935286817696</c:v>
                </c:pt>
                <c:pt idx="74">
                  <c:v>0.39889795276433382</c:v>
                </c:pt>
                <c:pt idx="75">
                  <c:v>0.40158416461539076</c:v>
                </c:pt>
                <c:pt idx="76">
                  <c:v>0.4042525272896953</c:v>
                </c:pt>
                <c:pt idx="77">
                  <c:v>0.40690339193765684</c:v>
                </c:pt>
                <c:pt idx="78">
                  <c:v>0.409537098344747</c:v>
                </c:pt>
                <c:pt idx="79">
                  <c:v>0.4121539754398828</c:v>
                </c:pt>
                <c:pt idx="80">
                  <c:v>0.41475434177494042</c:v>
                </c:pt>
                <c:pt idx="81">
                  <c:v>0.41733850597737632</c:v>
                </c:pt>
                <c:pt idx="82">
                  <c:v>0.41990676717777858</c:v>
                </c:pt>
                <c:pt idx="83">
                  <c:v>0.42245941541402254</c:v>
                </c:pt>
                <c:pt idx="84">
                  <c:v>0.4249967320135794</c:v>
                </c:pt>
                <c:pt idx="85">
                  <c:v>0.42751898995540161</c:v>
                </c:pt>
                <c:pt idx="86">
                  <c:v>0.43002645421270463</c:v>
                </c:pt>
                <c:pt idx="87">
                  <c:v>0.43251938207786239</c:v>
                </c:pt>
                <c:pt idx="88">
                  <c:v>0.43499802347054456</c:v>
                </c:pt>
                <c:pt idx="89">
                  <c:v>0.43746262123014007</c:v>
                </c:pt>
                <c:pt idx="90">
                  <c:v>0.43991341139343493</c:v>
                </c:pt>
                <c:pt idx="91">
                  <c:v>0.442350623458444</c:v>
                </c:pt>
                <c:pt idx="92">
                  <c:v>0.44477448063523006</c:v>
                </c:pt>
                <c:pt idx="93">
                  <c:v>0.44718520008448759</c:v>
                </c:pt>
                <c:pt idx="94">
                  <c:v>0.44958299314461142</c:v>
                </c:pt>
                <c:pt idx="95">
                  <c:v>0.45196806554792374</c:v>
                </c:pt>
                <c:pt idx="96">
                  <c:v>0.45434061762668415</c:v>
                </c:pt>
                <c:pt idx="97">
                  <c:v>0.45670084450946813</c:v>
                </c:pt>
                <c:pt idx="98">
                  <c:v>0.45904893630845717</c:v>
                </c:pt>
                <c:pt idx="99">
                  <c:v>0.46138507829815051</c:v>
                </c:pt>
                <c:pt idx="100">
                  <c:v>0.46370945108597372</c:v>
                </c:pt>
              </c:numCache>
            </c:numRef>
          </c:val>
          <c:smooth val="1"/>
          <c:extLst>
            <c:ext xmlns:c16="http://schemas.microsoft.com/office/drawing/2014/chart" uri="{C3380CC4-5D6E-409C-BE32-E72D297353CC}">
              <c16:uniqueId val="{00000001-877F-4FE3-8969-9219A667E0D5}"/>
            </c:ext>
          </c:extLst>
        </c:ser>
        <c:ser>
          <c:idx val="2"/>
          <c:order val="2"/>
          <c:tx>
            <c:v>VIN = 36V</c:v>
          </c:tx>
          <c:spPr>
            <a:ln>
              <a:solidFill>
                <a:srgbClr val="FF0000"/>
              </a:solidFill>
              <a:prstDash val="solid"/>
            </a:ln>
          </c:spPr>
          <c:marker>
            <c:symbol val="none"/>
          </c:marker>
          <c:val>
            <c:numRef>
              <c:f>'Calculations - Single'!$AJ$216:$AJ$316</c:f>
              <c:numCache>
                <c:formatCode>0.000</c:formatCode>
                <c:ptCount val="101"/>
                <c:pt idx="0">
                  <c:v>0.15</c:v>
                </c:pt>
                <c:pt idx="1">
                  <c:v>0.15</c:v>
                </c:pt>
                <c:pt idx="2">
                  <c:v>0.15</c:v>
                </c:pt>
                <c:pt idx="3">
                  <c:v>0.15</c:v>
                </c:pt>
                <c:pt idx="4">
                  <c:v>0.15</c:v>
                </c:pt>
                <c:pt idx="5">
                  <c:v>0.15</c:v>
                </c:pt>
                <c:pt idx="6">
                  <c:v>0.15</c:v>
                </c:pt>
                <c:pt idx="7">
                  <c:v>0.15</c:v>
                </c:pt>
                <c:pt idx="8">
                  <c:v>0.15</c:v>
                </c:pt>
                <c:pt idx="9">
                  <c:v>0.15</c:v>
                </c:pt>
                <c:pt idx="10">
                  <c:v>0.15</c:v>
                </c:pt>
                <c:pt idx="11">
                  <c:v>0.15</c:v>
                </c:pt>
                <c:pt idx="12">
                  <c:v>0.15239047589287574</c:v>
                </c:pt>
                <c:pt idx="13">
                  <c:v>0.15861303615433142</c:v>
                </c:pt>
                <c:pt idx="14">
                  <c:v>0.16460052652811696</c:v>
                </c:pt>
                <c:pt idx="15">
                  <c:v>0.17037773161000655</c:v>
                </c:pt>
                <c:pt idx="16">
                  <c:v>0.17596536455737397</c:v>
                </c:pt>
                <c:pt idx="17">
                  <c:v>0.18138094613009281</c:v>
                </c:pt>
                <c:pt idx="18">
                  <c:v>0.18663945379872315</c:v>
                </c:pt>
                <c:pt idx="19">
                  <c:v>0.19175381041722173</c:v>
                </c:pt>
                <c:pt idx="20">
                  <c:v>0.19673525841791023</c:v>
                </c:pt>
                <c:pt idx="21">
                  <c:v>0.20159365069366644</c:v>
                </c:pt>
                <c:pt idx="22">
                  <c:v>0.20633767977574552</c:v>
                </c:pt>
                <c:pt idx="23">
                  <c:v>0.21097506058886722</c:v>
                </c:pt>
                <c:pt idx="24">
                  <c:v>0.21551267778419508</c:v>
                </c:pt>
                <c:pt idx="25">
                  <c:v>0.21995670569671746</c:v>
                </c:pt>
                <c:pt idx="26">
                  <c:v>0.22431270689862953</c:v>
                </c:pt>
                <c:pt idx="27">
                  <c:v>0.22858571383931364</c:v>
                </c:pt>
                <c:pt idx="28">
                  <c:v>0.23278029698981542</c:v>
                </c:pt>
                <c:pt idx="29">
                  <c:v>0.23690062212224086</c:v>
                </c:pt>
                <c:pt idx="30">
                  <c:v>0.24095049876923447</c:v>
                </c:pt>
                <c:pt idx="31">
                  <c:v>0.24493342146873495</c:v>
                </c:pt>
                <c:pt idx="32">
                  <c:v>0.24885260506496421</c:v>
                </c:pt>
                <c:pt idx="33">
                  <c:v>0.25271101508018434</c:v>
                </c:pt>
                <c:pt idx="34">
                  <c:v>0.25651139397324096</c:v>
                </c:pt>
                <c:pt idx="35">
                  <c:v>0.26025628394590844</c:v>
                </c:pt>
                <c:pt idx="36">
                  <c:v>0.26394804683606093</c:v>
                </c:pt>
                <c:pt idx="37">
                  <c:v>0.26758888153996518</c:v>
                </c:pt>
                <c:pt idx="38">
                  <c:v>0.27118083932875425</c:v>
                </c:pt>
                <c:pt idx="39">
                  <c:v>0.27472583736206124</c:v>
                </c:pt>
                <c:pt idx="40">
                  <c:v>0.27822567065158427</c:v>
                </c:pt>
                <c:pt idx="41">
                  <c:v>0.28168202268650711</c:v>
                </c:pt>
                <c:pt idx="42">
                  <c:v>0.28509647489928741</c:v>
                </c:pt>
                <c:pt idx="43">
                  <c:v>0.2884705151228425</c:v>
                </c:pt>
                <c:pt idx="44">
                  <c:v>0.29180554516745599</c:v>
                </c:pt>
                <c:pt idx="45">
                  <c:v>0.29510288762686532</c:v>
                </c:pt>
                <c:pt idx="46">
                  <c:v>0.29836379200726149</c:v>
                </c:pt>
                <c:pt idx="47">
                  <c:v>0.30158944025975193</c:v>
                </c:pt>
                <c:pt idx="48">
                  <c:v>0.30478095178575149</c:v>
                </c:pt>
                <c:pt idx="49">
                  <c:v>0.30793938797540443</c:v>
                </c:pt>
                <c:pt idx="50">
                  <c:v>0.31106575633120526</c:v>
                </c:pt>
                <c:pt idx="51">
                  <c:v>0.31416101422223425</c:v>
                </c:pt>
                <c:pt idx="52">
                  <c:v>0.31722607230866284</c:v>
                </c:pt>
                <c:pt idx="53">
                  <c:v>0.32026179767124746</c:v>
                </c:pt>
                <c:pt idx="54">
                  <c:v>0.32326901667629265</c:v>
                </c:pt>
                <c:pt idx="55">
                  <c:v>0.32624851760290846</c:v>
                </c:pt>
                <c:pt idx="56">
                  <c:v>0.32920105305623393</c:v>
                </c:pt>
                <c:pt idx="57">
                  <c:v>0.33212734218755829</c:v>
                </c:pt>
                <c:pt idx="58">
                  <c:v>0.33502807273989671</c:v>
                </c:pt>
                <c:pt idx="59">
                  <c:v>0.33790390293550565</c:v>
                </c:pt>
                <c:pt idx="60">
                  <c:v>0.3407554632200131</c:v>
                </c:pt>
                <c:pt idx="61">
                  <c:v>0.3435833578762566</c:v>
                </c:pt>
                <c:pt idx="62">
                  <c:v>0.34638816651953042</c:v>
                </c:pt>
                <c:pt idx="63">
                  <c:v>0.34917044548472315</c:v>
                </c:pt>
                <c:pt idx="64">
                  <c:v>0.35193072911474793</c:v>
                </c:pt>
                <c:pt idx="65">
                  <c:v>0.35466953095871684</c:v>
                </c:pt>
                <c:pt idx="66">
                  <c:v>0.35738734488746843</c:v>
                </c:pt>
                <c:pt idx="67">
                  <c:v>0.36008464613331181</c:v>
                </c:pt>
                <c:pt idx="68">
                  <c:v>0.36276189226018563</c:v>
                </c:pt>
                <c:pt idx="69">
                  <c:v>0.36541952406984024</c:v>
                </c:pt>
                <c:pt idx="70">
                  <c:v>0.36805796644912692</c:v>
                </c:pt>
                <c:pt idx="71">
                  <c:v>0.37067762916300295</c:v>
                </c:pt>
                <c:pt idx="72">
                  <c:v>0.37327890759744631</c:v>
                </c:pt>
                <c:pt idx="73">
                  <c:v>0.37586218345609201</c:v>
                </c:pt>
                <c:pt idx="74">
                  <c:v>0.37842782541406633</c:v>
                </c:pt>
                <c:pt idx="75">
                  <c:v>0.38097618973218939</c:v>
                </c:pt>
                <c:pt idx="76">
                  <c:v>0.38350762083444345</c:v>
                </c:pt>
                <c:pt idx="77">
                  <c:v>0.38602245185135714</c:v>
                </c:pt>
                <c:pt idx="78">
                  <c:v>0.38852100513173216</c:v>
                </c:pt>
                <c:pt idx="79">
                  <c:v>0.39100359272493845</c:v>
                </c:pt>
                <c:pt idx="80">
                  <c:v>0.39347051683582046</c:v>
                </c:pt>
                <c:pt idx="81">
                  <c:v>0.39592207025409148</c:v>
                </c:pt>
                <c:pt idx="82">
                  <c:v>0.3983585367599442</c:v>
                </c:pt>
                <c:pt idx="83">
                  <c:v>0.40078019150746697</c:v>
                </c:pt>
                <c:pt idx="84">
                  <c:v>0.40318730138733289</c:v>
                </c:pt>
                <c:pt idx="85">
                  <c:v>0.4055801253701149</c:v>
                </c:pt>
                <c:pt idx="86">
                  <c:v>0.40795891483147689</c:v>
                </c:pt>
                <c:pt idx="87">
                  <c:v>0.41032391386039679</c:v>
                </c:pt>
                <c:pt idx="88">
                  <c:v>0.41267535955149104</c:v>
                </c:pt>
                <c:pt idx="89">
                  <c:v>0.41501348228243201</c:v>
                </c:pt>
                <c:pt idx="90">
                  <c:v>0.41733850597737632</c:v>
                </c:pt>
                <c:pt idx="91">
                  <c:v>0.41965064835725763</c:v>
                </c:pt>
                <c:pt idx="92">
                  <c:v>0.42195012117773445</c:v>
                </c:pt>
                <c:pt idx="93">
                  <c:v>0.42423713045553058</c:v>
                </c:pt>
                <c:pt idx="94">
                  <c:v>0.42651187668385154</c:v>
                </c:pt>
                <c:pt idx="95">
                  <c:v>0.4287745550375151</c:v>
                </c:pt>
                <c:pt idx="96">
                  <c:v>0.43102535556839017</c:v>
                </c:pt>
                <c:pt idx="97">
                  <c:v>0.43326446339169711</c:v>
                </c:pt>
                <c:pt idx="98">
                  <c:v>0.43549205886368736</c:v>
                </c:pt>
                <c:pt idx="99">
                  <c:v>0.43770831775118396</c:v>
                </c:pt>
                <c:pt idx="100">
                  <c:v>0.43991341139343493</c:v>
                </c:pt>
              </c:numCache>
            </c:numRef>
          </c:val>
          <c:smooth val="1"/>
          <c:extLst>
            <c:ext xmlns:c16="http://schemas.microsoft.com/office/drawing/2014/chart" uri="{C3380CC4-5D6E-409C-BE32-E72D297353CC}">
              <c16:uniqueId val="{00000002-877F-4FE3-8969-9219A667E0D5}"/>
            </c:ext>
          </c:extLst>
        </c:ser>
        <c:dLbls>
          <c:showLegendKey val="0"/>
          <c:showVal val="0"/>
          <c:showCatName val="0"/>
          <c:showSerName val="0"/>
          <c:showPercent val="0"/>
          <c:showBubbleSize val="0"/>
        </c:dLbls>
        <c:smooth val="0"/>
        <c:axId val="179032448"/>
        <c:axId val="179034368"/>
      </c:lineChart>
      <c:catAx>
        <c:axId val="179032448"/>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3000893709351745"/>
              <c:y val="0.94367744859545111"/>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79034368"/>
        <c:crosses val="autoZero"/>
        <c:auto val="1"/>
        <c:lblAlgn val="ctr"/>
        <c:lblOffset val="100"/>
        <c:tickLblSkip val="20"/>
        <c:tickMarkSkip val="10"/>
        <c:noMultiLvlLbl val="0"/>
      </c:catAx>
      <c:valAx>
        <c:axId val="179034368"/>
        <c:scaling>
          <c:orientation val="minMax"/>
          <c:max val="1.4"/>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Peak Primary Current (A)</a:t>
                </a:r>
              </a:p>
            </c:rich>
          </c:tx>
          <c:layout>
            <c:manualLayout>
              <c:xMode val="edge"/>
              <c:yMode val="edge"/>
              <c:x val="1.5889339002412163E-2"/>
              <c:y val="0.26208107274429915"/>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79032448"/>
        <c:crossesAt val="0"/>
        <c:crossBetween val="between"/>
        <c:majorUnit val="0.2"/>
        <c:minorUnit val="0.1"/>
      </c:valAx>
      <c:spPr>
        <a:solidFill>
          <a:srgbClr val="FFFFFF"/>
        </a:solidFill>
        <a:ln w="25400">
          <a:noFill/>
        </a:ln>
      </c:spPr>
    </c:plotArea>
    <c:legend>
      <c:legendPos val="tr"/>
      <c:layout>
        <c:manualLayout>
          <c:xMode val="edge"/>
          <c:yMode val="edge"/>
          <c:x val="0.73589084038576502"/>
          <c:y val="0.66865627288406981"/>
          <c:w val="0.19764373891878054"/>
          <c:h val="0.17556628247792619"/>
        </c:manualLayout>
      </c:layout>
      <c:overlay val="0"/>
      <c:spPr>
        <a:solidFill>
          <a:srgbClr val="FFFFFF"/>
        </a:solidFill>
        <a:ln w="25400">
          <a:noFill/>
        </a:ln>
      </c:spPr>
      <c:txPr>
        <a:bodyPr/>
        <a:lstStyle/>
        <a:p>
          <a:pPr>
            <a:defRPr sz="14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93009796772281"/>
          <c:y val="9.6043598935517463E-2"/>
          <c:w val="0.79387547420256122"/>
          <c:h val="0.75083975467433728"/>
        </c:manualLayout>
      </c:layout>
      <c:lineChart>
        <c:grouping val="standard"/>
        <c:varyColors val="0"/>
        <c:ser>
          <c:idx val="9"/>
          <c:order val="9"/>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337.71629421037835</c:v>
                </c:pt>
                <c:pt idx="25">
                  <c:v>324.20764244196323</c:v>
                </c:pt>
                <c:pt idx="26">
                  <c:v>311.73811773265697</c:v>
                </c:pt>
                <c:pt idx="27">
                  <c:v>300.19226152033627</c:v>
                </c:pt>
                <c:pt idx="28">
                  <c:v>289.47110932318151</c:v>
                </c:pt>
                <c:pt idx="29">
                  <c:v>279.48934693272685</c:v>
                </c:pt>
                <c:pt idx="30">
                  <c:v>270.17303536830269</c:v>
                </c:pt>
                <c:pt idx="31">
                  <c:v>261.45777616287359</c:v>
                </c:pt>
                <c:pt idx="32">
                  <c:v>253.28722065778376</c:v>
                </c:pt>
                <c:pt idx="33">
                  <c:v>245.61185033482056</c:v>
                </c:pt>
                <c:pt idx="34">
                  <c:v>238.38797238379647</c:v>
                </c:pt>
                <c:pt idx="35">
                  <c:v>231.5768874585452</c:v>
                </c:pt>
                <c:pt idx="36">
                  <c:v>225.14419614025226</c:v>
                </c:pt>
                <c:pt idx="37">
                  <c:v>219.0592178661914</c:v>
                </c:pt>
                <c:pt idx="38">
                  <c:v>213.29450160655472</c:v>
                </c:pt>
                <c:pt idx="39">
                  <c:v>207.82541182177124</c:v>
                </c:pt>
                <c:pt idx="40">
                  <c:v>202.62977652622695</c:v>
                </c:pt>
                <c:pt idx="41">
                  <c:v>197.68758685485565</c:v>
                </c:pt>
                <c:pt idx="42">
                  <c:v>192.98073954878765</c:v>
                </c:pt>
                <c:pt idx="43">
                  <c:v>188.49281537323441</c:v>
                </c:pt>
                <c:pt idx="44">
                  <c:v>184.20888775111547</c:v>
                </c:pt>
                <c:pt idx="45">
                  <c:v>180.1153569122018</c:v>
                </c:pt>
                <c:pt idx="46">
                  <c:v>176.19980567497998</c:v>
                </c:pt>
                <c:pt idx="47">
                  <c:v>172.45087363934218</c:v>
                </c:pt>
                <c:pt idx="48">
                  <c:v>168.85814710518918</c:v>
                </c:pt>
                <c:pt idx="49">
                  <c:v>165.41206247038946</c:v>
                </c:pt>
                <c:pt idx="50">
                  <c:v>162.10382122098162</c:v>
                </c:pt>
                <c:pt idx="51">
                  <c:v>158.92531492253096</c:v>
                </c:pt>
                <c:pt idx="52">
                  <c:v>155.86905886632849</c:v>
                </c:pt>
                <c:pt idx="53">
                  <c:v>152.92813322734114</c:v>
                </c:pt>
                <c:pt idx="54">
                  <c:v>150.09613076016814</c:v>
                </c:pt>
                <c:pt idx="55">
                  <c:v>147.36711020089237</c:v>
                </c:pt>
                <c:pt idx="56">
                  <c:v>144.73555466159075</c:v>
                </c:pt>
                <c:pt idx="57">
                  <c:v>142.19633440436988</c:v>
                </c:pt>
                <c:pt idx="58">
                  <c:v>139.74467346636342</c:v>
                </c:pt>
                <c:pt idx="59">
                  <c:v>138.23386786021658</c:v>
                </c:pt>
                <c:pt idx="60">
                  <c:v>137.52562850808701</c:v>
                </c:pt>
                <c:pt idx="61">
                  <c:v>136.82498487647121</c:v>
                </c:pt>
                <c:pt idx="62">
                  <c:v>136.13181542332944</c:v>
                </c:pt>
                <c:pt idx="63">
                  <c:v>135.44600118598524</c:v>
                </c:pt>
                <c:pt idx="64">
                  <c:v>134.76742571306258</c:v>
                </c:pt>
                <c:pt idx="65">
                  <c:v>134.09597499856682</c:v>
                </c:pt>
                <c:pt idx="66">
                  <c:v>133.43153741803127</c:v>
                </c:pt>
                <c:pt idx="67">
                  <c:v>132.77400366665407</c:v>
                </c:pt>
                <c:pt idx="68">
                  <c:v>132.12326669935348</c:v>
                </c:pt>
                <c:pt idx="69">
                  <c:v>131.47922167267271</c:v>
                </c:pt>
                <c:pt idx="70">
                  <c:v>130.84176588846742</c:v>
                </c:pt>
                <c:pt idx="71">
                  <c:v>130.21079873931339</c:v>
                </c:pt>
                <c:pt idx="72">
                  <c:v>129.58622165557236</c:v>
                </c:pt>
                <c:pt idx="73">
                  <c:v>128.96793805405829</c:v>
                </c:pt>
                <c:pt idx="74">
                  <c:v>128.35585328824763</c:v>
                </c:pt>
                <c:pt idx="75">
                  <c:v>127.74987459997938</c:v>
                </c:pt>
                <c:pt idx="76">
                  <c:v>127.14991107259397</c:v>
                </c:pt>
                <c:pt idx="77">
                  <c:v>126.55587358546002</c:v>
                </c:pt>
                <c:pt idx="78">
                  <c:v>125.96767476984294</c:v>
                </c:pt>
                <c:pt idx="79">
                  <c:v>125.38522896606736</c:v>
                </c:pt>
                <c:pt idx="80">
                  <c:v>124.80845218193116</c:v>
                </c:pt>
                <c:pt idx="81">
                  <c:v>124.23726205232762</c:v>
                </c:pt>
                <c:pt idx="82">
                  <c:v>123.67157780003512</c:v>
                </c:pt>
                <c:pt idx="83">
                  <c:v>123.11132019763561</c:v>
                </c:pt>
                <c:pt idx="84">
                  <c:v>122.55641153052338</c:v>
                </c:pt>
                <c:pt idx="85">
                  <c:v>122.00677556096856</c:v>
                </c:pt>
                <c:pt idx="86">
                  <c:v>121.46233749320025</c:v>
                </c:pt>
                <c:pt idx="87">
                  <c:v>120.92302393947537</c:v>
                </c:pt>
                <c:pt idx="88">
                  <c:v>120.38876288710122</c:v>
                </c:pt>
                <c:pt idx="89">
                  <c:v>119.85948366638073</c:v>
                </c:pt>
                <c:pt idx="90">
                  <c:v>119.33511691945003</c:v>
                </c:pt>
                <c:pt idx="91">
                  <c:v>118.81559456997987</c:v>
                </c:pt>
                <c:pt idx="92">
                  <c:v>118.30084979371276</c:v>
                </c:pt>
                <c:pt idx="93">
                  <c:v>117.79081698980937</c:v>
                </c:pt>
                <c:pt idx="94">
                  <c:v>117.28543175297827</c:v>
                </c:pt>
                <c:pt idx="95">
                  <c:v>116.78463084636381</c:v>
                </c:pt>
                <c:pt idx="96">
                  <c:v>116.28835217516885</c:v>
                </c:pt>
                <c:pt idx="97">
                  <c:v>115.79653476098854</c:v>
                </c:pt>
                <c:pt idx="98">
                  <c:v>115.3091187168333</c:v>
                </c:pt>
                <c:pt idx="99">
                  <c:v>114.82604522281943</c:v>
                </c:pt>
                <c:pt idx="100">
                  <c:v>114.34725650250647</c:v>
                </c:pt>
              </c:numCache>
            </c:numRef>
          </c:val>
          <c:smooth val="0"/>
          <c:extLst>
            <c:ext xmlns:c16="http://schemas.microsoft.com/office/drawing/2014/chart" uri="{C3380CC4-5D6E-409C-BE32-E72D297353CC}">
              <c16:uniqueId val="{00000000-14F3-419D-9DFA-2B2F062C7EC1}"/>
            </c:ext>
          </c:extLst>
        </c:ser>
        <c:ser>
          <c:idx val="10"/>
          <c:order val="10"/>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350</c:v>
                </c:pt>
                <c:pt idx="55">
                  <c:v>350</c:v>
                </c:pt>
                <c:pt idx="56">
                  <c:v>350</c:v>
                </c:pt>
                <c:pt idx="57">
                  <c:v>350</c:v>
                </c:pt>
                <c:pt idx="58">
                  <c:v>350</c:v>
                </c:pt>
                <c:pt idx="59">
                  <c:v>350</c:v>
                </c:pt>
                <c:pt idx="60">
                  <c:v>350</c:v>
                </c:pt>
                <c:pt idx="61">
                  <c:v>346.97267897241881</c:v>
                </c:pt>
                <c:pt idx="62">
                  <c:v>341.37634544060546</c:v>
                </c:pt>
                <c:pt idx="63">
                  <c:v>335.95767329075471</c:v>
                </c:pt>
                <c:pt idx="64">
                  <c:v>330.70833464558655</c:v>
                </c:pt>
                <c:pt idx="65">
                  <c:v>325.62051411257761</c:v>
                </c:pt>
                <c:pt idx="66">
                  <c:v>320.68686995935667</c:v>
                </c:pt>
                <c:pt idx="67">
                  <c:v>315.90049876593349</c:v>
                </c:pt>
                <c:pt idx="68">
                  <c:v>311.25490319584611</c:v>
                </c:pt>
                <c:pt idx="69">
                  <c:v>306.74396256981947</c:v>
                </c:pt>
                <c:pt idx="70">
                  <c:v>302.36190596167927</c:v>
                </c:pt>
                <c:pt idx="71">
                  <c:v>298.10328756785276</c:v>
                </c:pt>
                <c:pt idx="72">
                  <c:v>293.9629641294103</c:v>
                </c:pt>
                <c:pt idx="73">
                  <c:v>289.93607420982931</c:v>
                </c:pt>
                <c:pt idx="74">
                  <c:v>286.01801915293981</c:v>
                </c:pt>
                <c:pt idx="75">
                  <c:v>282.20444556423388</c:v>
                </c:pt>
                <c:pt idx="76">
                  <c:v>278.49122917523073</c:v>
                </c:pt>
                <c:pt idx="77">
                  <c:v>274.87445996516288</c:v>
                </c:pt>
                <c:pt idx="78">
                  <c:v>271.3504284271479</c:v>
                </c:pt>
                <c:pt idx="79">
                  <c:v>267.91561287743718</c:v>
                </c:pt>
                <c:pt idx="80">
                  <c:v>264.56666771646923</c:v>
                </c:pt>
                <c:pt idx="81">
                  <c:v>261.30041255947583</c:v>
                </c:pt>
                <c:pt idx="82">
                  <c:v>258.11382216240906</c:v>
                </c:pt>
                <c:pt idx="83">
                  <c:v>255.00401707611491</c:v>
                </c:pt>
                <c:pt idx="84">
                  <c:v>251.96825496806596</c:v>
                </c:pt>
                <c:pt idx="85">
                  <c:v>249.00392255667694</c:v>
                </c:pt>
                <c:pt idx="86">
                  <c:v>246.10852810834353</c:v>
                </c:pt>
                <c:pt idx="87">
                  <c:v>243.27969445192574</c:v>
                </c:pt>
                <c:pt idx="88">
                  <c:v>240.51515246951749</c:v>
                </c:pt>
                <c:pt idx="89">
                  <c:v>237.81273502603977</c:v>
                </c:pt>
                <c:pt idx="90">
                  <c:v>235.1703713035283</c:v>
                </c:pt>
                <c:pt idx="91">
                  <c:v>232.58608150898394</c:v>
                </c:pt>
                <c:pt idx="92">
                  <c:v>230.05797192736458</c:v>
                </c:pt>
                <c:pt idx="93">
                  <c:v>227.58423029373699</c:v>
                </c:pt>
                <c:pt idx="94">
                  <c:v>225.1631214608249</c:v>
                </c:pt>
                <c:pt idx="95">
                  <c:v>223.40194653126011</c:v>
                </c:pt>
                <c:pt idx="96">
                  <c:v>222.2569941173503</c:v>
                </c:pt>
                <c:pt idx="97">
                  <c:v>221.124093456552</c:v>
                </c:pt>
                <c:pt idx="98">
                  <c:v>220.00305526021279</c:v>
                </c:pt>
                <c:pt idx="99">
                  <c:v>218.8936941830716</c:v>
                </c:pt>
                <c:pt idx="100">
                  <c:v>217.79582872110146</c:v>
                </c:pt>
              </c:numCache>
            </c:numRef>
          </c:val>
          <c:smooth val="0"/>
          <c:extLst>
            <c:ext xmlns:c16="http://schemas.microsoft.com/office/drawing/2014/chart" uri="{C3380CC4-5D6E-409C-BE32-E72D297353CC}">
              <c16:uniqueId val="{00000001-14F3-419D-9DFA-2B2F062C7EC1}"/>
            </c:ext>
          </c:extLst>
        </c:ser>
        <c:ser>
          <c:idx val="11"/>
          <c:order val="11"/>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350</c:v>
                </c:pt>
                <c:pt idx="55">
                  <c:v>350</c:v>
                </c:pt>
                <c:pt idx="56">
                  <c:v>350</c:v>
                </c:pt>
                <c:pt idx="57">
                  <c:v>350</c:v>
                </c:pt>
                <c:pt idx="58">
                  <c:v>350</c:v>
                </c:pt>
                <c:pt idx="59">
                  <c:v>350</c:v>
                </c:pt>
                <c:pt idx="60">
                  <c:v>350</c:v>
                </c:pt>
                <c:pt idx="61">
                  <c:v>350</c:v>
                </c:pt>
                <c:pt idx="62">
                  <c:v>350</c:v>
                </c:pt>
                <c:pt idx="63">
                  <c:v>350</c:v>
                </c:pt>
                <c:pt idx="64">
                  <c:v>347.1715749576652</c:v>
                </c:pt>
                <c:pt idx="65">
                  <c:v>341.83047380447039</c:v>
                </c:pt>
                <c:pt idx="66">
                  <c:v>336.65122420137232</c:v>
                </c:pt>
                <c:pt idx="67">
                  <c:v>331.62657906403837</c:v>
                </c:pt>
                <c:pt idx="68">
                  <c:v>326.74971760721434</c:v>
                </c:pt>
                <c:pt idx="69">
                  <c:v>322.01421445348649</c:v>
                </c:pt>
                <c:pt idx="70">
                  <c:v>317.41401138986538</c:v>
                </c:pt>
                <c:pt idx="71">
                  <c:v>312.94339151113479</c:v>
                </c:pt>
                <c:pt idx="72">
                  <c:v>308.5969555179247</c:v>
                </c:pt>
                <c:pt idx="73">
                  <c:v>304.36959996288454</c:v>
                </c:pt>
                <c:pt idx="74">
                  <c:v>300.25649726068343</c:v>
                </c:pt>
                <c:pt idx="75">
                  <c:v>296.2530772972076</c:v>
                </c:pt>
                <c:pt idx="76">
                  <c:v>292.35501049066539</c:v>
                </c:pt>
                <c:pt idx="77">
                  <c:v>288.55819217260489</c:v>
                </c:pt>
                <c:pt idx="78">
                  <c:v>284.85872817039188</c:v>
                </c:pt>
                <c:pt idx="79">
                  <c:v>281.25292148469077</c:v>
                </c:pt>
                <c:pt idx="80">
                  <c:v>277.73725996613206</c:v>
                </c:pt>
                <c:pt idx="81">
                  <c:v>274.30840490482188</c:v>
                </c:pt>
                <c:pt idx="82">
                  <c:v>270.96318045476306</c:v>
                </c:pt>
                <c:pt idx="83">
                  <c:v>267.69856382277794</c:v>
                </c:pt>
                <c:pt idx="84">
                  <c:v>264.51167615822112</c:v>
                </c:pt>
                <c:pt idx="85">
                  <c:v>261.39977408577141</c:v>
                </c:pt>
                <c:pt idx="86">
                  <c:v>258.36024182896017</c:v>
                </c:pt>
                <c:pt idx="87">
                  <c:v>255.39058387690312</c:v>
                </c:pt>
                <c:pt idx="88">
                  <c:v>252.48841815102924</c:v>
                </c:pt>
                <c:pt idx="89">
                  <c:v>249.65146963247832</c:v>
                </c:pt>
                <c:pt idx="90">
                  <c:v>246.87756441433967</c:v>
                </c:pt>
                <c:pt idx="91">
                  <c:v>244.16462414605013</c:v>
                </c:pt>
                <c:pt idx="92">
                  <c:v>241.51066084011495</c:v>
                </c:pt>
                <c:pt idx="93">
                  <c:v>238.91377201387704</c:v>
                </c:pt>
                <c:pt idx="94">
                  <c:v>236.37213614138909</c:v>
                </c:pt>
                <c:pt idx="95">
                  <c:v>233.88400839253237</c:v>
                </c:pt>
                <c:pt idx="96">
                  <c:v>231.44771663844344</c:v>
                </c:pt>
                <c:pt idx="97">
                  <c:v>229.27722742938724</c:v>
                </c:pt>
                <c:pt idx="98">
                  <c:v>228.10007938775817</c:v>
                </c:pt>
                <c:pt idx="99">
                  <c:v>226.93533391964397</c:v>
                </c:pt>
                <c:pt idx="100">
                  <c:v>225.78279603972706</c:v>
                </c:pt>
              </c:numCache>
            </c:numRef>
          </c:val>
          <c:smooth val="0"/>
          <c:extLst>
            <c:ext xmlns:c16="http://schemas.microsoft.com/office/drawing/2014/chart" uri="{C3380CC4-5D6E-409C-BE32-E72D297353CC}">
              <c16:uniqueId val="{00000002-14F3-419D-9DFA-2B2F062C7EC1}"/>
            </c:ext>
          </c:extLst>
        </c:ser>
        <c:ser>
          <c:idx val="12"/>
          <c:order val="12"/>
          <c:spPr>
            <a:ln>
              <a:noFill/>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139.74467346636342</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14F3-419D-9DFA-2B2F062C7EC1}"/>
            </c:ext>
          </c:extLst>
        </c:ser>
        <c:ser>
          <c:idx val="13"/>
          <c:order val="13"/>
          <c:spPr>
            <a:ln>
              <a:noFill/>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14F3-419D-9DFA-2B2F062C7EC1}"/>
            </c:ext>
          </c:extLst>
        </c:ser>
        <c:ser>
          <c:idx val="14"/>
          <c:order val="14"/>
          <c:spPr>
            <a:ln>
              <a:noFill/>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229.27722742938724</c:v>
                </c:pt>
                <c:pt idx="98">
                  <c:v>-50</c:v>
                </c:pt>
                <c:pt idx="99">
                  <c:v>-50</c:v>
                </c:pt>
                <c:pt idx="100">
                  <c:v>-50</c:v>
                </c:pt>
              </c:numCache>
            </c:numRef>
          </c:val>
          <c:smooth val="0"/>
          <c:extLst>
            <c:ext xmlns:c16="http://schemas.microsoft.com/office/drawing/2014/chart" uri="{C3380CC4-5D6E-409C-BE32-E72D297353CC}">
              <c16:uniqueId val="{00000005-14F3-419D-9DFA-2B2F062C7EC1}"/>
            </c:ext>
          </c:extLst>
        </c:ser>
        <c:ser>
          <c:idx val="15"/>
          <c:order val="15"/>
          <c:tx>
            <c:v>D1</c:v>
          </c:tx>
          <c:spPr>
            <a:ln w="25400">
              <a:solidFill>
                <a:srgbClr val="0000FF"/>
              </a:solidFill>
              <a:prstDash val="lgDash"/>
            </a:ln>
          </c:spPr>
          <c:marker>
            <c:symbol val="none"/>
          </c:marker>
          <c:val>
            <c:numRef>
              <c:f>'Calculations - Dual'!$AU$5:$AU$105</c:f>
              <c:numCache>
                <c:formatCode>0.000</c:formatCode>
                <c:ptCount val="101"/>
                <c:pt idx="0">
                  <c:v>4.5000000000000005E-3</c:v>
                </c:pt>
                <c:pt idx="1">
                  <c:v>1.354666666666667E-2</c:v>
                </c:pt>
                <c:pt idx="2">
                  <c:v>2.7093333333333341E-2</c:v>
                </c:pt>
                <c:pt idx="3">
                  <c:v>4.0640000000000003E-2</c:v>
                </c:pt>
                <c:pt idx="4">
                  <c:v>5.4186666666666682E-2</c:v>
                </c:pt>
                <c:pt idx="5">
                  <c:v>6.7733333333333354E-2</c:v>
                </c:pt>
                <c:pt idx="6">
                  <c:v>8.1280000000000005E-2</c:v>
                </c:pt>
                <c:pt idx="7">
                  <c:v>9.7936560207029899E-2</c:v>
                </c:pt>
                <c:pt idx="8">
                  <c:v>0.11965552781513936</c:v>
                </c:pt>
                <c:pt idx="9">
                  <c:v>0.14277808427266223</c:v>
                </c:pt>
                <c:pt idx="10">
                  <c:v>0.1672236837989178</c:v>
                </c:pt>
                <c:pt idx="11">
                  <c:v>0.19292424711110387</c:v>
                </c:pt>
                <c:pt idx="12">
                  <c:v>0.21297887219158615</c:v>
                </c:pt>
                <c:pt idx="13">
                  <c:v>0.221675438422934</c:v>
                </c:pt>
                <c:pt idx="14">
                  <c:v>0.23004347415216977</c:v>
                </c:pt>
                <c:pt idx="15">
                  <c:v>0.23811761799581316</c:v>
                </c:pt>
                <c:pt idx="16">
                  <c:v>0.24592681838303038</c:v>
                </c:pt>
                <c:pt idx="17">
                  <c:v>0.25349556209133134</c:v>
                </c:pt>
                <c:pt idx="18">
                  <c:v>0.26084478143140988</c:v>
                </c:pt>
                <c:pt idx="19">
                  <c:v>0.26799253720952754</c:v>
                </c:pt>
                <c:pt idx="20">
                  <c:v>0.27495454169735045</c:v>
                </c:pt>
                <c:pt idx="21">
                  <c:v>0.28174456516497359</c:v>
                </c:pt>
                <c:pt idx="22">
                  <c:v>0.28837475617674996</c:v>
                </c:pt>
                <c:pt idx="23">
                  <c:v>0.29485589700733478</c:v>
                </c:pt>
                <c:pt idx="24">
                  <c:v>0.30119760955226721</c:v>
                </c:pt>
                <c:pt idx="25">
                  <c:v>0.30740852297878796</c:v>
                </c:pt>
                <c:pt idx="26">
                  <c:v>0.31349641146271517</c:v>
                </c:pt>
                <c:pt idx="27">
                  <c:v>0.31946830828737927</c:v>
                </c:pt>
                <c:pt idx="28">
                  <c:v>0.32533060108142303</c:v>
                </c:pt>
                <c:pt idx="29">
                  <c:v>0.33108911187171347</c:v>
                </c:pt>
                <c:pt idx="30">
                  <c:v>0.33674916480965472</c:v>
                </c:pt>
                <c:pt idx="31">
                  <c:v>0.34231564381430191</c:v>
                </c:pt>
                <c:pt idx="32">
                  <c:v>0.3477930419085466</c:v>
                </c:pt>
                <c:pt idx="33">
                  <c:v>0.35318550366627449</c:v>
                </c:pt>
                <c:pt idx="34">
                  <c:v>0.35849686191095176</c:v>
                </c:pt>
                <c:pt idx="35">
                  <c:v>0.36373066958946421</c:v>
                </c:pt>
                <c:pt idx="36">
                  <c:v>0.36889022757454554</c:v>
                </c:pt>
                <c:pt idx="37">
                  <c:v>0.37397860901393803</c:v>
                </c:pt>
                <c:pt idx="38">
                  <c:v>0.37899868073649012</c:v>
                </c:pt>
                <c:pt idx="39">
                  <c:v>0.38395312213862776</c:v>
                </c:pt>
                <c:pt idx="40">
                  <c:v>0.38884444190447159</c:v>
                </c:pt>
                <c:pt idx="41">
                  <c:v>0.39367499285578195</c:v>
                </c:pt>
                <c:pt idx="42">
                  <c:v>0.39844698518121574</c:v>
                </c:pt>
                <c:pt idx="43">
                  <c:v>0.40316249825597616</c:v>
                </c:pt>
                <c:pt idx="44">
                  <c:v>0.40782349123119427</c:v>
                </c:pt>
                <c:pt idx="45">
                  <c:v>0.41243181254602562</c:v>
                </c:pt>
                <c:pt idx="46">
                  <c:v>0.41698920849345739</c:v>
                </c:pt>
                <c:pt idx="47">
                  <c:v>0.42149733095240355</c:v>
                </c:pt>
                <c:pt idx="48">
                  <c:v>0.4259577443831723</c:v>
                </c:pt>
                <c:pt idx="49">
                  <c:v>0.43037193217030312</c:v>
                </c:pt>
                <c:pt idx="50">
                  <c:v>0.43474130238568315</c:v>
                </c:pt>
                <c:pt idx="51">
                  <c:v>0.43906719303541686</c:v>
                </c:pt>
                <c:pt idx="52">
                  <c:v>0.44335087684586799</c:v>
                </c:pt>
                <c:pt idx="53">
                  <c:v>0.44759356563739827</c:v>
                </c:pt>
                <c:pt idx="54">
                  <c:v>0.4517964143284009</c:v>
                </c:pt>
                <c:pt idx="55">
                  <c:v>0.45596052460711994</c:v>
                </c:pt>
                <c:pt idx="56">
                  <c:v>0.46008694830433955</c:v>
                </c:pt>
                <c:pt idx="57">
                  <c:v>0.46417669049619459</c:v>
                </c:pt>
                <c:pt idx="58">
                  <c:v>0.46823071236304015</c:v>
                </c:pt>
                <c:pt idx="59">
                  <c:v>0.47224993382741731</c:v>
                </c:pt>
                <c:pt idx="60">
                  <c:v>0.47623523599162632</c:v>
                </c:pt>
                <c:pt idx="61">
                  <c:v>0.47603408737860115</c:v>
                </c:pt>
                <c:pt idx="62">
                  <c:v>0.47217949691672634</c:v>
                </c:pt>
                <c:pt idx="63">
                  <c:v>0.46841705052684668</c:v>
                </c:pt>
                <c:pt idx="64">
                  <c:v>0.46474313458365479</c:v>
                </c:pt>
                <c:pt idx="65">
                  <c:v>0.46115433080192336</c:v>
                </c:pt>
                <c:pt idx="66">
                  <c:v>0.4576474028664862</c:v>
                </c:pt>
                <c:pt idx="67">
                  <c:v>0.45421928416394158</c:v>
                </c:pt>
                <c:pt idx="68">
                  <c:v>0.45086706651036534</c:v>
                </c:pt>
                <c:pt idx="69">
                  <c:v>0.44758798978086195</c:v>
                </c:pt>
                <c:pt idx="70">
                  <c:v>0.44437943235690319</c:v>
                </c:pt>
                <c:pt idx="71">
                  <c:v>0.44123890231631935</c:v>
                </c:pt>
                <c:pt idx="72">
                  <c:v>0.4381640292986595</c:v>
                </c:pt>
                <c:pt idx="73">
                  <c:v>0.43515255698557337</c:v>
                </c:pt>
                <c:pt idx="74">
                  <c:v>0.43220233614200732</c:v>
                </c:pt>
                <c:pt idx="75">
                  <c:v>0.42931131816944579</c:v>
                </c:pt>
                <c:pt idx="76">
                  <c:v>0.4264775491272576</c:v>
                </c:pt>
                <c:pt idx="77">
                  <c:v>0.42369916418249937</c:v>
                </c:pt>
                <c:pt idx="78">
                  <c:v>0.42097438245235469</c:v>
                </c:pt>
                <c:pt idx="79">
                  <c:v>0.41830150220680384</c:v>
                </c:pt>
                <c:pt idx="80">
                  <c:v>0.41567889640215433</c:v>
                </c:pt>
                <c:pt idx="81">
                  <c:v>0.41310500851880433</c:v>
                </c:pt>
                <c:pt idx="82">
                  <c:v>0.41057834867904636</c:v>
                </c:pt>
                <c:pt idx="83">
                  <c:v>0.40809749002291151</c:v>
                </c:pt>
                <c:pt idx="84">
                  <c:v>0.40566106532202822</c:v>
                </c:pt>
                <c:pt idx="85">
                  <c:v>0.40326776381323848</c:v>
                </c:pt>
                <c:pt idx="86">
                  <c:v>0.40091632823531465</c:v>
                </c:pt>
                <c:pt idx="87">
                  <c:v>0.39860555205355575</c:v>
                </c:pt>
                <c:pt idx="88">
                  <c:v>0.39633427685834827</c:v>
                </c:pt>
                <c:pt idx="89">
                  <c:v>0.39410138992494759</c:v>
                </c:pt>
                <c:pt idx="90">
                  <c:v>0.39190582192280499</c:v>
                </c:pt>
                <c:pt idx="91">
                  <c:v>0.38974654476372728</c:v>
                </c:pt>
                <c:pt idx="92">
                  <c:v>0.38762256957903612</c:v>
                </c:pt>
                <c:pt idx="93">
                  <c:v>0.38553294481668088</c:v>
                </c:pt>
                <c:pt idx="94">
                  <c:v>0.38347675444999313</c:v>
                </c:pt>
                <c:pt idx="95">
                  <c:v>0.38249574745168774</c:v>
                </c:pt>
                <c:pt idx="96">
                  <c:v>0.38253300191096123</c:v>
                </c:pt>
                <c:pt idx="97">
                  <c:v>0.38256020204867958</c:v>
                </c:pt>
                <c:pt idx="98">
                  <c:v>0.38257765909061725</c:v>
                </c:pt>
                <c:pt idx="99">
                  <c:v>0.38258567387242975</c:v>
                </c:pt>
                <c:pt idx="100">
                  <c:v>0.38258453724625652</c:v>
                </c:pt>
              </c:numCache>
            </c:numRef>
          </c:val>
          <c:smooth val="0"/>
          <c:extLst>
            <c:ext xmlns:c16="http://schemas.microsoft.com/office/drawing/2014/chart" uri="{C3380CC4-5D6E-409C-BE32-E72D297353CC}">
              <c16:uniqueId val="{00000006-14F3-419D-9DFA-2B2F062C7EC1}"/>
            </c:ext>
          </c:extLst>
        </c:ser>
        <c:ser>
          <c:idx val="16"/>
          <c:order val="16"/>
          <c:spPr>
            <a:ln w="25400">
              <a:solidFill>
                <a:srgbClr val="00B050"/>
              </a:solidFill>
              <a:prstDash val="dash"/>
            </a:ln>
          </c:spPr>
          <c:marker>
            <c:symbol val="none"/>
          </c:marker>
          <c:val>
            <c:numRef>
              <c:f>'Calculations - Dual'!$AU$110:$AU$210</c:f>
              <c:numCache>
                <c:formatCode>0.000</c:formatCode>
                <c:ptCount val="101"/>
                <c:pt idx="0">
                  <c:v>0.01</c:v>
                </c:pt>
                <c:pt idx="1">
                  <c:v>3.0103703703703709E-2</c:v>
                </c:pt>
                <c:pt idx="2">
                  <c:v>6.0207407407407418E-2</c:v>
                </c:pt>
                <c:pt idx="3">
                  <c:v>9.031111111111112E-2</c:v>
                </c:pt>
                <c:pt idx="4">
                  <c:v>0.12041481481481484</c:v>
                </c:pt>
                <c:pt idx="5">
                  <c:v>0.15051851851851858</c:v>
                </c:pt>
                <c:pt idx="6">
                  <c:v>0.18062222222222224</c:v>
                </c:pt>
                <c:pt idx="7">
                  <c:v>0.21763680046006645</c:v>
                </c:pt>
                <c:pt idx="8">
                  <c:v>0.2659011729225319</c:v>
                </c:pt>
                <c:pt idx="9">
                  <c:v>0.3172846317170272</c:v>
                </c:pt>
                <c:pt idx="10">
                  <c:v>0.37160818621981739</c:v>
                </c:pt>
                <c:pt idx="11">
                  <c:v>0.42872054913578633</c:v>
                </c:pt>
                <c:pt idx="12">
                  <c:v>0.47328638264796929</c:v>
                </c:pt>
                <c:pt idx="13">
                  <c:v>0.49261208538429779</c:v>
                </c:pt>
                <c:pt idx="14">
                  <c:v>0.51120772033815509</c:v>
                </c:pt>
                <c:pt idx="15">
                  <c:v>0.52915026221291805</c:v>
                </c:pt>
                <c:pt idx="16">
                  <c:v>0.54650404085117854</c:v>
                </c:pt>
                <c:pt idx="17">
                  <c:v>0.56332347131406968</c:v>
                </c:pt>
                <c:pt idx="18">
                  <c:v>0.57965506984757753</c:v>
                </c:pt>
                <c:pt idx="19">
                  <c:v>0.59553897157672786</c:v>
                </c:pt>
                <c:pt idx="20">
                  <c:v>0.61101009266077877</c:v>
                </c:pt>
                <c:pt idx="21">
                  <c:v>0.62609903369994124</c:v>
                </c:pt>
                <c:pt idx="22">
                  <c:v>0.64083279150388883</c:v>
                </c:pt>
                <c:pt idx="23">
                  <c:v>0.65523532668296625</c:v>
                </c:pt>
                <c:pt idx="24">
                  <c:v>0.64583708268581663</c:v>
                </c:pt>
                <c:pt idx="25">
                  <c:v>0.63278852381916784</c:v>
                </c:pt>
                <c:pt idx="26">
                  <c:v>0.69304229195088685</c:v>
                </c:pt>
                <c:pt idx="27">
                  <c:v>0.69304229195088685</c:v>
                </c:pt>
                <c:pt idx="28">
                  <c:v>0.69304229195088685</c:v>
                </c:pt>
                <c:pt idx="29">
                  <c:v>0.69304229195088674</c:v>
                </c:pt>
                <c:pt idx="30">
                  <c:v>0.69304229195088685</c:v>
                </c:pt>
                <c:pt idx="31">
                  <c:v>0.69304229195088685</c:v>
                </c:pt>
                <c:pt idx="32">
                  <c:v>0.69304229195088685</c:v>
                </c:pt>
                <c:pt idx="33">
                  <c:v>0.69304229195088674</c:v>
                </c:pt>
                <c:pt idx="34">
                  <c:v>0.69304229195088685</c:v>
                </c:pt>
                <c:pt idx="35">
                  <c:v>0.69304229195088674</c:v>
                </c:pt>
                <c:pt idx="36">
                  <c:v>0.69304229195088674</c:v>
                </c:pt>
                <c:pt idx="37">
                  <c:v>0.69304229195088662</c:v>
                </c:pt>
                <c:pt idx="38">
                  <c:v>0.69304229195088685</c:v>
                </c:pt>
                <c:pt idx="39">
                  <c:v>0.69304229195088662</c:v>
                </c:pt>
                <c:pt idx="40">
                  <c:v>0.69304229195088685</c:v>
                </c:pt>
                <c:pt idx="41">
                  <c:v>0.69304229195088685</c:v>
                </c:pt>
                <c:pt idx="42">
                  <c:v>0.69304229195088662</c:v>
                </c:pt>
                <c:pt idx="43">
                  <c:v>0.69304229195088674</c:v>
                </c:pt>
                <c:pt idx="44">
                  <c:v>0.69304229195088685</c:v>
                </c:pt>
                <c:pt idx="45">
                  <c:v>0.69304229195088696</c:v>
                </c:pt>
                <c:pt idx="46">
                  <c:v>0.69304229195088674</c:v>
                </c:pt>
                <c:pt idx="47">
                  <c:v>0.69304229195088685</c:v>
                </c:pt>
                <c:pt idx="48">
                  <c:v>0.69304229195088685</c:v>
                </c:pt>
                <c:pt idx="49">
                  <c:v>0.69304229195088685</c:v>
                </c:pt>
                <c:pt idx="50">
                  <c:v>0.69304229195088674</c:v>
                </c:pt>
                <c:pt idx="51">
                  <c:v>0.69304229195088674</c:v>
                </c:pt>
                <c:pt idx="52">
                  <c:v>0.69304229195088685</c:v>
                </c:pt>
                <c:pt idx="53">
                  <c:v>0.69304229195088685</c:v>
                </c:pt>
                <c:pt idx="54">
                  <c:v>0.69304229195088685</c:v>
                </c:pt>
                <c:pt idx="55">
                  <c:v>0.69304229195088674</c:v>
                </c:pt>
                <c:pt idx="56">
                  <c:v>0.69304229195088685</c:v>
                </c:pt>
                <c:pt idx="57">
                  <c:v>0.69304229195088674</c:v>
                </c:pt>
                <c:pt idx="58">
                  <c:v>0.69304229195088674</c:v>
                </c:pt>
                <c:pt idx="59">
                  <c:v>0.69116933930108293</c:v>
                </c:pt>
                <c:pt idx="60">
                  <c:v>0.68762814254043503</c:v>
                </c:pt>
                <c:pt idx="61">
                  <c:v>0.68412492438235595</c:v>
                </c:pt>
                <c:pt idx="62">
                  <c:v>0.68065907711664719</c:v>
                </c:pt>
                <c:pt idx="63">
                  <c:v>0.67723000592992622</c:v>
                </c:pt>
                <c:pt idx="64">
                  <c:v>0.67383712856531297</c:v>
                </c:pt>
                <c:pt idx="65">
                  <c:v>0.67047987499283401</c:v>
                </c:pt>
                <c:pt idx="66">
                  <c:v>0.66715768709015633</c:v>
                </c:pt>
                <c:pt idx="67">
                  <c:v>0.66387001833327031</c:v>
                </c:pt>
                <c:pt idx="68">
                  <c:v>0.66061633349676741</c:v>
                </c:pt>
                <c:pt idx="69">
                  <c:v>0.65739610836336348</c:v>
                </c:pt>
                <c:pt idx="70">
                  <c:v>0.65420882944233705</c:v>
                </c:pt>
                <c:pt idx="71">
                  <c:v>0.65105399369656691</c:v>
                </c:pt>
                <c:pt idx="72">
                  <c:v>0.64793110827786182</c:v>
                </c:pt>
                <c:pt idx="73">
                  <c:v>0.64483969027029153</c:v>
                </c:pt>
                <c:pt idx="74">
                  <c:v>0.64177926644123817</c:v>
                </c:pt>
                <c:pt idx="75">
                  <c:v>0.63874937299989687</c:v>
                </c:pt>
                <c:pt idx="76">
                  <c:v>0.63574955536296984</c:v>
                </c:pt>
                <c:pt idx="77">
                  <c:v>0.63277936792730005</c:v>
                </c:pt>
                <c:pt idx="78">
                  <c:v>0.62983837384921471</c:v>
                </c:pt>
                <c:pt idx="79">
                  <c:v>0.62692614483033693</c:v>
                </c:pt>
                <c:pt idx="80">
                  <c:v>0.62404226090965564</c:v>
                </c:pt>
                <c:pt idx="81">
                  <c:v>0.62118631026163806</c:v>
                </c:pt>
                <c:pt idx="82">
                  <c:v>0.61835788900017563</c:v>
                </c:pt>
                <c:pt idx="83">
                  <c:v>0.61555660098817799</c:v>
                </c:pt>
                <c:pt idx="84">
                  <c:v>0.61278205765261695</c:v>
                </c:pt>
                <c:pt idx="85">
                  <c:v>0.61003387780484286</c:v>
                </c:pt>
                <c:pt idx="86">
                  <c:v>0.60731168746600117</c:v>
                </c:pt>
                <c:pt idx="87">
                  <c:v>0.60461511969737691</c:v>
                </c:pt>
                <c:pt idx="88">
                  <c:v>0.60194381443550626</c:v>
                </c:pt>
                <c:pt idx="89">
                  <c:v>0.59929741833190353</c:v>
                </c:pt>
                <c:pt idx="90">
                  <c:v>0.59667558459725012</c:v>
                </c:pt>
                <c:pt idx="91">
                  <c:v>0.59407797284989938</c:v>
                </c:pt>
                <c:pt idx="92">
                  <c:v>0.59150424896856379</c:v>
                </c:pt>
                <c:pt idx="93">
                  <c:v>0.58895408494904689</c:v>
                </c:pt>
                <c:pt idx="94">
                  <c:v>0.58642715876489138</c:v>
                </c:pt>
                <c:pt idx="95">
                  <c:v>0.58392315423181906</c:v>
                </c:pt>
                <c:pt idx="96">
                  <c:v>0.58144176087584432</c:v>
                </c:pt>
                <c:pt idx="97">
                  <c:v>0.57898267380494273</c:v>
                </c:pt>
                <c:pt idx="98">
                  <c:v>0.57654559358416646</c:v>
                </c:pt>
                <c:pt idx="99">
                  <c:v>0.57413022611409714</c:v>
                </c:pt>
                <c:pt idx="100">
                  <c:v>0.57173628251253228</c:v>
                </c:pt>
              </c:numCache>
            </c:numRef>
          </c:val>
          <c:smooth val="0"/>
          <c:extLst>
            <c:ext xmlns:c16="http://schemas.microsoft.com/office/drawing/2014/chart" uri="{C3380CC4-5D6E-409C-BE32-E72D297353CC}">
              <c16:uniqueId val="{00000007-14F3-419D-9DFA-2B2F062C7EC1}"/>
            </c:ext>
          </c:extLst>
        </c:ser>
        <c:ser>
          <c:idx val="17"/>
          <c:order val="17"/>
          <c:spPr>
            <a:ln w="25400">
              <a:solidFill>
                <a:srgbClr val="FF0000"/>
              </a:solidFill>
            </a:ln>
          </c:spPr>
          <c:marker>
            <c:symbol val="none"/>
          </c:marker>
          <c:val>
            <c:numRef>
              <c:f>'Calculations - Dual'!$AU$216:$AU$316</c:f>
              <c:numCache>
                <c:formatCode>0.000</c:formatCode>
                <c:ptCount val="101"/>
                <c:pt idx="0">
                  <c:v>4.2857142857142851E-3</c:v>
                </c:pt>
                <c:pt idx="1">
                  <c:v>1.2901587301587303E-2</c:v>
                </c:pt>
                <c:pt idx="2">
                  <c:v>2.5803174603174606E-2</c:v>
                </c:pt>
                <c:pt idx="3">
                  <c:v>3.8704761904761902E-2</c:v>
                </c:pt>
                <c:pt idx="4">
                  <c:v>5.1606349206349211E-2</c:v>
                </c:pt>
                <c:pt idx="5">
                  <c:v>6.4507936507936528E-2</c:v>
                </c:pt>
                <c:pt idx="6">
                  <c:v>7.7409523809523803E-2</c:v>
                </c:pt>
                <c:pt idx="7">
                  <c:v>9.3272914482885619E-2</c:v>
                </c:pt>
                <c:pt idx="8">
                  <c:v>0.11395764553822796</c:v>
                </c:pt>
                <c:pt idx="9">
                  <c:v>0.13597912787872593</c:v>
                </c:pt>
                <c:pt idx="10">
                  <c:v>0.15926065123706459</c:v>
                </c:pt>
                <c:pt idx="11">
                  <c:v>0.18373737820105129</c:v>
                </c:pt>
                <c:pt idx="12">
                  <c:v>0.20283702113484398</c:v>
                </c:pt>
                <c:pt idx="13">
                  <c:v>0.21111946516469904</c:v>
                </c:pt>
                <c:pt idx="14">
                  <c:v>0.21908902300206645</c:v>
                </c:pt>
                <c:pt idx="15">
                  <c:v>0.22677868380553634</c:v>
                </c:pt>
                <c:pt idx="16">
                  <c:v>0.23421601750764798</c:v>
                </c:pt>
                <c:pt idx="17">
                  <c:v>0.24142434484888697</c:v>
                </c:pt>
                <c:pt idx="18">
                  <c:v>0.24842360136324754</c:v>
                </c:pt>
                <c:pt idx="19">
                  <c:v>0.25523098781859765</c:v>
                </c:pt>
                <c:pt idx="20">
                  <c:v>0.2618614682831909</c:v>
                </c:pt>
                <c:pt idx="21">
                  <c:v>0.26832815729997483</c:v>
                </c:pt>
                <c:pt idx="22">
                  <c:v>0.27464262493023806</c:v>
                </c:pt>
                <c:pt idx="23">
                  <c:v>0.28081514000698554</c:v>
                </c:pt>
                <c:pt idx="24">
                  <c:v>0.28685486624025447</c:v>
                </c:pt>
                <c:pt idx="25">
                  <c:v>0.29277002188456003</c:v>
                </c:pt>
                <c:pt idx="26">
                  <c:v>0.29856801091687157</c:v>
                </c:pt>
                <c:pt idx="27">
                  <c:v>0.30425553170226605</c:v>
                </c:pt>
                <c:pt idx="28">
                  <c:v>0.30983866769659335</c:v>
                </c:pt>
                <c:pt idx="29">
                  <c:v>0.31532296368734619</c:v>
                </c:pt>
                <c:pt idx="30">
                  <c:v>0.32071349029490925</c:v>
                </c:pt>
                <c:pt idx="31">
                  <c:v>0.32601489887076374</c:v>
                </c:pt>
                <c:pt idx="32">
                  <c:v>0.3312314684843301</c:v>
                </c:pt>
                <c:pt idx="33">
                  <c:v>0.33636714634883286</c:v>
                </c:pt>
                <c:pt idx="34">
                  <c:v>0.34142558277233503</c:v>
                </c:pt>
                <c:pt idx="35">
                  <c:v>0.34641016151377535</c:v>
                </c:pt>
                <c:pt idx="36">
                  <c:v>0.35132402626147197</c:v>
                </c:pt>
                <c:pt idx="37">
                  <c:v>0.35617010382279812</c:v>
                </c:pt>
                <c:pt idx="38">
                  <c:v>0.36095112451094297</c:v>
                </c:pt>
                <c:pt idx="39">
                  <c:v>0.36566964013202646</c:v>
                </c:pt>
                <c:pt idx="40">
                  <c:v>0.37032803990902058</c:v>
                </c:pt>
                <c:pt idx="41">
                  <c:v>0.37492856462455426</c:v>
                </c:pt>
                <c:pt idx="42">
                  <c:v>0.3794733192202055</c:v>
                </c:pt>
                <c:pt idx="43">
                  <c:v>0.38396428405331073</c:v>
                </c:pt>
                <c:pt idx="44">
                  <c:v>0.38840332498208979</c:v>
                </c:pt>
                <c:pt idx="45">
                  <c:v>0.39279220242478624</c:v>
                </c:pt>
                <c:pt idx="46">
                  <c:v>0.39713257951757847</c:v>
                </c:pt>
                <c:pt idx="47">
                  <c:v>0.40142602947847955</c:v>
                </c:pt>
                <c:pt idx="48">
                  <c:v>0.40567404226968795</c:v>
                </c:pt>
                <c:pt idx="49">
                  <c:v>0.40987803063838396</c:v>
                </c:pt>
                <c:pt idx="50">
                  <c:v>0.41403933560541251</c:v>
                </c:pt>
                <c:pt idx="51">
                  <c:v>0.41815923146230177</c:v>
                </c:pt>
                <c:pt idx="52">
                  <c:v>0.42223893032939808</c:v>
                </c:pt>
                <c:pt idx="53">
                  <c:v>0.42627958632133167</c:v>
                </c:pt>
                <c:pt idx="54">
                  <c:v>0.4302822993603817</c:v>
                </c:pt>
                <c:pt idx="55">
                  <c:v>0.43424811867344754</c:v>
                </c:pt>
                <c:pt idx="56">
                  <c:v>0.4381780460041329</c:v>
                </c:pt>
                <c:pt idx="57">
                  <c:v>0.44207303856780428</c:v>
                </c:pt>
                <c:pt idx="58">
                  <c:v>0.44593401177432396</c:v>
                </c:pt>
                <c:pt idx="59">
                  <c:v>0.44976184174039746</c:v>
                </c:pt>
                <c:pt idx="60">
                  <c:v>0.45355736761107268</c:v>
                </c:pt>
                <c:pt idx="61">
                  <c:v>0.45732139370781361</c:v>
                </c:pt>
                <c:pt idx="62">
                  <c:v>0.46105469151872708</c:v>
                </c:pt>
                <c:pt idx="63">
                  <c:v>0.46475800154489005</c:v>
                </c:pt>
                <c:pt idx="64">
                  <c:v>0.46464653530538425</c:v>
                </c:pt>
                <c:pt idx="65">
                  <c:v>0.46105847747518885</c:v>
                </c:pt>
                <c:pt idx="66">
                  <c:v>0.45755227847296726</c:v>
                </c:pt>
                <c:pt idx="67">
                  <c:v>0.45412487232272913</c:v>
                </c:pt>
                <c:pt idx="68">
                  <c:v>0.45077335144503172</c:v>
                </c:pt>
                <c:pt idx="69">
                  <c:v>0.44749495628868508</c:v>
                </c:pt>
                <c:pt idx="70">
                  <c:v>0.49177153920619554</c:v>
                </c:pt>
                <c:pt idx="71">
                  <c:v>0.49177153920619554</c:v>
                </c:pt>
                <c:pt idx="72">
                  <c:v>0.4917715392061956</c:v>
                </c:pt>
                <c:pt idx="73">
                  <c:v>0.49177153920619554</c:v>
                </c:pt>
                <c:pt idx="74">
                  <c:v>0.49177153920619554</c:v>
                </c:pt>
                <c:pt idx="75">
                  <c:v>0.49177153920619554</c:v>
                </c:pt>
                <c:pt idx="76">
                  <c:v>0.4917715392061956</c:v>
                </c:pt>
                <c:pt idx="77">
                  <c:v>0.49177153920619565</c:v>
                </c:pt>
                <c:pt idx="78">
                  <c:v>0.4917715392061956</c:v>
                </c:pt>
                <c:pt idx="79">
                  <c:v>0.4917715392061956</c:v>
                </c:pt>
                <c:pt idx="80">
                  <c:v>0.49177153920619548</c:v>
                </c:pt>
                <c:pt idx="81">
                  <c:v>0.49177153920619554</c:v>
                </c:pt>
                <c:pt idx="82">
                  <c:v>0.49177153920619548</c:v>
                </c:pt>
                <c:pt idx="83">
                  <c:v>0.49177153920619554</c:v>
                </c:pt>
                <c:pt idx="84">
                  <c:v>0.49177153920619554</c:v>
                </c:pt>
                <c:pt idx="85">
                  <c:v>0.49177153920619548</c:v>
                </c:pt>
                <c:pt idx="86">
                  <c:v>0.49177153920619554</c:v>
                </c:pt>
                <c:pt idx="87">
                  <c:v>0.49177153920619548</c:v>
                </c:pt>
                <c:pt idx="88">
                  <c:v>0.49177153920619554</c:v>
                </c:pt>
                <c:pt idx="89">
                  <c:v>0.49177153920619548</c:v>
                </c:pt>
                <c:pt idx="90">
                  <c:v>0.49177153920619548</c:v>
                </c:pt>
                <c:pt idx="91">
                  <c:v>0.49177153920619554</c:v>
                </c:pt>
                <c:pt idx="92">
                  <c:v>0.4917715392061956</c:v>
                </c:pt>
                <c:pt idx="93">
                  <c:v>0.49177153920619554</c:v>
                </c:pt>
                <c:pt idx="94">
                  <c:v>0.49177153920619548</c:v>
                </c:pt>
                <c:pt idx="95">
                  <c:v>0.49177153920619554</c:v>
                </c:pt>
                <c:pt idx="96">
                  <c:v>0.4917715392061956</c:v>
                </c:pt>
                <c:pt idx="97">
                  <c:v>0.49130834449154415</c:v>
                </c:pt>
                <c:pt idx="98">
                  <c:v>0.488785884402339</c:v>
                </c:pt>
                <c:pt idx="99">
                  <c:v>0.48629000125638</c:v>
                </c:pt>
                <c:pt idx="100">
                  <c:v>0.48382027722798665</c:v>
                </c:pt>
              </c:numCache>
            </c:numRef>
          </c:val>
          <c:smooth val="0"/>
          <c:extLst>
            <c:ext xmlns:c16="http://schemas.microsoft.com/office/drawing/2014/chart" uri="{C3380CC4-5D6E-409C-BE32-E72D297353CC}">
              <c16:uniqueId val="{00000008-14F3-419D-9DFA-2B2F062C7EC1}"/>
            </c:ext>
          </c:extLst>
        </c:ser>
        <c:ser>
          <c:idx val="1"/>
          <c:order val="0"/>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337.71629421037835</c:v>
                </c:pt>
                <c:pt idx="25">
                  <c:v>324.20764244196323</c:v>
                </c:pt>
                <c:pt idx="26">
                  <c:v>311.73811773265697</c:v>
                </c:pt>
                <c:pt idx="27">
                  <c:v>300.19226152033627</c:v>
                </c:pt>
                <c:pt idx="28">
                  <c:v>289.47110932318151</c:v>
                </c:pt>
                <c:pt idx="29">
                  <c:v>279.48934693272685</c:v>
                </c:pt>
                <c:pt idx="30">
                  <c:v>270.17303536830269</c:v>
                </c:pt>
                <c:pt idx="31">
                  <c:v>261.45777616287359</c:v>
                </c:pt>
                <c:pt idx="32">
                  <c:v>253.28722065778376</c:v>
                </c:pt>
                <c:pt idx="33">
                  <c:v>245.61185033482056</c:v>
                </c:pt>
                <c:pt idx="34">
                  <c:v>238.38797238379647</c:v>
                </c:pt>
                <c:pt idx="35">
                  <c:v>231.5768874585452</c:v>
                </c:pt>
                <c:pt idx="36">
                  <c:v>225.14419614025226</c:v>
                </c:pt>
                <c:pt idx="37">
                  <c:v>219.0592178661914</c:v>
                </c:pt>
                <c:pt idx="38">
                  <c:v>213.29450160655472</c:v>
                </c:pt>
                <c:pt idx="39">
                  <c:v>207.82541182177124</c:v>
                </c:pt>
                <c:pt idx="40">
                  <c:v>202.62977652622695</c:v>
                </c:pt>
                <c:pt idx="41">
                  <c:v>197.68758685485565</c:v>
                </c:pt>
                <c:pt idx="42">
                  <c:v>192.98073954878765</c:v>
                </c:pt>
                <c:pt idx="43">
                  <c:v>188.49281537323441</c:v>
                </c:pt>
                <c:pt idx="44">
                  <c:v>184.20888775111547</c:v>
                </c:pt>
                <c:pt idx="45">
                  <c:v>180.1153569122018</c:v>
                </c:pt>
                <c:pt idx="46">
                  <c:v>176.19980567497998</c:v>
                </c:pt>
                <c:pt idx="47">
                  <c:v>172.45087363934218</c:v>
                </c:pt>
                <c:pt idx="48">
                  <c:v>168.85814710518918</c:v>
                </c:pt>
                <c:pt idx="49">
                  <c:v>165.41206247038946</c:v>
                </c:pt>
                <c:pt idx="50">
                  <c:v>162.10382122098162</c:v>
                </c:pt>
                <c:pt idx="51">
                  <c:v>158.92531492253096</c:v>
                </c:pt>
                <c:pt idx="52">
                  <c:v>155.86905886632849</c:v>
                </c:pt>
                <c:pt idx="53">
                  <c:v>152.92813322734114</c:v>
                </c:pt>
                <c:pt idx="54">
                  <c:v>150.09613076016814</c:v>
                </c:pt>
                <c:pt idx="55">
                  <c:v>147.36711020089237</c:v>
                </c:pt>
                <c:pt idx="56">
                  <c:v>144.73555466159075</c:v>
                </c:pt>
                <c:pt idx="57">
                  <c:v>142.19633440436988</c:v>
                </c:pt>
                <c:pt idx="58">
                  <c:v>139.74467346636342</c:v>
                </c:pt>
                <c:pt idx="59">
                  <c:v>138.23386786021658</c:v>
                </c:pt>
                <c:pt idx="60">
                  <c:v>137.52562850808701</c:v>
                </c:pt>
                <c:pt idx="61">
                  <c:v>136.82498487647121</c:v>
                </c:pt>
                <c:pt idx="62">
                  <c:v>136.13181542332944</c:v>
                </c:pt>
                <c:pt idx="63">
                  <c:v>135.44600118598524</c:v>
                </c:pt>
                <c:pt idx="64">
                  <c:v>134.76742571306258</c:v>
                </c:pt>
                <c:pt idx="65">
                  <c:v>134.09597499856682</c:v>
                </c:pt>
                <c:pt idx="66">
                  <c:v>133.43153741803127</c:v>
                </c:pt>
                <c:pt idx="67">
                  <c:v>132.77400366665407</c:v>
                </c:pt>
                <c:pt idx="68">
                  <c:v>132.12326669935348</c:v>
                </c:pt>
                <c:pt idx="69">
                  <c:v>131.47922167267271</c:v>
                </c:pt>
                <c:pt idx="70">
                  <c:v>130.84176588846742</c:v>
                </c:pt>
                <c:pt idx="71">
                  <c:v>130.21079873931339</c:v>
                </c:pt>
                <c:pt idx="72">
                  <c:v>129.58622165557236</c:v>
                </c:pt>
                <c:pt idx="73">
                  <c:v>128.96793805405829</c:v>
                </c:pt>
                <c:pt idx="74">
                  <c:v>128.35585328824763</c:v>
                </c:pt>
                <c:pt idx="75">
                  <c:v>127.74987459997938</c:v>
                </c:pt>
                <c:pt idx="76">
                  <c:v>127.14991107259397</c:v>
                </c:pt>
                <c:pt idx="77">
                  <c:v>126.55587358546002</c:v>
                </c:pt>
                <c:pt idx="78">
                  <c:v>125.96767476984294</c:v>
                </c:pt>
                <c:pt idx="79">
                  <c:v>125.38522896606736</c:v>
                </c:pt>
                <c:pt idx="80">
                  <c:v>124.80845218193116</c:v>
                </c:pt>
                <c:pt idx="81">
                  <c:v>124.23726205232762</c:v>
                </c:pt>
                <c:pt idx="82">
                  <c:v>123.67157780003512</c:v>
                </c:pt>
                <c:pt idx="83">
                  <c:v>123.11132019763561</c:v>
                </c:pt>
                <c:pt idx="84">
                  <c:v>122.55641153052338</c:v>
                </c:pt>
                <c:pt idx="85">
                  <c:v>122.00677556096856</c:v>
                </c:pt>
                <c:pt idx="86">
                  <c:v>121.46233749320025</c:v>
                </c:pt>
                <c:pt idx="87">
                  <c:v>120.92302393947537</c:v>
                </c:pt>
                <c:pt idx="88">
                  <c:v>120.38876288710122</c:v>
                </c:pt>
                <c:pt idx="89">
                  <c:v>119.85948366638073</c:v>
                </c:pt>
                <c:pt idx="90">
                  <c:v>119.33511691945003</c:v>
                </c:pt>
                <c:pt idx="91">
                  <c:v>118.81559456997987</c:v>
                </c:pt>
                <c:pt idx="92">
                  <c:v>118.30084979371276</c:v>
                </c:pt>
                <c:pt idx="93">
                  <c:v>117.79081698980937</c:v>
                </c:pt>
                <c:pt idx="94">
                  <c:v>117.28543175297827</c:v>
                </c:pt>
                <c:pt idx="95">
                  <c:v>116.78463084636381</c:v>
                </c:pt>
                <c:pt idx="96">
                  <c:v>116.28835217516885</c:v>
                </c:pt>
                <c:pt idx="97">
                  <c:v>115.79653476098854</c:v>
                </c:pt>
                <c:pt idx="98">
                  <c:v>115.3091187168333</c:v>
                </c:pt>
                <c:pt idx="99">
                  <c:v>114.82604522281943</c:v>
                </c:pt>
                <c:pt idx="100">
                  <c:v>114.34725650250647</c:v>
                </c:pt>
              </c:numCache>
            </c:numRef>
          </c:val>
          <c:smooth val="0"/>
          <c:extLst>
            <c:ext xmlns:c16="http://schemas.microsoft.com/office/drawing/2014/chart" uri="{C3380CC4-5D6E-409C-BE32-E72D297353CC}">
              <c16:uniqueId val="{00000009-14F3-419D-9DFA-2B2F062C7EC1}"/>
            </c:ext>
          </c:extLst>
        </c:ser>
        <c:ser>
          <c:idx val="0"/>
          <c:order val="1"/>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350</c:v>
                </c:pt>
                <c:pt idx="55">
                  <c:v>350</c:v>
                </c:pt>
                <c:pt idx="56">
                  <c:v>350</c:v>
                </c:pt>
                <c:pt idx="57">
                  <c:v>350</c:v>
                </c:pt>
                <c:pt idx="58">
                  <c:v>350</c:v>
                </c:pt>
                <c:pt idx="59">
                  <c:v>350</c:v>
                </c:pt>
                <c:pt idx="60">
                  <c:v>350</c:v>
                </c:pt>
                <c:pt idx="61">
                  <c:v>346.97267897241881</c:v>
                </c:pt>
                <c:pt idx="62">
                  <c:v>341.37634544060546</c:v>
                </c:pt>
                <c:pt idx="63">
                  <c:v>335.95767329075471</c:v>
                </c:pt>
                <c:pt idx="64">
                  <c:v>330.70833464558655</c:v>
                </c:pt>
                <c:pt idx="65">
                  <c:v>325.62051411257761</c:v>
                </c:pt>
                <c:pt idx="66">
                  <c:v>320.68686995935667</c:v>
                </c:pt>
                <c:pt idx="67">
                  <c:v>315.90049876593349</c:v>
                </c:pt>
                <c:pt idx="68">
                  <c:v>311.25490319584611</c:v>
                </c:pt>
                <c:pt idx="69">
                  <c:v>306.74396256981947</c:v>
                </c:pt>
                <c:pt idx="70">
                  <c:v>302.36190596167927</c:v>
                </c:pt>
                <c:pt idx="71">
                  <c:v>298.10328756785276</c:v>
                </c:pt>
                <c:pt idx="72">
                  <c:v>293.9629641294103</c:v>
                </c:pt>
                <c:pt idx="73">
                  <c:v>289.93607420982931</c:v>
                </c:pt>
                <c:pt idx="74">
                  <c:v>286.01801915293981</c:v>
                </c:pt>
                <c:pt idx="75">
                  <c:v>282.20444556423388</c:v>
                </c:pt>
                <c:pt idx="76">
                  <c:v>278.49122917523073</c:v>
                </c:pt>
                <c:pt idx="77">
                  <c:v>274.87445996516288</c:v>
                </c:pt>
                <c:pt idx="78">
                  <c:v>271.3504284271479</c:v>
                </c:pt>
                <c:pt idx="79">
                  <c:v>267.91561287743718</c:v>
                </c:pt>
                <c:pt idx="80">
                  <c:v>264.56666771646923</c:v>
                </c:pt>
                <c:pt idx="81">
                  <c:v>261.30041255947583</c:v>
                </c:pt>
                <c:pt idx="82">
                  <c:v>258.11382216240906</c:v>
                </c:pt>
                <c:pt idx="83">
                  <c:v>255.00401707611491</c:v>
                </c:pt>
                <c:pt idx="84">
                  <c:v>251.96825496806596</c:v>
                </c:pt>
                <c:pt idx="85">
                  <c:v>249.00392255667694</c:v>
                </c:pt>
                <c:pt idx="86">
                  <c:v>246.10852810834353</c:v>
                </c:pt>
                <c:pt idx="87">
                  <c:v>243.27969445192574</c:v>
                </c:pt>
                <c:pt idx="88">
                  <c:v>240.51515246951749</c:v>
                </c:pt>
                <c:pt idx="89">
                  <c:v>237.81273502603977</c:v>
                </c:pt>
                <c:pt idx="90">
                  <c:v>235.1703713035283</c:v>
                </c:pt>
                <c:pt idx="91">
                  <c:v>232.58608150898394</c:v>
                </c:pt>
                <c:pt idx="92">
                  <c:v>230.05797192736458</c:v>
                </c:pt>
                <c:pt idx="93">
                  <c:v>227.58423029373699</c:v>
                </c:pt>
                <c:pt idx="94">
                  <c:v>225.1631214608249</c:v>
                </c:pt>
                <c:pt idx="95">
                  <c:v>223.40194653126011</c:v>
                </c:pt>
                <c:pt idx="96">
                  <c:v>222.2569941173503</c:v>
                </c:pt>
                <c:pt idx="97">
                  <c:v>221.124093456552</c:v>
                </c:pt>
                <c:pt idx="98">
                  <c:v>220.00305526021279</c:v>
                </c:pt>
                <c:pt idx="99">
                  <c:v>218.8936941830716</c:v>
                </c:pt>
                <c:pt idx="100">
                  <c:v>217.79582872110146</c:v>
                </c:pt>
              </c:numCache>
            </c:numRef>
          </c:val>
          <c:smooth val="0"/>
          <c:extLst>
            <c:ext xmlns:c16="http://schemas.microsoft.com/office/drawing/2014/chart" uri="{C3380CC4-5D6E-409C-BE32-E72D297353CC}">
              <c16:uniqueId val="{0000000A-14F3-419D-9DFA-2B2F062C7EC1}"/>
            </c:ext>
          </c:extLst>
        </c:ser>
        <c:ser>
          <c:idx val="2"/>
          <c:order val="2"/>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30.103703703703708</c:v>
                </c:pt>
                <c:pt idx="2">
                  <c:v>60.207407407407416</c:v>
                </c:pt>
                <c:pt idx="3">
                  <c:v>90.311111111111117</c:v>
                </c:pt>
                <c:pt idx="4">
                  <c:v>120.41481481481483</c:v>
                </c:pt>
                <c:pt idx="5">
                  <c:v>150.51851851851856</c:v>
                </c:pt>
                <c:pt idx="6">
                  <c:v>180.62222222222223</c:v>
                </c:pt>
                <c:pt idx="7">
                  <c:v>210.72592592592599</c:v>
                </c:pt>
                <c:pt idx="8">
                  <c:v>240.82962962962966</c:v>
                </c:pt>
                <c:pt idx="9">
                  <c:v>270.93333333333339</c:v>
                </c:pt>
                <c:pt idx="10">
                  <c:v>301.03703703703712</c:v>
                </c:pt>
                <c:pt idx="11">
                  <c:v>331.14074074074085</c:v>
                </c:pt>
                <c:pt idx="12">
                  <c:v>350</c:v>
                </c:pt>
                <c:pt idx="13">
                  <c:v>350</c:v>
                </c:pt>
                <c:pt idx="14">
                  <c:v>350</c:v>
                </c:pt>
                <c:pt idx="15">
                  <c:v>350</c:v>
                </c:pt>
                <c:pt idx="16">
                  <c:v>350</c:v>
                </c:pt>
                <c:pt idx="17">
                  <c:v>350</c:v>
                </c:pt>
                <c:pt idx="18">
                  <c:v>350</c:v>
                </c:pt>
                <c:pt idx="19">
                  <c:v>350</c:v>
                </c:pt>
                <c:pt idx="20">
                  <c:v>350</c:v>
                </c:pt>
                <c:pt idx="21">
                  <c:v>350</c:v>
                </c:pt>
                <c:pt idx="22">
                  <c:v>350</c:v>
                </c:pt>
                <c:pt idx="23">
                  <c:v>350</c:v>
                </c:pt>
                <c:pt idx="24">
                  <c:v>350</c:v>
                </c:pt>
                <c:pt idx="25">
                  <c:v>350</c:v>
                </c:pt>
                <c:pt idx="26">
                  <c:v>350</c:v>
                </c:pt>
                <c:pt idx="27">
                  <c:v>350</c:v>
                </c:pt>
                <c:pt idx="28">
                  <c:v>350</c:v>
                </c:pt>
                <c:pt idx="29">
                  <c:v>350</c:v>
                </c:pt>
                <c:pt idx="30">
                  <c:v>350</c:v>
                </c:pt>
                <c:pt idx="31">
                  <c:v>350</c:v>
                </c:pt>
                <c:pt idx="32">
                  <c:v>350</c:v>
                </c:pt>
                <c:pt idx="33">
                  <c:v>350</c:v>
                </c:pt>
                <c:pt idx="34">
                  <c:v>350</c:v>
                </c:pt>
                <c:pt idx="35">
                  <c:v>350</c:v>
                </c:pt>
                <c:pt idx="36">
                  <c:v>350</c:v>
                </c:pt>
                <c:pt idx="37">
                  <c:v>350</c:v>
                </c:pt>
                <c:pt idx="38">
                  <c:v>350</c:v>
                </c:pt>
                <c:pt idx="39">
                  <c:v>350</c:v>
                </c:pt>
                <c:pt idx="40">
                  <c:v>350</c:v>
                </c:pt>
                <c:pt idx="41">
                  <c:v>350</c:v>
                </c:pt>
                <c:pt idx="42">
                  <c:v>350</c:v>
                </c:pt>
                <c:pt idx="43">
                  <c:v>350</c:v>
                </c:pt>
                <c:pt idx="44">
                  <c:v>350</c:v>
                </c:pt>
                <c:pt idx="45">
                  <c:v>350</c:v>
                </c:pt>
                <c:pt idx="46">
                  <c:v>350</c:v>
                </c:pt>
                <c:pt idx="47">
                  <c:v>350</c:v>
                </c:pt>
                <c:pt idx="48">
                  <c:v>350</c:v>
                </c:pt>
                <c:pt idx="49">
                  <c:v>350</c:v>
                </c:pt>
                <c:pt idx="50">
                  <c:v>350</c:v>
                </c:pt>
                <c:pt idx="51">
                  <c:v>350</c:v>
                </c:pt>
                <c:pt idx="52">
                  <c:v>350</c:v>
                </c:pt>
                <c:pt idx="53">
                  <c:v>350</c:v>
                </c:pt>
                <c:pt idx="54">
                  <c:v>350</c:v>
                </c:pt>
                <c:pt idx="55">
                  <c:v>350</c:v>
                </c:pt>
                <c:pt idx="56">
                  <c:v>350</c:v>
                </c:pt>
                <c:pt idx="57">
                  <c:v>350</c:v>
                </c:pt>
                <c:pt idx="58">
                  <c:v>350</c:v>
                </c:pt>
                <c:pt idx="59">
                  <c:v>350</c:v>
                </c:pt>
                <c:pt idx="60">
                  <c:v>350</c:v>
                </c:pt>
                <c:pt idx="61">
                  <c:v>350</c:v>
                </c:pt>
                <c:pt idx="62">
                  <c:v>350</c:v>
                </c:pt>
                <c:pt idx="63">
                  <c:v>350</c:v>
                </c:pt>
                <c:pt idx="64">
                  <c:v>347.1715749576652</c:v>
                </c:pt>
                <c:pt idx="65">
                  <c:v>341.83047380447039</c:v>
                </c:pt>
                <c:pt idx="66">
                  <c:v>336.65122420137232</c:v>
                </c:pt>
                <c:pt idx="67">
                  <c:v>331.62657906403837</c:v>
                </c:pt>
                <c:pt idx="68">
                  <c:v>326.74971760721434</c:v>
                </c:pt>
                <c:pt idx="69">
                  <c:v>322.01421445348649</c:v>
                </c:pt>
                <c:pt idx="70">
                  <c:v>317.41401138986538</c:v>
                </c:pt>
                <c:pt idx="71">
                  <c:v>312.94339151113479</c:v>
                </c:pt>
                <c:pt idx="72">
                  <c:v>308.5969555179247</c:v>
                </c:pt>
                <c:pt idx="73">
                  <c:v>304.36959996288454</c:v>
                </c:pt>
                <c:pt idx="74">
                  <c:v>300.25649726068343</c:v>
                </c:pt>
                <c:pt idx="75">
                  <c:v>296.2530772972076</c:v>
                </c:pt>
                <c:pt idx="76">
                  <c:v>292.35501049066539</c:v>
                </c:pt>
                <c:pt idx="77">
                  <c:v>288.55819217260489</c:v>
                </c:pt>
                <c:pt idx="78">
                  <c:v>284.85872817039188</c:v>
                </c:pt>
                <c:pt idx="79">
                  <c:v>281.25292148469077</c:v>
                </c:pt>
                <c:pt idx="80">
                  <c:v>277.73725996613206</c:v>
                </c:pt>
                <c:pt idx="81">
                  <c:v>274.30840490482188</c:v>
                </c:pt>
                <c:pt idx="82">
                  <c:v>270.96318045476306</c:v>
                </c:pt>
                <c:pt idx="83">
                  <c:v>267.69856382277794</c:v>
                </c:pt>
                <c:pt idx="84">
                  <c:v>264.51167615822112</c:v>
                </c:pt>
                <c:pt idx="85">
                  <c:v>261.39977408577141</c:v>
                </c:pt>
                <c:pt idx="86">
                  <c:v>258.36024182896017</c:v>
                </c:pt>
                <c:pt idx="87">
                  <c:v>255.39058387690312</c:v>
                </c:pt>
                <c:pt idx="88">
                  <c:v>252.48841815102924</c:v>
                </c:pt>
                <c:pt idx="89">
                  <c:v>249.65146963247832</c:v>
                </c:pt>
                <c:pt idx="90">
                  <c:v>246.87756441433967</c:v>
                </c:pt>
                <c:pt idx="91">
                  <c:v>244.16462414605013</c:v>
                </c:pt>
                <c:pt idx="92">
                  <c:v>241.51066084011495</c:v>
                </c:pt>
                <c:pt idx="93">
                  <c:v>238.91377201387704</c:v>
                </c:pt>
                <c:pt idx="94">
                  <c:v>236.37213614138909</c:v>
                </c:pt>
                <c:pt idx="95">
                  <c:v>233.88400839253237</c:v>
                </c:pt>
                <c:pt idx="96">
                  <c:v>231.44771663844344</c:v>
                </c:pt>
                <c:pt idx="97">
                  <c:v>229.27722742938724</c:v>
                </c:pt>
                <c:pt idx="98">
                  <c:v>228.10007938775817</c:v>
                </c:pt>
                <c:pt idx="99">
                  <c:v>226.93533391964397</c:v>
                </c:pt>
                <c:pt idx="100">
                  <c:v>225.78279603972706</c:v>
                </c:pt>
              </c:numCache>
            </c:numRef>
          </c:val>
          <c:smooth val="0"/>
          <c:extLst>
            <c:ext xmlns:c16="http://schemas.microsoft.com/office/drawing/2014/chart" uri="{C3380CC4-5D6E-409C-BE32-E72D297353CC}">
              <c16:uniqueId val="{0000000B-14F3-419D-9DFA-2B2F062C7EC1}"/>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139.74467346636342</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C-14F3-419D-9DFA-2B2F062C7EC1}"/>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D-14F3-419D-9DFA-2B2F062C7EC1}"/>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Dual'!$CG$5:$CG$105</c:f>
              <c:numCache>
                <c:formatCode>General</c:formatCode>
                <c:ptCount val="101"/>
                <c:pt idx="0">
                  <c:v>0</c:v>
                </c:pt>
                <c:pt idx="1">
                  <c:v>1</c:v>
                </c:pt>
                <c:pt idx="2">
                  <c:v>2</c:v>
                </c:pt>
                <c:pt idx="3">
                  <c:v>3</c:v>
                </c:pt>
                <c:pt idx="4">
                  <c:v>4</c:v>
                </c:pt>
                <c:pt idx="5">
                  <c:v>5.0000000000000009</c:v>
                </c:pt>
                <c:pt idx="6">
                  <c:v>6</c:v>
                </c:pt>
                <c:pt idx="7">
                  <c:v>7.0000000000000009</c:v>
                </c:pt>
                <c:pt idx="8">
                  <c:v>8</c:v>
                </c:pt>
                <c:pt idx="9">
                  <c:v>8.9999999999999982</c:v>
                </c:pt>
                <c:pt idx="10">
                  <c:v>10.000000000000002</c:v>
                </c:pt>
                <c:pt idx="11">
                  <c:v>11</c:v>
                </c:pt>
                <c:pt idx="12">
                  <c:v>12</c:v>
                </c:pt>
                <c:pt idx="13">
                  <c:v>13</c:v>
                </c:pt>
                <c:pt idx="14">
                  <c:v>14.000000000000002</c:v>
                </c:pt>
                <c:pt idx="15">
                  <c:v>15</c:v>
                </c:pt>
                <c:pt idx="16">
                  <c:v>16</c:v>
                </c:pt>
                <c:pt idx="17">
                  <c:v>17</c:v>
                </c:pt>
                <c:pt idx="18">
                  <c:v>17.999999999999996</c:v>
                </c:pt>
                <c:pt idx="19">
                  <c:v>19.000000000000004</c:v>
                </c:pt>
                <c:pt idx="20">
                  <c:v>20.000000000000004</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34.999999999999993</c:v>
                </c:pt>
                <c:pt idx="36">
                  <c:v>35.999999999999993</c:v>
                </c:pt>
                <c:pt idx="37">
                  <c:v>36.999999999999993</c:v>
                </c:pt>
                <c:pt idx="38">
                  <c:v>38.000000000000007</c:v>
                </c:pt>
                <c:pt idx="39">
                  <c:v>39.000000000000007</c:v>
                </c:pt>
                <c:pt idx="40">
                  <c:v>40.000000000000007</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70.999999999999986</c:v>
                </c:pt>
                <c:pt idx="72">
                  <c:v>71.999999999999986</c:v>
                </c:pt>
                <c:pt idx="73">
                  <c:v>72.999999999999986</c:v>
                </c:pt>
                <c:pt idx="74">
                  <c:v>73.999999999999986</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229.27722742938724</c:v>
                </c:pt>
                <c:pt idx="98">
                  <c:v>-50</c:v>
                </c:pt>
                <c:pt idx="99">
                  <c:v>-50</c:v>
                </c:pt>
                <c:pt idx="100">
                  <c:v>-50</c:v>
                </c:pt>
              </c:numCache>
            </c:numRef>
          </c:val>
          <c:smooth val="0"/>
          <c:extLst>
            <c:ext xmlns:c16="http://schemas.microsoft.com/office/drawing/2014/chart" uri="{C3380CC4-5D6E-409C-BE32-E72D297353CC}">
              <c16:uniqueId val="{0000000E-14F3-419D-9DFA-2B2F062C7EC1}"/>
            </c:ext>
          </c:extLst>
        </c:ser>
        <c:dLbls>
          <c:showLegendKey val="0"/>
          <c:showVal val="0"/>
          <c:showCatName val="0"/>
          <c:showSerName val="0"/>
          <c:showPercent val="0"/>
          <c:showBubbleSize val="0"/>
        </c:dLbls>
        <c:marker val="1"/>
        <c:smooth val="0"/>
        <c:axId val="180480256"/>
        <c:axId val="180494720"/>
      </c:lineChart>
      <c:lineChart>
        <c:grouping val="standard"/>
        <c:varyColors val="0"/>
        <c:ser>
          <c:idx val="6"/>
          <c:order val="6"/>
          <c:tx>
            <c:v>D1</c:v>
          </c:tx>
          <c:spPr>
            <a:ln w="25400">
              <a:solidFill>
                <a:srgbClr val="0000FF"/>
              </a:solidFill>
              <a:prstDash val="lgDash"/>
            </a:ln>
          </c:spPr>
          <c:marker>
            <c:symbol val="none"/>
          </c:marker>
          <c:val>
            <c:numRef>
              <c:f>'Calculations - Dual'!$AU$5:$AU$105</c:f>
              <c:numCache>
                <c:formatCode>0.000</c:formatCode>
                <c:ptCount val="101"/>
                <c:pt idx="0">
                  <c:v>4.5000000000000005E-3</c:v>
                </c:pt>
                <c:pt idx="1">
                  <c:v>1.354666666666667E-2</c:v>
                </c:pt>
                <c:pt idx="2">
                  <c:v>2.7093333333333341E-2</c:v>
                </c:pt>
                <c:pt idx="3">
                  <c:v>4.0640000000000003E-2</c:v>
                </c:pt>
                <c:pt idx="4">
                  <c:v>5.4186666666666682E-2</c:v>
                </c:pt>
                <c:pt idx="5">
                  <c:v>6.7733333333333354E-2</c:v>
                </c:pt>
                <c:pt idx="6">
                  <c:v>8.1280000000000005E-2</c:v>
                </c:pt>
                <c:pt idx="7">
                  <c:v>9.7936560207029899E-2</c:v>
                </c:pt>
                <c:pt idx="8">
                  <c:v>0.11965552781513936</c:v>
                </c:pt>
                <c:pt idx="9">
                  <c:v>0.14277808427266223</c:v>
                </c:pt>
                <c:pt idx="10">
                  <c:v>0.1672236837989178</c:v>
                </c:pt>
                <c:pt idx="11">
                  <c:v>0.19292424711110387</c:v>
                </c:pt>
                <c:pt idx="12">
                  <c:v>0.21297887219158615</c:v>
                </c:pt>
                <c:pt idx="13">
                  <c:v>0.221675438422934</c:v>
                </c:pt>
                <c:pt idx="14">
                  <c:v>0.23004347415216977</c:v>
                </c:pt>
                <c:pt idx="15">
                  <c:v>0.23811761799581316</c:v>
                </c:pt>
                <c:pt idx="16">
                  <c:v>0.24592681838303038</c:v>
                </c:pt>
                <c:pt idx="17">
                  <c:v>0.25349556209133134</c:v>
                </c:pt>
                <c:pt idx="18">
                  <c:v>0.26084478143140988</c:v>
                </c:pt>
                <c:pt idx="19">
                  <c:v>0.26799253720952754</c:v>
                </c:pt>
                <c:pt idx="20">
                  <c:v>0.27495454169735045</c:v>
                </c:pt>
                <c:pt idx="21">
                  <c:v>0.28174456516497359</c:v>
                </c:pt>
                <c:pt idx="22">
                  <c:v>0.28837475617674996</c:v>
                </c:pt>
                <c:pt idx="23">
                  <c:v>0.29485589700733478</c:v>
                </c:pt>
                <c:pt idx="24">
                  <c:v>0.30119760955226721</c:v>
                </c:pt>
                <c:pt idx="25">
                  <c:v>0.30740852297878796</c:v>
                </c:pt>
                <c:pt idx="26">
                  <c:v>0.31349641146271517</c:v>
                </c:pt>
                <c:pt idx="27">
                  <c:v>0.31946830828737927</c:v>
                </c:pt>
                <c:pt idx="28">
                  <c:v>0.32533060108142303</c:v>
                </c:pt>
                <c:pt idx="29">
                  <c:v>0.33108911187171347</c:v>
                </c:pt>
                <c:pt idx="30">
                  <c:v>0.33674916480965472</c:v>
                </c:pt>
                <c:pt idx="31">
                  <c:v>0.34231564381430191</c:v>
                </c:pt>
                <c:pt idx="32">
                  <c:v>0.3477930419085466</c:v>
                </c:pt>
                <c:pt idx="33">
                  <c:v>0.35318550366627449</c:v>
                </c:pt>
                <c:pt idx="34">
                  <c:v>0.35849686191095176</c:v>
                </c:pt>
                <c:pt idx="35">
                  <c:v>0.36373066958946421</c:v>
                </c:pt>
                <c:pt idx="36">
                  <c:v>0.36889022757454554</c:v>
                </c:pt>
                <c:pt idx="37">
                  <c:v>0.37397860901393803</c:v>
                </c:pt>
                <c:pt idx="38">
                  <c:v>0.37899868073649012</c:v>
                </c:pt>
                <c:pt idx="39">
                  <c:v>0.38395312213862776</c:v>
                </c:pt>
                <c:pt idx="40">
                  <c:v>0.38884444190447159</c:v>
                </c:pt>
                <c:pt idx="41">
                  <c:v>0.39367499285578195</c:v>
                </c:pt>
                <c:pt idx="42">
                  <c:v>0.39844698518121574</c:v>
                </c:pt>
                <c:pt idx="43">
                  <c:v>0.40316249825597616</c:v>
                </c:pt>
                <c:pt idx="44">
                  <c:v>0.40782349123119427</c:v>
                </c:pt>
                <c:pt idx="45">
                  <c:v>0.41243181254602562</c:v>
                </c:pt>
                <c:pt idx="46">
                  <c:v>0.41698920849345739</c:v>
                </c:pt>
                <c:pt idx="47">
                  <c:v>0.42149733095240355</c:v>
                </c:pt>
                <c:pt idx="48">
                  <c:v>0.4259577443831723</c:v>
                </c:pt>
                <c:pt idx="49">
                  <c:v>0.43037193217030312</c:v>
                </c:pt>
                <c:pt idx="50">
                  <c:v>0.43474130238568315</c:v>
                </c:pt>
                <c:pt idx="51">
                  <c:v>0.43906719303541686</c:v>
                </c:pt>
                <c:pt idx="52">
                  <c:v>0.44335087684586799</c:v>
                </c:pt>
                <c:pt idx="53">
                  <c:v>0.44759356563739827</c:v>
                </c:pt>
                <c:pt idx="54">
                  <c:v>0.4517964143284009</c:v>
                </c:pt>
                <c:pt idx="55">
                  <c:v>0.45596052460711994</c:v>
                </c:pt>
                <c:pt idx="56">
                  <c:v>0.46008694830433955</c:v>
                </c:pt>
                <c:pt idx="57">
                  <c:v>0.46417669049619459</c:v>
                </c:pt>
                <c:pt idx="58">
                  <c:v>0.46823071236304015</c:v>
                </c:pt>
                <c:pt idx="59">
                  <c:v>0.47224993382741731</c:v>
                </c:pt>
                <c:pt idx="60">
                  <c:v>0.47623523599162632</c:v>
                </c:pt>
                <c:pt idx="61">
                  <c:v>0.47603408737860115</c:v>
                </c:pt>
                <c:pt idx="62">
                  <c:v>0.47217949691672634</c:v>
                </c:pt>
                <c:pt idx="63">
                  <c:v>0.46841705052684668</c:v>
                </c:pt>
                <c:pt idx="64">
                  <c:v>0.46474313458365479</c:v>
                </c:pt>
                <c:pt idx="65">
                  <c:v>0.46115433080192336</c:v>
                </c:pt>
                <c:pt idx="66">
                  <c:v>0.4576474028664862</c:v>
                </c:pt>
                <c:pt idx="67">
                  <c:v>0.45421928416394158</c:v>
                </c:pt>
                <c:pt idx="68">
                  <c:v>0.45086706651036534</c:v>
                </c:pt>
                <c:pt idx="69">
                  <c:v>0.44758798978086195</c:v>
                </c:pt>
                <c:pt idx="70">
                  <c:v>0.44437943235690319</c:v>
                </c:pt>
                <c:pt idx="71">
                  <c:v>0.44123890231631935</c:v>
                </c:pt>
                <c:pt idx="72">
                  <c:v>0.4381640292986595</c:v>
                </c:pt>
                <c:pt idx="73">
                  <c:v>0.43515255698557337</c:v>
                </c:pt>
                <c:pt idx="74">
                  <c:v>0.43220233614200732</c:v>
                </c:pt>
                <c:pt idx="75">
                  <c:v>0.42931131816944579</c:v>
                </c:pt>
                <c:pt idx="76">
                  <c:v>0.4264775491272576</c:v>
                </c:pt>
                <c:pt idx="77">
                  <c:v>0.42369916418249937</c:v>
                </c:pt>
                <c:pt idx="78">
                  <c:v>0.42097438245235469</c:v>
                </c:pt>
                <c:pt idx="79">
                  <c:v>0.41830150220680384</c:v>
                </c:pt>
                <c:pt idx="80">
                  <c:v>0.41567889640215433</c:v>
                </c:pt>
                <c:pt idx="81">
                  <c:v>0.41310500851880433</c:v>
                </c:pt>
                <c:pt idx="82">
                  <c:v>0.41057834867904636</c:v>
                </c:pt>
                <c:pt idx="83">
                  <c:v>0.40809749002291151</c:v>
                </c:pt>
                <c:pt idx="84">
                  <c:v>0.40566106532202822</c:v>
                </c:pt>
                <c:pt idx="85">
                  <c:v>0.40326776381323848</c:v>
                </c:pt>
                <c:pt idx="86">
                  <c:v>0.40091632823531465</c:v>
                </c:pt>
                <c:pt idx="87">
                  <c:v>0.39860555205355575</c:v>
                </c:pt>
                <c:pt idx="88">
                  <c:v>0.39633427685834827</c:v>
                </c:pt>
                <c:pt idx="89">
                  <c:v>0.39410138992494759</c:v>
                </c:pt>
                <c:pt idx="90">
                  <c:v>0.39190582192280499</c:v>
                </c:pt>
                <c:pt idx="91">
                  <c:v>0.38974654476372728</c:v>
                </c:pt>
                <c:pt idx="92">
                  <c:v>0.38762256957903612</c:v>
                </c:pt>
                <c:pt idx="93">
                  <c:v>0.38553294481668088</c:v>
                </c:pt>
                <c:pt idx="94">
                  <c:v>0.38347675444999313</c:v>
                </c:pt>
                <c:pt idx="95">
                  <c:v>0.38249574745168774</c:v>
                </c:pt>
                <c:pt idx="96">
                  <c:v>0.38253300191096123</c:v>
                </c:pt>
                <c:pt idx="97">
                  <c:v>0.38256020204867958</c:v>
                </c:pt>
                <c:pt idx="98">
                  <c:v>0.38257765909061725</c:v>
                </c:pt>
                <c:pt idx="99">
                  <c:v>0.38258567387242975</c:v>
                </c:pt>
                <c:pt idx="100">
                  <c:v>0.38258453724625652</c:v>
                </c:pt>
              </c:numCache>
            </c:numRef>
          </c:val>
          <c:smooth val="0"/>
          <c:extLst>
            <c:ext xmlns:c16="http://schemas.microsoft.com/office/drawing/2014/chart" uri="{C3380CC4-5D6E-409C-BE32-E72D297353CC}">
              <c16:uniqueId val="{0000000F-14F3-419D-9DFA-2B2F062C7EC1}"/>
            </c:ext>
          </c:extLst>
        </c:ser>
        <c:ser>
          <c:idx val="7"/>
          <c:order val="7"/>
          <c:spPr>
            <a:ln w="25400">
              <a:solidFill>
                <a:srgbClr val="00B050"/>
              </a:solidFill>
              <a:prstDash val="dash"/>
            </a:ln>
          </c:spPr>
          <c:marker>
            <c:symbol val="none"/>
          </c:marker>
          <c:val>
            <c:numRef>
              <c:f>'Calculations - Dual'!$AU$110:$AU$210</c:f>
              <c:numCache>
                <c:formatCode>0.000</c:formatCode>
                <c:ptCount val="101"/>
                <c:pt idx="0">
                  <c:v>0.01</c:v>
                </c:pt>
                <c:pt idx="1">
                  <c:v>3.0103703703703709E-2</c:v>
                </c:pt>
                <c:pt idx="2">
                  <c:v>6.0207407407407418E-2</c:v>
                </c:pt>
                <c:pt idx="3">
                  <c:v>9.031111111111112E-2</c:v>
                </c:pt>
                <c:pt idx="4">
                  <c:v>0.12041481481481484</c:v>
                </c:pt>
                <c:pt idx="5">
                  <c:v>0.15051851851851858</c:v>
                </c:pt>
                <c:pt idx="6">
                  <c:v>0.18062222222222224</c:v>
                </c:pt>
                <c:pt idx="7">
                  <c:v>0.21763680046006645</c:v>
                </c:pt>
                <c:pt idx="8">
                  <c:v>0.2659011729225319</c:v>
                </c:pt>
                <c:pt idx="9">
                  <c:v>0.3172846317170272</c:v>
                </c:pt>
                <c:pt idx="10">
                  <c:v>0.37160818621981739</c:v>
                </c:pt>
                <c:pt idx="11">
                  <c:v>0.42872054913578633</c:v>
                </c:pt>
                <c:pt idx="12">
                  <c:v>0.47328638264796929</c:v>
                </c:pt>
                <c:pt idx="13">
                  <c:v>0.49261208538429779</c:v>
                </c:pt>
                <c:pt idx="14">
                  <c:v>0.51120772033815509</c:v>
                </c:pt>
                <c:pt idx="15">
                  <c:v>0.52915026221291805</c:v>
                </c:pt>
                <c:pt idx="16">
                  <c:v>0.54650404085117854</c:v>
                </c:pt>
                <c:pt idx="17">
                  <c:v>0.56332347131406968</c:v>
                </c:pt>
                <c:pt idx="18">
                  <c:v>0.57965506984757753</c:v>
                </c:pt>
                <c:pt idx="19">
                  <c:v>0.59553897157672786</c:v>
                </c:pt>
                <c:pt idx="20">
                  <c:v>0.61101009266077877</c:v>
                </c:pt>
                <c:pt idx="21">
                  <c:v>0.62609903369994124</c:v>
                </c:pt>
                <c:pt idx="22">
                  <c:v>0.64083279150388883</c:v>
                </c:pt>
                <c:pt idx="23">
                  <c:v>0.65523532668296625</c:v>
                </c:pt>
                <c:pt idx="24">
                  <c:v>0.64583708268581663</c:v>
                </c:pt>
                <c:pt idx="25">
                  <c:v>0.63278852381916784</c:v>
                </c:pt>
                <c:pt idx="26">
                  <c:v>0.69304229195088685</c:v>
                </c:pt>
                <c:pt idx="27">
                  <c:v>0.69304229195088685</c:v>
                </c:pt>
                <c:pt idx="28">
                  <c:v>0.69304229195088685</c:v>
                </c:pt>
                <c:pt idx="29">
                  <c:v>0.69304229195088674</c:v>
                </c:pt>
                <c:pt idx="30">
                  <c:v>0.69304229195088685</c:v>
                </c:pt>
                <c:pt idx="31">
                  <c:v>0.69304229195088685</c:v>
                </c:pt>
                <c:pt idx="32">
                  <c:v>0.69304229195088685</c:v>
                </c:pt>
                <c:pt idx="33">
                  <c:v>0.69304229195088674</c:v>
                </c:pt>
                <c:pt idx="34">
                  <c:v>0.69304229195088685</c:v>
                </c:pt>
                <c:pt idx="35">
                  <c:v>0.69304229195088674</c:v>
                </c:pt>
                <c:pt idx="36">
                  <c:v>0.69304229195088674</c:v>
                </c:pt>
                <c:pt idx="37">
                  <c:v>0.69304229195088662</c:v>
                </c:pt>
                <c:pt idx="38">
                  <c:v>0.69304229195088685</c:v>
                </c:pt>
                <c:pt idx="39">
                  <c:v>0.69304229195088662</c:v>
                </c:pt>
                <c:pt idx="40">
                  <c:v>0.69304229195088685</c:v>
                </c:pt>
                <c:pt idx="41">
                  <c:v>0.69304229195088685</c:v>
                </c:pt>
                <c:pt idx="42">
                  <c:v>0.69304229195088662</c:v>
                </c:pt>
                <c:pt idx="43">
                  <c:v>0.69304229195088674</c:v>
                </c:pt>
                <c:pt idx="44">
                  <c:v>0.69304229195088685</c:v>
                </c:pt>
                <c:pt idx="45">
                  <c:v>0.69304229195088696</c:v>
                </c:pt>
                <c:pt idx="46">
                  <c:v>0.69304229195088674</c:v>
                </c:pt>
                <c:pt idx="47">
                  <c:v>0.69304229195088685</c:v>
                </c:pt>
                <c:pt idx="48">
                  <c:v>0.69304229195088685</c:v>
                </c:pt>
                <c:pt idx="49">
                  <c:v>0.69304229195088685</c:v>
                </c:pt>
                <c:pt idx="50">
                  <c:v>0.69304229195088674</c:v>
                </c:pt>
                <c:pt idx="51">
                  <c:v>0.69304229195088674</c:v>
                </c:pt>
                <c:pt idx="52">
                  <c:v>0.69304229195088685</c:v>
                </c:pt>
                <c:pt idx="53">
                  <c:v>0.69304229195088685</c:v>
                </c:pt>
                <c:pt idx="54">
                  <c:v>0.69304229195088685</c:v>
                </c:pt>
                <c:pt idx="55">
                  <c:v>0.69304229195088674</c:v>
                </c:pt>
                <c:pt idx="56">
                  <c:v>0.69304229195088685</c:v>
                </c:pt>
                <c:pt idx="57">
                  <c:v>0.69304229195088674</c:v>
                </c:pt>
                <c:pt idx="58">
                  <c:v>0.69304229195088674</c:v>
                </c:pt>
                <c:pt idx="59">
                  <c:v>0.69116933930108293</c:v>
                </c:pt>
                <c:pt idx="60">
                  <c:v>0.68762814254043503</c:v>
                </c:pt>
                <c:pt idx="61">
                  <c:v>0.68412492438235595</c:v>
                </c:pt>
                <c:pt idx="62">
                  <c:v>0.68065907711664719</c:v>
                </c:pt>
                <c:pt idx="63">
                  <c:v>0.67723000592992622</c:v>
                </c:pt>
                <c:pt idx="64">
                  <c:v>0.67383712856531297</c:v>
                </c:pt>
                <c:pt idx="65">
                  <c:v>0.67047987499283401</c:v>
                </c:pt>
                <c:pt idx="66">
                  <c:v>0.66715768709015633</c:v>
                </c:pt>
                <c:pt idx="67">
                  <c:v>0.66387001833327031</c:v>
                </c:pt>
                <c:pt idx="68">
                  <c:v>0.66061633349676741</c:v>
                </c:pt>
                <c:pt idx="69">
                  <c:v>0.65739610836336348</c:v>
                </c:pt>
                <c:pt idx="70">
                  <c:v>0.65420882944233705</c:v>
                </c:pt>
                <c:pt idx="71">
                  <c:v>0.65105399369656691</c:v>
                </c:pt>
                <c:pt idx="72">
                  <c:v>0.64793110827786182</c:v>
                </c:pt>
                <c:pt idx="73">
                  <c:v>0.64483969027029153</c:v>
                </c:pt>
                <c:pt idx="74">
                  <c:v>0.64177926644123817</c:v>
                </c:pt>
                <c:pt idx="75">
                  <c:v>0.63874937299989687</c:v>
                </c:pt>
                <c:pt idx="76">
                  <c:v>0.63574955536296984</c:v>
                </c:pt>
                <c:pt idx="77">
                  <c:v>0.63277936792730005</c:v>
                </c:pt>
                <c:pt idx="78">
                  <c:v>0.62983837384921471</c:v>
                </c:pt>
                <c:pt idx="79">
                  <c:v>0.62692614483033693</c:v>
                </c:pt>
                <c:pt idx="80">
                  <c:v>0.62404226090965564</c:v>
                </c:pt>
                <c:pt idx="81">
                  <c:v>0.62118631026163806</c:v>
                </c:pt>
                <c:pt idx="82">
                  <c:v>0.61835788900017563</c:v>
                </c:pt>
                <c:pt idx="83">
                  <c:v>0.61555660098817799</c:v>
                </c:pt>
                <c:pt idx="84">
                  <c:v>0.61278205765261695</c:v>
                </c:pt>
                <c:pt idx="85">
                  <c:v>0.61003387780484286</c:v>
                </c:pt>
                <c:pt idx="86">
                  <c:v>0.60731168746600117</c:v>
                </c:pt>
                <c:pt idx="87">
                  <c:v>0.60461511969737691</c:v>
                </c:pt>
                <c:pt idx="88">
                  <c:v>0.60194381443550626</c:v>
                </c:pt>
                <c:pt idx="89">
                  <c:v>0.59929741833190353</c:v>
                </c:pt>
                <c:pt idx="90">
                  <c:v>0.59667558459725012</c:v>
                </c:pt>
                <c:pt idx="91">
                  <c:v>0.59407797284989938</c:v>
                </c:pt>
                <c:pt idx="92">
                  <c:v>0.59150424896856379</c:v>
                </c:pt>
                <c:pt idx="93">
                  <c:v>0.58895408494904689</c:v>
                </c:pt>
                <c:pt idx="94">
                  <c:v>0.58642715876489138</c:v>
                </c:pt>
                <c:pt idx="95">
                  <c:v>0.58392315423181906</c:v>
                </c:pt>
                <c:pt idx="96">
                  <c:v>0.58144176087584432</c:v>
                </c:pt>
                <c:pt idx="97">
                  <c:v>0.57898267380494273</c:v>
                </c:pt>
                <c:pt idx="98">
                  <c:v>0.57654559358416646</c:v>
                </c:pt>
                <c:pt idx="99">
                  <c:v>0.57413022611409714</c:v>
                </c:pt>
                <c:pt idx="100">
                  <c:v>0.57173628251253228</c:v>
                </c:pt>
              </c:numCache>
            </c:numRef>
          </c:val>
          <c:smooth val="0"/>
          <c:extLst>
            <c:ext xmlns:c16="http://schemas.microsoft.com/office/drawing/2014/chart" uri="{C3380CC4-5D6E-409C-BE32-E72D297353CC}">
              <c16:uniqueId val="{00000010-14F3-419D-9DFA-2B2F062C7EC1}"/>
            </c:ext>
          </c:extLst>
        </c:ser>
        <c:ser>
          <c:idx val="8"/>
          <c:order val="8"/>
          <c:spPr>
            <a:ln w="25400">
              <a:solidFill>
                <a:srgbClr val="FF0000"/>
              </a:solidFill>
            </a:ln>
          </c:spPr>
          <c:marker>
            <c:symbol val="none"/>
          </c:marker>
          <c:val>
            <c:numRef>
              <c:f>'Calculations - Dual'!$AU$216:$AU$316</c:f>
              <c:numCache>
                <c:formatCode>0.000</c:formatCode>
                <c:ptCount val="101"/>
                <c:pt idx="0">
                  <c:v>4.2857142857142851E-3</c:v>
                </c:pt>
                <c:pt idx="1">
                  <c:v>1.2901587301587303E-2</c:v>
                </c:pt>
                <c:pt idx="2">
                  <c:v>2.5803174603174606E-2</c:v>
                </c:pt>
                <c:pt idx="3">
                  <c:v>3.8704761904761902E-2</c:v>
                </c:pt>
                <c:pt idx="4">
                  <c:v>5.1606349206349211E-2</c:v>
                </c:pt>
                <c:pt idx="5">
                  <c:v>6.4507936507936528E-2</c:v>
                </c:pt>
                <c:pt idx="6">
                  <c:v>7.7409523809523803E-2</c:v>
                </c:pt>
                <c:pt idx="7">
                  <c:v>9.3272914482885619E-2</c:v>
                </c:pt>
                <c:pt idx="8">
                  <c:v>0.11395764553822796</c:v>
                </c:pt>
                <c:pt idx="9">
                  <c:v>0.13597912787872593</c:v>
                </c:pt>
                <c:pt idx="10">
                  <c:v>0.15926065123706459</c:v>
                </c:pt>
                <c:pt idx="11">
                  <c:v>0.18373737820105129</c:v>
                </c:pt>
                <c:pt idx="12">
                  <c:v>0.20283702113484398</c:v>
                </c:pt>
                <c:pt idx="13">
                  <c:v>0.21111946516469904</c:v>
                </c:pt>
                <c:pt idx="14">
                  <c:v>0.21908902300206645</c:v>
                </c:pt>
                <c:pt idx="15">
                  <c:v>0.22677868380553634</c:v>
                </c:pt>
                <c:pt idx="16">
                  <c:v>0.23421601750764798</c:v>
                </c:pt>
                <c:pt idx="17">
                  <c:v>0.24142434484888697</c:v>
                </c:pt>
                <c:pt idx="18">
                  <c:v>0.24842360136324754</c:v>
                </c:pt>
                <c:pt idx="19">
                  <c:v>0.25523098781859765</c:v>
                </c:pt>
                <c:pt idx="20">
                  <c:v>0.2618614682831909</c:v>
                </c:pt>
                <c:pt idx="21">
                  <c:v>0.26832815729997483</c:v>
                </c:pt>
                <c:pt idx="22">
                  <c:v>0.27464262493023806</c:v>
                </c:pt>
                <c:pt idx="23">
                  <c:v>0.28081514000698554</c:v>
                </c:pt>
                <c:pt idx="24">
                  <c:v>0.28685486624025447</c:v>
                </c:pt>
                <c:pt idx="25">
                  <c:v>0.29277002188456003</c:v>
                </c:pt>
                <c:pt idx="26">
                  <c:v>0.29856801091687157</c:v>
                </c:pt>
                <c:pt idx="27">
                  <c:v>0.30425553170226605</c:v>
                </c:pt>
                <c:pt idx="28">
                  <c:v>0.30983866769659335</c:v>
                </c:pt>
                <c:pt idx="29">
                  <c:v>0.31532296368734619</c:v>
                </c:pt>
                <c:pt idx="30">
                  <c:v>0.32071349029490925</c:v>
                </c:pt>
                <c:pt idx="31">
                  <c:v>0.32601489887076374</c:v>
                </c:pt>
                <c:pt idx="32">
                  <c:v>0.3312314684843301</c:v>
                </c:pt>
                <c:pt idx="33">
                  <c:v>0.33636714634883286</c:v>
                </c:pt>
                <c:pt idx="34">
                  <c:v>0.34142558277233503</c:v>
                </c:pt>
                <c:pt idx="35">
                  <c:v>0.34641016151377535</c:v>
                </c:pt>
                <c:pt idx="36">
                  <c:v>0.35132402626147197</c:v>
                </c:pt>
                <c:pt idx="37">
                  <c:v>0.35617010382279812</c:v>
                </c:pt>
                <c:pt idx="38">
                  <c:v>0.36095112451094297</c:v>
                </c:pt>
                <c:pt idx="39">
                  <c:v>0.36566964013202646</c:v>
                </c:pt>
                <c:pt idx="40">
                  <c:v>0.37032803990902058</c:v>
                </c:pt>
                <c:pt idx="41">
                  <c:v>0.37492856462455426</c:v>
                </c:pt>
                <c:pt idx="42">
                  <c:v>0.3794733192202055</c:v>
                </c:pt>
                <c:pt idx="43">
                  <c:v>0.38396428405331073</c:v>
                </c:pt>
                <c:pt idx="44">
                  <c:v>0.38840332498208979</c:v>
                </c:pt>
                <c:pt idx="45">
                  <c:v>0.39279220242478624</c:v>
                </c:pt>
                <c:pt idx="46">
                  <c:v>0.39713257951757847</c:v>
                </c:pt>
                <c:pt idx="47">
                  <c:v>0.40142602947847955</c:v>
                </c:pt>
                <c:pt idx="48">
                  <c:v>0.40567404226968795</c:v>
                </c:pt>
                <c:pt idx="49">
                  <c:v>0.40987803063838396</c:v>
                </c:pt>
                <c:pt idx="50">
                  <c:v>0.41403933560541251</c:v>
                </c:pt>
                <c:pt idx="51">
                  <c:v>0.41815923146230177</c:v>
                </c:pt>
                <c:pt idx="52">
                  <c:v>0.42223893032939808</c:v>
                </c:pt>
                <c:pt idx="53">
                  <c:v>0.42627958632133167</c:v>
                </c:pt>
                <c:pt idx="54">
                  <c:v>0.4302822993603817</c:v>
                </c:pt>
                <c:pt idx="55">
                  <c:v>0.43424811867344754</c:v>
                </c:pt>
                <c:pt idx="56">
                  <c:v>0.4381780460041329</c:v>
                </c:pt>
                <c:pt idx="57">
                  <c:v>0.44207303856780428</c:v>
                </c:pt>
                <c:pt idx="58">
                  <c:v>0.44593401177432396</c:v>
                </c:pt>
                <c:pt idx="59">
                  <c:v>0.44976184174039746</c:v>
                </c:pt>
                <c:pt idx="60">
                  <c:v>0.45355736761107268</c:v>
                </c:pt>
                <c:pt idx="61">
                  <c:v>0.45732139370781361</c:v>
                </c:pt>
                <c:pt idx="62">
                  <c:v>0.46105469151872708</c:v>
                </c:pt>
                <c:pt idx="63">
                  <c:v>0.46475800154489005</c:v>
                </c:pt>
                <c:pt idx="64">
                  <c:v>0.46464653530538425</c:v>
                </c:pt>
                <c:pt idx="65">
                  <c:v>0.46105847747518885</c:v>
                </c:pt>
                <c:pt idx="66">
                  <c:v>0.45755227847296726</c:v>
                </c:pt>
                <c:pt idx="67">
                  <c:v>0.45412487232272913</c:v>
                </c:pt>
                <c:pt idx="68">
                  <c:v>0.45077335144503172</c:v>
                </c:pt>
                <c:pt idx="69">
                  <c:v>0.44749495628868508</c:v>
                </c:pt>
                <c:pt idx="70">
                  <c:v>0.49177153920619554</c:v>
                </c:pt>
                <c:pt idx="71">
                  <c:v>0.49177153920619554</c:v>
                </c:pt>
                <c:pt idx="72">
                  <c:v>0.4917715392061956</c:v>
                </c:pt>
                <c:pt idx="73">
                  <c:v>0.49177153920619554</c:v>
                </c:pt>
                <c:pt idx="74">
                  <c:v>0.49177153920619554</c:v>
                </c:pt>
                <c:pt idx="75">
                  <c:v>0.49177153920619554</c:v>
                </c:pt>
                <c:pt idx="76">
                  <c:v>0.4917715392061956</c:v>
                </c:pt>
                <c:pt idx="77">
                  <c:v>0.49177153920619565</c:v>
                </c:pt>
                <c:pt idx="78">
                  <c:v>0.4917715392061956</c:v>
                </c:pt>
                <c:pt idx="79">
                  <c:v>0.4917715392061956</c:v>
                </c:pt>
                <c:pt idx="80">
                  <c:v>0.49177153920619548</c:v>
                </c:pt>
                <c:pt idx="81">
                  <c:v>0.49177153920619554</c:v>
                </c:pt>
                <c:pt idx="82">
                  <c:v>0.49177153920619548</c:v>
                </c:pt>
                <c:pt idx="83">
                  <c:v>0.49177153920619554</c:v>
                </c:pt>
                <c:pt idx="84">
                  <c:v>0.49177153920619554</c:v>
                </c:pt>
                <c:pt idx="85">
                  <c:v>0.49177153920619548</c:v>
                </c:pt>
                <c:pt idx="86">
                  <c:v>0.49177153920619554</c:v>
                </c:pt>
                <c:pt idx="87">
                  <c:v>0.49177153920619548</c:v>
                </c:pt>
                <c:pt idx="88">
                  <c:v>0.49177153920619554</c:v>
                </c:pt>
                <c:pt idx="89">
                  <c:v>0.49177153920619548</c:v>
                </c:pt>
                <c:pt idx="90">
                  <c:v>0.49177153920619548</c:v>
                </c:pt>
                <c:pt idx="91">
                  <c:v>0.49177153920619554</c:v>
                </c:pt>
                <c:pt idx="92">
                  <c:v>0.4917715392061956</c:v>
                </c:pt>
                <c:pt idx="93">
                  <c:v>0.49177153920619554</c:v>
                </c:pt>
                <c:pt idx="94">
                  <c:v>0.49177153920619548</c:v>
                </c:pt>
                <c:pt idx="95">
                  <c:v>0.49177153920619554</c:v>
                </c:pt>
                <c:pt idx="96">
                  <c:v>0.4917715392061956</c:v>
                </c:pt>
                <c:pt idx="97">
                  <c:v>0.49130834449154415</c:v>
                </c:pt>
                <c:pt idx="98">
                  <c:v>0.488785884402339</c:v>
                </c:pt>
                <c:pt idx="99">
                  <c:v>0.48629000125638</c:v>
                </c:pt>
                <c:pt idx="100">
                  <c:v>0.48382027722798665</c:v>
                </c:pt>
              </c:numCache>
            </c:numRef>
          </c:val>
          <c:smooth val="0"/>
          <c:extLst>
            <c:ext xmlns:c16="http://schemas.microsoft.com/office/drawing/2014/chart" uri="{C3380CC4-5D6E-409C-BE32-E72D297353CC}">
              <c16:uniqueId val="{00000011-14F3-419D-9DFA-2B2F062C7EC1}"/>
            </c:ext>
          </c:extLst>
        </c:ser>
        <c:dLbls>
          <c:showLegendKey val="0"/>
          <c:showVal val="0"/>
          <c:showCatName val="0"/>
          <c:showSerName val="0"/>
          <c:showPercent val="0"/>
          <c:showBubbleSize val="0"/>
        </c:dLbls>
        <c:marker val="1"/>
        <c:smooth val="0"/>
        <c:axId val="180507008"/>
        <c:axId val="180496640"/>
      </c:lineChart>
      <c:catAx>
        <c:axId val="180480256"/>
        <c:scaling>
          <c:orientation val="minMax"/>
        </c:scaling>
        <c:delete val="0"/>
        <c:axPos val="b"/>
        <c:majorGridlines>
          <c:spPr>
            <a:ln w="15875">
              <a:solidFill>
                <a:srgbClr val="969696"/>
              </a:solidFill>
              <a:prstDash val="sysDash"/>
            </a:ln>
          </c:spPr>
        </c:majorGridlines>
        <c:title>
          <c:tx>
            <c:rich>
              <a:bodyPr/>
              <a:lstStyle/>
              <a:p>
                <a:pPr>
                  <a:defRPr sz="1100" b="1" i="0" u="none" strike="noStrike" baseline="0">
                    <a:solidFill>
                      <a:schemeClr val="tx1"/>
                    </a:solidFill>
                    <a:latin typeface="Arial" pitchFamily="34" charset="0"/>
                    <a:ea typeface="Calibri"/>
                    <a:cs typeface="Arial" pitchFamily="34" charset="0"/>
                  </a:defRPr>
                </a:pPr>
                <a:r>
                  <a:rPr lang="en-US" sz="1600" b="1" i="0" baseline="0">
                    <a:effectLst/>
                  </a:rPr>
                  <a:t>% Total Rated Output Power</a:t>
                </a:r>
                <a:endParaRPr lang="en-US" sz="1100">
                  <a:effectLst/>
                </a:endParaRPr>
              </a:p>
            </c:rich>
          </c:tx>
          <c:layout>
            <c:manualLayout>
              <c:xMode val="edge"/>
              <c:yMode val="edge"/>
              <c:x val="0.38070688614495507"/>
              <c:y val="0.93853774450069472"/>
            </c:manualLayout>
          </c:layout>
          <c:overlay val="0"/>
          <c:spPr>
            <a:noFill/>
            <a:ln w="25400">
              <a:noFill/>
            </a:ln>
          </c:spPr>
        </c:title>
        <c:numFmt formatCode="General" sourceLinked="1"/>
        <c:majorTickMark val="in"/>
        <c:minorTickMark val="in"/>
        <c:tickLblPos val="nextTo"/>
        <c:spPr>
          <a:ln w="3175">
            <a:solidFill>
              <a:schemeClr val="tx1"/>
            </a:solidFill>
            <a:prstDash val="solid"/>
          </a:ln>
        </c:spPr>
        <c:txPr>
          <a:bodyPr rot="0" vert="horz"/>
          <a:lstStyle/>
          <a:p>
            <a:pPr>
              <a:defRPr sz="1400" b="1" i="0" u="none" strike="noStrike" baseline="0">
                <a:solidFill>
                  <a:schemeClr val="tx1"/>
                </a:solidFill>
                <a:latin typeface="Arial" pitchFamily="34" charset="0"/>
                <a:ea typeface="Calibri"/>
                <a:cs typeface="Arial" pitchFamily="34" charset="0"/>
              </a:defRPr>
            </a:pPr>
            <a:endParaRPr lang="en-US"/>
          </a:p>
        </c:txPr>
        <c:crossAx val="180494720"/>
        <c:crosses val="autoZero"/>
        <c:auto val="1"/>
        <c:lblAlgn val="ctr"/>
        <c:lblOffset val="100"/>
        <c:tickLblSkip val="20"/>
        <c:tickMarkSkip val="10"/>
        <c:noMultiLvlLbl val="0"/>
      </c:catAx>
      <c:valAx>
        <c:axId val="180494720"/>
        <c:scaling>
          <c:orientation val="minMax"/>
          <c:max val="400"/>
          <c:min val="0"/>
        </c:scaling>
        <c:delete val="0"/>
        <c:axPos val="l"/>
        <c:majorGridlines>
          <c:spPr>
            <a:ln w="15875">
              <a:solidFill>
                <a:srgbClr val="808080"/>
              </a:solidFill>
              <a:prstDash val="solid"/>
            </a:ln>
          </c:spPr>
        </c:majorGridlines>
        <c:title>
          <c:tx>
            <c:rich>
              <a:bodyPr/>
              <a:lstStyle/>
              <a:p>
                <a:pPr>
                  <a:defRPr sz="1600" b="1" i="0" u="none" strike="noStrike" baseline="0">
                    <a:solidFill>
                      <a:schemeClr val="tx1"/>
                    </a:solidFill>
                    <a:latin typeface="Arial" pitchFamily="34" charset="0"/>
                    <a:ea typeface="Calibri"/>
                    <a:cs typeface="Arial" pitchFamily="34" charset="0"/>
                  </a:defRPr>
                </a:pPr>
                <a:r>
                  <a:rPr lang="en-US" sz="1600" b="1">
                    <a:solidFill>
                      <a:schemeClr val="tx1"/>
                    </a:solidFill>
                    <a:latin typeface="Arial" pitchFamily="34" charset="0"/>
                    <a:cs typeface="Arial" pitchFamily="34" charset="0"/>
                  </a:rPr>
                  <a:t>Switching</a:t>
                </a:r>
                <a:r>
                  <a:rPr lang="en-US" sz="1600" b="1" baseline="0">
                    <a:solidFill>
                      <a:schemeClr val="tx1"/>
                    </a:solidFill>
                    <a:latin typeface="Arial" pitchFamily="34" charset="0"/>
                    <a:cs typeface="Arial" pitchFamily="34" charset="0"/>
                  </a:rPr>
                  <a:t> Frquency (kHz)</a:t>
                </a:r>
                <a:endParaRPr lang="en-US" sz="1600" b="1">
                  <a:solidFill>
                    <a:schemeClr val="tx1"/>
                  </a:solidFill>
                  <a:latin typeface="Arial" pitchFamily="34" charset="0"/>
                  <a:cs typeface="Arial" pitchFamily="34" charset="0"/>
                </a:endParaRPr>
              </a:p>
            </c:rich>
          </c:tx>
          <c:layout>
            <c:manualLayout>
              <c:xMode val="edge"/>
              <c:yMode val="edge"/>
              <c:x val="8.5568128125503556E-3"/>
              <c:y val="0.22463146285493288"/>
            </c:manualLayout>
          </c:layout>
          <c:overlay val="0"/>
          <c:spPr>
            <a:noFill/>
            <a:ln w="25400">
              <a:noFill/>
            </a:ln>
          </c:spPr>
        </c:title>
        <c:numFmt formatCode="#,##0" sourceLinked="0"/>
        <c:majorTickMark val="in"/>
        <c:minorTickMark val="in"/>
        <c:tickLblPos val="nextTo"/>
        <c:spPr>
          <a:ln w="3175">
            <a:solidFill>
              <a:srgbClr val="000000"/>
            </a:solidFill>
            <a:prstDash val="solid"/>
          </a:ln>
        </c:spPr>
        <c:txPr>
          <a:bodyPr rot="0" vert="horz"/>
          <a:lstStyle/>
          <a:p>
            <a:pPr>
              <a:defRPr sz="1600" b="1" i="0" u="none" strike="noStrike" baseline="0">
                <a:solidFill>
                  <a:schemeClr val="tx1"/>
                </a:solidFill>
                <a:latin typeface="Arial" pitchFamily="34" charset="0"/>
                <a:ea typeface="Calibri"/>
                <a:cs typeface="Arial" pitchFamily="34" charset="0"/>
              </a:defRPr>
            </a:pPr>
            <a:endParaRPr lang="en-US"/>
          </a:p>
        </c:txPr>
        <c:crossAx val="180480256"/>
        <c:crossesAt val="0"/>
        <c:crossBetween val="between"/>
        <c:majorUnit val="50"/>
        <c:minorUnit val="25"/>
      </c:valAx>
      <c:valAx>
        <c:axId val="180496640"/>
        <c:scaling>
          <c:orientation val="minMax"/>
          <c:max val="0.60000000000000009"/>
        </c:scaling>
        <c:delete val="0"/>
        <c:axPos val="r"/>
        <c:title>
          <c:tx>
            <c:rich>
              <a:bodyPr rot="-5400000" vert="horz"/>
              <a:lstStyle/>
              <a:p>
                <a:pPr>
                  <a:defRPr sz="1600" b="1"/>
                </a:pPr>
                <a:r>
                  <a:rPr lang="en-US" sz="1600" b="1"/>
                  <a:t>Duty Cycle</a:t>
                </a:r>
              </a:p>
            </c:rich>
          </c:tx>
          <c:layout>
            <c:manualLayout>
              <c:xMode val="edge"/>
              <c:yMode val="edge"/>
              <c:x val="0.96331030941631779"/>
              <c:y val="0.35675917128406437"/>
            </c:manualLayout>
          </c:layout>
          <c:overlay val="0"/>
        </c:title>
        <c:numFmt formatCode="General" sourceLinked="0"/>
        <c:majorTickMark val="out"/>
        <c:minorTickMark val="none"/>
        <c:tickLblPos val="nextTo"/>
        <c:txPr>
          <a:bodyPr/>
          <a:lstStyle/>
          <a:p>
            <a:pPr>
              <a:defRPr sz="1400" b="1"/>
            </a:pPr>
            <a:endParaRPr lang="en-US"/>
          </a:p>
        </c:txPr>
        <c:crossAx val="180507008"/>
        <c:crosses val="max"/>
        <c:crossBetween val="between"/>
        <c:majorUnit val="0.1"/>
        <c:minorUnit val="5.000000000000001E-2"/>
      </c:valAx>
      <c:catAx>
        <c:axId val="180507008"/>
        <c:scaling>
          <c:orientation val="minMax"/>
        </c:scaling>
        <c:delete val="1"/>
        <c:axPos val="b"/>
        <c:majorTickMark val="out"/>
        <c:minorTickMark val="none"/>
        <c:tickLblPos val="nextTo"/>
        <c:crossAx val="180496640"/>
        <c:crosses val="autoZero"/>
        <c:auto val="1"/>
        <c:lblAlgn val="ctr"/>
        <c:lblOffset val="100"/>
        <c:noMultiLvlLbl val="0"/>
      </c:catAx>
      <c:spPr>
        <a:noFill/>
        <a:ln w="25400">
          <a:noFill/>
        </a:ln>
      </c:spPr>
    </c:plotArea>
    <c:legend>
      <c:legendPos val="t"/>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ayout>
        <c:manualLayout>
          <c:xMode val="edge"/>
          <c:yMode val="edge"/>
          <c:x val="0.31430722044239789"/>
          <c:y val="1.5175029628150039E-2"/>
          <c:w val="0.42410841724909248"/>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Dual'!$AI$110:$AI$210</c:f>
              <c:numCache>
                <c:formatCode>0.000</c:formatCode>
                <c:ptCount val="101"/>
                <c:pt idx="0">
                  <c:v>0.15</c:v>
                </c:pt>
                <c:pt idx="1">
                  <c:v>0.15</c:v>
                </c:pt>
                <c:pt idx="2">
                  <c:v>0.15</c:v>
                </c:pt>
                <c:pt idx="3">
                  <c:v>0.15</c:v>
                </c:pt>
                <c:pt idx="4">
                  <c:v>0.15</c:v>
                </c:pt>
                <c:pt idx="5">
                  <c:v>0.15</c:v>
                </c:pt>
                <c:pt idx="6">
                  <c:v>0.15</c:v>
                </c:pt>
                <c:pt idx="7">
                  <c:v>0.15491933384829668</c:v>
                </c:pt>
                <c:pt idx="8">
                  <c:v>0.16561573424216502</c:v>
                </c:pt>
                <c:pt idx="9">
                  <c:v>0.17566201313073596</c:v>
                </c:pt>
                <c:pt idx="10">
                  <c:v>0.18516401995451032</c:v>
                </c:pt>
                <c:pt idx="11">
                  <c:v>0.1942016624910449</c:v>
                </c:pt>
                <c:pt idx="12">
                  <c:v>0.20283702113484398</c:v>
                </c:pt>
                <c:pt idx="13">
                  <c:v>0.21111946516469904</c:v>
                </c:pt>
                <c:pt idx="14">
                  <c:v>0.21908902300206645</c:v>
                </c:pt>
                <c:pt idx="15">
                  <c:v>0.22677868380553634</c:v>
                </c:pt>
                <c:pt idx="16">
                  <c:v>0.23421601750764798</c:v>
                </c:pt>
                <c:pt idx="17">
                  <c:v>0.24142434484888697</c:v>
                </c:pt>
                <c:pt idx="18">
                  <c:v>0.24842360136324751</c:v>
                </c:pt>
                <c:pt idx="19">
                  <c:v>0.25523098781859765</c:v>
                </c:pt>
                <c:pt idx="20">
                  <c:v>0.2618614682831909</c:v>
                </c:pt>
                <c:pt idx="21">
                  <c:v>0.26832815729997478</c:v>
                </c:pt>
                <c:pt idx="22">
                  <c:v>0.27464262493023806</c:v>
                </c:pt>
                <c:pt idx="23">
                  <c:v>0.28081514000698549</c:v>
                </c:pt>
                <c:pt idx="24">
                  <c:v>0.28685486624025447</c:v>
                </c:pt>
                <c:pt idx="25">
                  <c:v>0.29277002188455997</c:v>
                </c:pt>
                <c:pt idx="26">
                  <c:v>0.33347331583552059</c:v>
                </c:pt>
                <c:pt idx="27">
                  <c:v>0.34629921259842528</c:v>
                </c:pt>
                <c:pt idx="28">
                  <c:v>0.35912510936132985</c:v>
                </c:pt>
                <c:pt idx="29">
                  <c:v>0.37195100612423454</c:v>
                </c:pt>
                <c:pt idx="30">
                  <c:v>0.38477690288713917</c:v>
                </c:pt>
                <c:pt idx="31">
                  <c:v>0.3976027996500438</c:v>
                </c:pt>
                <c:pt idx="32">
                  <c:v>0.41042869641294843</c:v>
                </c:pt>
                <c:pt idx="33">
                  <c:v>0.42325459317585312</c:v>
                </c:pt>
                <c:pt idx="34">
                  <c:v>0.43608048993875775</c:v>
                </c:pt>
                <c:pt idx="35">
                  <c:v>0.44890638670166227</c:v>
                </c:pt>
                <c:pt idx="36">
                  <c:v>0.46173228346456691</c:v>
                </c:pt>
                <c:pt idx="37">
                  <c:v>0.47455818022747154</c:v>
                </c:pt>
                <c:pt idx="38">
                  <c:v>0.48738407699037634</c:v>
                </c:pt>
                <c:pt idx="39">
                  <c:v>0.50020997375328102</c:v>
                </c:pt>
                <c:pt idx="40">
                  <c:v>0.51303587051618571</c:v>
                </c:pt>
                <c:pt idx="41">
                  <c:v>0.52586176727909018</c:v>
                </c:pt>
                <c:pt idx="42">
                  <c:v>0.53868766404199475</c:v>
                </c:pt>
                <c:pt idx="43">
                  <c:v>0.55151356080489944</c:v>
                </c:pt>
                <c:pt idx="44">
                  <c:v>0.56433945756780413</c:v>
                </c:pt>
                <c:pt idx="45">
                  <c:v>0.5771653543307087</c:v>
                </c:pt>
                <c:pt idx="46">
                  <c:v>0.58999125109361339</c:v>
                </c:pt>
                <c:pt idx="47">
                  <c:v>0.60281714785651797</c:v>
                </c:pt>
                <c:pt idx="48">
                  <c:v>0.61564304461942265</c:v>
                </c:pt>
                <c:pt idx="49">
                  <c:v>0.62846894138232723</c:v>
                </c:pt>
                <c:pt idx="50">
                  <c:v>0.64129483814523192</c:v>
                </c:pt>
                <c:pt idx="51">
                  <c:v>0.6541207349081366</c:v>
                </c:pt>
                <c:pt idx="52">
                  <c:v>0.66694663167104118</c:v>
                </c:pt>
                <c:pt idx="53">
                  <c:v>0.67977252843394587</c:v>
                </c:pt>
                <c:pt idx="54">
                  <c:v>0.69259842519685055</c:v>
                </c:pt>
                <c:pt idx="55">
                  <c:v>0.70542432195975513</c:v>
                </c:pt>
                <c:pt idx="56">
                  <c:v>0.71825021872265971</c:v>
                </c:pt>
                <c:pt idx="57">
                  <c:v>0.73107611548556417</c:v>
                </c:pt>
                <c:pt idx="58">
                  <c:v>0.74390201224846908</c:v>
                </c:pt>
                <c:pt idx="59">
                  <c:v>0.75</c:v>
                </c:pt>
                <c:pt idx="60">
                  <c:v>0.75</c:v>
                </c:pt>
                <c:pt idx="61">
                  <c:v>0.75</c:v>
                </c:pt>
                <c:pt idx="62">
                  <c:v>0.75</c:v>
                </c:pt>
                <c:pt idx="63">
                  <c:v>0.75</c:v>
                </c:pt>
                <c:pt idx="64">
                  <c:v>0.75</c:v>
                </c:pt>
                <c:pt idx="65">
                  <c:v>0.75</c:v>
                </c:pt>
                <c:pt idx="66">
                  <c:v>0.75</c:v>
                </c:pt>
                <c:pt idx="67">
                  <c:v>0.75</c:v>
                </c:pt>
                <c:pt idx="68">
                  <c:v>0.75</c:v>
                </c:pt>
                <c:pt idx="69">
                  <c:v>0.75</c:v>
                </c:pt>
                <c:pt idx="70">
                  <c:v>0.75</c:v>
                </c:pt>
                <c:pt idx="71">
                  <c:v>0.75</c:v>
                </c:pt>
                <c:pt idx="72">
                  <c:v>0.75</c:v>
                </c:pt>
                <c:pt idx="73">
                  <c:v>0.75</c:v>
                </c:pt>
                <c:pt idx="74">
                  <c:v>0.75</c:v>
                </c:pt>
                <c:pt idx="75">
                  <c:v>0.75</c:v>
                </c:pt>
                <c:pt idx="76">
                  <c:v>0.75</c:v>
                </c:pt>
                <c:pt idx="77">
                  <c:v>0.75</c:v>
                </c:pt>
                <c:pt idx="78">
                  <c:v>0.75</c:v>
                </c:pt>
                <c:pt idx="79">
                  <c:v>0.75</c:v>
                </c:pt>
                <c:pt idx="80">
                  <c:v>0.75</c:v>
                </c:pt>
                <c:pt idx="81">
                  <c:v>0.75</c:v>
                </c:pt>
                <c:pt idx="82">
                  <c:v>0.75</c:v>
                </c:pt>
                <c:pt idx="83">
                  <c:v>0.75</c:v>
                </c:pt>
                <c:pt idx="84">
                  <c:v>0.75</c:v>
                </c:pt>
                <c:pt idx="85">
                  <c:v>0.75</c:v>
                </c:pt>
                <c:pt idx="86">
                  <c:v>0.75</c:v>
                </c:pt>
                <c:pt idx="87">
                  <c:v>0.75</c:v>
                </c:pt>
                <c:pt idx="88">
                  <c:v>0.75</c:v>
                </c:pt>
                <c:pt idx="89">
                  <c:v>0.75</c:v>
                </c:pt>
                <c:pt idx="90">
                  <c:v>0.75</c:v>
                </c:pt>
                <c:pt idx="91">
                  <c:v>0.75</c:v>
                </c:pt>
                <c:pt idx="92">
                  <c:v>0.75</c:v>
                </c:pt>
                <c:pt idx="93">
                  <c:v>0.75</c:v>
                </c:pt>
                <c:pt idx="94">
                  <c:v>0.75</c:v>
                </c:pt>
                <c:pt idx="95">
                  <c:v>0.75</c:v>
                </c:pt>
                <c:pt idx="96">
                  <c:v>0.75</c:v>
                </c:pt>
                <c:pt idx="97">
                  <c:v>0.75</c:v>
                </c:pt>
                <c:pt idx="98">
                  <c:v>0.75</c:v>
                </c:pt>
                <c:pt idx="99">
                  <c:v>0.75</c:v>
                </c:pt>
                <c:pt idx="100">
                  <c:v>0.75</c:v>
                </c:pt>
              </c:numCache>
            </c:numRef>
          </c:val>
          <c:smooth val="0"/>
          <c:extLst>
            <c:ext xmlns:c16="http://schemas.microsoft.com/office/drawing/2014/chart" uri="{C3380CC4-5D6E-409C-BE32-E72D297353CC}">
              <c16:uniqueId val="{00000000-728C-4574-ACBD-EC84AFF7D30B}"/>
            </c:ext>
          </c:extLst>
        </c:ser>
        <c:ser>
          <c:idx val="0"/>
          <c:order val="1"/>
          <c:tx>
            <c:v>VIN-nom</c:v>
          </c:tx>
          <c:spPr>
            <a:ln w="28575">
              <a:solidFill>
                <a:srgbClr val="0000FF"/>
              </a:solidFill>
              <a:prstDash val="lgDash"/>
            </a:ln>
          </c:spPr>
          <c:marker>
            <c:symbol val="none"/>
          </c:marker>
          <c:cat>
            <c:numRef>
              <c:f>'Calculations - Dual'!$AL$5:$AL$105</c:f>
              <c:numCache>
                <c:formatCode>0</c:formatCode>
                <c:ptCount val="101"/>
                <c:pt idx="0">
                  <c:v>1.0000000000000002E-6</c:v>
                </c:pt>
                <c:pt idx="1">
                  <c:v>1</c:v>
                </c:pt>
                <c:pt idx="2">
                  <c:v>2</c:v>
                </c:pt>
                <c:pt idx="3">
                  <c:v>3</c:v>
                </c:pt>
                <c:pt idx="4">
                  <c:v>4</c:v>
                </c:pt>
                <c:pt idx="5">
                  <c:v>5.0000000000000009</c:v>
                </c:pt>
                <c:pt idx="6">
                  <c:v>6</c:v>
                </c:pt>
                <c:pt idx="7">
                  <c:v>7.0000000000000009</c:v>
                </c:pt>
                <c:pt idx="8">
                  <c:v>8</c:v>
                </c:pt>
                <c:pt idx="9">
                  <c:v>9</c:v>
                </c:pt>
                <c:pt idx="10">
                  <c:v>10.000000000000002</c:v>
                </c:pt>
                <c:pt idx="11">
                  <c:v>11.000000000000002</c:v>
                </c:pt>
                <c:pt idx="12">
                  <c:v>12</c:v>
                </c:pt>
                <c:pt idx="13">
                  <c:v>13.000000000000002</c:v>
                </c:pt>
                <c:pt idx="14">
                  <c:v>14.000000000000002</c:v>
                </c:pt>
                <c:pt idx="15">
                  <c:v>15</c:v>
                </c:pt>
                <c:pt idx="16">
                  <c:v>16</c:v>
                </c:pt>
                <c:pt idx="17">
                  <c:v>17</c:v>
                </c:pt>
                <c:pt idx="18">
                  <c:v>18</c:v>
                </c:pt>
                <c:pt idx="19">
                  <c:v>19.000000000000004</c:v>
                </c:pt>
                <c:pt idx="20">
                  <c:v>20.000000000000004</c:v>
                </c:pt>
                <c:pt idx="21">
                  <c:v>21</c:v>
                </c:pt>
                <c:pt idx="22">
                  <c:v>22.000000000000004</c:v>
                </c:pt>
                <c:pt idx="23">
                  <c:v>23.000000000000004</c:v>
                </c:pt>
                <c:pt idx="24">
                  <c:v>24</c:v>
                </c:pt>
                <c:pt idx="25">
                  <c:v>25</c:v>
                </c:pt>
                <c:pt idx="26">
                  <c:v>26.000000000000004</c:v>
                </c:pt>
                <c:pt idx="27">
                  <c:v>27.000000000000004</c:v>
                </c:pt>
                <c:pt idx="28">
                  <c:v>28.000000000000004</c:v>
                </c:pt>
                <c:pt idx="29">
                  <c:v>28.999999999999996</c:v>
                </c:pt>
                <c:pt idx="30">
                  <c:v>30</c:v>
                </c:pt>
                <c:pt idx="31">
                  <c:v>31</c:v>
                </c:pt>
                <c:pt idx="32">
                  <c:v>32</c:v>
                </c:pt>
                <c:pt idx="33">
                  <c:v>33</c:v>
                </c:pt>
                <c:pt idx="34">
                  <c:v>34</c:v>
                </c:pt>
                <c:pt idx="35">
                  <c:v>34.999999999999993</c:v>
                </c:pt>
                <c:pt idx="36">
                  <c:v>36</c:v>
                </c:pt>
                <c:pt idx="37">
                  <c:v>37</c:v>
                </c:pt>
                <c:pt idx="38">
                  <c:v>38.000000000000007</c:v>
                </c:pt>
                <c:pt idx="39">
                  <c:v>39.000000000000007</c:v>
                </c:pt>
                <c:pt idx="40">
                  <c:v>40.000000000000007</c:v>
                </c:pt>
                <c:pt idx="41">
                  <c:v>41</c:v>
                </c:pt>
                <c:pt idx="42">
                  <c:v>42</c:v>
                </c:pt>
                <c:pt idx="43">
                  <c:v>43</c:v>
                </c:pt>
                <c:pt idx="44">
                  <c:v>44.000000000000007</c:v>
                </c:pt>
                <c:pt idx="45">
                  <c:v>45.000000000000007</c:v>
                </c:pt>
                <c:pt idx="46">
                  <c:v>46.000000000000007</c:v>
                </c:pt>
                <c:pt idx="47">
                  <c:v>47</c:v>
                </c:pt>
                <c:pt idx="48">
                  <c:v>48</c:v>
                </c:pt>
                <c:pt idx="49">
                  <c:v>49</c:v>
                </c:pt>
                <c:pt idx="50">
                  <c:v>50</c:v>
                </c:pt>
                <c:pt idx="51">
                  <c:v>51.000000000000007</c:v>
                </c:pt>
                <c:pt idx="52">
                  <c:v>52.000000000000007</c:v>
                </c:pt>
                <c:pt idx="53">
                  <c:v>53.000000000000007</c:v>
                </c:pt>
                <c:pt idx="54">
                  <c:v>54.000000000000007</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68.999999999999986</c:v>
                </c:pt>
                <c:pt idx="70">
                  <c:v>69.999999999999986</c:v>
                </c:pt>
                <c:pt idx="71">
                  <c:v>71</c:v>
                </c:pt>
                <c:pt idx="72">
                  <c:v>72</c:v>
                </c:pt>
                <c:pt idx="73">
                  <c:v>73</c:v>
                </c:pt>
                <c:pt idx="74">
                  <c:v>74</c:v>
                </c:pt>
                <c:pt idx="75">
                  <c:v>75.000000000000014</c:v>
                </c:pt>
                <c:pt idx="76">
                  <c:v>76.000000000000014</c:v>
                </c:pt>
                <c:pt idx="77">
                  <c:v>77.000000000000014</c:v>
                </c:pt>
                <c:pt idx="78">
                  <c:v>78.000000000000014</c:v>
                </c:pt>
                <c:pt idx="79">
                  <c:v>79.000000000000014</c:v>
                </c:pt>
                <c:pt idx="80">
                  <c:v>80.000000000000014</c:v>
                </c:pt>
                <c:pt idx="81">
                  <c:v>81.000000000000014</c:v>
                </c:pt>
                <c:pt idx="82">
                  <c:v>82</c:v>
                </c:pt>
                <c:pt idx="83">
                  <c:v>83</c:v>
                </c:pt>
                <c:pt idx="84">
                  <c:v>84</c:v>
                </c:pt>
                <c:pt idx="85">
                  <c:v>85</c:v>
                </c:pt>
                <c:pt idx="86">
                  <c:v>86</c:v>
                </c:pt>
                <c:pt idx="87">
                  <c:v>87.000000000000014</c:v>
                </c:pt>
                <c:pt idx="88">
                  <c:v>88.000000000000014</c:v>
                </c:pt>
                <c:pt idx="89">
                  <c:v>89.000000000000014</c:v>
                </c:pt>
                <c:pt idx="90">
                  <c:v>90.000000000000014</c:v>
                </c:pt>
                <c:pt idx="91">
                  <c:v>91.000000000000014</c:v>
                </c:pt>
                <c:pt idx="92">
                  <c:v>92.000000000000014</c:v>
                </c:pt>
                <c:pt idx="93">
                  <c:v>93.000000000000014</c:v>
                </c:pt>
                <c:pt idx="94">
                  <c:v>94</c:v>
                </c:pt>
                <c:pt idx="95">
                  <c:v>95</c:v>
                </c:pt>
                <c:pt idx="96">
                  <c:v>96</c:v>
                </c:pt>
                <c:pt idx="97">
                  <c:v>97</c:v>
                </c:pt>
                <c:pt idx="98">
                  <c:v>98</c:v>
                </c:pt>
                <c:pt idx="99">
                  <c:v>99</c:v>
                </c:pt>
                <c:pt idx="100">
                  <c:v>100</c:v>
                </c:pt>
              </c:numCache>
            </c:numRef>
          </c:cat>
          <c:val>
            <c:numRef>
              <c:f>'Calculations - Dual'!$AI$5:$AI$105</c:f>
              <c:numCache>
                <c:formatCode>0.000</c:formatCode>
                <c:ptCount val="101"/>
                <c:pt idx="0">
                  <c:v>0.15</c:v>
                </c:pt>
                <c:pt idx="1">
                  <c:v>0.15</c:v>
                </c:pt>
                <c:pt idx="2">
                  <c:v>0.15</c:v>
                </c:pt>
                <c:pt idx="3">
                  <c:v>0.15</c:v>
                </c:pt>
                <c:pt idx="4">
                  <c:v>0.15</c:v>
                </c:pt>
                <c:pt idx="5">
                  <c:v>0.15</c:v>
                </c:pt>
                <c:pt idx="6">
                  <c:v>0.15</c:v>
                </c:pt>
                <c:pt idx="7">
                  <c:v>0.15491933384829668</c:v>
                </c:pt>
                <c:pt idx="8">
                  <c:v>0.16561573424216502</c:v>
                </c:pt>
                <c:pt idx="9">
                  <c:v>0.17566201313073596</c:v>
                </c:pt>
                <c:pt idx="10">
                  <c:v>0.18516401995451032</c:v>
                </c:pt>
                <c:pt idx="11">
                  <c:v>0.1942016624910449</c:v>
                </c:pt>
                <c:pt idx="12">
                  <c:v>0.20283702113484398</c:v>
                </c:pt>
                <c:pt idx="13">
                  <c:v>0.21111946516469904</c:v>
                </c:pt>
                <c:pt idx="14">
                  <c:v>0.21908902300206645</c:v>
                </c:pt>
                <c:pt idx="15">
                  <c:v>0.22677868380553634</c:v>
                </c:pt>
                <c:pt idx="16">
                  <c:v>0.23421601750764798</c:v>
                </c:pt>
                <c:pt idx="17">
                  <c:v>0.24142434484888697</c:v>
                </c:pt>
                <c:pt idx="18">
                  <c:v>0.24842360136324751</c:v>
                </c:pt>
                <c:pt idx="19">
                  <c:v>0.25523098781859765</c:v>
                </c:pt>
                <c:pt idx="20">
                  <c:v>0.2618614682831909</c:v>
                </c:pt>
                <c:pt idx="21">
                  <c:v>0.26832815729997478</c:v>
                </c:pt>
                <c:pt idx="22">
                  <c:v>0.27464262493023806</c:v>
                </c:pt>
                <c:pt idx="23">
                  <c:v>0.28081514000698549</c:v>
                </c:pt>
                <c:pt idx="24">
                  <c:v>0.28685486624025447</c:v>
                </c:pt>
                <c:pt idx="25">
                  <c:v>0.29277002188455997</c:v>
                </c:pt>
                <c:pt idx="26">
                  <c:v>0.29856801091687157</c:v>
                </c:pt>
                <c:pt idx="27">
                  <c:v>0.30425553170226599</c:v>
                </c:pt>
                <c:pt idx="28">
                  <c:v>0.30983866769659335</c:v>
                </c:pt>
                <c:pt idx="29">
                  <c:v>0.31532296368734619</c:v>
                </c:pt>
                <c:pt idx="30">
                  <c:v>0.32071349029490925</c:v>
                </c:pt>
                <c:pt idx="31">
                  <c:v>0.32601489887076374</c:v>
                </c:pt>
                <c:pt idx="32">
                  <c:v>0.33123146848433005</c:v>
                </c:pt>
                <c:pt idx="33">
                  <c:v>0.33636714634883286</c:v>
                </c:pt>
                <c:pt idx="34">
                  <c:v>0.34142558277233503</c:v>
                </c:pt>
                <c:pt idx="35">
                  <c:v>0.34641016151377541</c:v>
                </c:pt>
                <c:pt idx="36">
                  <c:v>0.35132402626147191</c:v>
                </c:pt>
                <c:pt idx="37">
                  <c:v>0.35617010382279818</c:v>
                </c:pt>
                <c:pt idx="38">
                  <c:v>0.36095112451094302</c:v>
                </c:pt>
                <c:pt idx="39">
                  <c:v>0.36566964013202646</c:v>
                </c:pt>
                <c:pt idx="40">
                  <c:v>0.37032803990902063</c:v>
                </c:pt>
                <c:pt idx="41">
                  <c:v>0.37492856462455426</c:v>
                </c:pt>
                <c:pt idx="42">
                  <c:v>0.3794733192202055</c:v>
                </c:pt>
                <c:pt idx="43">
                  <c:v>0.38396428405331068</c:v>
                </c:pt>
                <c:pt idx="44">
                  <c:v>0.38840332498208979</c:v>
                </c:pt>
                <c:pt idx="45">
                  <c:v>0.3927922024247863</c:v>
                </c:pt>
                <c:pt idx="46">
                  <c:v>0.39713257951757841</c:v>
                </c:pt>
                <c:pt idx="47">
                  <c:v>0.40142602947847955</c:v>
                </c:pt>
                <c:pt idx="48">
                  <c:v>0.40567404226968795</c:v>
                </c:pt>
                <c:pt idx="49">
                  <c:v>0.40987803063838396</c:v>
                </c:pt>
                <c:pt idx="50">
                  <c:v>0.41403933560541251</c:v>
                </c:pt>
                <c:pt idx="51">
                  <c:v>0.41815923146230177</c:v>
                </c:pt>
                <c:pt idx="52">
                  <c:v>0.42223893032939808</c:v>
                </c:pt>
                <c:pt idx="53">
                  <c:v>0.42627958632133173</c:v>
                </c:pt>
                <c:pt idx="54">
                  <c:v>0.43028229936038176</c:v>
                </c:pt>
                <c:pt idx="55">
                  <c:v>0.43424811867344754</c:v>
                </c:pt>
                <c:pt idx="56">
                  <c:v>0.4381780460041329</c:v>
                </c:pt>
                <c:pt idx="57">
                  <c:v>0.44207303856780433</c:v>
                </c:pt>
                <c:pt idx="58">
                  <c:v>0.4459340117743239</c:v>
                </c:pt>
                <c:pt idx="59">
                  <c:v>0.44976184174039741</c:v>
                </c:pt>
                <c:pt idx="60">
                  <c:v>0.45355736761107268</c:v>
                </c:pt>
                <c:pt idx="61">
                  <c:v>0.45732139370781366</c:v>
                </c:pt>
                <c:pt idx="62">
                  <c:v>0.46105469151872708</c:v>
                </c:pt>
                <c:pt idx="63">
                  <c:v>0.46475800154489</c:v>
                </c:pt>
                <c:pt idx="64">
                  <c:v>0.46843203501529596</c:v>
                </c:pt>
                <c:pt idx="65">
                  <c:v>0.47207747548166584</c:v>
                </c:pt>
                <c:pt idx="66">
                  <c:v>0.47569498030325513</c:v>
                </c:pt>
                <c:pt idx="67">
                  <c:v>0.47928518203078813</c:v>
                </c:pt>
                <c:pt idx="68">
                  <c:v>0.48284868969777395</c:v>
                </c:pt>
                <c:pt idx="69">
                  <c:v>0.48638609002666655</c:v>
                </c:pt>
                <c:pt idx="70">
                  <c:v>0.4898979485566356</c:v>
                </c:pt>
                <c:pt idx="71">
                  <c:v>0.49338481069908446</c:v>
                </c:pt>
                <c:pt idx="72">
                  <c:v>0.49684720272649502</c:v>
                </c:pt>
                <c:pt idx="73">
                  <c:v>0.50028563269967519</c:v>
                </c:pt>
                <c:pt idx="74">
                  <c:v>0.50370059133803458</c:v>
                </c:pt>
                <c:pt idx="75">
                  <c:v>0.50709255283710997</c:v>
                </c:pt>
                <c:pt idx="76">
                  <c:v>0.51046197563719531</c:v>
                </c:pt>
                <c:pt idx="77">
                  <c:v>0.51380930314660522</c:v>
                </c:pt>
                <c:pt idx="78">
                  <c:v>0.51713496442280082</c:v>
                </c:pt>
                <c:pt idx="79">
                  <c:v>0.52043937481434177</c:v>
                </c:pt>
                <c:pt idx="80">
                  <c:v>0.5237229365663818</c:v>
                </c:pt>
                <c:pt idx="81">
                  <c:v>0.52698603939220789</c:v>
                </c:pt>
                <c:pt idx="82">
                  <c:v>0.53022906101312206</c:v>
                </c:pt>
                <c:pt idx="83">
                  <c:v>0.53345236766878124</c:v>
                </c:pt>
                <c:pt idx="84">
                  <c:v>0.53665631459994956</c:v>
                </c:pt>
                <c:pt idx="85">
                  <c:v>0.5398412465054625</c:v>
                </c:pt>
                <c:pt idx="86">
                  <c:v>0.54300749797506742</c:v>
                </c:pt>
                <c:pt idx="87">
                  <c:v>0.54615539389967971</c:v>
                </c:pt>
                <c:pt idx="88">
                  <c:v>0.54928524986047611</c:v>
                </c:pt>
                <c:pt idx="89">
                  <c:v>0.55239737249814758</c:v>
                </c:pt>
                <c:pt idx="90">
                  <c:v>0.5554920598635309</c:v>
                </c:pt>
                <c:pt idx="91">
                  <c:v>0.55856960175075765</c:v>
                </c:pt>
                <c:pt idx="92">
                  <c:v>0.56163028001397097</c:v>
                </c:pt>
                <c:pt idx="93">
                  <c:v>0.56467436886859224</c:v>
                </c:pt>
                <c:pt idx="94">
                  <c:v>0.56770213517804768</c:v>
                </c:pt>
                <c:pt idx="95">
                  <c:v>0.57071383872680514</c:v>
                </c:pt>
                <c:pt idx="96">
                  <c:v>0.57370973248050894</c:v>
                </c:pt>
                <c:pt idx="97">
                  <c:v>0.57669006283395297</c:v>
                </c:pt>
                <c:pt idx="98">
                  <c:v>0.57965506984757753</c:v>
                </c:pt>
                <c:pt idx="99">
                  <c:v>0.58260498747313472</c:v>
                </c:pt>
                <c:pt idx="100">
                  <c:v>0.58554004376911994</c:v>
                </c:pt>
              </c:numCache>
            </c:numRef>
          </c:val>
          <c:smooth val="0"/>
          <c:extLst>
            <c:ext xmlns:c16="http://schemas.microsoft.com/office/drawing/2014/chart" uri="{C3380CC4-5D6E-409C-BE32-E72D297353CC}">
              <c16:uniqueId val="{00000001-728C-4574-ACBD-EC84AFF7D30B}"/>
            </c:ext>
          </c:extLst>
        </c:ser>
        <c:ser>
          <c:idx val="2"/>
          <c:order val="2"/>
          <c:tx>
            <c:v>VIN-max</c:v>
          </c:tx>
          <c:spPr>
            <a:ln>
              <a:solidFill>
                <a:srgbClr val="FF0000"/>
              </a:solidFill>
              <a:prstDash val="solid"/>
            </a:ln>
          </c:spPr>
          <c:marker>
            <c:symbol val="none"/>
          </c:marker>
          <c:val>
            <c:numRef>
              <c:f>'Calculations - Dual'!$AI$216:$AI$316</c:f>
              <c:numCache>
                <c:formatCode>0.000</c:formatCode>
                <c:ptCount val="101"/>
                <c:pt idx="0">
                  <c:v>0.15</c:v>
                </c:pt>
                <c:pt idx="1">
                  <c:v>0.15</c:v>
                </c:pt>
                <c:pt idx="2">
                  <c:v>0.15</c:v>
                </c:pt>
                <c:pt idx="3">
                  <c:v>0.15</c:v>
                </c:pt>
                <c:pt idx="4">
                  <c:v>0.15</c:v>
                </c:pt>
                <c:pt idx="5">
                  <c:v>0.15</c:v>
                </c:pt>
                <c:pt idx="6">
                  <c:v>0.15</c:v>
                </c:pt>
                <c:pt idx="7">
                  <c:v>0.15491933384829668</c:v>
                </c:pt>
                <c:pt idx="8">
                  <c:v>0.16561573424216502</c:v>
                </c:pt>
                <c:pt idx="9">
                  <c:v>0.17566201313073596</c:v>
                </c:pt>
                <c:pt idx="10">
                  <c:v>0.18516401995451032</c:v>
                </c:pt>
                <c:pt idx="11">
                  <c:v>0.1942016624910449</c:v>
                </c:pt>
                <c:pt idx="12">
                  <c:v>0.20283702113484398</c:v>
                </c:pt>
                <c:pt idx="13">
                  <c:v>0.21111946516469904</c:v>
                </c:pt>
                <c:pt idx="14">
                  <c:v>0.21908902300206645</c:v>
                </c:pt>
                <c:pt idx="15">
                  <c:v>0.22677868380553634</c:v>
                </c:pt>
                <c:pt idx="16">
                  <c:v>0.23421601750764798</c:v>
                </c:pt>
                <c:pt idx="17">
                  <c:v>0.24142434484888697</c:v>
                </c:pt>
                <c:pt idx="18">
                  <c:v>0.24842360136324751</c:v>
                </c:pt>
                <c:pt idx="19">
                  <c:v>0.25523098781859765</c:v>
                </c:pt>
                <c:pt idx="20">
                  <c:v>0.2618614682831909</c:v>
                </c:pt>
                <c:pt idx="21">
                  <c:v>0.26832815729997478</c:v>
                </c:pt>
                <c:pt idx="22">
                  <c:v>0.27464262493023806</c:v>
                </c:pt>
                <c:pt idx="23">
                  <c:v>0.28081514000698549</c:v>
                </c:pt>
                <c:pt idx="24">
                  <c:v>0.28685486624025447</c:v>
                </c:pt>
                <c:pt idx="25">
                  <c:v>0.29277002188455997</c:v>
                </c:pt>
                <c:pt idx="26">
                  <c:v>0.29856801091687157</c:v>
                </c:pt>
                <c:pt idx="27">
                  <c:v>0.30425553170226599</c:v>
                </c:pt>
                <c:pt idx="28">
                  <c:v>0.30983866769659335</c:v>
                </c:pt>
                <c:pt idx="29">
                  <c:v>0.31532296368734619</c:v>
                </c:pt>
                <c:pt idx="30">
                  <c:v>0.32071349029490925</c:v>
                </c:pt>
                <c:pt idx="31">
                  <c:v>0.32601489887076374</c:v>
                </c:pt>
                <c:pt idx="32">
                  <c:v>0.33123146848433005</c:v>
                </c:pt>
                <c:pt idx="33">
                  <c:v>0.33636714634883286</c:v>
                </c:pt>
                <c:pt idx="34">
                  <c:v>0.34142558277233503</c:v>
                </c:pt>
                <c:pt idx="35">
                  <c:v>0.34641016151377541</c:v>
                </c:pt>
                <c:pt idx="36">
                  <c:v>0.35132402626147191</c:v>
                </c:pt>
                <c:pt idx="37">
                  <c:v>0.35617010382279818</c:v>
                </c:pt>
                <c:pt idx="38">
                  <c:v>0.36095112451094302</c:v>
                </c:pt>
                <c:pt idx="39">
                  <c:v>0.36566964013202646</c:v>
                </c:pt>
                <c:pt idx="40">
                  <c:v>0.37032803990902063</c:v>
                </c:pt>
                <c:pt idx="41">
                  <c:v>0.37492856462455426</c:v>
                </c:pt>
                <c:pt idx="42">
                  <c:v>0.3794733192202055</c:v>
                </c:pt>
                <c:pt idx="43">
                  <c:v>0.38396428405331068</c:v>
                </c:pt>
                <c:pt idx="44">
                  <c:v>0.38840332498208979</c:v>
                </c:pt>
                <c:pt idx="45">
                  <c:v>0.3927922024247863</c:v>
                </c:pt>
                <c:pt idx="46">
                  <c:v>0.39713257951757841</c:v>
                </c:pt>
                <c:pt idx="47">
                  <c:v>0.40142602947847955</c:v>
                </c:pt>
                <c:pt idx="48">
                  <c:v>0.40567404226968795</c:v>
                </c:pt>
                <c:pt idx="49">
                  <c:v>0.40987803063838396</c:v>
                </c:pt>
                <c:pt idx="50">
                  <c:v>0.41403933560541251</c:v>
                </c:pt>
                <c:pt idx="51">
                  <c:v>0.41815923146230177</c:v>
                </c:pt>
                <c:pt idx="52">
                  <c:v>0.42223893032939808</c:v>
                </c:pt>
                <c:pt idx="53">
                  <c:v>0.42627958632133173</c:v>
                </c:pt>
                <c:pt idx="54">
                  <c:v>0.43028229936038176</c:v>
                </c:pt>
                <c:pt idx="55">
                  <c:v>0.43424811867344754</c:v>
                </c:pt>
                <c:pt idx="56">
                  <c:v>0.4381780460041329</c:v>
                </c:pt>
                <c:pt idx="57">
                  <c:v>0.44207303856780433</c:v>
                </c:pt>
                <c:pt idx="58">
                  <c:v>0.4459340117743239</c:v>
                </c:pt>
                <c:pt idx="59">
                  <c:v>0.44976184174039741</c:v>
                </c:pt>
                <c:pt idx="60">
                  <c:v>0.45355736761107268</c:v>
                </c:pt>
                <c:pt idx="61">
                  <c:v>0.45732139370781366</c:v>
                </c:pt>
                <c:pt idx="62">
                  <c:v>0.46105469151872708</c:v>
                </c:pt>
                <c:pt idx="63">
                  <c:v>0.46475800154489</c:v>
                </c:pt>
                <c:pt idx="64">
                  <c:v>0.46843203501529596</c:v>
                </c:pt>
                <c:pt idx="65">
                  <c:v>0.47207747548166584</c:v>
                </c:pt>
                <c:pt idx="66">
                  <c:v>0.47569498030325513</c:v>
                </c:pt>
                <c:pt idx="67">
                  <c:v>0.47928518203078813</c:v>
                </c:pt>
                <c:pt idx="68">
                  <c:v>0.48284868969777395</c:v>
                </c:pt>
                <c:pt idx="69">
                  <c:v>0.48638609002666655</c:v>
                </c:pt>
                <c:pt idx="70">
                  <c:v>0.54225721784776892</c:v>
                </c:pt>
                <c:pt idx="71">
                  <c:v>0.55000374953130859</c:v>
                </c:pt>
                <c:pt idx="72">
                  <c:v>0.55775028121484804</c:v>
                </c:pt>
                <c:pt idx="73">
                  <c:v>0.56549681289838771</c:v>
                </c:pt>
                <c:pt idx="74">
                  <c:v>0.57324334458192716</c:v>
                </c:pt>
                <c:pt idx="75">
                  <c:v>0.58098987626546683</c:v>
                </c:pt>
                <c:pt idx="76">
                  <c:v>0.5887364079490065</c:v>
                </c:pt>
                <c:pt idx="77">
                  <c:v>0.59648293963254595</c:v>
                </c:pt>
                <c:pt idx="78">
                  <c:v>0.60422947131608562</c:v>
                </c:pt>
                <c:pt idx="79">
                  <c:v>0.61197600299962507</c:v>
                </c:pt>
                <c:pt idx="80">
                  <c:v>0.61972253468316474</c:v>
                </c:pt>
                <c:pt idx="81">
                  <c:v>0.62746906636670419</c:v>
                </c:pt>
                <c:pt idx="82">
                  <c:v>0.63521559805024363</c:v>
                </c:pt>
                <c:pt idx="83">
                  <c:v>0.64296212973378331</c:v>
                </c:pt>
                <c:pt idx="84">
                  <c:v>0.65070866141732275</c:v>
                </c:pt>
                <c:pt idx="85">
                  <c:v>0.65845519310086242</c:v>
                </c:pt>
                <c:pt idx="86">
                  <c:v>0.66620172478440187</c:v>
                </c:pt>
                <c:pt idx="87">
                  <c:v>0.67394825646794154</c:v>
                </c:pt>
                <c:pt idx="88">
                  <c:v>0.6816947881514811</c:v>
                </c:pt>
                <c:pt idx="89">
                  <c:v>0.68944131983502066</c:v>
                </c:pt>
                <c:pt idx="90">
                  <c:v>0.69718785151856022</c:v>
                </c:pt>
                <c:pt idx="91">
                  <c:v>0.70493438320209989</c:v>
                </c:pt>
                <c:pt idx="92">
                  <c:v>0.71268091488563934</c:v>
                </c:pt>
                <c:pt idx="93">
                  <c:v>0.72042744656917901</c:v>
                </c:pt>
                <c:pt idx="94">
                  <c:v>0.72817397825271835</c:v>
                </c:pt>
                <c:pt idx="95">
                  <c:v>0.73592050993625791</c:v>
                </c:pt>
                <c:pt idx="96">
                  <c:v>0.74366704161979746</c:v>
                </c:pt>
                <c:pt idx="97">
                  <c:v>0.75</c:v>
                </c:pt>
                <c:pt idx="98">
                  <c:v>0.75</c:v>
                </c:pt>
                <c:pt idx="99">
                  <c:v>0.75</c:v>
                </c:pt>
                <c:pt idx="100">
                  <c:v>0.75</c:v>
                </c:pt>
              </c:numCache>
            </c:numRef>
          </c:val>
          <c:smooth val="0"/>
          <c:extLst>
            <c:ext xmlns:c16="http://schemas.microsoft.com/office/drawing/2014/chart" uri="{C3380CC4-5D6E-409C-BE32-E72D297353CC}">
              <c16:uniqueId val="{00000002-728C-4574-ACBD-EC84AFF7D30B}"/>
            </c:ext>
          </c:extLst>
        </c:ser>
        <c:dLbls>
          <c:showLegendKey val="0"/>
          <c:showVal val="0"/>
          <c:showCatName val="0"/>
          <c:showSerName val="0"/>
          <c:showPercent val="0"/>
          <c:showBubbleSize val="0"/>
        </c:dLbls>
        <c:smooth val="0"/>
        <c:axId val="180543488"/>
        <c:axId val="180545408"/>
      </c:lineChart>
      <c:catAx>
        <c:axId val="180543488"/>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45408"/>
        <c:crosses val="autoZero"/>
        <c:auto val="1"/>
        <c:lblAlgn val="ctr"/>
        <c:lblOffset val="100"/>
        <c:tickLblSkip val="20"/>
        <c:tickMarkSkip val="10"/>
        <c:noMultiLvlLbl val="0"/>
      </c:catAx>
      <c:valAx>
        <c:axId val="180545408"/>
        <c:scaling>
          <c:orientation val="minMax"/>
          <c:max val="1.4"/>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Peak</a:t>
                </a:r>
                <a:r>
                  <a:rPr lang="en-US" sz="1200" b="1" baseline="0">
                    <a:solidFill>
                      <a:schemeClr val="tx1"/>
                    </a:solidFill>
                    <a:latin typeface="Arial" pitchFamily="34" charset="0"/>
                    <a:cs typeface="Arial" pitchFamily="34" charset="0"/>
                  </a:rPr>
                  <a:t> Primary Current (A)</a:t>
                </a:r>
                <a:endParaRPr lang="en-US" sz="1200" b="1">
                  <a:solidFill>
                    <a:schemeClr val="tx1"/>
                  </a:solidFill>
                  <a:latin typeface="Arial" pitchFamily="34" charset="0"/>
                  <a:cs typeface="Arial" pitchFamily="34" charset="0"/>
                </a:endParaRPr>
              </a:p>
            </c:rich>
          </c:tx>
          <c:layout>
            <c:manualLayout>
              <c:xMode val="edge"/>
              <c:yMode val="edge"/>
              <c:x val="1.8892754684734177E-2"/>
              <c:y val="0.30303578260037478"/>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43488"/>
        <c:crossesAt val="0"/>
        <c:crossBetween val="between"/>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trlProps/ctrlProp1.xml><?xml version="1.0" encoding="utf-8"?>
<formControlPr xmlns="http://schemas.microsoft.com/office/spreadsheetml/2009/9/main" objectType="Drop" dropStyle="combo" dx="22" fmlaRange="$1:$1048576" noThreeD="1" sel="0" val="0"/>
</file>

<file path=xl/ctrlProps/ctrlProp10.xml><?xml version="1.0" encoding="utf-8"?>
<formControlPr xmlns="http://schemas.microsoft.com/office/spreadsheetml/2009/9/main" objectType="Drop" dropStyle="combo" dx="22" fmlaLink="$Q$32" fmlaRange="'Variable Mgmt'!$R$64:$R$68" noThreeD="1" sel="5" val="0"/>
</file>

<file path=xl/ctrlProps/ctrlProp11.xml><?xml version="1.0" encoding="utf-8"?>
<formControlPr xmlns="http://schemas.microsoft.com/office/spreadsheetml/2009/9/main" objectType="Drop" dropStyle="combo" dx="22" fmlaLink="$Q$36" fmlaRange="'Variable Mgmt'!$W$73:$W$76" noThreeD="1" sel="3" val="0"/>
</file>

<file path=xl/ctrlProps/ctrlProp12.xml><?xml version="1.0" encoding="utf-8"?>
<formControlPr xmlns="http://schemas.microsoft.com/office/spreadsheetml/2009/9/main" objectType="Drop" dropStyle="combo" dx="22" fmlaLink="$Q$41" fmlaRange="'Variable Mgmt'!$R$64:$R$66" noThreeD="1" sel="1" val="0"/>
</file>

<file path=xl/ctrlProps/ctrlProp13.xml><?xml version="1.0" encoding="utf-8"?>
<formControlPr xmlns="http://schemas.microsoft.com/office/spreadsheetml/2009/9/main" objectType="Drop" dropStyle="combo" dx="22" fmlaLink="$Q$38" fmlaRange="'Variable Mgmt'!$W$73:$W$76" noThreeD="1" sel="3" val="0"/>
</file>

<file path=xl/ctrlProps/ctrlProp14.xml><?xml version="1.0" encoding="utf-8"?>
<formControlPr xmlns="http://schemas.microsoft.com/office/spreadsheetml/2009/9/main" objectType="Drop" dropStyle="combo" dx="22" fmlaLink="$Q$37" fmlaRange="'Variable Mgmt'!$W$73:$W$76" noThreeD="1" sel="3" val="0"/>
</file>

<file path=xl/ctrlProps/ctrlProp15.xml><?xml version="1.0" encoding="utf-8"?>
<formControlPr xmlns="http://schemas.microsoft.com/office/spreadsheetml/2009/9/main" objectType="Drop" dropStyle="combo" dx="22" fmlaLink="$Q$40" fmlaRange="'Variable Mgmt'!$R$64:$R$66" noThreeD="1" sel="1" val="0"/>
</file>

<file path=xl/ctrlProps/ctrlProp16.xml><?xml version="1.0" encoding="utf-8"?>
<formControlPr xmlns="http://schemas.microsoft.com/office/spreadsheetml/2009/9/main" objectType="Drop" dropStyle="combo" dx="22" fmlaLink="$Q$42" fmlaRange="'Variable Mgmt'!$R$64:$R$66" noThreeD="1" sel="1" val="0"/>
</file>

<file path=xl/ctrlProps/ctrlProp17.xml><?xml version="1.0" encoding="utf-8"?>
<formControlPr xmlns="http://schemas.microsoft.com/office/spreadsheetml/2009/9/main" objectType="Drop" dropStyle="combo" dx="22" fmlaLink="$Q$43" fmlaRange="'Variable Mgmt'!$R$64:$R$66" noThreeD="1" sel="1" val="0"/>
</file>

<file path=xl/ctrlProps/ctrlProp18.xml><?xml version="1.0" encoding="utf-8"?>
<formControlPr xmlns="http://schemas.microsoft.com/office/spreadsheetml/2009/9/main" objectType="Drop" dropStyle="combo" dx="22" fmlaLink="$Q$44" fmlaRange="'Variable Mgmt'!$R$64:$R$66" noThreeD="1" sel="1" val="0"/>
</file>

<file path=xl/ctrlProps/ctrlProp19.xml><?xml version="1.0" encoding="utf-8"?>
<formControlPr xmlns="http://schemas.microsoft.com/office/spreadsheetml/2009/9/main" objectType="Drop" dropStyle="combo" dx="22" fmlaLink="$Q$35" fmlaRange="'Variable Mgmt'!$W$73:$W$77" noThreeD="1" sel="4" val="0"/>
</file>

<file path=xl/ctrlProps/ctrlProp2.xml><?xml version="1.0" encoding="utf-8"?>
<formControlPr xmlns="http://schemas.microsoft.com/office/spreadsheetml/2009/9/main" objectType="Spin" dx="16" fmlaLink="$E$7" max="65" min="3" page="10" val="20"/>
</file>

<file path=xl/ctrlProps/ctrlProp20.xml><?xml version="1.0" encoding="utf-8"?>
<formControlPr xmlns="http://schemas.microsoft.com/office/spreadsheetml/2009/9/main" objectType="Drop" dropStyle="combo" dx="22" fmlaLink="$Q$45" fmlaRange="'Variable Mgmt'!$R$73:$R$79" noThreeD="1" sel="5" val="0"/>
</file>

<file path=xl/ctrlProps/ctrlProp21.xml><?xml version="1.0" encoding="utf-8"?>
<formControlPr xmlns="http://schemas.microsoft.com/office/spreadsheetml/2009/9/main" objectType="Drop" dropStyle="combo" dx="22" fmlaLink="$Q$34" fmlaRange="'Variable Mgmt'!$R$64:$R$66" noThreeD="1" sel="1" val="0"/>
</file>

<file path=xl/ctrlProps/ctrlProp22.xml><?xml version="1.0" encoding="utf-8"?>
<formControlPr xmlns="http://schemas.microsoft.com/office/spreadsheetml/2009/9/main" objectType="Drop" dropStyle="combo" dx="22" fmlaLink="$Q$33" fmlaRange="'Variable Mgmt'!$R$64:$R$68" noThreeD="1" sel="5" val="0"/>
</file>

<file path=xl/ctrlProps/ctrlProp23.xml><?xml version="1.0" encoding="utf-8"?>
<formControlPr xmlns="http://schemas.microsoft.com/office/spreadsheetml/2009/9/main" objectType="Drop" dropStyle="combo" dx="22" fmlaLink="$Q$39" fmlaRange="'Variable Mgmt'!$W$73:$W$75" noThreeD="1" sel="1" val="0"/>
</file>

<file path=xl/ctrlProps/ctrlProp24.xml><?xml version="1.0" encoding="utf-8"?>
<formControlPr xmlns="http://schemas.microsoft.com/office/spreadsheetml/2009/9/main" objectType="Drop" dropLines="2" dropStyle="combo" dx="22" fmlaLink="'Variable Mgmt'!$Q$22" fmlaRange="'Variable Mgmt'!$P$20:$P$21" noThreeD="1" sel="2" val="0"/>
</file>

<file path=xl/ctrlProps/ctrlProp3.xml><?xml version="1.0" encoding="utf-8"?>
<formControlPr xmlns="http://schemas.microsoft.com/office/spreadsheetml/2009/9/main" objectType="Drop" dropStyle="combo" dx="22" fmlaLink="'Variable Mgmt'!$J$64" fmlaRange="'Variable Mgmt'!$I$62:$I$63" noThreeD="1" sel="2" val="0"/>
</file>

<file path=xl/ctrlProps/ctrlProp4.xml><?xml version="1.0" encoding="utf-8"?>
<formControlPr xmlns="http://schemas.microsoft.com/office/spreadsheetml/2009/9/main" objectType="Drop" dropLines="2" dropStyle="combo" dx="22" fmlaLink="'Variable Mgmt'!$G$64" fmlaRange="'Variable Mgmt'!$F$62:$F$63" noThreeD="1" sel="2" val="0"/>
</file>

<file path=xl/ctrlProps/ctrlProp5.xml><?xml version="1.0" encoding="utf-8"?>
<formControlPr xmlns="http://schemas.microsoft.com/office/spreadsheetml/2009/9/main" objectType="Drop" dropLines="10" dropStyle="combo" dx="22" fmlaLink="'Variable Mgmt'!$S$45" fmlaRange="'Variable Mgmt'!$R$28:$R$43" noThreeD="1" sel="9" val="6"/>
</file>

<file path=xl/ctrlProps/ctrlProp6.xml><?xml version="1.0" encoding="utf-8"?>
<formControlPr xmlns="http://schemas.microsoft.com/office/spreadsheetml/2009/9/main" objectType="Drop" dropStyle="combo" dx="22" fmlaLink="'Variable Mgmt'!$G$58" fmlaRange="'Variable Mgmt'!$F$56:$F$57" noThreeD="1" sel="1" val="0"/>
</file>

<file path=xl/ctrlProps/ctrlProp7.xml><?xml version="1.0" encoding="utf-8"?>
<formControlPr xmlns="http://schemas.microsoft.com/office/spreadsheetml/2009/9/main" objectType="Drop" dropLines="10" dropStyle="combo" dx="22" fmlaLink="'Variable Mgmt'!$C$59" fmlaRange="'Variable Mgmt'!$B$56:$B$57" noThreeD="1" sel="1" val="0"/>
</file>

<file path=xl/ctrlProps/ctrlProp8.xml><?xml version="1.0" encoding="utf-8"?>
<formControlPr xmlns="http://schemas.microsoft.com/office/spreadsheetml/2009/9/main" objectType="Drop" dropLines="5" dropStyle="combo" dx="22" fmlaLink="'Variable Mgmt'!$Q$15" fmlaRange="'Variable Mgmt'!$P$10:$P$14" noThreeD="1" sel="2" val="0"/>
</file>

<file path=xl/ctrlProps/ctrlProp9.xml><?xml version="1.0" encoding="utf-8"?>
<formControlPr xmlns="http://schemas.microsoft.com/office/spreadsheetml/2009/9/main" objectType="Drop" dropStyle="combo" dx="22" fmlaLink="'BOM &amp; Schematic'!$Q$31" fmlaRange="'Variable Mgmt'!$R$64:$R$68" noThreeD="1" sel="5" val="0"/>
</file>

<file path=xl/drawings/_rels/drawing1.xml.rels><?xml version="1.0" encoding="UTF-8" standalone="yes"?>
<Relationships xmlns="http://schemas.openxmlformats.org/package/2006/relationships"><Relationship Id="rId8" Type="http://schemas.openxmlformats.org/officeDocument/2006/relationships/image" Target="../media/image5.jpg"/><Relationship Id="rId3" Type="http://schemas.openxmlformats.org/officeDocument/2006/relationships/hyperlink" Target="http://www.ti.com/widevin" TargetMode="External"/><Relationship Id="rId7" Type="http://schemas.openxmlformats.org/officeDocument/2006/relationships/hyperlink" Target="http://www.ti.com/automotive" TargetMode="Externa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4.jpg"/><Relationship Id="rId5" Type="http://schemas.openxmlformats.org/officeDocument/2006/relationships/hyperlink" Target="http://www.ti.com/industrial" TargetMode="External"/><Relationship Id="rId4" Type="http://schemas.openxmlformats.org/officeDocument/2006/relationships/image" Target="../media/image3.jpg"/><Relationship Id="rId9" Type="http://schemas.openxmlformats.org/officeDocument/2006/relationships/image" Target="../media/image6.emf"/></Relationships>
</file>

<file path=xl/drawings/_rels/drawing11.xml.rels><?xml version="1.0" encoding="UTF-8" standalone="yes"?>
<Relationships xmlns="http://schemas.openxmlformats.org/package/2006/relationships"><Relationship Id="rId3" Type="http://schemas.openxmlformats.org/officeDocument/2006/relationships/image" Target="../media/image17.emf"/><Relationship Id="rId2" Type="http://schemas.openxmlformats.org/officeDocument/2006/relationships/chart" Target="../charts/chart21.xml"/><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image" Target="../media/image19.emf"/></Relationships>
</file>

<file path=xl/drawings/_rels/drawing13.xml.rels><?xml version="1.0" encoding="UTF-8" standalone="yes"?>
<Relationships xmlns="http://schemas.openxmlformats.org/package/2006/relationships"><Relationship Id="rId8" Type="http://schemas.openxmlformats.org/officeDocument/2006/relationships/image" Target="../media/image28.png"/><Relationship Id="rId13" Type="http://schemas.openxmlformats.org/officeDocument/2006/relationships/image" Target="../media/image33.png"/><Relationship Id="rId18" Type="http://schemas.openxmlformats.org/officeDocument/2006/relationships/image" Target="../media/image38.png"/><Relationship Id="rId3" Type="http://schemas.openxmlformats.org/officeDocument/2006/relationships/image" Target="../media/image23.png"/><Relationship Id="rId21" Type="http://schemas.openxmlformats.org/officeDocument/2006/relationships/image" Target="../media/image41.png"/><Relationship Id="rId7" Type="http://schemas.openxmlformats.org/officeDocument/2006/relationships/image" Target="../media/image27.png"/><Relationship Id="rId12" Type="http://schemas.openxmlformats.org/officeDocument/2006/relationships/image" Target="../media/image32.png"/><Relationship Id="rId17" Type="http://schemas.openxmlformats.org/officeDocument/2006/relationships/image" Target="../media/image37.png"/><Relationship Id="rId2" Type="http://schemas.openxmlformats.org/officeDocument/2006/relationships/image" Target="../media/image22.png"/><Relationship Id="rId16" Type="http://schemas.openxmlformats.org/officeDocument/2006/relationships/image" Target="../media/image36.png"/><Relationship Id="rId20" Type="http://schemas.openxmlformats.org/officeDocument/2006/relationships/image" Target="../media/image40.png"/><Relationship Id="rId1" Type="http://schemas.openxmlformats.org/officeDocument/2006/relationships/image" Target="../media/image21.png"/><Relationship Id="rId6" Type="http://schemas.openxmlformats.org/officeDocument/2006/relationships/image" Target="../media/image26.png"/><Relationship Id="rId11" Type="http://schemas.openxmlformats.org/officeDocument/2006/relationships/image" Target="../media/image31.png"/><Relationship Id="rId24" Type="http://schemas.openxmlformats.org/officeDocument/2006/relationships/image" Target="../media/image44.png"/><Relationship Id="rId5" Type="http://schemas.openxmlformats.org/officeDocument/2006/relationships/image" Target="../media/image25.png"/><Relationship Id="rId15" Type="http://schemas.openxmlformats.org/officeDocument/2006/relationships/image" Target="../media/image35.png"/><Relationship Id="rId23" Type="http://schemas.openxmlformats.org/officeDocument/2006/relationships/image" Target="../media/image43.png"/><Relationship Id="rId10" Type="http://schemas.openxmlformats.org/officeDocument/2006/relationships/image" Target="../media/image30.png"/><Relationship Id="rId19" Type="http://schemas.openxmlformats.org/officeDocument/2006/relationships/image" Target="../media/image39.png"/><Relationship Id="rId4" Type="http://schemas.openxmlformats.org/officeDocument/2006/relationships/image" Target="../media/image24.png"/><Relationship Id="rId9" Type="http://schemas.openxmlformats.org/officeDocument/2006/relationships/image" Target="../media/image29.png"/><Relationship Id="rId14" Type="http://schemas.openxmlformats.org/officeDocument/2006/relationships/image" Target="../media/image34.png"/><Relationship Id="rId22" Type="http://schemas.openxmlformats.org/officeDocument/2006/relationships/image" Target="../media/image4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emf"/><Relationship Id="rId1" Type="http://schemas.openxmlformats.org/officeDocument/2006/relationships/image" Target="../media/image11.emf"/><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image" Target="../media/image16.png"/><Relationship Id="rId1" Type="http://schemas.openxmlformats.org/officeDocument/2006/relationships/chart" Target="../charts/chart14.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0.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5.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8.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2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24</xdr:col>
          <xdr:colOff>144780</xdr:colOff>
          <xdr:row>0</xdr:row>
          <xdr:rowOff>381000</xdr:rowOff>
        </xdr:from>
        <xdr:to>
          <xdr:col>24</xdr:col>
          <xdr:colOff>525780</xdr:colOff>
          <xdr:row>1</xdr:row>
          <xdr:rowOff>0</xdr:rowOff>
        </xdr:to>
        <xdr:sp macro="" textlink="">
          <xdr:nvSpPr>
            <xdr:cNvPr id="750825" name="Drop Down 5353" hidden="1">
              <a:extLst>
                <a:ext uri="{63B3BB69-23CF-44E3-9099-C40C66FF867C}">
                  <a14:compatExt spid="_x0000_s750825"/>
                </a:ext>
                <a:ext uri="{FF2B5EF4-FFF2-40B4-BE49-F238E27FC236}">
                  <a16:creationId xmlns:a16="http://schemas.microsoft.com/office/drawing/2014/main" id="{00000000-0008-0000-0000-0000E9740B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209550</xdr:colOff>
          <xdr:row>25</xdr:row>
          <xdr:rowOff>243409</xdr:rowOff>
        </xdr:from>
        <xdr:to>
          <xdr:col>25</xdr:col>
          <xdr:colOff>1895036</xdr:colOff>
          <xdr:row>46</xdr:row>
          <xdr:rowOff>84879</xdr:rowOff>
        </xdr:to>
        <xdr:pic>
          <xdr:nvPicPr>
            <xdr:cNvPr id="59" name="Picture 8888">
              <a:extLst>
                <a:ext uri="{FF2B5EF4-FFF2-40B4-BE49-F238E27FC236}">
                  <a16:creationId xmlns:a16="http://schemas.microsoft.com/office/drawing/2014/main" id="{00000000-0008-0000-0000-00003B000000}"/>
                </a:ext>
              </a:extLst>
            </xdr:cNvPr>
            <xdr:cNvPicPr>
              <a:picLocks noChangeAspect="1" noChangeArrowheads="1"/>
              <a:extLst>
                <a:ext uri="{84589F7E-364E-4C9E-8A38-B11213B215E9}">
                  <a14:cameraTool cellRange="PICTURE3" spid="_x0000_s776781"/>
                </a:ext>
              </a:extLst>
            </xdr:cNvPicPr>
          </xdr:nvPicPr>
          <xdr:blipFill>
            <a:blip xmlns:r="http://schemas.openxmlformats.org/officeDocument/2006/relationships" r:embed="rId1"/>
            <a:srcRect/>
            <a:stretch>
              <a:fillRect/>
            </a:stretch>
          </xdr:blipFill>
          <xdr:spPr bwMode="auto">
            <a:xfrm>
              <a:off x="10701704" y="5408890"/>
              <a:ext cx="6675120" cy="4090107"/>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314546</xdr:colOff>
          <xdr:row>4</xdr:row>
          <xdr:rowOff>103292</xdr:rowOff>
        </xdr:from>
        <xdr:to>
          <xdr:col>25</xdr:col>
          <xdr:colOff>55789</xdr:colOff>
          <xdr:row>25</xdr:row>
          <xdr:rowOff>55217</xdr:rowOff>
        </xdr:to>
        <xdr:pic>
          <xdr:nvPicPr>
            <xdr:cNvPr id="45" name="Picture 8888">
              <a:extLst>
                <a:ext uri="{FF2B5EF4-FFF2-40B4-BE49-F238E27FC236}">
                  <a16:creationId xmlns:a16="http://schemas.microsoft.com/office/drawing/2014/main" id="{00000000-0008-0000-0000-00002D000000}"/>
                </a:ext>
              </a:extLst>
            </xdr:cNvPr>
            <xdr:cNvPicPr>
              <a:picLocks noChangeAspect="1" noChangeArrowheads="1"/>
              <a:extLst>
                <a:ext uri="{84589F7E-364E-4C9E-8A38-B11213B215E9}">
                  <a14:cameraTool cellRange="PICTURE1" spid="_x0000_s776782"/>
                </a:ext>
              </a:extLst>
            </xdr:cNvPicPr>
          </xdr:nvPicPr>
          <xdr:blipFill>
            <a:blip xmlns:r="http://schemas.openxmlformats.org/officeDocument/2006/relationships" r:embed="rId2"/>
            <a:srcRect/>
            <a:stretch>
              <a:fillRect/>
            </a:stretch>
          </xdr:blipFill>
          <xdr:spPr bwMode="auto">
            <a:xfrm>
              <a:off x="8629871" y="1265342"/>
              <a:ext cx="7685093" cy="4171500"/>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twoCellAnchor>
    <xdr:from>
      <xdr:col>14</xdr:col>
      <xdr:colOff>365412</xdr:colOff>
      <xdr:row>12</xdr:row>
      <xdr:rowOff>22661</xdr:rowOff>
    </xdr:from>
    <xdr:to>
      <xdr:col>15</xdr:col>
      <xdr:colOff>82735</xdr:colOff>
      <xdr:row>14</xdr:row>
      <xdr:rowOff>45789</xdr:rowOff>
    </xdr:to>
    <xdr:sp macro="" textlink="">
      <xdr:nvSpPr>
        <xdr:cNvPr id="2292" name="Text Box 244">
          <a:extLst>
            <a:ext uri="{FF2B5EF4-FFF2-40B4-BE49-F238E27FC236}">
              <a16:creationId xmlns:a16="http://schemas.microsoft.com/office/drawing/2014/main" id="{00000000-0008-0000-0000-0000F4080000}"/>
            </a:ext>
          </a:extLst>
        </xdr:cNvPr>
        <xdr:cNvSpPr txBox="1">
          <a:spLocks noChangeArrowheads="1"/>
        </xdr:cNvSpPr>
      </xdr:nvSpPr>
      <xdr:spPr bwMode="auto">
        <a:xfrm>
          <a:off x="9327195" y="2794574"/>
          <a:ext cx="357844" cy="221911"/>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C</a:t>
          </a:r>
          <a:r>
            <a:rPr lang="en-US" sz="1100" b="0" i="0" strike="noStrike" baseline="-25000">
              <a:solidFill>
                <a:srgbClr val="000000"/>
              </a:solidFill>
              <a:latin typeface="Arial" pitchFamily="34" charset="0"/>
              <a:cs typeface="Arial" pitchFamily="34" charset="0"/>
            </a:rPr>
            <a:t>IN</a:t>
          </a:r>
        </a:p>
      </xdr:txBody>
    </xdr:sp>
    <xdr:clientData/>
  </xdr:twoCellAnchor>
  <xdr:twoCellAnchor>
    <xdr:from>
      <xdr:col>20</xdr:col>
      <xdr:colOff>552518</xdr:colOff>
      <xdr:row>11</xdr:row>
      <xdr:rowOff>93066</xdr:rowOff>
    </xdr:from>
    <xdr:to>
      <xdr:col>21</xdr:col>
      <xdr:colOff>410683</xdr:colOff>
      <xdr:row>12</xdr:row>
      <xdr:rowOff>93428</xdr:rowOff>
    </xdr:to>
    <xdr:sp macro="" textlink="'Variable Mgmt'!B221">
      <xdr:nvSpPr>
        <xdr:cNvPr id="2315" name="Text Box 267">
          <a:extLst>
            <a:ext uri="{FF2B5EF4-FFF2-40B4-BE49-F238E27FC236}">
              <a16:creationId xmlns:a16="http://schemas.microsoft.com/office/drawing/2014/main" id="{00000000-0008-0000-0000-00000B090000}"/>
            </a:ext>
          </a:extLst>
        </xdr:cNvPr>
        <xdr:cNvSpPr txBox="1">
          <a:spLocks noChangeArrowheads="1" noTextEdit="1"/>
        </xdr:cNvSpPr>
      </xdr:nvSpPr>
      <xdr:spPr bwMode="auto">
        <a:xfrm>
          <a:off x="13620818" y="2658466"/>
          <a:ext cx="499515" cy="197212"/>
        </a:xfrm>
        <a:prstGeom prst="rect">
          <a:avLst/>
        </a:prstGeom>
        <a:noFill/>
        <a:ln w="9525">
          <a:noFill/>
          <a:miter lim="800000"/>
          <a:headEnd/>
          <a:tailEnd/>
        </a:ln>
      </xdr:spPr>
      <xdr:txBody>
        <a:bodyPr vertOverflow="clip" wrap="square" lIns="27432" tIns="22860" rIns="0" bIns="0" anchor="ctr" upright="1"/>
        <a:lstStyle/>
        <a:p>
          <a:pPr algn="l" rtl="0">
            <a:defRPr sz="1000"/>
          </a:pPr>
          <a:fld id="{DEF62FD0-959B-4627-B7E8-61CA1688D174}" type="TxLink">
            <a:rPr lang="en-US" sz="800" b="0" i="0" u="none" strike="noStrike" baseline="0">
              <a:solidFill>
                <a:srgbClr val="000000"/>
              </a:solidFill>
              <a:latin typeface="Arial" pitchFamily="34" charset="0"/>
              <a:cs typeface="Arial" pitchFamily="34" charset="0"/>
            </a:rPr>
            <a:pPr algn="l" rtl="0">
              <a:defRPr sz="1000"/>
            </a:pPr>
            <a:t>10µF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19</xdr:col>
      <xdr:colOff>59495</xdr:colOff>
      <xdr:row>7</xdr:row>
      <xdr:rowOff>183783</xdr:rowOff>
    </xdr:from>
    <xdr:to>
      <xdr:col>19</xdr:col>
      <xdr:colOff>539302</xdr:colOff>
      <xdr:row>9</xdr:row>
      <xdr:rowOff>28110</xdr:rowOff>
    </xdr:to>
    <xdr:sp macro="" textlink="'Variable Mgmt'!B207">
      <xdr:nvSpPr>
        <xdr:cNvPr id="2323" name="Text Box 275">
          <a:extLst>
            <a:ext uri="{FF2B5EF4-FFF2-40B4-BE49-F238E27FC236}">
              <a16:creationId xmlns:a16="http://schemas.microsoft.com/office/drawing/2014/main" id="{00000000-0008-0000-0000-000013090000}"/>
            </a:ext>
          </a:extLst>
        </xdr:cNvPr>
        <xdr:cNvSpPr txBox="1">
          <a:spLocks noChangeArrowheads="1" noTextEdit="1"/>
        </xdr:cNvSpPr>
      </xdr:nvSpPr>
      <xdr:spPr bwMode="auto">
        <a:xfrm>
          <a:off x="12499973" y="1961783"/>
          <a:ext cx="479807" cy="241892"/>
        </a:xfrm>
        <a:prstGeom prst="rect">
          <a:avLst/>
        </a:prstGeom>
        <a:noFill/>
        <a:ln w="9525">
          <a:noFill/>
          <a:miter lim="800000"/>
          <a:headEnd/>
          <a:tailEnd/>
        </a:ln>
      </xdr:spPr>
      <xdr:txBody>
        <a:bodyPr vertOverflow="clip" wrap="square" lIns="27432" tIns="22860" rIns="0" bIns="0" anchor="ctr" upright="1"/>
        <a:lstStyle/>
        <a:p>
          <a:pPr algn="ctr" rtl="0">
            <a:defRPr sz="1000"/>
          </a:pPr>
          <a:fld id="{08583DE7-3129-476B-98BE-2887A134E956}" type="TxLink">
            <a:rPr lang="en-US" sz="800" b="0" i="0" u="none" strike="noStrike" baseline="0">
              <a:solidFill>
                <a:srgbClr val="000000"/>
              </a:solidFill>
              <a:latin typeface="Arial" pitchFamily="34" charset="0"/>
              <a:cs typeface="Arial" pitchFamily="34" charset="0"/>
            </a:rPr>
            <a:pPr algn="ctr" rtl="0">
              <a:defRPr sz="1000"/>
            </a:pPr>
            <a:t>60µH</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14</xdr:col>
      <xdr:colOff>246890</xdr:colOff>
      <xdr:row>13</xdr:row>
      <xdr:rowOff>84918</xdr:rowOff>
    </xdr:from>
    <xdr:to>
      <xdr:col>15</xdr:col>
      <xdr:colOff>111122</xdr:colOff>
      <xdr:row>14</xdr:row>
      <xdr:rowOff>77523</xdr:rowOff>
    </xdr:to>
    <xdr:sp macro="" textlink="'Variable Mgmt'!B226">
      <xdr:nvSpPr>
        <xdr:cNvPr id="2324" name="Text Box 276">
          <a:extLst>
            <a:ext uri="{FF2B5EF4-FFF2-40B4-BE49-F238E27FC236}">
              <a16:creationId xmlns:a16="http://schemas.microsoft.com/office/drawing/2014/main" id="{00000000-0008-0000-0000-000014090000}"/>
            </a:ext>
          </a:extLst>
        </xdr:cNvPr>
        <xdr:cNvSpPr txBox="1">
          <a:spLocks noChangeArrowheads="1" noTextEdit="1"/>
        </xdr:cNvSpPr>
      </xdr:nvSpPr>
      <xdr:spPr bwMode="auto">
        <a:xfrm>
          <a:off x="8793114" y="3034384"/>
          <a:ext cx="475146" cy="189673"/>
        </a:xfrm>
        <a:prstGeom prst="rect">
          <a:avLst/>
        </a:prstGeom>
        <a:noFill/>
        <a:ln w="9525">
          <a:noFill/>
          <a:miter lim="800000"/>
          <a:headEnd/>
          <a:tailEnd/>
        </a:ln>
      </xdr:spPr>
      <xdr:txBody>
        <a:bodyPr vertOverflow="clip" wrap="square" lIns="27432" tIns="22860" rIns="0" bIns="0" anchor="ctr" upright="1"/>
        <a:lstStyle/>
        <a:p>
          <a:pPr algn="ctr" rtl="0">
            <a:defRPr sz="1000"/>
          </a:pPr>
          <a:fld id="{7E8F3901-1453-4951-8E28-510E65401D4C}" type="TxLink">
            <a:rPr lang="en-US" sz="800" b="0" i="0" u="none" strike="noStrike" baseline="0">
              <a:solidFill>
                <a:srgbClr val="000000"/>
              </a:solidFill>
              <a:latin typeface="Arial" pitchFamily="34" charset="0"/>
              <a:cs typeface="Arial" pitchFamily="34" charset="0"/>
            </a:rPr>
            <a:pPr algn="ctr" rtl="0">
              <a:defRPr sz="1000"/>
            </a:pPr>
            <a:t>10µF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15</xdr:col>
      <xdr:colOff>35435</xdr:colOff>
      <xdr:row>21</xdr:row>
      <xdr:rowOff>723</xdr:rowOff>
    </xdr:from>
    <xdr:to>
      <xdr:col>15</xdr:col>
      <xdr:colOff>512834</xdr:colOff>
      <xdr:row>22</xdr:row>
      <xdr:rowOff>92006</xdr:rowOff>
    </xdr:to>
    <xdr:sp macro="" textlink="'Variable Mgmt'!D253">
      <xdr:nvSpPr>
        <xdr:cNvPr id="2329" name="Text Box 281">
          <a:extLst>
            <a:ext uri="{FF2B5EF4-FFF2-40B4-BE49-F238E27FC236}">
              <a16:creationId xmlns:a16="http://schemas.microsoft.com/office/drawing/2014/main" id="{00000000-0008-0000-0000-000019090000}"/>
            </a:ext>
          </a:extLst>
        </xdr:cNvPr>
        <xdr:cNvSpPr txBox="1">
          <a:spLocks noChangeArrowheads="1" noTextEdit="1"/>
        </xdr:cNvSpPr>
      </xdr:nvSpPr>
      <xdr:spPr bwMode="auto">
        <a:xfrm>
          <a:off x="9192573" y="4539878"/>
          <a:ext cx="477399" cy="288352"/>
        </a:xfrm>
        <a:prstGeom prst="rect">
          <a:avLst/>
        </a:prstGeom>
        <a:noFill/>
        <a:ln w="9525">
          <a:noFill/>
          <a:miter lim="800000"/>
          <a:headEnd/>
          <a:tailEnd/>
        </a:ln>
      </xdr:spPr>
      <xdr:txBody>
        <a:bodyPr vertOverflow="clip" wrap="square" lIns="27432" tIns="22860" rIns="0" bIns="0" anchor="ctr" upright="1"/>
        <a:lstStyle/>
        <a:p>
          <a:pPr algn="ctr" rtl="0">
            <a:defRPr sz="1000"/>
          </a:pPr>
          <a:fld id="{F2115F91-8BFD-4C9B-9969-8B2C04ADF4C5}" type="TxLink">
            <a:rPr lang="en-US" sz="800" b="0" i="0" u="none" strike="noStrike">
              <a:solidFill>
                <a:srgbClr val="000000"/>
              </a:solidFill>
              <a:latin typeface="Arial"/>
              <a:cs typeface="Arial"/>
            </a:rPr>
            <a:pPr algn="ctr" rtl="0">
              <a:defRPr sz="1000"/>
            </a:pPr>
            <a:t> </a:t>
          </a:fld>
          <a:endParaRPr lang="en-US" sz="800" b="0" i="0" strike="noStrike">
            <a:solidFill>
              <a:srgbClr val="000000"/>
            </a:solidFill>
            <a:latin typeface="Arial" pitchFamily="34" charset="0"/>
            <a:cs typeface="Arial" pitchFamily="34" charset="0"/>
          </a:endParaRPr>
        </a:p>
      </xdr:txBody>
    </xdr:sp>
    <xdr:clientData/>
  </xdr:twoCellAnchor>
  <xdr:twoCellAnchor>
    <xdr:from>
      <xdr:col>14</xdr:col>
      <xdr:colOff>162241</xdr:colOff>
      <xdr:row>5</xdr:row>
      <xdr:rowOff>142357</xdr:rowOff>
    </xdr:from>
    <xdr:to>
      <xdr:col>15</xdr:col>
      <xdr:colOff>63806</xdr:colOff>
      <xdr:row>8</xdr:row>
      <xdr:rowOff>20978</xdr:rowOff>
    </xdr:to>
    <xdr:sp macro="" textlink="'Variable Mgmt'!B213">
      <xdr:nvSpPr>
        <xdr:cNvPr id="2331" name="Text Box 283">
          <a:extLst>
            <a:ext uri="{FF2B5EF4-FFF2-40B4-BE49-F238E27FC236}">
              <a16:creationId xmlns:a16="http://schemas.microsoft.com/office/drawing/2014/main" id="{00000000-0008-0000-0000-00001B090000}"/>
            </a:ext>
          </a:extLst>
        </xdr:cNvPr>
        <xdr:cNvSpPr txBox="1">
          <a:spLocks noChangeArrowheads="1" noTextEdit="1"/>
        </xdr:cNvSpPr>
      </xdr:nvSpPr>
      <xdr:spPr bwMode="auto">
        <a:xfrm>
          <a:off x="8708465" y="1528409"/>
          <a:ext cx="512479" cy="456690"/>
        </a:xfrm>
        <a:prstGeom prst="rect">
          <a:avLst/>
        </a:prstGeom>
        <a:noFill/>
        <a:ln w="9525">
          <a:noFill/>
          <a:miter lim="800000"/>
          <a:headEnd/>
          <a:tailEnd/>
        </a:ln>
      </xdr:spPr>
      <xdr:txBody>
        <a:bodyPr vertOverflow="clip" wrap="square" lIns="27432" tIns="22860" rIns="0" bIns="0" anchor="ctr" upright="1"/>
        <a:lstStyle/>
        <a:p>
          <a:pPr algn="r" rtl="0">
            <a:defRPr sz="1000"/>
          </a:pPr>
          <a:fld id="{211B0151-B00E-493E-8C8F-6E492416D93B}" type="TxLink">
            <a:rPr lang="en-US" sz="1400" b="1" i="0" u="none" strike="noStrike">
              <a:solidFill>
                <a:srgbClr val="FF0000"/>
              </a:solidFill>
              <a:latin typeface="Arial" pitchFamily="34" charset="0"/>
              <a:cs typeface="Arial" pitchFamily="34" charset="0"/>
            </a:rPr>
            <a:pPr algn="r" rtl="0">
              <a:defRPr sz="1000"/>
            </a:pPr>
            <a:t>20V</a:t>
          </a:fld>
          <a:endParaRPr lang="en-US" sz="1400" b="1" i="0" strike="noStrike">
            <a:solidFill>
              <a:srgbClr val="FF0000"/>
            </a:solidFill>
            <a:latin typeface="Arial" pitchFamily="34" charset="0"/>
            <a:cs typeface="Arial" pitchFamily="34" charset="0"/>
          </a:endParaRPr>
        </a:p>
      </xdr:txBody>
    </xdr:sp>
    <xdr:clientData/>
  </xdr:twoCellAnchor>
  <xdr:twoCellAnchor>
    <xdr:from>
      <xdr:col>23</xdr:col>
      <xdr:colOff>101857</xdr:colOff>
      <xdr:row>6</xdr:row>
      <xdr:rowOff>43378</xdr:rowOff>
    </xdr:from>
    <xdr:to>
      <xdr:col>24</xdr:col>
      <xdr:colOff>157289</xdr:colOff>
      <xdr:row>8</xdr:row>
      <xdr:rowOff>13542</xdr:rowOff>
    </xdr:to>
    <xdr:sp macro="" textlink="'Variable Mgmt'!B216">
      <xdr:nvSpPr>
        <xdr:cNvPr id="2333" name="Text Box 285">
          <a:extLst>
            <a:ext uri="{FF2B5EF4-FFF2-40B4-BE49-F238E27FC236}">
              <a16:creationId xmlns:a16="http://schemas.microsoft.com/office/drawing/2014/main" id="{00000000-0008-0000-0000-00001D090000}"/>
            </a:ext>
          </a:extLst>
        </xdr:cNvPr>
        <xdr:cNvSpPr txBox="1">
          <a:spLocks noChangeArrowheads="1" noTextEdit="1"/>
        </xdr:cNvSpPr>
      </xdr:nvSpPr>
      <xdr:spPr bwMode="auto">
        <a:xfrm>
          <a:off x="14402495" y="1626499"/>
          <a:ext cx="666346" cy="351164"/>
        </a:xfrm>
        <a:prstGeom prst="rect">
          <a:avLst/>
        </a:prstGeom>
        <a:noFill/>
        <a:ln w="9525">
          <a:noFill/>
          <a:miter lim="800000"/>
          <a:headEnd/>
          <a:tailEnd/>
        </a:ln>
      </xdr:spPr>
      <xdr:txBody>
        <a:bodyPr vertOverflow="clip" wrap="square" lIns="27432" tIns="22860" rIns="0" bIns="0" anchor="ctr" upright="1"/>
        <a:lstStyle/>
        <a:p>
          <a:pPr algn="l" rtl="0">
            <a:defRPr sz="1000"/>
          </a:pPr>
          <a:fld id="{702C2B8A-7C4B-4FDB-B229-3170089D9686}" type="TxLink">
            <a:rPr lang="en-US" sz="1400" b="1" i="0" u="none" strike="noStrike" baseline="0">
              <a:solidFill>
                <a:srgbClr val="FF0000"/>
              </a:solidFill>
              <a:latin typeface="Arial" pitchFamily="34" charset="0"/>
              <a:cs typeface="Arial" pitchFamily="34" charset="0"/>
            </a:rPr>
            <a:pPr algn="l" rtl="0">
              <a:defRPr sz="1000"/>
            </a:pPr>
            <a:t>20V</a:t>
          </a:fld>
          <a:endParaRPr lang="en-US" sz="1400" b="1" i="0" u="none" strike="noStrike" baseline="0">
            <a:solidFill>
              <a:srgbClr val="FF0000"/>
            </a:solidFill>
            <a:latin typeface="Arial" pitchFamily="34" charset="0"/>
            <a:cs typeface="Arial" pitchFamily="34" charset="0"/>
          </a:endParaRPr>
        </a:p>
      </xdr:txBody>
    </xdr:sp>
    <xdr:clientData/>
  </xdr:twoCellAnchor>
  <xdr:twoCellAnchor>
    <xdr:from>
      <xdr:col>22</xdr:col>
      <xdr:colOff>611798</xdr:colOff>
      <xdr:row>7</xdr:row>
      <xdr:rowOff>95753</xdr:rowOff>
    </xdr:from>
    <xdr:to>
      <xdr:col>23</xdr:col>
      <xdr:colOff>555236</xdr:colOff>
      <xdr:row>9</xdr:row>
      <xdr:rowOff>3961</xdr:rowOff>
    </xdr:to>
    <xdr:sp macro="" textlink="'Variable Mgmt'!B271">
      <xdr:nvSpPr>
        <xdr:cNvPr id="2334" name="Text Box 286">
          <a:extLst>
            <a:ext uri="{FF2B5EF4-FFF2-40B4-BE49-F238E27FC236}">
              <a16:creationId xmlns:a16="http://schemas.microsoft.com/office/drawing/2014/main" id="{00000000-0008-0000-0000-00001E090000}"/>
            </a:ext>
          </a:extLst>
        </xdr:cNvPr>
        <xdr:cNvSpPr txBox="1">
          <a:spLocks noChangeArrowheads="1" noTextEdit="1"/>
        </xdr:cNvSpPr>
      </xdr:nvSpPr>
      <xdr:spPr bwMode="auto">
        <a:xfrm>
          <a:off x="14970269" y="1873753"/>
          <a:ext cx="585908" cy="296679"/>
        </a:xfrm>
        <a:prstGeom prst="rect">
          <a:avLst/>
        </a:prstGeom>
        <a:noFill/>
        <a:ln w="9525">
          <a:noFill/>
          <a:miter lim="800000"/>
          <a:headEnd/>
          <a:tailEnd/>
        </a:ln>
      </xdr:spPr>
      <xdr:txBody>
        <a:bodyPr vertOverflow="clip" wrap="square" lIns="27432" tIns="22860" rIns="0" bIns="0" anchor="ctr" upright="1"/>
        <a:lstStyle/>
        <a:p>
          <a:pPr algn="ctr" rtl="0">
            <a:defRPr sz="1000"/>
          </a:pPr>
          <a:fld id="{E0FB88FA-F39E-4ACF-AB5E-DCB628763AAE}" type="TxLink">
            <a:rPr lang="en-US" sz="1000" b="1" i="0" u="none" strike="noStrike">
              <a:solidFill>
                <a:srgbClr val="FF0000"/>
              </a:solidFill>
              <a:latin typeface="Arial" pitchFamily="34" charset="0"/>
              <a:cs typeface="Arial" pitchFamily="34" charset="0"/>
            </a:rPr>
            <a:pPr algn="ctr" rtl="0">
              <a:defRPr sz="1000"/>
            </a:pPr>
            <a:t>0.1A</a:t>
          </a:fld>
          <a:endParaRPr lang="en-US" sz="1000" b="1" i="0" strike="noStrike">
            <a:solidFill>
              <a:srgbClr val="FF0000"/>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xdr:from>
          <xdr:col>5</xdr:col>
          <xdr:colOff>137160</xdr:colOff>
          <xdr:row>6</xdr:row>
          <xdr:rowOff>22860</xdr:rowOff>
        </xdr:from>
        <xdr:to>
          <xdr:col>5</xdr:col>
          <xdr:colOff>304800</xdr:colOff>
          <xdr:row>7</xdr:row>
          <xdr:rowOff>30480</xdr:rowOff>
        </xdr:to>
        <xdr:sp macro="" textlink="">
          <xdr:nvSpPr>
            <xdr:cNvPr id="672895" name="Spinner 127" hidden="1">
              <a:extLst>
                <a:ext uri="{63B3BB69-23CF-44E3-9099-C40C66FF867C}">
                  <a14:compatExt spid="_x0000_s672895"/>
                </a:ext>
                <a:ext uri="{FF2B5EF4-FFF2-40B4-BE49-F238E27FC236}">
                  <a16:creationId xmlns:a16="http://schemas.microsoft.com/office/drawing/2014/main" id="{00000000-0008-0000-0000-00007F440A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16</xdr:col>
      <xdr:colOff>77776</xdr:colOff>
      <xdr:row>10</xdr:row>
      <xdr:rowOff>190439</xdr:rowOff>
    </xdr:from>
    <xdr:to>
      <xdr:col>16</xdr:col>
      <xdr:colOff>602802</xdr:colOff>
      <xdr:row>12</xdr:row>
      <xdr:rowOff>38709</xdr:rowOff>
    </xdr:to>
    <xdr:sp macro="" textlink="'Variable Mgmt'!C245">
      <xdr:nvSpPr>
        <xdr:cNvPr id="71" name="Text Box 268">
          <a:extLst>
            <a:ext uri="{FF2B5EF4-FFF2-40B4-BE49-F238E27FC236}">
              <a16:creationId xmlns:a16="http://schemas.microsoft.com/office/drawing/2014/main" id="{00000000-0008-0000-0000-000047000000}"/>
            </a:ext>
          </a:extLst>
        </xdr:cNvPr>
        <xdr:cNvSpPr txBox="1">
          <a:spLocks noChangeArrowheads="1" noTextEdit="1"/>
        </xdr:cNvSpPr>
      </xdr:nvSpPr>
      <xdr:spPr bwMode="auto">
        <a:xfrm>
          <a:off x="9911517" y="2548698"/>
          <a:ext cx="525026" cy="242408"/>
        </a:xfrm>
        <a:prstGeom prst="rect">
          <a:avLst/>
        </a:prstGeom>
        <a:noFill/>
        <a:ln w="9525">
          <a:noFill/>
          <a:miter lim="800000"/>
          <a:headEnd/>
          <a:tailEnd/>
        </a:ln>
      </xdr:spPr>
      <xdr:txBody>
        <a:bodyPr vertOverflow="clip" wrap="square" lIns="27432" tIns="22860" rIns="0" bIns="0" anchor="ctr" upright="1"/>
        <a:lstStyle/>
        <a:p>
          <a:pPr algn="l" rtl="0">
            <a:defRPr sz="1000"/>
          </a:pPr>
          <a:fld id="{9F0ED324-D4DC-458E-AFDF-B2BC6995B894}" type="TxLink">
            <a:rPr lang="en-US" sz="800" b="0" i="0" u="none" strike="noStrike">
              <a:solidFill>
                <a:srgbClr val="000000"/>
              </a:solidFill>
              <a:latin typeface="Arial"/>
              <a:cs typeface="Arial"/>
            </a:rPr>
            <a:pPr algn="l" rtl="0">
              <a:defRPr sz="1000"/>
            </a:pPr>
            <a:t> </a:t>
          </a:fld>
          <a:endParaRPr lang="el-GR" sz="800" b="0" i="0" strike="noStrike">
            <a:solidFill>
              <a:srgbClr val="000000"/>
            </a:solidFill>
            <a:latin typeface="Arial" pitchFamily="34" charset="0"/>
            <a:cs typeface="Arial" pitchFamily="34" charset="0"/>
          </a:endParaRPr>
        </a:p>
      </xdr:txBody>
    </xdr:sp>
    <xdr:clientData/>
  </xdr:twoCellAnchor>
  <xdr:twoCellAnchor>
    <xdr:from>
      <xdr:col>15</xdr:col>
      <xdr:colOff>249701</xdr:colOff>
      <xdr:row>15</xdr:row>
      <xdr:rowOff>180303</xdr:rowOff>
    </xdr:from>
    <xdr:to>
      <xdr:col>16</xdr:col>
      <xdr:colOff>98124</xdr:colOff>
      <xdr:row>16</xdr:row>
      <xdr:rowOff>149394</xdr:rowOff>
    </xdr:to>
    <xdr:sp macro="" textlink="'Variable Mgmt'!C246">
      <xdr:nvSpPr>
        <xdr:cNvPr id="73" name="Text Box 268">
          <a:extLst>
            <a:ext uri="{FF2B5EF4-FFF2-40B4-BE49-F238E27FC236}">
              <a16:creationId xmlns:a16="http://schemas.microsoft.com/office/drawing/2014/main" id="{00000000-0008-0000-0000-000049000000}"/>
            </a:ext>
          </a:extLst>
        </xdr:cNvPr>
        <xdr:cNvSpPr txBox="1">
          <a:spLocks noChangeArrowheads="1" noTextEdit="1"/>
        </xdr:cNvSpPr>
      </xdr:nvSpPr>
      <xdr:spPr bwMode="auto">
        <a:xfrm>
          <a:off x="9406839" y="3523906"/>
          <a:ext cx="525026" cy="179298"/>
        </a:xfrm>
        <a:prstGeom prst="rect">
          <a:avLst/>
        </a:prstGeom>
        <a:noFill/>
        <a:ln w="9525">
          <a:noFill/>
          <a:miter lim="800000"/>
          <a:headEnd/>
          <a:tailEnd/>
        </a:ln>
      </xdr:spPr>
      <xdr:txBody>
        <a:bodyPr vertOverflow="clip" wrap="square" lIns="27432" tIns="22860" rIns="0" bIns="0" anchor="ctr" upright="1"/>
        <a:lstStyle/>
        <a:p>
          <a:pPr algn="l" rtl="0">
            <a:defRPr sz="1000"/>
          </a:pPr>
          <a:fld id="{34FF5C9F-E605-45FC-B7D1-F0CC0D61FE72}" type="TxLink">
            <a:rPr lang="en-US" sz="800" b="0" i="0" u="none" strike="noStrike">
              <a:solidFill>
                <a:srgbClr val="000000"/>
              </a:solidFill>
              <a:latin typeface="Arial"/>
              <a:cs typeface="Arial"/>
            </a:rPr>
            <a:pPr algn="l" rtl="0">
              <a:defRPr sz="1000"/>
            </a:pPr>
            <a:t> </a:t>
          </a:fld>
          <a:endParaRPr lang="el-GR" sz="800" b="0" i="0" strike="noStrike">
            <a:solidFill>
              <a:srgbClr val="000000"/>
            </a:solidFill>
            <a:latin typeface="Arial" pitchFamily="34" charset="0"/>
            <a:cs typeface="Arial" pitchFamily="34" charset="0"/>
          </a:endParaRPr>
        </a:p>
      </xdr:txBody>
    </xdr:sp>
    <xdr:clientData/>
  </xdr:twoCellAnchor>
  <xdr:twoCellAnchor>
    <xdr:from>
      <xdr:col>18</xdr:col>
      <xdr:colOff>241916</xdr:colOff>
      <xdr:row>16</xdr:row>
      <xdr:rowOff>44671</xdr:rowOff>
    </xdr:from>
    <xdr:to>
      <xdr:col>19</xdr:col>
      <xdr:colOff>91795</xdr:colOff>
      <xdr:row>17</xdr:row>
      <xdr:rowOff>82452</xdr:rowOff>
    </xdr:to>
    <xdr:sp macro="" textlink="'Variable Mgmt'!C235">
      <xdr:nvSpPr>
        <xdr:cNvPr id="89" name="Text Box 268">
          <a:extLst>
            <a:ext uri="{FF2B5EF4-FFF2-40B4-BE49-F238E27FC236}">
              <a16:creationId xmlns:a16="http://schemas.microsoft.com/office/drawing/2014/main" id="{00000000-0008-0000-0000-000059000000}"/>
            </a:ext>
          </a:extLst>
        </xdr:cNvPr>
        <xdr:cNvSpPr txBox="1">
          <a:spLocks noChangeArrowheads="1" noTextEdit="1"/>
        </xdr:cNvSpPr>
      </xdr:nvSpPr>
      <xdr:spPr bwMode="auto">
        <a:xfrm>
          <a:off x="11970366" y="3607021"/>
          <a:ext cx="548379" cy="234631"/>
        </a:xfrm>
        <a:prstGeom prst="rect">
          <a:avLst/>
        </a:prstGeom>
        <a:noFill/>
        <a:ln w="9525">
          <a:noFill/>
          <a:miter lim="800000"/>
          <a:headEnd/>
          <a:tailEnd/>
        </a:ln>
      </xdr:spPr>
      <xdr:txBody>
        <a:bodyPr vertOverflow="clip" wrap="square" lIns="27432" tIns="22860" rIns="0" bIns="0" anchor="ctr" upright="1"/>
        <a:lstStyle/>
        <a:p>
          <a:pPr algn="l" rtl="0">
            <a:defRPr sz="1000"/>
          </a:pPr>
          <a:fld id="{748954DB-E280-498C-BC91-9439B9EC7524}" type="TxLink">
            <a:rPr lang="en-US" sz="800" b="0" i="0" u="none" strike="noStrike">
              <a:solidFill>
                <a:srgbClr val="000000"/>
              </a:solidFill>
              <a:latin typeface="Arial"/>
              <a:cs typeface="Arial"/>
            </a:rPr>
            <a:pPr algn="l" rtl="0">
              <a:defRPr sz="1000"/>
            </a:pPr>
            <a:t>203.2kΩ</a:t>
          </a:fld>
          <a:endParaRPr lang="el-GR" sz="800" b="0" i="0" strike="noStrike">
            <a:solidFill>
              <a:srgbClr val="000000"/>
            </a:solidFill>
            <a:latin typeface="Arial" pitchFamily="34" charset="0"/>
            <a:cs typeface="Arial" pitchFamily="34" charset="0"/>
          </a:endParaRPr>
        </a:p>
      </xdr:txBody>
    </xdr:sp>
    <xdr:clientData/>
  </xdr:twoCellAnchor>
  <xdr:twoCellAnchor>
    <xdr:from>
      <xdr:col>19</xdr:col>
      <xdr:colOff>65265</xdr:colOff>
      <xdr:row>20</xdr:row>
      <xdr:rowOff>38483</xdr:rowOff>
    </xdr:from>
    <xdr:to>
      <xdr:col>20</xdr:col>
      <xdr:colOff>3387</xdr:colOff>
      <xdr:row>21</xdr:row>
      <xdr:rowOff>39879</xdr:rowOff>
    </xdr:to>
    <xdr:sp macro="" textlink="'Variable Mgmt'!C249">
      <xdr:nvSpPr>
        <xdr:cNvPr id="91" name="Text Box 265">
          <a:extLst>
            <a:ext uri="{FF2B5EF4-FFF2-40B4-BE49-F238E27FC236}">
              <a16:creationId xmlns:a16="http://schemas.microsoft.com/office/drawing/2014/main" id="{00000000-0008-0000-0000-00005B000000}"/>
            </a:ext>
          </a:extLst>
        </xdr:cNvPr>
        <xdr:cNvSpPr txBox="1">
          <a:spLocks noChangeArrowheads="1" noTextEdit="1"/>
        </xdr:cNvSpPr>
      </xdr:nvSpPr>
      <xdr:spPr bwMode="auto">
        <a:xfrm>
          <a:off x="12492215" y="4388233"/>
          <a:ext cx="579472" cy="198246"/>
        </a:xfrm>
        <a:prstGeom prst="rect">
          <a:avLst/>
        </a:prstGeom>
        <a:noFill/>
        <a:ln w="9525">
          <a:noFill/>
          <a:miter lim="800000"/>
          <a:headEnd/>
          <a:tailEnd/>
        </a:ln>
      </xdr:spPr>
      <xdr:txBody>
        <a:bodyPr vertOverflow="clip" wrap="square" lIns="27432" tIns="22860" rIns="0" bIns="0" anchor="t" upright="1"/>
        <a:lstStyle/>
        <a:p>
          <a:pPr algn="l" rtl="0">
            <a:defRPr sz="1000"/>
          </a:pPr>
          <a:fld id="{B2616B24-776D-472C-9328-875E07CFCCA9}" type="TxLink">
            <a:rPr lang="en-US" sz="800" b="0" i="0" u="none" strike="noStrike" baseline="0">
              <a:solidFill>
                <a:srgbClr val="000000"/>
              </a:solidFill>
              <a:latin typeface="Arial"/>
              <a:cs typeface="Arial"/>
            </a:rPr>
            <a:pPr algn="l" rtl="0">
              <a:defRPr sz="1000"/>
            </a:pPr>
            <a:t>12.1kΩ</a:t>
          </a:fld>
          <a:endParaRPr lang="el-GR" sz="800" b="0" i="0" u="none" strike="noStrike" baseline="0">
            <a:solidFill>
              <a:srgbClr val="000000"/>
            </a:solidFill>
            <a:latin typeface="Arial" pitchFamily="34" charset="0"/>
            <a:cs typeface="Arial" pitchFamily="34" charset="0"/>
          </a:endParaRPr>
        </a:p>
      </xdr:txBody>
    </xdr:sp>
    <xdr:clientData/>
  </xdr:twoCellAnchor>
  <xdr:twoCellAnchor>
    <xdr:from>
      <xdr:col>14</xdr:col>
      <xdr:colOff>194174</xdr:colOff>
      <xdr:row>7</xdr:row>
      <xdr:rowOff>137451</xdr:rowOff>
    </xdr:from>
    <xdr:to>
      <xdr:col>15</xdr:col>
      <xdr:colOff>646144</xdr:colOff>
      <xdr:row>9</xdr:row>
      <xdr:rowOff>26245</xdr:rowOff>
    </xdr:to>
    <xdr:sp macro="" textlink="'Variable Mgmt'!B214">
      <xdr:nvSpPr>
        <xdr:cNvPr id="35" name="Text Box 283">
          <a:extLst>
            <a:ext uri="{FF2B5EF4-FFF2-40B4-BE49-F238E27FC236}">
              <a16:creationId xmlns:a16="http://schemas.microsoft.com/office/drawing/2014/main" id="{00000000-0008-0000-0000-000023000000}"/>
            </a:ext>
          </a:extLst>
        </xdr:cNvPr>
        <xdr:cNvSpPr txBox="1">
          <a:spLocks noChangeArrowheads="1" noTextEdit="1"/>
        </xdr:cNvSpPr>
      </xdr:nvSpPr>
      <xdr:spPr bwMode="auto">
        <a:xfrm>
          <a:off x="8740398" y="1904503"/>
          <a:ext cx="1062884" cy="282932"/>
        </a:xfrm>
        <a:prstGeom prst="rect">
          <a:avLst/>
        </a:prstGeom>
        <a:noFill/>
        <a:ln w="9525">
          <a:noFill/>
          <a:miter lim="800000"/>
          <a:headEnd/>
          <a:tailEnd/>
        </a:ln>
      </xdr:spPr>
      <xdr:txBody>
        <a:bodyPr vertOverflow="clip" wrap="square" lIns="27432" tIns="22860" rIns="0" bIns="0" anchor="t" upright="1"/>
        <a:lstStyle/>
        <a:p>
          <a:pPr algn="l" rtl="0">
            <a:defRPr sz="1000"/>
          </a:pPr>
          <a:fld id="{47315316-35F3-49E7-A4CE-EA42773D1FAE}" type="TxLink">
            <a:rPr lang="en-US" sz="1050" b="1" i="0" u="none" strike="noStrike">
              <a:solidFill>
                <a:srgbClr val="000000"/>
              </a:solidFill>
              <a:latin typeface="Arial"/>
              <a:cs typeface="Arial"/>
            </a:rPr>
            <a:pPr algn="l" rtl="0">
              <a:defRPr sz="1000"/>
            </a:pPr>
            <a:t>9V...21V</a:t>
          </a:fld>
          <a:endParaRPr lang="en-US" sz="1050" b="1" i="0" strike="noStrike">
            <a:solidFill>
              <a:srgbClr val="000000"/>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4</xdr:col>
          <xdr:colOff>22860</xdr:colOff>
          <xdr:row>28</xdr:row>
          <xdr:rowOff>0</xdr:rowOff>
        </xdr:from>
        <xdr:to>
          <xdr:col>5</xdr:col>
          <xdr:colOff>289560</xdr:colOff>
          <xdr:row>29</xdr:row>
          <xdr:rowOff>30480</xdr:rowOff>
        </xdr:to>
        <xdr:sp macro="" textlink="">
          <xdr:nvSpPr>
            <xdr:cNvPr id="672935" name="Drop Down 167" hidden="1">
              <a:extLst>
                <a:ext uri="{63B3BB69-23CF-44E3-9099-C40C66FF867C}">
                  <a14:compatExt spid="_x0000_s672935"/>
                </a:ext>
                <a:ext uri="{FF2B5EF4-FFF2-40B4-BE49-F238E27FC236}">
                  <a16:creationId xmlns:a16="http://schemas.microsoft.com/office/drawing/2014/main" id="{00000000-0008-0000-0000-0000A744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18</xdr:col>
      <xdr:colOff>199508</xdr:colOff>
      <xdr:row>19</xdr:row>
      <xdr:rowOff>171424</xdr:rowOff>
    </xdr:from>
    <xdr:to>
      <xdr:col>18</xdr:col>
      <xdr:colOff>587566</xdr:colOff>
      <xdr:row>21</xdr:row>
      <xdr:rowOff>20431</xdr:rowOff>
    </xdr:to>
    <xdr:sp macro="" textlink="'Variable Mgmt'!C241">
      <xdr:nvSpPr>
        <xdr:cNvPr id="43" name="Text Box 225">
          <a:extLst>
            <a:ext uri="{FF2B5EF4-FFF2-40B4-BE49-F238E27FC236}">
              <a16:creationId xmlns:a16="http://schemas.microsoft.com/office/drawing/2014/main" id="{00000000-0008-0000-0000-00002B000000}"/>
            </a:ext>
          </a:extLst>
        </xdr:cNvPr>
        <xdr:cNvSpPr txBox="1">
          <a:spLocks noChangeArrowheads="1"/>
        </xdr:cNvSpPr>
      </xdr:nvSpPr>
      <xdr:spPr bwMode="auto">
        <a:xfrm>
          <a:off x="11934308" y="4371949"/>
          <a:ext cx="388058" cy="249057"/>
        </a:xfrm>
        <a:prstGeom prst="rect">
          <a:avLst/>
        </a:prstGeom>
        <a:noFill/>
        <a:ln w="9525">
          <a:noFill/>
          <a:miter lim="800000"/>
          <a:headEnd/>
          <a:tailEnd/>
        </a:ln>
      </xdr:spPr>
      <xdr:txBody>
        <a:bodyPr vertOverflow="clip" wrap="square" lIns="27432" tIns="27432" rIns="0" bIns="0" anchor="ctr" upright="1"/>
        <a:lstStyle/>
        <a:p>
          <a:pPr algn="l" rtl="0">
            <a:defRPr sz="1000"/>
          </a:pPr>
          <a:fld id="{C394427D-AAFB-4910-BFD4-26E4AF094E1D}" type="TxLink">
            <a:rPr lang="en-US" sz="1050" b="0" i="0" u="none" strike="noStrike">
              <a:solidFill>
                <a:srgbClr val="000000"/>
              </a:solidFill>
              <a:latin typeface="Arial"/>
              <a:cs typeface="Arial"/>
            </a:rPr>
            <a:pPr algn="l" rtl="0">
              <a:defRPr sz="1000"/>
            </a:pPr>
            <a:t>Rtc</a:t>
          </a:fld>
          <a:endParaRPr lang="en-US" sz="1200" b="0" i="0" strike="noStrike" baseline="-25000">
            <a:solidFill>
              <a:srgbClr val="000000"/>
            </a:solidFill>
            <a:latin typeface="Arial" pitchFamily="34" charset="0"/>
            <a:cs typeface="Arial" pitchFamily="34" charset="0"/>
          </a:endParaRPr>
        </a:p>
      </xdr:txBody>
    </xdr:sp>
    <xdr:clientData/>
  </xdr:twoCellAnchor>
  <xdr:twoCellAnchor>
    <xdr:from>
      <xdr:col>18</xdr:col>
      <xdr:colOff>143877</xdr:colOff>
      <xdr:row>20</xdr:row>
      <xdr:rowOff>142589</xdr:rowOff>
    </xdr:from>
    <xdr:to>
      <xdr:col>18</xdr:col>
      <xdr:colOff>687868</xdr:colOff>
      <xdr:row>21</xdr:row>
      <xdr:rowOff>181646</xdr:rowOff>
    </xdr:to>
    <xdr:sp macro="" textlink="'Variable Mgmt'!B241">
      <xdr:nvSpPr>
        <xdr:cNvPr id="44" name="Text Box 268">
          <a:extLst>
            <a:ext uri="{FF2B5EF4-FFF2-40B4-BE49-F238E27FC236}">
              <a16:creationId xmlns:a16="http://schemas.microsoft.com/office/drawing/2014/main" id="{00000000-0008-0000-0000-00002C000000}"/>
            </a:ext>
          </a:extLst>
        </xdr:cNvPr>
        <xdr:cNvSpPr txBox="1">
          <a:spLocks noChangeArrowheads="1" noTextEdit="1"/>
        </xdr:cNvSpPr>
      </xdr:nvSpPr>
      <xdr:spPr bwMode="auto">
        <a:xfrm>
          <a:off x="11878677" y="4543139"/>
          <a:ext cx="543991" cy="239082"/>
        </a:xfrm>
        <a:prstGeom prst="rect">
          <a:avLst/>
        </a:prstGeom>
        <a:noFill/>
        <a:ln w="9525">
          <a:noFill/>
          <a:miter lim="800000"/>
          <a:headEnd/>
          <a:tailEnd/>
        </a:ln>
      </xdr:spPr>
      <xdr:txBody>
        <a:bodyPr vertOverflow="clip" wrap="square" lIns="27432" tIns="22860" rIns="0" bIns="0" anchor="ctr" upright="1"/>
        <a:lstStyle/>
        <a:p>
          <a:pPr algn="l" rtl="0">
            <a:defRPr sz="1000"/>
          </a:pPr>
          <a:fld id="{35437053-6AF1-4CB6-8BC9-CEEF911045AA}" type="TxLink">
            <a:rPr lang="en-US" sz="800" b="0" i="0" u="none" strike="noStrike">
              <a:solidFill>
                <a:srgbClr val="000000"/>
              </a:solidFill>
              <a:latin typeface="Arial"/>
              <a:cs typeface="Arial"/>
            </a:rPr>
            <a:pPr algn="l" rtl="0">
              <a:defRPr sz="1000"/>
            </a:pPr>
            <a:t>402kΩ</a:t>
          </a:fld>
          <a:endParaRPr lang="el-GR" sz="800" b="0" i="0" strike="noStrike">
            <a:solidFill>
              <a:srgbClr val="000000"/>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4</xdr:col>
          <xdr:colOff>22860</xdr:colOff>
          <xdr:row>34</xdr:row>
          <xdr:rowOff>0</xdr:rowOff>
        </xdr:from>
        <xdr:to>
          <xdr:col>5</xdr:col>
          <xdr:colOff>259080</xdr:colOff>
          <xdr:row>35</xdr:row>
          <xdr:rowOff>1707</xdr:rowOff>
        </xdr:to>
        <xdr:sp macro="" textlink="">
          <xdr:nvSpPr>
            <xdr:cNvPr id="673043" name="Drop Down 275" hidden="1">
              <a:extLst>
                <a:ext uri="{63B3BB69-23CF-44E3-9099-C40C66FF867C}">
                  <a14:compatExt spid="_x0000_s673043"/>
                </a:ext>
                <a:ext uri="{FF2B5EF4-FFF2-40B4-BE49-F238E27FC236}">
                  <a16:creationId xmlns:a16="http://schemas.microsoft.com/office/drawing/2014/main" id="{00000000-0008-0000-0000-00001345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16</xdr:col>
      <xdr:colOff>81155</xdr:colOff>
      <xdr:row>10</xdr:row>
      <xdr:rowOff>17374</xdr:rowOff>
    </xdr:from>
    <xdr:to>
      <xdr:col>16</xdr:col>
      <xdr:colOff>483533</xdr:colOff>
      <xdr:row>11</xdr:row>
      <xdr:rowOff>47391</xdr:rowOff>
    </xdr:to>
    <xdr:sp macro="" textlink="'Variable Mgmt'!C244">
      <xdr:nvSpPr>
        <xdr:cNvPr id="48" name="Text Box 264">
          <a:extLst>
            <a:ext uri="{FF2B5EF4-FFF2-40B4-BE49-F238E27FC236}">
              <a16:creationId xmlns:a16="http://schemas.microsoft.com/office/drawing/2014/main" id="{00000000-0008-0000-0000-000030000000}"/>
            </a:ext>
          </a:extLst>
        </xdr:cNvPr>
        <xdr:cNvSpPr txBox="1">
          <a:spLocks noChangeArrowheads="1" noTextEdit="1"/>
        </xdr:cNvSpPr>
      </xdr:nvSpPr>
      <xdr:spPr bwMode="auto">
        <a:xfrm>
          <a:off x="9914896" y="2375633"/>
          <a:ext cx="402378" cy="227086"/>
        </a:xfrm>
        <a:prstGeom prst="rect">
          <a:avLst/>
        </a:prstGeom>
        <a:noFill/>
        <a:ln w="9525">
          <a:noFill/>
          <a:miter lim="800000"/>
          <a:headEnd/>
          <a:tailEnd/>
        </a:ln>
      </xdr:spPr>
      <xdr:txBody>
        <a:bodyPr vertOverflow="clip" wrap="square" lIns="27432" tIns="22860" rIns="0" bIns="0" anchor="ctr" upright="1"/>
        <a:lstStyle/>
        <a:p>
          <a:pPr algn="l" rtl="0">
            <a:defRPr sz="1000"/>
          </a:pPr>
          <a:fld id="{31380AD2-7EE8-49DF-ADF3-9022D781233D}" type="TxLink">
            <a:rPr lang="en-US" sz="1050" b="0" i="0" u="none" strike="noStrike" baseline="0">
              <a:solidFill>
                <a:srgbClr val="000000"/>
              </a:solidFill>
              <a:latin typeface="Arial"/>
              <a:cs typeface="Arial"/>
            </a:rPr>
            <a:pPr algn="l" rtl="0">
              <a:defRPr sz="1000"/>
            </a:pPr>
            <a:t> </a:t>
          </a:fld>
          <a:endParaRPr lang="el-GR" sz="1050" b="0" i="0" u="none" strike="noStrike" baseline="0">
            <a:solidFill>
              <a:srgbClr val="000000"/>
            </a:solidFill>
            <a:latin typeface="Arial" pitchFamily="34" charset="0"/>
            <a:cs typeface="Arial" pitchFamily="34" charset="0"/>
          </a:endParaRPr>
        </a:p>
      </xdr:txBody>
    </xdr:sp>
    <xdr:clientData/>
  </xdr:twoCellAnchor>
  <xdr:twoCellAnchor>
    <xdr:from>
      <xdr:col>15</xdr:col>
      <xdr:colOff>254048</xdr:colOff>
      <xdr:row>14</xdr:row>
      <xdr:rowOff>143439</xdr:rowOff>
    </xdr:from>
    <xdr:to>
      <xdr:col>16</xdr:col>
      <xdr:colOff>37505</xdr:colOff>
      <xdr:row>15</xdr:row>
      <xdr:rowOff>130295</xdr:rowOff>
    </xdr:to>
    <xdr:sp macro="" textlink="'Variable Mgmt'!D244">
      <xdr:nvSpPr>
        <xdr:cNvPr id="50" name="Text Box 264">
          <a:extLst>
            <a:ext uri="{FF2B5EF4-FFF2-40B4-BE49-F238E27FC236}">
              <a16:creationId xmlns:a16="http://schemas.microsoft.com/office/drawing/2014/main" id="{00000000-0008-0000-0000-000032000000}"/>
            </a:ext>
          </a:extLst>
        </xdr:cNvPr>
        <xdr:cNvSpPr txBox="1">
          <a:spLocks noChangeArrowheads="1" noTextEdit="1"/>
        </xdr:cNvSpPr>
      </xdr:nvSpPr>
      <xdr:spPr bwMode="auto">
        <a:xfrm>
          <a:off x="9411186" y="3289973"/>
          <a:ext cx="460060" cy="183925"/>
        </a:xfrm>
        <a:prstGeom prst="rect">
          <a:avLst/>
        </a:prstGeom>
        <a:noFill/>
        <a:ln w="9525">
          <a:noFill/>
          <a:miter lim="800000"/>
          <a:headEnd/>
          <a:tailEnd/>
        </a:ln>
      </xdr:spPr>
      <xdr:txBody>
        <a:bodyPr vertOverflow="clip" wrap="square" lIns="27432" tIns="22860" rIns="0" bIns="0" anchor="ctr" upright="1"/>
        <a:lstStyle/>
        <a:p>
          <a:pPr algn="l" rtl="0">
            <a:defRPr sz="1000"/>
          </a:pPr>
          <a:fld id="{873432C6-E14A-45C8-BEDA-C8EFF8641C5C}" type="TxLink">
            <a:rPr lang="en-US" sz="1050" b="0" i="0" u="none" strike="noStrike" baseline="0">
              <a:solidFill>
                <a:srgbClr val="000000"/>
              </a:solidFill>
              <a:latin typeface="Arial"/>
              <a:cs typeface="Arial"/>
            </a:rPr>
            <a:pPr algn="l" rtl="0">
              <a:defRPr sz="1000"/>
            </a:pPr>
            <a:t> </a:t>
          </a:fld>
          <a:endParaRPr lang="el-GR" sz="1050" b="0" i="0" u="none" strike="noStrike" baseline="0">
            <a:solidFill>
              <a:srgbClr val="000000"/>
            </a:solidFill>
            <a:latin typeface="Arial" pitchFamily="34" charset="0"/>
            <a:cs typeface="Arial" pitchFamily="34" charset="0"/>
          </a:endParaRPr>
        </a:p>
      </xdr:txBody>
    </xdr:sp>
    <xdr:clientData/>
  </xdr:twoCellAnchor>
  <xdr:twoCellAnchor>
    <xdr:from>
      <xdr:col>15</xdr:col>
      <xdr:colOff>142299</xdr:colOff>
      <xdr:row>19</xdr:row>
      <xdr:rowOff>181577</xdr:rowOff>
    </xdr:from>
    <xdr:to>
      <xdr:col>15</xdr:col>
      <xdr:colOff>622297</xdr:colOff>
      <xdr:row>21</xdr:row>
      <xdr:rowOff>123082</xdr:rowOff>
    </xdr:to>
    <xdr:sp macro="" textlink="'Variable Mgmt'!C254">
      <xdr:nvSpPr>
        <xdr:cNvPr id="49" name="Text Box 281">
          <a:extLst>
            <a:ext uri="{FF2B5EF4-FFF2-40B4-BE49-F238E27FC236}">
              <a16:creationId xmlns:a16="http://schemas.microsoft.com/office/drawing/2014/main" id="{00000000-0008-0000-0000-000031000000}"/>
            </a:ext>
          </a:extLst>
        </xdr:cNvPr>
        <xdr:cNvSpPr txBox="1">
          <a:spLocks noChangeArrowheads="1" noTextEdit="1"/>
        </xdr:cNvSpPr>
      </xdr:nvSpPr>
      <xdr:spPr bwMode="auto">
        <a:xfrm>
          <a:off x="9299437" y="4326594"/>
          <a:ext cx="479998" cy="335643"/>
        </a:xfrm>
        <a:prstGeom prst="rect">
          <a:avLst/>
        </a:prstGeom>
        <a:noFill/>
        <a:ln w="9525">
          <a:noFill/>
          <a:miter lim="800000"/>
          <a:headEnd/>
          <a:tailEnd/>
        </a:ln>
      </xdr:spPr>
      <xdr:txBody>
        <a:bodyPr vertOverflow="clip" wrap="square" lIns="27432" tIns="22860" rIns="0" bIns="0" anchor="ctr" upright="1"/>
        <a:lstStyle/>
        <a:p>
          <a:pPr algn="l" rtl="0">
            <a:defRPr sz="1000"/>
          </a:pPr>
          <a:fld id="{B81C36CF-66FD-4734-B04F-DAE82AF849A9}" type="TxLink">
            <a:rPr lang="en-US" sz="1100" b="0" i="0" u="none" strike="noStrike">
              <a:solidFill>
                <a:srgbClr val="000000"/>
              </a:solidFill>
              <a:latin typeface="Arial"/>
              <a:cs typeface="Arial"/>
            </a:rPr>
            <a:pPr algn="l" rtl="0">
              <a:defRPr sz="1000"/>
            </a:pPr>
            <a:t> </a:t>
          </a:fld>
          <a:endParaRPr lang="en-US" sz="1100" b="0" i="0" strike="noStrike">
            <a:solidFill>
              <a:srgbClr val="000000"/>
            </a:solidFill>
            <a:latin typeface="Arial" pitchFamily="34" charset="0"/>
            <a:cs typeface="Arial" pitchFamily="34" charset="0"/>
          </a:endParaRPr>
        </a:p>
      </xdr:txBody>
    </xdr:sp>
    <xdr:clientData/>
  </xdr:twoCellAnchor>
  <xdr:twoCellAnchor editAs="oneCell">
    <xdr:from>
      <xdr:col>0</xdr:col>
      <xdr:colOff>78143</xdr:colOff>
      <xdr:row>0</xdr:row>
      <xdr:rowOff>32845</xdr:rowOff>
    </xdr:from>
    <xdr:to>
      <xdr:col>3</xdr:col>
      <xdr:colOff>351439</xdr:colOff>
      <xdr:row>0</xdr:row>
      <xdr:rowOff>571501</xdr:rowOff>
    </xdr:to>
    <xdr:pic macro="[0]!OpenLM27403ProductFolder">
      <xdr:nvPicPr>
        <xdr:cNvPr id="4" name="Picture 3">
          <a:hlinkClick xmlns:r="http://schemas.openxmlformats.org/officeDocument/2006/relationships" r:id="rId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4896" b="8304"/>
        <a:stretch/>
      </xdr:blipFill>
      <xdr:spPr>
        <a:xfrm>
          <a:off x="78143" y="32845"/>
          <a:ext cx="2283071" cy="538656"/>
        </a:xfrm>
        <a:prstGeom prst="rect">
          <a:avLst/>
        </a:prstGeom>
      </xdr:spPr>
    </xdr:pic>
    <xdr:clientData/>
  </xdr:twoCellAnchor>
  <xdr:twoCellAnchor editAs="oneCell">
    <xdr:from>
      <xdr:col>21</xdr:col>
      <xdr:colOff>400381</xdr:colOff>
      <xdr:row>0</xdr:row>
      <xdr:rowOff>123825</xdr:rowOff>
    </xdr:from>
    <xdr:to>
      <xdr:col>23</xdr:col>
      <xdr:colOff>435229</xdr:colOff>
      <xdr:row>3</xdr:row>
      <xdr:rowOff>130175</xdr:rowOff>
    </xdr:to>
    <xdr:pic macro="[0]!OpenLM27403ProductFolder">
      <xdr:nvPicPr>
        <xdr:cNvPr id="53" name="Picture 52">
          <a:hlinkClick xmlns:r="http://schemas.openxmlformats.org/officeDocument/2006/relationships" r:id="rId5"/>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78456" y="123825"/>
          <a:ext cx="1250873" cy="971550"/>
        </a:xfrm>
        <a:prstGeom prst="rect">
          <a:avLst/>
        </a:prstGeom>
      </xdr:spPr>
    </xdr:pic>
    <xdr:clientData/>
  </xdr:twoCellAnchor>
  <xdr:twoCellAnchor editAs="oneCell">
    <xdr:from>
      <xdr:col>23</xdr:col>
      <xdr:colOff>514350</xdr:colOff>
      <xdr:row>0</xdr:row>
      <xdr:rowOff>117830</xdr:rowOff>
    </xdr:from>
    <xdr:to>
      <xdr:col>25</xdr:col>
      <xdr:colOff>542193</xdr:colOff>
      <xdr:row>3</xdr:row>
      <xdr:rowOff>130483</xdr:rowOff>
    </xdr:to>
    <xdr:pic macro="[0]!OpenLM27403ProductFolder">
      <xdr:nvPicPr>
        <xdr:cNvPr id="54" name="Picture 53">
          <a:hlinkClick xmlns:r="http://schemas.openxmlformats.org/officeDocument/2006/relationships" r:id="rId7"/>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787446" y="117830"/>
          <a:ext cx="1244112" cy="97028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22860</xdr:colOff>
          <xdr:row>11</xdr:row>
          <xdr:rowOff>0</xdr:rowOff>
        </xdr:from>
        <xdr:to>
          <xdr:col>12</xdr:col>
          <xdr:colOff>68580</xdr:colOff>
          <xdr:row>12</xdr:row>
          <xdr:rowOff>22860</xdr:rowOff>
        </xdr:to>
        <xdr:sp macro="" textlink="">
          <xdr:nvSpPr>
            <xdr:cNvPr id="697343" name="Drop Down 3071" hidden="1">
              <a:extLst>
                <a:ext uri="{63B3BB69-23CF-44E3-9099-C40C66FF867C}">
                  <a14:compatExt spid="_x0000_s697343"/>
                </a:ext>
                <a:ext uri="{FF2B5EF4-FFF2-40B4-BE49-F238E27FC236}">
                  <a16:creationId xmlns:a16="http://schemas.microsoft.com/office/drawing/2014/main" id="{00000000-0008-0000-0000-0000FFA3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18</xdr:col>
      <xdr:colOff>255337</xdr:colOff>
      <xdr:row>15</xdr:row>
      <xdr:rowOff>51681</xdr:rowOff>
    </xdr:from>
    <xdr:to>
      <xdr:col>18</xdr:col>
      <xdr:colOff>638538</xdr:colOff>
      <xdr:row>16</xdr:row>
      <xdr:rowOff>43409</xdr:rowOff>
    </xdr:to>
    <xdr:sp macro="" textlink="">
      <xdr:nvSpPr>
        <xdr:cNvPr id="57" name="Text Box 244">
          <a:extLst>
            <a:ext uri="{FF2B5EF4-FFF2-40B4-BE49-F238E27FC236}">
              <a16:creationId xmlns:a16="http://schemas.microsoft.com/office/drawing/2014/main" id="{00000000-0008-0000-0000-000039000000}"/>
            </a:ext>
          </a:extLst>
        </xdr:cNvPr>
        <xdr:cNvSpPr txBox="1">
          <a:spLocks noChangeArrowheads="1"/>
        </xdr:cNvSpPr>
      </xdr:nvSpPr>
      <xdr:spPr bwMode="auto">
        <a:xfrm>
          <a:off x="11983787" y="3404481"/>
          <a:ext cx="383201" cy="201278"/>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FB</a:t>
          </a:r>
        </a:p>
      </xdr:txBody>
    </xdr:sp>
    <xdr:clientData/>
  </xdr:twoCellAnchor>
  <xdr:twoCellAnchor>
    <xdr:from>
      <xdr:col>19</xdr:col>
      <xdr:colOff>84163</xdr:colOff>
      <xdr:row>19</xdr:row>
      <xdr:rowOff>709</xdr:rowOff>
    </xdr:from>
    <xdr:to>
      <xdr:col>19</xdr:col>
      <xdr:colOff>480856</xdr:colOff>
      <xdr:row>20</xdr:row>
      <xdr:rowOff>34066</xdr:rowOff>
    </xdr:to>
    <xdr:sp macro="" textlink="">
      <xdr:nvSpPr>
        <xdr:cNvPr id="58" name="Text Box 244">
          <a:extLst>
            <a:ext uri="{FF2B5EF4-FFF2-40B4-BE49-F238E27FC236}">
              <a16:creationId xmlns:a16="http://schemas.microsoft.com/office/drawing/2014/main" id="{00000000-0008-0000-0000-00003A000000}"/>
            </a:ext>
          </a:extLst>
        </xdr:cNvPr>
        <xdr:cNvSpPr txBox="1">
          <a:spLocks noChangeArrowheads="1"/>
        </xdr:cNvSpPr>
      </xdr:nvSpPr>
      <xdr:spPr bwMode="auto">
        <a:xfrm>
          <a:off x="12511113" y="4153609"/>
          <a:ext cx="396693" cy="230207"/>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SET</a:t>
          </a:r>
        </a:p>
      </xdr:txBody>
    </xdr:sp>
    <xdr:clientData/>
  </xdr:twoCellAnchor>
  <xdr:twoCellAnchor>
    <xdr:from>
      <xdr:col>17</xdr:col>
      <xdr:colOff>574837</xdr:colOff>
      <xdr:row>9</xdr:row>
      <xdr:rowOff>94900</xdr:rowOff>
    </xdr:from>
    <xdr:to>
      <xdr:col>18</xdr:col>
      <xdr:colOff>363264</xdr:colOff>
      <xdr:row>10</xdr:row>
      <xdr:rowOff>155248</xdr:rowOff>
    </xdr:to>
    <xdr:sp macro="" textlink="">
      <xdr:nvSpPr>
        <xdr:cNvPr id="60" name="Text Box 235">
          <a:extLst>
            <a:ext uri="{FF2B5EF4-FFF2-40B4-BE49-F238E27FC236}">
              <a16:creationId xmlns:a16="http://schemas.microsoft.com/office/drawing/2014/main" id="{00000000-0008-0000-0000-00003C000000}"/>
            </a:ext>
          </a:extLst>
        </xdr:cNvPr>
        <xdr:cNvSpPr txBox="1">
          <a:spLocks noChangeArrowheads="1"/>
        </xdr:cNvSpPr>
      </xdr:nvSpPr>
      <xdr:spPr bwMode="auto">
        <a:xfrm>
          <a:off x="11085182" y="2256090"/>
          <a:ext cx="465030" cy="257417"/>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CLAMP</a:t>
          </a:r>
        </a:p>
      </xdr:txBody>
    </xdr:sp>
    <xdr:clientData/>
  </xdr:twoCellAnchor>
  <xdr:twoCellAnchor>
    <xdr:from>
      <xdr:col>18</xdr:col>
      <xdr:colOff>97292</xdr:colOff>
      <xdr:row>11</xdr:row>
      <xdr:rowOff>173452</xdr:rowOff>
    </xdr:from>
    <xdr:to>
      <xdr:col>18</xdr:col>
      <xdr:colOff>362964</xdr:colOff>
      <xdr:row>14</xdr:row>
      <xdr:rowOff>29855</xdr:rowOff>
    </xdr:to>
    <xdr:sp macro="" textlink="">
      <xdr:nvSpPr>
        <xdr:cNvPr id="61" name="Text Box 235">
          <a:extLst>
            <a:ext uri="{FF2B5EF4-FFF2-40B4-BE49-F238E27FC236}">
              <a16:creationId xmlns:a16="http://schemas.microsoft.com/office/drawing/2014/main" id="{00000000-0008-0000-0000-00003D000000}"/>
            </a:ext>
          </a:extLst>
        </xdr:cNvPr>
        <xdr:cNvSpPr txBox="1">
          <a:spLocks noChangeArrowheads="1"/>
        </xdr:cNvSpPr>
      </xdr:nvSpPr>
      <xdr:spPr bwMode="auto">
        <a:xfrm>
          <a:off x="11832092" y="2764252"/>
          <a:ext cx="265672" cy="456478"/>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F</a:t>
          </a:r>
        </a:p>
      </xdr:txBody>
    </xdr:sp>
    <xdr:clientData/>
  </xdr:twoCellAnchor>
  <mc:AlternateContent xmlns:mc="http://schemas.openxmlformats.org/markup-compatibility/2006">
    <mc:Choice xmlns:a14="http://schemas.microsoft.com/office/drawing/2010/main" Requires="a14">
      <xdr:twoCellAnchor editAs="oneCell">
        <xdr:from>
          <xdr:col>4</xdr:col>
          <xdr:colOff>0</xdr:colOff>
          <xdr:row>31</xdr:row>
          <xdr:rowOff>22860</xdr:rowOff>
        </xdr:from>
        <xdr:to>
          <xdr:col>5</xdr:col>
          <xdr:colOff>266700</xdr:colOff>
          <xdr:row>32</xdr:row>
          <xdr:rowOff>22860</xdr:rowOff>
        </xdr:to>
        <xdr:sp macro="" textlink="">
          <xdr:nvSpPr>
            <xdr:cNvPr id="714798" name="Drop Down 3118" hidden="1">
              <a:extLst>
                <a:ext uri="{63B3BB69-23CF-44E3-9099-C40C66FF867C}">
                  <a14:compatExt spid="_x0000_s714798"/>
                </a:ext>
                <a:ext uri="{FF2B5EF4-FFF2-40B4-BE49-F238E27FC236}">
                  <a16:creationId xmlns:a16="http://schemas.microsoft.com/office/drawing/2014/main" id="{00000000-0008-0000-0000-00002EE8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18</xdr:col>
      <xdr:colOff>286651</xdr:colOff>
      <xdr:row>7</xdr:row>
      <xdr:rowOff>46711</xdr:rowOff>
    </xdr:from>
    <xdr:to>
      <xdr:col>20</xdr:col>
      <xdr:colOff>3517</xdr:colOff>
      <xdr:row>8</xdr:row>
      <xdr:rowOff>85952</xdr:rowOff>
    </xdr:to>
    <xdr:sp macro="" textlink="'Variable Mgmt'!B209">
      <xdr:nvSpPr>
        <xdr:cNvPr id="62" name="Text Box 265">
          <a:extLst>
            <a:ext uri="{FF2B5EF4-FFF2-40B4-BE49-F238E27FC236}">
              <a16:creationId xmlns:a16="http://schemas.microsoft.com/office/drawing/2014/main" id="{00000000-0008-0000-0000-00003E000000}"/>
            </a:ext>
          </a:extLst>
        </xdr:cNvPr>
        <xdr:cNvSpPr txBox="1">
          <a:spLocks noChangeArrowheads="1" noTextEdit="1"/>
        </xdr:cNvSpPr>
      </xdr:nvSpPr>
      <xdr:spPr bwMode="auto">
        <a:xfrm>
          <a:off x="12025868" y="1824711"/>
          <a:ext cx="1058649" cy="238024"/>
        </a:xfrm>
        <a:prstGeom prst="rect">
          <a:avLst/>
        </a:prstGeom>
        <a:noFill/>
        <a:ln w="9525">
          <a:noFill/>
          <a:miter lim="800000"/>
          <a:headEnd/>
          <a:tailEnd/>
        </a:ln>
      </xdr:spPr>
      <xdr:txBody>
        <a:bodyPr vertOverflow="clip" wrap="square" lIns="27432" tIns="22860" rIns="0" bIns="0" anchor="t" upright="1"/>
        <a:lstStyle/>
        <a:p>
          <a:pPr algn="ctr" rtl="0">
            <a:defRPr sz="1000"/>
          </a:pPr>
          <a:fld id="{4DF3E085-FEDD-406F-9003-D894075812A3}" type="TxLink">
            <a:rPr lang="en-US" sz="800" b="0" i="0" u="none" strike="noStrike" baseline="0">
              <a:solidFill>
                <a:srgbClr val="000000"/>
              </a:solidFill>
              <a:latin typeface="Arial"/>
              <a:cs typeface="Arial"/>
            </a:rPr>
            <a:pPr algn="ctr" rtl="0">
              <a:defRPr sz="1000"/>
            </a:pPr>
            <a:t>1 : 1</a:t>
          </a:fld>
          <a:endParaRPr lang="el-GR" sz="1050" b="0" i="0" u="none" strike="noStrike" baseline="0">
            <a:solidFill>
              <a:srgbClr val="000000"/>
            </a:solidFill>
            <a:latin typeface="Arial" pitchFamily="34" charset="0"/>
            <a:cs typeface="Arial" pitchFamily="34" charset="0"/>
          </a:endParaRPr>
        </a:p>
      </xdr:txBody>
    </xdr:sp>
    <xdr:clientData/>
  </xdr:twoCellAnchor>
  <xdr:twoCellAnchor>
    <xdr:from>
      <xdr:col>25</xdr:col>
      <xdr:colOff>571500</xdr:colOff>
      <xdr:row>28</xdr:row>
      <xdr:rowOff>113959</xdr:rowOff>
    </xdr:from>
    <xdr:to>
      <xdr:col>25</xdr:col>
      <xdr:colOff>1049263</xdr:colOff>
      <xdr:row>30</xdr:row>
      <xdr:rowOff>12359</xdr:rowOff>
    </xdr:to>
    <xdr:sp macro="" textlink="'Variable Mgmt'!$B$262">
      <xdr:nvSpPr>
        <xdr:cNvPr id="56" name="Text Box 24">
          <a:extLst>
            <a:ext uri="{FF2B5EF4-FFF2-40B4-BE49-F238E27FC236}">
              <a16:creationId xmlns:a16="http://schemas.microsoft.com/office/drawing/2014/main" id="{00000000-0008-0000-0000-000038000000}"/>
            </a:ext>
          </a:extLst>
        </xdr:cNvPr>
        <xdr:cNvSpPr txBox="1">
          <a:spLocks noChangeArrowheads="1" noTextEdit="1"/>
        </xdr:cNvSpPr>
      </xdr:nvSpPr>
      <xdr:spPr bwMode="auto">
        <a:xfrm>
          <a:off x="16078200" y="5962309"/>
          <a:ext cx="477763" cy="279400"/>
        </a:xfrm>
        <a:prstGeom prst="rect">
          <a:avLst/>
        </a:prstGeom>
        <a:noFill/>
        <a:ln w="9525">
          <a:noFill/>
          <a:miter lim="800000"/>
          <a:headEnd/>
          <a:tailEnd/>
        </a:ln>
      </xdr:spPr>
      <xdr:txBody>
        <a:bodyPr wrap="square" lIns="27432" tIns="22860" rIns="0"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fld id="{1F0AFB1C-0795-4024-9821-D34D86340D40}" type="TxLink">
            <a:rPr lang="en-US" sz="1000" b="0" i="0" u="none" strike="noStrike" baseline="0">
              <a:solidFill>
                <a:srgbClr val="000000"/>
              </a:solidFill>
              <a:latin typeface="Arial"/>
              <a:cs typeface="Arial"/>
            </a:rPr>
            <a:pPr algn="l" rtl="0">
              <a:defRPr sz="1000"/>
            </a:pPr>
            <a:t>88.1%</a:t>
          </a:fld>
          <a:endParaRPr lang="en-US" sz="1000" b="1" i="0" u="none" strike="noStrike" baseline="0">
            <a:solidFill>
              <a:srgbClr val="000000"/>
            </a:solidFill>
            <a:latin typeface="Arial" pitchFamily="34" charset="0"/>
            <a:cs typeface="Arial" pitchFamily="34" charset="0"/>
          </a:endParaRPr>
        </a:p>
      </xdr:txBody>
    </xdr:sp>
    <xdr:clientData/>
  </xdr:twoCellAnchor>
  <xdr:twoCellAnchor>
    <xdr:from>
      <xdr:col>23</xdr:col>
      <xdr:colOff>209063</xdr:colOff>
      <xdr:row>12</xdr:row>
      <xdr:rowOff>173377</xdr:rowOff>
    </xdr:from>
    <xdr:to>
      <xdr:col>24</xdr:col>
      <xdr:colOff>264496</xdr:colOff>
      <xdr:row>14</xdr:row>
      <xdr:rowOff>97354</xdr:rowOff>
    </xdr:to>
    <xdr:sp macro="" textlink="'Variable Mgmt'!B217">
      <xdr:nvSpPr>
        <xdr:cNvPr id="42" name="Text Box 285">
          <a:extLst>
            <a:ext uri="{FF2B5EF4-FFF2-40B4-BE49-F238E27FC236}">
              <a16:creationId xmlns:a16="http://schemas.microsoft.com/office/drawing/2014/main" id="{00000000-0008-0000-0000-00002A000000}"/>
            </a:ext>
          </a:extLst>
        </xdr:cNvPr>
        <xdr:cNvSpPr txBox="1">
          <a:spLocks noChangeArrowheads="1" noTextEdit="1"/>
        </xdr:cNvSpPr>
      </xdr:nvSpPr>
      <xdr:spPr bwMode="auto">
        <a:xfrm>
          <a:off x="15202534" y="2974848"/>
          <a:ext cx="694168" cy="327388"/>
        </a:xfrm>
        <a:prstGeom prst="rect">
          <a:avLst/>
        </a:prstGeom>
        <a:noFill/>
        <a:ln w="9525">
          <a:noFill/>
          <a:miter lim="800000"/>
          <a:headEnd/>
          <a:tailEnd/>
        </a:ln>
      </xdr:spPr>
      <xdr:txBody>
        <a:bodyPr vertOverflow="clip" wrap="square" lIns="27432" tIns="22860" rIns="0" bIns="0" anchor="ctr" upright="1"/>
        <a:lstStyle/>
        <a:p>
          <a:pPr algn="l" rtl="0">
            <a:defRPr sz="1000"/>
          </a:pPr>
          <a:fld id="{1EB32AF4-7354-4114-B6DF-5AD8FEB0166D}" type="TxLink">
            <a:rPr lang="en-US" sz="1350" b="1" i="0" u="none" strike="noStrike" baseline="0">
              <a:solidFill>
                <a:srgbClr val="FF0000"/>
              </a:solidFill>
              <a:latin typeface="Arial"/>
              <a:cs typeface="Arial"/>
            </a:rPr>
            <a:pPr algn="l" rtl="0">
              <a:defRPr sz="1000"/>
            </a:pPr>
            <a:t> </a:t>
          </a:fld>
          <a:endParaRPr lang="en-US" sz="1350" b="1" i="0" u="none" strike="noStrike" baseline="0">
            <a:solidFill>
              <a:srgbClr val="FF0000"/>
            </a:solidFill>
            <a:latin typeface="Arial" pitchFamily="34" charset="0"/>
            <a:cs typeface="Arial" pitchFamily="34" charset="0"/>
          </a:endParaRPr>
        </a:p>
      </xdr:txBody>
    </xdr:sp>
    <xdr:clientData/>
  </xdr:twoCellAnchor>
  <xdr:twoCellAnchor>
    <xdr:from>
      <xdr:col>23</xdr:col>
      <xdr:colOff>73152</xdr:colOff>
      <xdr:row>13</xdr:row>
      <xdr:rowOff>190612</xdr:rowOff>
    </xdr:from>
    <xdr:to>
      <xdr:col>23</xdr:col>
      <xdr:colOff>639803</xdr:colOff>
      <xdr:row>15</xdr:row>
      <xdr:rowOff>52827</xdr:rowOff>
    </xdr:to>
    <xdr:sp macro="" textlink="'Variable Mgmt'!B272">
      <xdr:nvSpPr>
        <xdr:cNvPr id="46" name="Text Box 286">
          <a:extLst>
            <a:ext uri="{FF2B5EF4-FFF2-40B4-BE49-F238E27FC236}">
              <a16:creationId xmlns:a16="http://schemas.microsoft.com/office/drawing/2014/main" id="{00000000-0008-0000-0000-00002E000000}"/>
            </a:ext>
          </a:extLst>
        </xdr:cNvPr>
        <xdr:cNvSpPr txBox="1">
          <a:spLocks noChangeArrowheads="1" noTextEdit="1"/>
        </xdr:cNvSpPr>
      </xdr:nvSpPr>
      <xdr:spPr bwMode="auto">
        <a:xfrm>
          <a:off x="15074093" y="3134024"/>
          <a:ext cx="566651" cy="250685"/>
        </a:xfrm>
        <a:prstGeom prst="rect">
          <a:avLst/>
        </a:prstGeom>
        <a:noFill/>
        <a:ln w="9525">
          <a:noFill/>
          <a:miter lim="800000"/>
          <a:headEnd/>
          <a:tailEnd/>
        </a:ln>
      </xdr:spPr>
      <xdr:txBody>
        <a:bodyPr vertOverflow="clip" wrap="square" lIns="27432" tIns="22860" rIns="0" bIns="0" anchor="ctr" upright="1"/>
        <a:lstStyle/>
        <a:p>
          <a:pPr algn="ctr" rtl="0">
            <a:defRPr sz="1000"/>
          </a:pPr>
          <a:fld id="{F430775D-5566-4B2B-9D86-4FABD1E02F13}" type="TxLink">
            <a:rPr lang="en-US" sz="1050" b="1" i="0" u="none" strike="noStrike">
              <a:solidFill>
                <a:srgbClr val="FF0000"/>
              </a:solidFill>
              <a:latin typeface="Arial"/>
              <a:cs typeface="Arial"/>
            </a:rPr>
            <a:pPr algn="ctr" rtl="0">
              <a:defRPr sz="1000"/>
            </a:pPr>
            <a:t> </a:t>
          </a:fld>
          <a:endParaRPr lang="en-US" sz="1050" b="1" i="0" strike="noStrike">
            <a:solidFill>
              <a:srgbClr val="FF0000"/>
            </a:solidFill>
            <a:latin typeface="Arial" pitchFamily="34" charset="0"/>
            <a:cs typeface="Arial" pitchFamily="34" charset="0"/>
          </a:endParaRPr>
        </a:p>
      </xdr:txBody>
    </xdr:sp>
    <xdr:clientData/>
  </xdr:twoCellAnchor>
  <xdr:twoCellAnchor>
    <xdr:from>
      <xdr:col>23</xdr:col>
      <xdr:colOff>168935</xdr:colOff>
      <xdr:row>16</xdr:row>
      <xdr:rowOff>85406</xdr:rowOff>
    </xdr:from>
    <xdr:to>
      <xdr:col>24</xdr:col>
      <xdr:colOff>218017</xdr:colOff>
      <xdr:row>18</xdr:row>
      <xdr:rowOff>27349</xdr:rowOff>
    </xdr:to>
    <xdr:sp macro="" textlink="'Variable Mgmt'!B218">
      <xdr:nvSpPr>
        <xdr:cNvPr id="47" name="Text Box 285">
          <a:extLst>
            <a:ext uri="{FF2B5EF4-FFF2-40B4-BE49-F238E27FC236}">
              <a16:creationId xmlns:a16="http://schemas.microsoft.com/office/drawing/2014/main" id="{00000000-0008-0000-0000-00002F000000}"/>
            </a:ext>
          </a:extLst>
        </xdr:cNvPr>
        <xdr:cNvSpPr txBox="1">
          <a:spLocks noChangeArrowheads="1" noTextEdit="1"/>
        </xdr:cNvSpPr>
      </xdr:nvSpPr>
      <xdr:spPr bwMode="auto">
        <a:xfrm>
          <a:off x="15162406" y="3704906"/>
          <a:ext cx="687817" cy="345355"/>
        </a:xfrm>
        <a:prstGeom prst="rect">
          <a:avLst/>
        </a:prstGeom>
        <a:noFill/>
        <a:ln w="9525">
          <a:noFill/>
          <a:miter lim="800000"/>
          <a:headEnd/>
          <a:tailEnd/>
        </a:ln>
      </xdr:spPr>
      <xdr:txBody>
        <a:bodyPr vertOverflow="clip" wrap="square" lIns="27432" tIns="22860" rIns="0" bIns="0" anchor="ctr" upright="1"/>
        <a:lstStyle/>
        <a:p>
          <a:pPr algn="l" rtl="0">
            <a:defRPr sz="1000"/>
          </a:pPr>
          <a:fld id="{6CC6AC32-C574-4CE6-AE26-39476DAD0777}" type="TxLink">
            <a:rPr lang="en-US" sz="1400" b="1" i="0" u="none" strike="noStrike" baseline="0">
              <a:solidFill>
                <a:srgbClr val="FF0000"/>
              </a:solidFill>
              <a:latin typeface="Arial"/>
              <a:cs typeface="Arial"/>
            </a:rPr>
            <a:pPr algn="l" rtl="0">
              <a:defRPr sz="1000"/>
            </a:pPr>
            <a:t> </a:t>
          </a:fld>
          <a:endParaRPr lang="en-US" sz="1400" b="1" i="0" u="none" strike="noStrike" baseline="0">
            <a:solidFill>
              <a:srgbClr val="FF0000"/>
            </a:solidFill>
            <a:latin typeface="Arial" pitchFamily="34" charset="0"/>
            <a:cs typeface="Arial" pitchFamily="34" charset="0"/>
          </a:endParaRPr>
        </a:p>
      </xdr:txBody>
    </xdr:sp>
    <xdr:clientData/>
  </xdr:twoCellAnchor>
  <xdr:twoCellAnchor>
    <xdr:from>
      <xdr:col>22</xdr:col>
      <xdr:colOff>608886</xdr:colOff>
      <xdr:row>17</xdr:row>
      <xdr:rowOff>114257</xdr:rowOff>
    </xdr:from>
    <xdr:to>
      <xdr:col>24</xdr:col>
      <xdr:colOff>75357</xdr:colOff>
      <xdr:row>19</xdr:row>
      <xdr:rowOff>16128</xdr:rowOff>
    </xdr:to>
    <xdr:sp macro="" textlink="'Variable Mgmt'!B273">
      <xdr:nvSpPr>
        <xdr:cNvPr id="51" name="Text Box 286">
          <a:extLst>
            <a:ext uri="{FF2B5EF4-FFF2-40B4-BE49-F238E27FC236}">
              <a16:creationId xmlns:a16="http://schemas.microsoft.com/office/drawing/2014/main" id="{00000000-0008-0000-0000-000033000000}"/>
            </a:ext>
          </a:extLst>
        </xdr:cNvPr>
        <xdr:cNvSpPr txBox="1">
          <a:spLocks noChangeArrowheads="1" noTextEdit="1"/>
        </xdr:cNvSpPr>
      </xdr:nvSpPr>
      <xdr:spPr bwMode="auto">
        <a:xfrm>
          <a:off x="14963621" y="3935463"/>
          <a:ext cx="743942" cy="305283"/>
        </a:xfrm>
        <a:prstGeom prst="rect">
          <a:avLst/>
        </a:prstGeom>
        <a:noFill/>
        <a:ln w="9525">
          <a:noFill/>
          <a:miter lim="800000"/>
          <a:headEnd/>
          <a:tailEnd/>
        </a:ln>
      </xdr:spPr>
      <xdr:txBody>
        <a:bodyPr vertOverflow="clip" wrap="square" lIns="27432" tIns="22860" rIns="0" bIns="0" anchor="ctr" upright="1"/>
        <a:lstStyle/>
        <a:p>
          <a:pPr algn="ctr" rtl="0">
            <a:defRPr sz="1000"/>
          </a:pPr>
          <a:fld id="{21AE0BE5-7426-43AE-A5A8-768A4DEE6C58}" type="TxLink">
            <a:rPr lang="en-US" sz="1000" b="1" i="0" u="none" strike="noStrike">
              <a:solidFill>
                <a:srgbClr val="FF0000"/>
              </a:solidFill>
              <a:latin typeface="Arial"/>
              <a:cs typeface="Arial"/>
            </a:rPr>
            <a:pPr algn="ctr" rtl="0">
              <a:defRPr sz="1000"/>
            </a:pPr>
            <a:t> </a:t>
          </a:fld>
          <a:endParaRPr lang="en-US" sz="1000" b="1" i="0" strike="noStrike">
            <a:solidFill>
              <a:srgbClr val="FF0000"/>
            </a:solidFill>
            <a:latin typeface="Arial" pitchFamily="34" charset="0"/>
            <a:cs typeface="Arial" pitchFamily="34" charset="0"/>
          </a:endParaRPr>
        </a:p>
      </xdr:txBody>
    </xdr:sp>
    <xdr:clientData/>
  </xdr:twoCellAnchor>
  <xdr:twoCellAnchor>
    <xdr:from>
      <xdr:col>21</xdr:col>
      <xdr:colOff>333361</xdr:colOff>
      <xdr:row>15</xdr:row>
      <xdr:rowOff>74265</xdr:rowOff>
    </xdr:from>
    <xdr:to>
      <xdr:col>22</xdr:col>
      <xdr:colOff>218789</xdr:colOff>
      <xdr:row>16</xdr:row>
      <xdr:rowOff>2497</xdr:rowOff>
    </xdr:to>
    <xdr:sp macro="" textlink="'Variable Mgmt'!D221">
      <xdr:nvSpPr>
        <xdr:cNvPr id="55" name="Text Box 267">
          <a:extLst>
            <a:ext uri="{FF2B5EF4-FFF2-40B4-BE49-F238E27FC236}">
              <a16:creationId xmlns:a16="http://schemas.microsoft.com/office/drawing/2014/main" id="{00000000-0008-0000-0000-000037000000}"/>
            </a:ext>
          </a:extLst>
        </xdr:cNvPr>
        <xdr:cNvSpPr txBox="1">
          <a:spLocks noChangeArrowheads="1" noTextEdit="1"/>
        </xdr:cNvSpPr>
      </xdr:nvSpPr>
      <xdr:spPr bwMode="auto">
        <a:xfrm>
          <a:off x="14039836" y="3465165"/>
          <a:ext cx="523603" cy="137782"/>
        </a:xfrm>
        <a:prstGeom prst="rect">
          <a:avLst/>
        </a:prstGeom>
        <a:noFill/>
        <a:ln w="9525">
          <a:noFill/>
          <a:miter lim="800000"/>
          <a:headEnd/>
          <a:tailEnd/>
        </a:ln>
      </xdr:spPr>
      <xdr:txBody>
        <a:bodyPr vertOverflow="clip" wrap="square" lIns="27432" tIns="22860" rIns="0" bIns="0" anchor="ctr" upright="1"/>
        <a:lstStyle/>
        <a:p>
          <a:pPr algn="l" rtl="0">
            <a:defRPr sz="1000"/>
          </a:pPr>
          <a:fld id="{2B13305E-FBF9-43A5-B29E-67B7B248F534}" type="TxLink">
            <a:rPr lang="en-US" sz="800" b="0" i="0" u="none" strike="noStrike" baseline="0">
              <a:solidFill>
                <a:srgbClr val="000000"/>
              </a:solidFill>
              <a:latin typeface="Arial"/>
              <a:cs typeface="Arial"/>
            </a:rPr>
            <a:pPr algn="l" rtl="0">
              <a:defRPr sz="1000"/>
            </a:pPr>
            <a:t> </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21</xdr:col>
      <xdr:colOff>314755</xdr:colOff>
      <xdr:row>17</xdr:row>
      <xdr:rowOff>180746</xdr:rowOff>
    </xdr:from>
    <xdr:to>
      <xdr:col>22</xdr:col>
      <xdr:colOff>198234</xdr:colOff>
      <xdr:row>18</xdr:row>
      <xdr:rowOff>163887</xdr:rowOff>
    </xdr:to>
    <xdr:sp macro="" textlink="'Variable Mgmt'!C221">
      <xdr:nvSpPr>
        <xdr:cNvPr id="67" name="Text Box 267">
          <a:extLst>
            <a:ext uri="{FF2B5EF4-FFF2-40B4-BE49-F238E27FC236}">
              <a16:creationId xmlns:a16="http://schemas.microsoft.com/office/drawing/2014/main" id="{00000000-0008-0000-0000-000043000000}"/>
            </a:ext>
          </a:extLst>
        </xdr:cNvPr>
        <xdr:cNvSpPr txBox="1">
          <a:spLocks noChangeArrowheads="1" noTextEdit="1"/>
        </xdr:cNvSpPr>
      </xdr:nvSpPr>
      <xdr:spPr bwMode="auto">
        <a:xfrm>
          <a:off x="14024405" y="3939946"/>
          <a:ext cx="524829" cy="179991"/>
        </a:xfrm>
        <a:prstGeom prst="rect">
          <a:avLst/>
        </a:prstGeom>
        <a:noFill/>
        <a:ln w="9525">
          <a:noFill/>
          <a:miter lim="800000"/>
          <a:headEnd/>
          <a:tailEnd/>
        </a:ln>
      </xdr:spPr>
      <xdr:txBody>
        <a:bodyPr vertOverflow="clip" wrap="square" lIns="27432" tIns="22860" rIns="0" bIns="0" anchor="ctr" upright="1"/>
        <a:lstStyle/>
        <a:p>
          <a:pPr algn="l" rtl="0">
            <a:defRPr sz="1000"/>
          </a:pPr>
          <a:fld id="{EB8BEA1C-AFA8-40F4-BE4F-A41F4D085390}" type="TxLink">
            <a:rPr lang="en-US" sz="800" b="0" i="0" u="none" strike="noStrike" baseline="0">
              <a:solidFill>
                <a:srgbClr val="000000"/>
              </a:solidFill>
              <a:latin typeface="Arial"/>
              <a:cs typeface="Arial"/>
            </a:rPr>
            <a:pPr algn="l" rtl="0">
              <a:defRPr sz="1000"/>
            </a:pPr>
            <a:t> </a:t>
          </a:fld>
          <a:endParaRPr lang="en-US" sz="1000" b="0" i="0" u="none" strike="noStrike" baseline="0">
            <a:solidFill>
              <a:srgbClr val="000000"/>
            </a:solidFill>
            <a:latin typeface="Arial" pitchFamily="34" charset="0"/>
            <a:cs typeface="Arial" pitchFamily="34" charset="0"/>
          </a:endParaRPr>
        </a:p>
      </xdr:txBody>
    </xdr:sp>
    <xdr:clientData/>
  </xdr:twoCellAnchor>
  <xdr:twoCellAnchor>
    <xdr:from>
      <xdr:col>18</xdr:col>
      <xdr:colOff>501419</xdr:colOff>
      <xdr:row>7</xdr:row>
      <xdr:rowOff>191064</xdr:rowOff>
    </xdr:from>
    <xdr:to>
      <xdr:col>19</xdr:col>
      <xdr:colOff>153148</xdr:colOff>
      <xdr:row>9</xdr:row>
      <xdr:rowOff>38222</xdr:rowOff>
    </xdr:to>
    <xdr:sp macro="" textlink="">
      <xdr:nvSpPr>
        <xdr:cNvPr id="52" name="Text Box 244">
          <a:extLst>
            <a:ext uri="{FF2B5EF4-FFF2-40B4-BE49-F238E27FC236}">
              <a16:creationId xmlns:a16="http://schemas.microsoft.com/office/drawing/2014/main" id="{00000000-0008-0000-0000-000034000000}"/>
            </a:ext>
          </a:extLst>
        </xdr:cNvPr>
        <xdr:cNvSpPr txBox="1">
          <a:spLocks noChangeArrowheads="1"/>
        </xdr:cNvSpPr>
      </xdr:nvSpPr>
      <xdr:spPr bwMode="auto">
        <a:xfrm>
          <a:off x="12240636" y="1969064"/>
          <a:ext cx="352990" cy="244723"/>
        </a:xfrm>
        <a:prstGeom prst="rect">
          <a:avLst/>
        </a:prstGeom>
        <a:noFill/>
        <a:ln w="9525">
          <a:noFill/>
          <a:miter lim="800000"/>
          <a:headEnd/>
          <a:tailEnd/>
        </a:ln>
      </xdr:spPr>
      <xdr:txBody>
        <a:bodyPr vertOverflow="clip" wrap="square" lIns="27432" tIns="27432" rIns="0" bIns="0" anchor="t" upright="1"/>
        <a:lstStyle/>
        <a:p>
          <a:pPr algn="ctr" rtl="0">
            <a:defRPr sz="1000"/>
          </a:pPr>
          <a:r>
            <a:rPr lang="en-US" sz="1100" b="0" i="0" strike="noStrike">
              <a:solidFill>
                <a:srgbClr val="000000"/>
              </a:solidFill>
              <a:latin typeface="Arial" pitchFamily="34" charset="0"/>
              <a:cs typeface="Arial" pitchFamily="34" charset="0"/>
            </a:rPr>
            <a:t>T</a:t>
          </a:r>
          <a:r>
            <a:rPr lang="en-US" sz="1100" b="0" i="0" strike="noStrike" baseline="-25000">
              <a:solidFill>
                <a:srgbClr val="000000"/>
              </a:solidFill>
              <a:latin typeface="Arial" pitchFamily="34" charset="0"/>
              <a:cs typeface="Arial" pitchFamily="34" charset="0"/>
            </a:rPr>
            <a:t>1</a:t>
          </a:r>
        </a:p>
      </xdr:txBody>
    </xdr:sp>
    <xdr:clientData/>
  </xdr:twoCellAnchor>
  <mc:AlternateContent xmlns:mc="http://schemas.openxmlformats.org/markup-compatibility/2006">
    <mc:Choice xmlns:a14="http://schemas.microsoft.com/office/drawing/2010/main" Requires="a14">
      <xdr:twoCellAnchor editAs="oneCell">
        <xdr:from>
          <xdr:col>4</xdr:col>
          <xdr:colOff>0</xdr:colOff>
          <xdr:row>7</xdr:row>
          <xdr:rowOff>190500</xdr:rowOff>
        </xdr:from>
        <xdr:to>
          <xdr:col>5</xdr:col>
          <xdr:colOff>76200</xdr:colOff>
          <xdr:row>8</xdr:row>
          <xdr:rowOff>190500</xdr:rowOff>
        </xdr:to>
        <xdr:sp macro="" textlink="">
          <xdr:nvSpPr>
            <xdr:cNvPr id="715085" name="Drop Down 3405" hidden="1">
              <a:extLst>
                <a:ext uri="{63B3BB69-23CF-44E3-9099-C40C66FF867C}">
                  <a14:compatExt spid="_x0000_s715085"/>
                </a:ext>
                <a:ext uri="{FF2B5EF4-FFF2-40B4-BE49-F238E27FC236}">
                  <a16:creationId xmlns:a16="http://schemas.microsoft.com/office/drawing/2014/main" id="{00000000-0008-0000-0000-00004DE9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179481</xdr:colOff>
          <xdr:row>25</xdr:row>
          <xdr:rowOff>240179</xdr:rowOff>
        </xdr:from>
        <xdr:to>
          <xdr:col>17</xdr:col>
          <xdr:colOff>216064</xdr:colOff>
          <xdr:row>46</xdr:row>
          <xdr:rowOff>103655</xdr:rowOff>
        </xdr:to>
        <xdr:pic>
          <xdr:nvPicPr>
            <xdr:cNvPr id="65" name="Picture 8888">
              <a:extLst>
                <a:ext uri="{FF2B5EF4-FFF2-40B4-BE49-F238E27FC236}">
                  <a16:creationId xmlns:a16="http://schemas.microsoft.com/office/drawing/2014/main" id="{00000000-0008-0000-0000-000041000000}"/>
                </a:ext>
              </a:extLst>
            </xdr:cNvPr>
            <xdr:cNvPicPr>
              <a:picLocks noChangeAspect="1" noChangeArrowheads="1"/>
              <a:extLst>
                <a:ext uri="{84589F7E-364E-4C9E-8A38-B11213B215E9}">
                  <a14:cameraTool cellRange="PICTURE2" spid="_x0000_s776783"/>
                </a:ext>
              </a:extLst>
            </xdr:cNvPicPr>
          </xdr:nvPicPr>
          <xdr:blipFill>
            <a:blip xmlns:r="http://schemas.openxmlformats.org/officeDocument/2006/relationships" r:embed="rId9"/>
            <a:srcRect/>
            <a:stretch>
              <a:fillRect/>
            </a:stretch>
          </xdr:blipFill>
          <xdr:spPr bwMode="auto">
            <a:xfrm>
              <a:off x="4221069" y="5521885"/>
              <a:ext cx="7014113" cy="4054476"/>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xdr:colOff>
          <xdr:row>4</xdr:row>
          <xdr:rowOff>22860</xdr:rowOff>
        </xdr:from>
        <xdr:to>
          <xdr:col>5</xdr:col>
          <xdr:colOff>403860</xdr:colOff>
          <xdr:row>5</xdr:row>
          <xdr:rowOff>1545</xdr:rowOff>
        </xdr:to>
        <xdr:sp macro="" textlink="">
          <xdr:nvSpPr>
            <xdr:cNvPr id="750660" name="Drop Down 5188" hidden="1">
              <a:extLst>
                <a:ext uri="{63B3BB69-23CF-44E3-9099-C40C66FF867C}">
                  <a14:compatExt spid="_x0000_s750660"/>
                </a:ext>
                <a:ext uri="{FF2B5EF4-FFF2-40B4-BE49-F238E27FC236}">
                  <a16:creationId xmlns:a16="http://schemas.microsoft.com/office/drawing/2014/main" id="{00000000-0008-0000-0000-000044740B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xdr:from>
      <xdr:col>16</xdr:col>
      <xdr:colOff>173154</xdr:colOff>
      <xdr:row>22</xdr:row>
      <xdr:rowOff>16361</xdr:rowOff>
    </xdr:from>
    <xdr:to>
      <xdr:col>17</xdr:col>
      <xdr:colOff>426831</xdr:colOff>
      <xdr:row>23</xdr:row>
      <xdr:rowOff>154091</xdr:rowOff>
    </xdr:to>
    <xdr:sp macro="" textlink="'Variable Mgmt'!$P$15">
      <xdr:nvSpPr>
        <xdr:cNvPr id="63" name="Text Box 24">
          <a:extLst>
            <a:ext uri="{FF2B5EF4-FFF2-40B4-BE49-F238E27FC236}">
              <a16:creationId xmlns:a16="http://schemas.microsoft.com/office/drawing/2014/main" id="{00000000-0008-0000-0000-00003F000000}"/>
            </a:ext>
          </a:extLst>
        </xdr:cNvPr>
        <xdr:cNvSpPr txBox="1">
          <a:spLocks noChangeArrowheads="1" noTextEdit="1"/>
        </xdr:cNvSpPr>
      </xdr:nvSpPr>
      <xdr:spPr bwMode="auto">
        <a:xfrm>
          <a:off x="10482566" y="4722832"/>
          <a:ext cx="963383" cy="346906"/>
        </a:xfrm>
        <a:prstGeom prst="rect">
          <a:avLst/>
        </a:prstGeom>
        <a:solidFill>
          <a:srgbClr val="D1FFFF"/>
        </a:solidFill>
        <a:ln w="9525">
          <a:noFill/>
          <a:miter lim="800000"/>
          <a:headEnd/>
          <a:tailEnd/>
        </a:ln>
      </xdr:spPr>
      <xdr:txBody>
        <a:bodyPr wrap="square" lIns="27432" tIns="22860" rIns="0"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fld id="{B1A5E21C-7C9A-4ABA-8141-466878755063}" type="TxLink">
            <a:rPr lang="en-US" sz="1200" b="1" i="0" u="none" strike="noStrike" baseline="0">
              <a:solidFill>
                <a:srgbClr val="FF0000"/>
              </a:solidFill>
              <a:latin typeface="Arial"/>
              <a:cs typeface="Arial"/>
            </a:rPr>
            <a:pPr algn="ctr" rtl="0">
              <a:defRPr sz="1000"/>
            </a:pPr>
            <a:t>LM5181</a:t>
          </a:fld>
          <a:endParaRPr lang="en-US" sz="1200" b="1" i="0" u="none" strike="noStrike" baseline="0">
            <a:solidFill>
              <a:srgbClr val="FF0000"/>
            </a:solidFill>
            <a:latin typeface="Arial" pitchFamily="34" charset="0"/>
            <a:cs typeface="Arial" pitchFamily="34" charset="0"/>
          </a:endParaRPr>
        </a:p>
      </xdr:txBody>
    </xdr:sp>
    <xdr:clientData/>
  </xdr:twoCellAnchor>
  <xdr:twoCellAnchor>
    <xdr:from>
      <xdr:col>17</xdr:col>
      <xdr:colOff>617264</xdr:colOff>
      <xdr:row>10</xdr:row>
      <xdr:rowOff>114738</xdr:rowOff>
    </xdr:from>
    <xdr:to>
      <xdr:col>18</xdr:col>
      <xdr:colOff>454443</xdr:colOff>
      <xdr:row>11</xdr:row>
      <xdr:rowOff>152300</xdr:rowOff>
    </xdr:to>
    <xdr:sp macro="" textlink="'BOM &amp; Schematic'!C38">
      <xdr:nvSpPr>
        <xdr:cNvPr id="64" name="Text Box 268">
          <a:extLst>
            <a:ext uri="{FF2B5EF4-FFF2-40B4-BE49-F238E27FC236}">
              <a16:creationId xmlns:a16="http://schemas.microsoft.com/office/drawing/2014/main" id="{00000000-0008-0000-0000-000040000000}"/>
            </a:ext>
          </a:extLst>
        </xdr:cNvPr>
        <xdr:cNvSpPr txBox="1">
          <a:spLocks noChangeArrowheads="1" noTextEdit="1"/>
        </xdr:cNvSpPr>
      </xdr:nvSpPr>
      <xdr:spPr bwMode="auto">
        <a:xfrm>
          <a:off x="11127609" y="2472997"/>
          <a:ext cx="513782" cy="234631"/>
        </a:xfrm>
        <a:prstGeom prst="rect">
          <a:avLst/>
        </a:prstGeom>
        <a:noFill/>
        <a:ln w="9525">
          <a:noFill/>
          <a:miter lim="800000"/>
          <a:headEnd/>
          <a:tailEnd/>
        </a:ln>
      </xdr:spPr>
      <xdr:txBody>
        <a:bodyPr vertOverflow="clip" wrap="square" lIns="27432" tIns="22860" rIns="0" bIns="0" anchor="ctr" upright="1"/>
        <a:lstStyle/>
        <a:p>
          <a:pPr algn="l" rtl="0">
            <a:defRPr sz="1000"/>
          </a:pPr>
          <a:fld id="{E4C9747B-67D5-4EBE-B017-70669C20092A}" type="TxLink">
            <a:rPr lang="en-US" sz="900" b="0" i="0" u="none" strike="noStrike">
              <a:solidFill>
                <a:srgbClr val="000000"/>
              </a:solidFill>
              <a:latin typeface="Arial"/>
              <a:cs typeface="Arial"/>
            </a:rPr>
            <a:pPr algn="l" rtl="0">
              <a:defRPr sz="1000"/>
            </a:pPr>
            <a:t>26V</a:t>
          </a:fld>
          <a:endParaRPr lang="el-GR" sz="700" b="0" i="0" strike="noStrike">
            <a:solidFill>
              <a:srgbClr val="000000"/>
            </a:solidFill>
            <a:latin typeface="Arial" pitchFamily="34" charset="0"/>
            <a:cs typeface="Arial" pitchFamily="34" charset="0"/>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0.16877</cdr:x>
      <cdr:y>0.12917</cdr:y>
    </cdr:from>
    <cdr:to>
      <cdr:x>0.23482</cdr:x>
      <cdr:y>0.16636</cdr:y>
    </cdr:to>
    <cdr:sp macro="" textlink="'Variable Mgmt'!$B$264">
      <cdr:nvSpPr>
        <cdr:cNvPr id="2" name="Text Box 24"/>
        <cdr:cNvSpPr txBox="1">
          <a:spLocks xmlns:a="http://schemas.openxmlformats.org/drawingml/2006/main" noChangeArrowheads="1" noTextEdit="1"/>
        </cdr:cNvSpPr>
      </cdr:nvSpPr>
      <cdr:spPr bwMode="auto">
        <a:xfrm xmlns:a="http://schemas.openxmlformats.org/drawingml/2006/main">
          <a:off x="1403360" y="665601"/>
          <a:ext cx="549265" cy="19165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22860" rIns="0" bIns="22860" anchor="b"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fld id="{FB7B9190-533F-41A0-B9F6-41424F4E3D27}" type="TxLink">
            <a:rPr lang="en-US" sz="1100" b="0" i="0" u="none" strike="noStrike" baseline="0">
              <a:solidFill>
                <a:srgbClr val="000000"/>
              </a:solidFill>
              <a:latin typeface="Arial"/>
              <a:cs typeface="Arial"/>
            </a:rPr>
            <a:pPr algn="l" rtl="0">
              <a:defRPr sz="1000"/>
            </a:pPr>
            <a:t>75.7%</a:t>
          </a:fld>
          <a:endParaRPr lang="en-US" sz="1100" b="1" i="0" u="none" strike="noStrike" baseline="0">
            <a:solidFill>
              <a:srgbClr val="000000"/>
            </a:solidFill>
            <a:latin typeface="Arial" pitchFamily="34" charset="0"/>
            <a:cs typeface="Arial" pitchFamily="34"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3</xdr:col>
      <xdr:colOff>38100</xdr:colOff>
      <xdr:row>6</xdr:row>
      <xdr:rowOff>819150</xdr:rowOff>
    </xdr:from>
    <xdr:to>
      <xdr:col>3</xdr:col>
      <xdr:colOff>561974</xdr:colOff>
      <xdr:row>6</xdr:row>
      <xdr:rowOff>1019175</xdr:rowOff>
    </xdr:to>
    <xdr:sp macro="" textlink="'Variable Mgmt'!$B$262">
      <xdr:nvSpPr>
        <xdr:cNvPr id="5" name="Text Box 24">
          <a:extLst>
            <a:ext uri="{FF2B5EF4-FFF2-40B4-BE49-F238E27FC236}">
              <a16:creationId xmlns:a16="http://schemas.microsoft.com/office/drawing/2014/main" id="{00000000-0008-0000-0900-000005000000}"/>
            </a:ext>
          </a:extLst>
        </xdr:cNvPr>
        <xdr:cNvSpPr txBox="1">
          <a:spLocks noChangeArrowheads="1" noTextEdit="1"/>
        </xdr:cNvSpPr>
      </xdr:nvSpPr>
      <xdr:spPr bwMode="auto">
        <a:xfrm>
          <a:off x="9686925" y="6934200"/>
          <a:ext cx="523874" cy="200025"/>
        </a:xfrm>
        <a:prstGeom prst="rect">
          <a:avLst/>
        </a:prstGeom>
        <a:solidFill>
          <a:schemeClr val="bg1"/>
        </a:solidFill>
        <a:ln w="9525">
          <a:noFill/>
          <a:miter lim="800000"/>
          <a:headEnd/>
          <a:tailEnd/>
        </a:ln>
      </xdr:spPr>
      <xdr:txBody>
        <a:bodyPr wrap="square" lIns="27432" tIns="22860" rIns="0" bIns="22860" anchor="b"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rtl="0">
            <a:defRPr sz="1000"/>
          </a:pPr>
          <a:fld id="{1F0AFB1C-0795-4024-9821-D34D86340D40}" type="TxLink">
            <a:rPr lang="en-US" sz="1100" b="0" i="0" u="none" strike="noStrike" baseline="0">
              <a:solidFill>
                <a:srgbClr val="000000"/>
              </a:solidFill>
              <a:latin typeface="Arial"/>
              <a:cs typeface="Arial"/>
            </a:rPr>
            <a:pPr algn="r" rtl="0">
              <a:defRPr sz="1000"/>
            </a:pPr>
            <a:t>88.1%</a:t>
          </a:fld>
          <a:endParaRPr lang="en-US" sz="1100" b="1" i="0" u="none" strike="noStrike" baseline="0">
            <a:solidFill>
              <a:srgbClr val="000000"/>
            </a:solidFill>
            <a:latin typeface="Arial" pitchFamily="34" charset="0"/>
            <a:cs typeface="Arial" pitchFamily="34" charset="0"/>
          </a:endParaRPr>
        </a:p>
      </xdr:txBody>
    </xdr:sp>
    <xdr:clientData/>
  </xdr:twoCellAnchor>
  <xdr:twoCellAnchor>
    <xdr:from>
      <xdr:col>3</xdr:col>
      <xdr:colOff>19050</xdr:colOff>
      <xdr:row>4</xdr:row>
      <xdr:rowOff>704850</xdr:rowOff>
    </xdr:from>
    <xdr:to>
      <xdr:col>3</xdr:col>
      <xdr:colOff>542924</xdr:colOff>
      <xdr:row>4</xdr:row>
      <xdr:rowOff>904875</xdr:rowOff>
    </xdr:to>
    <xdr:sp macro="" textlink="'Variable Mgmt'!$B$262">
      <xdr:nvSpPr>
        <xdr:cNvPr id="6" name="Text Box 24">
          <a:extLst>
            <a:ext uri="{FF2B5EF4-FFF2-40B4-BE49-F238E27FC236}">
              <a16:creationId xmlns:a16="http://schemas.microsoft.com/office/drawing/2014/main" id="{00000000-0008-0000-0900-000006000000}"/>
            </a:ext>
          </a:extLst>
        </xdr:cNvPr>
        <xdr:cNvSpPr txBox="1">
          <a:spLocks noChangeArrowheads="1" noTextEdit="1"/>
        </xdr:cNvSpPr>
      </xdr:nvSpPr>
      <xdr:spPr bwMode="auto">
        <a:xfrm>
          <a:off x="9667875" y="1409700"/>
          <a:ext cx="523874" cy="200025"/>
        </a:xfrm>
        <a:prstGeom prst="rect">
          <a:avLst/>
        </a:prstGeom>
        <a:noFill/>
        <a:ln w="9525">
          <a:noFill/>
          <a:miter lim="800000"/>
          <a:headEnd/>
          <a:tailEnd/>
        </a:ln>
      </xdr:spPr>
      <xdr:txBody>
        <a:bodyPr wrap="square" lIns="27432" tIns="22860" rIns="0" bIns="22860" anchor="b"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rtl="0">
            <a:defRPr sz="1000"/>
          </a:pPr>
          <a:fld id="{1F0AFB1C-0795-4024-9821-D34D86340D40}" type="TxLink">
            <a:rPr lang="en-US" sz="1100" b="0" i="0" u="none" strike="noStrike" baseline="0">
              <a:solidFill>
                <a:srgbClr val="000000"/>
              </a:solidFill>
              <a:latin typeface="Arial"/>
              <a:cs typeface="Arial"/>
            </a:rPr>
            <a:pPr algn="r" rtl="0">
              <a:defRPr sz="1000"/>
            </a:pPr>
            <a:t>88.1%</a:t>
          </a:fld>
          <a:endParaRPr lang="en-US" sz="1100" b="1" i="0" u="none" strike="noStrike" baseline="0">
            <a:solidFill>
              <a:srgbClr val="000000"/>
            </a:solidFill>
            <a:latin typeface="Arial" pitchFamily="34" charset="0"/>
            <a:cs typeface="Arial" pitchFamily="34" charset="0"/>
          </a:endParaRPr>
        </a:p>
      </xdr:txBody>
    </xdr:sp>
    <xdr:clientData/>
  </xdr:twoCellAnchor>
  <xdr:twoCellAnchor>
    <xdr:from>
      <xdr:col>1</xdr:col>
      <xdr:colOff>1</xdr:colOff>
      <xdr:row>4</xdr:row>
      <xdr:rowOff>0</xdr:rowOff>
    </xdr:from>
    <xdr:to>
      <xdr:col>1</xdr:col>
      <xdr:colOff>8275321</xdr:colOff>
      <xdr:row>4</xdr:row>
      <xdr:rowOff>5029200</xdr:rowOff>
    </xdr:to>
    <xdr:graphicFrame macro="">
      <xdr:nvGraphicFramePr>
        <xdr:cNvPr id="8" name="Chart 253">
          <a:extLst>
            <a:ext uri="{FF2B5EF4-FFF2-40B4-BE49-F238E27FC236}">
              <a16:creationId xmlns:a16="http://schemas.microsoft.com/office/drawing/2014/main" id="{00000000-0008-0000-0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6</xdr:row>
      <xdr:rowOff>0</xdr:rowOff>
    </xdr:from>
    <xdr:to>
      <xdr:col>1</xdr:col>
      <xdr:colOff>8275320</xdr:colOff>
      <xdr:row>6</xdr:row>
      <xdr:rowOff>5029200</xdr:rowOff>
    </xdr:to>
    <xdr:graphicFrame macro="">
      <xdr:nvGraphicFramePr>
        <xdr:cNvPr id="7" name="Chart 253">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16</xdr:col>
          <xdr:colOff>18166</xdr:colOff>
          <xdr:row>4</xdr:row>
          <xdr:rowOff>4138092</xdr:rowOff>
        </xdr:to>
        <xdr:pic>
          <xdr:nvPicPr>
            <xdr:cNvPr id="9" name="Picture 8888">
              <a:extLst>
                <a:ext uri="{FF2B5EF4-FFF2-40B4-BE49-F238E27FC236}">
                  <a16:creationId xmlns:a16="http://schemas.microsoft.com/office/drawing/2014/main" id="{00000000-0008-0000-0900-000009000000}"/>
                </a:ext>
              </a:extLst>
            </xdr:cNvPr>
            <xdr:cNvPicPr>
              <a:picLocks noChangeAspect="1" noChangeArrowheads="1"/>
              <a:extLst>
                <a:ext uri="{84589F7E-364E-4C9E-8A38-B11213B215E9}">
                  <a14:cameraTool cellRange="PICTURE3" spid="_x0000_s789551"/>
                </a:ext>
              </a:extLst>
            </xdr:cNvPicPr>
          </xdr:nvPicPr>
          <xdr:blipFill>
            <a:blip xmlns:r="http://schemas.openxmlformats.org/officeDocument/2006/relationships" r:embed="rId3"/>
            <a:srcRect/>
            <a:stretch>
              <a:fillRect/>
            </a:stretch>
          </xdr:blipFill>
          <xdr:spPr bwMode="auto">
            <a:xfrm>
              <a:off x="10868025" y="704850"/>
              <a:ext cx="6723766" cy="4138092"/>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18</xdr:col>
          <xdr:colOff>504825</xdr:colOff>
          <xdr:row>5</xdr:row>
          <xdr:rowOff>0</xdr:rowOff>
        </xdr:to>
        <xdr:pic>
          <xdr:nvPicPr>
            <xdr:cNvPr id="6" name="Picture 8888">
              <a:extLst>
                <a:ext uri="{FF2B5EF4-FFF2-40B4-BE49-F238E27FC236}">
                  <a16:creationId xmlns:a16="http://schemas.microsoft.com/office/drawing/2014/main" id="{00000000-0008-0000-0A00-000006000000}"/>
                </a:ext>
              </a:extLst>
            </xdr:cNvPr>
            <xdr:cNvPicPr>
              <a:picLocks noChangeAspect="1" noChangeArrowheads="1"/>
              <a:extLst>
                <a:ext uri="{84589F7E-364E-4C9E-8A38-B11213B215E9}">
                  <a14:cameraTool cellRange="PICTURE2" spid="_x0000_s790574"/>
                </a:ext>
              </a:extLst>
            </xdr:cNvPicPr>
          </xdr:nvPicPr>
          <xdr:blipFill>
            <a:blip xmlns:r="http://schemas.openxmlformats.org/officeDocument/2006/relationships" r:embed="rId1"/>
            <a:srcRect/>
            <a:stretch>
              <a:fillRect/>
            </a:stretch>
          </xdr:blipFill>
          <xdr:spPr bwMode="auto">
            <a:xfrm>
              <a:off x="10868025" y="704850"/>
              <a:ext cx="8429625" cy="5200650"/>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twoCellAnchor>
    <xdr:from>
      <xdr:col>1</xdr:col>
      <xdr:colOff>1</xdr:colOff>
      <xdr:row>4</xdr:row>
      <xdr:rowOff>0</xdr:rowOff>
    </xdr:from>
    <xdr:to>
      <xdr:col>1</xdr:col>
      <xdr:colOff>8275321</xdr:colOff>
      <xdr:row>4</xdr:row>
      <xdr:rowOff>5029200</xdr:rowOff>
    </xdr:to>
    <xdr:graphicFrame macro="">
      <xdr:nvGraphicFramePr>
        <xdr:cNvPr id="7" name="Chart 253">
          <a:extLst>
            <a:ext uri="{FF2B5EF4-FFF2-40B4-BE49-F238E27FC236}">
              <a16:creationId xmlns:a16="http://schemas.microsoft.com/office/drawing/2014/main" id="{00000000-0008-0000-0A00-00000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6</xdr:row>
      <xdr:rowOff>19049</xdr:rowOff>
    </xdr:from>
    <xdr:to>
      <xdr:col>1</xdr:col>
      <xdr:colOff>8277225</xdr:colOff>
      <xdr:row>6</xdr:row>
      <xdr:rowOff>5048249</xdr:rowOff>
    </xdr:to>
    <xdr:graphicFrame macro="">
      <xdr:nvGraphicFramePr>
        <xdr:cNvPr id="8" name="Chart 253">
          <a:extLst>
            <a:ext uri="{FF2B5EF4-FFF2-40B4-BE49-F238E27FC236}">
              <a16:creationId xmlns:a16="http://schemas.microsoft.com/office/drawing/2014/main" id="{00000000-0008-0000-0A00-00000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15</xdr:col>
      <xdr:colOff>752475</xdr:colOff>
      <xdr:row>30</xdr:row>
      <xdr:rowOff>85725</xdr:rowOff>
    </xdr:from>
    <xdr:to>
      <xdr:col>15</xdr:col>
      <xdr:colOff>1200150</xdr:colOff>
      <xdr:row>31</xdr:row>
      <xdr:rowOff>133350</xdr:rowOff>
    </xdr:to>
    <xdr:sp macro="" textlink="">
      <xdr:nvSpPr>
        <xdr:cNvPr id="3" name="Text Box 2">
          <a:extLst>
            <a:ext uri="{FF2B5EF4-FFF2-40B4-BE49-F238E27FC236}">
              <a16:creationId xmlns:a16="http://schemas.microsoft.com/office/drawing/2014/main" id="{00000000-0008-0000-0B00-000003000000}"/>
            </a:ext>
          </a:extLst>
        </xdr:cNvPr>
        <xdr:cNvSpPr txBox="1">
          <a:spLocks noChangeArrowheads="1"/>
        </xdr:cNvSpPr>
      </xdr:nvSpPr>
      <xdr:spPr bwMode="auto">
        <a:xfrm>
          <a:off x="16906875" y="13973175"/>
          <a:ext cx="0" cy="2190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FF"/>
              </a:solidFill>
              <a:latin typeface="Arial"/>
              <a:cs typeface="Arial"/>
            </a:rPr>
            <a:t>V</a:t>
          </a:r>
          <a:r>
            <a:rPr lang="en-US" sz="1000" b="1" i="0" strike="noStrike" baseline="-25000">
              <a:solidFill>
                <a:srgbClr val="0000FF"/>
              </a:solidFill>
              <a:latin typeface="Arial"/>
              <a:cs typeface="Arial"/>
            </a:rPr>
            <a:t>OUT</a:t>
          </a:r>
        </a:p>
      </xdr:txBody>
    </xdr:sp>
    <xdr:clientData/>
  </xdr:twoCellAnchor>
  <xdr:twoCellAnchor>
    <xdr:from>
      <xdr:col>15</xdr:col>
      <xdr:colOff>752475</xdr:colOff>
      <xdr:row>31</xdr:row>
      <xdr:rowOff>104775</xdr:rowOff>
    </xdr:from>
    <xdr:to>
      <xdr:col>15</xdr:col>
      <xdr:colOff>1181100</xdr:colOff>
      <xdr:row>32</xdr:row>
      <xdr:rowOff>152400</xdr:rowOff>
    </xdr:to>
    <xdr:sp macro="" textlink="">
      <xdr:nvSpPr>
        <xdr:cNvPr id="4" name="Text Box 3">
          <a:extLst>
            <a:ext uri="{FF2B5EF4-FFF2-40B4-BE49-F238E27FC236}">
              <a16:creationId xmlns:a16="http://schemas.microsoft.com/office/drawing/2014/main" id="{00000000-0008-0000-0B00-000004000000}"/>
            </a:ext>
          </a:extLst>
        </xdr:cNvPr>
        <xdr:cNvSpPr txBox="1">
          <a:spLocks noChangeArrowheads="1" noTextEdit="1"/>
        </xdr:cNvSpPr>
      </xdr:nvSpPr>
      <xdr:spPr bwMode="auto">
        <a:xfrm>
          <a:off x="16906875" y="14163675"/>
          <a:ext cx="0" cy="219075"/>
        </a:xfrm>
        <a:prstGeom prst="rect">
          <a:avLst/>
        </a:prstGeom>
        <a:noFill/>
        <a:ln w="9525">
          <a:noFill/>
          <a:miter lim="800000"/>
          <a:headEnd/>
          <a:tailEnd/>
        </a:ln>
      </xdr:spPr>
      <xdr:txBody>
        <a:bodyPr vertOverflow="clip" wrap="square" lIns="27432" tIns="22860" rIns="0" bIns="0" anchor="t" upright="1"/>
        <a:lstStyle/>
        <a:p>
          <a:pPr algn="l" rtl="0">
            <a:defRPr sz="1000"/>
          </a:pPr>
          <a:fld id="{0F8B8801-C5EA-4FBD-95F5-162EB7ADACC8}" type="TxLink">
            <a:rPr lang="en-US" sz="1000" b="1" i="0" u="none" strike="noStrike">
              <a:solidFill>
                <a:srgbClr val="0000FF"/>
              </a:solidFill>
              <a:latin typeface="Arial"/>
              <a:cs typeface="Arial"/>
            </a:rPr>
            <a:pPr algn="l" rtl="0">
              <a:defRPr sz="1000"/>
            </a:pPr>
            <a:t>1.2V</a:t>
          </a:fld>
          <a:endParaRPr lang="en-US" sz="1000" b="1" i="0" strike="noStrike">
            <a:solidFill>
              <a:srgbClr val="0000FF"/>
            </a:solidFill>
            <a:latin typeface="Arial"/>
            <a:cs typeface="Arial"/>
          </a:endParaRPr>
        </a:p>
      </xdr:txBody>
    </xdr:sp>
    <xdr:clientData/>
  </xdr:twoCellAnchor>
  <xdr:twoCellAnchor>
    <xdr:from>
      <xdr:col>16</xdr:col>
      <xdr:colOff>0</xdr:colOff>
      <xdr:row>34</xdr:row>
      <xdr:rowOff>142875</xdr:rowOff>
    </xdr:from>
    <xdr:to>
      <xdr:col>16</xdr:col>
      <xdr:colOff>0</xdr:colOff>
      <xdr:row>36</xdr:row>
      <xdr:rowOff>152400</xdr:rowOff>
    </xdr:to>
    <xdr:grpSp>
      <xdr:nvGrpSpPr>
        <xdr:cNvPr id="5" name="Group 25">
          <a:extLst>
            <a:ext uri="{FF2B5EF4-FFF2-40B4-BE49-F238E27FC236}">
              <a16:creationId xmlns:a16="http://schemas.microsoft.com/office/drawing/2014/main" id="{00000000-0008-0000-0B00-000005000000}"/>
            </a:ext>
          </a:extLst>
        </xdr:cNvPr>
        <xdr:cNvGrpSpPr>
          <a:grpSpLocks/>
        </xdr:cNvGrpSpPr>
      </xdr:nvGrpSpPr>
      <xdr:grpSpPr bwMode="auto">
        <a:xfrm>
          <a:off x="33893760" y="65171955"/>
          <a:ext cx="0" cy="4337685"/>
          <a:chOff x="953" y="747"/>
          <a:chExt cx="76" cy="41"/>
        </a:xfrm>
      </xdr:grpSpPr>
      <xdr:sp macro="" textlink="">
        <xdr:nvSpPr>
          <xdr:cNvPr id="6" name="Text Box 26">
            <a:extLst>
              <a:ext uri="{FF2B5EF4-FFF2-40B4-BE49-F238E27FC236}">
                <a16:creationId xmlns:a16="http://schemas.microsoft.com/office/drawing/2014/main" id="{00000000-0008-0000-0B00-000006000000}"/>
              </a:ext>
            </a:extLst>
          </xdr:cNvPr>
          <xdr:cNvSpPr txBox="1">
            <a:spLocks noChangeArrowheads="1"/>
          </xdr:cNvSpPr>
        </xdr:nvSpPr>
        <xdr:spPr bwMode="auto">
          <a:xfrm>
            <a:off x="16906875" y="-6462072205698"/>
            <a:ext cx="0" cy="21"/>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FF"/>
                </a:solidFill>
                <a:latin typeface="Arial"/>
                <a:cs typeface="Arial"/>
              </a:rPr>
              <a:t>C</a:t>
            </a:r>
            <a:r>
              <a:rPr lang="en-US" sz="1000" b="1" i="0" strike="noStrike" baseline="-25000">
                <a:solidFill>
                  <a:srgbClr val="0000FF"/>
                </a:solidFill>
                <a:latin typeface="Arial"/>
                <a:cs typeface="Arial"/>
              </a:rPr>
              <a:t>OUT</a:t>
            </a:r>
          </a:p>
        </xdr:txBody>
      </xdr:sp>
      <xdr:sp macro="" textlink="">
        <xdr:nvSpPr>
          <xdr:cNvPr id="7" name="Text Box 27">
            <a:extLst>
              <a:ext uri="{FF2B5EF4-FFF2-40B4-BE49-F238E27FC236}">
                <a16:creationId xmlns:a16="http://schemas.microsoft.com/office/drawing/2014/main" id="{00000000-0008-0000-0B00-000007000000}"/>
              </a:ext>
            </a:extLst>
          </xdr:cNvPr>
          <xdr:cNvSpPr txBox="1">
            <a:spLocks noChangeArrowheads="1" noTextEdit="1"/>
          </xdr:cNvSpPr>
        </xdr:nvSpPr>
        <xdr:spPr bwMode="auto">
          <a:xfrm>
            <a:off x="16906875" y="-11225863852848"/>
            <a:ext cx="0" cy="21"/>
          </a:xfrm>
          <a:prstGeom prst="rect">
            <a:avLst/>
          </a:prstGeom>
          <a:noFill/>
          <a:ln w="9525">
            <a:noFill/>
            <a:miter lim="800000"/>
            <a:headEnd/>
            <a:tailEnd/>
          </a:ln>
        </xdr:spPr>
        <xdr:txBody>
          <a:bodyPr vertOverflow="clip" wrap="square" lIns="27432" tIns="22860" rIns="0" bIns="0" anchor="t" upright="1"/>
          <a:lstStyle/>
          <a:p>
            <a:pPr algn="l" rtl="0">
              <a:defRPr sz="1000"/>
            </a:pPr>
            <a:fld id="{FA2B5858-D1A0-4A0D-80A7-2946C710A8EC}" type="TxLink">
              <a:rPr lang="en-US" sz="1000" b="1" i="0" u="none" strike="noStrike">
                <a:solidFill>
                  <a:srgbClr val="0000FF"/>
                </a:solidFill>
                <a:latin typeface="Arial"/>
                <a:cs typeface="Arial"/>
              </a:rPr>
              <a:pPr algn="l" rtl="0">
                <a:defRPr sz="1000"/>
              </a:pPr>
              <a:t>140µF</a:t>
            </a:fld>
            <a:endParaRPr lang="en-US" sz="1000" b="1" i="0" strike="noStrike">
              <a:solidFill>
                <a:srgbClr val="0000FF"/>
              </a:solidFill>
              <a:latin typeface="Arial"/>
              <a:cs typeface="Arial"/>
            </a:endParaRPr>
          </a:p>
        </xdr:txBody>
      </xdr:sp>
    </xdr:grpSp>
    <xdr:clientData/>
  </xdr:twoCellAnchor>
  <xdr:twoCellAnchor editAs="oneCell">
    <xdr:from>
      <xdr:col>4</xdr:col>
      <xdr:colOff>272419</xdr:colOff>
      <xdr:row>6</xdr:row>
      <xdr:rowOff>172336</xdr:rowOff>
    </xdr:from>
    <xdr:to>
      <xdr:col>4</xdr:col>
      <xdr:colOff>7931778</xdr:colOff>
      <xdr:row>6</xdr:row>
      <xdr:rowOff>4308390</xdr:rowOff>
    </xdr:to>
    <xdr:pic>
      <xdr:nvPicPr>
        <xdr:cNvPr id="82" name="Picture 81">
          <a:extLst>
            <a:ext uri="{FF2B5EF4-FFF2-40B4-BE49-F238E27FC236}">
              <a16:creationId xmlns:a16="http://schemas.microsoft.com/office/drawing/2014/main" id="{00000000-0008-0000-0B00-000052000000}"/>
            </a:ext>
          </a:extLst>
        </xdr:cNvPr>
        <xdr:cNvPicPr>
          <a:picLocks noChangeAspect="1" noChangeArrowheads="1"/>
        </xdr:cNvPicPr>
      </xdr:nvPicPr>
      <xdr:blipFill>
        <a:blip xmlns:r="http://schemas.openxmlformats.org/officeDocument/2006/relationships" r:embed="rId1"/>
        <a:stretch>
          <a:fillRect/>
        </a:stretch>
      </xdr:blipFill>
      <xdr:spPr bwMode="auto">
        <a:xfrm>
          <a:off x="11143619" y="11629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6</xdr:row>
      <xdr:rowOff>174455</xdr:rowOff>
    </xdr:from>
    <xdr:to>
      <xdr:col>7</xdr:col>
      <xdr:colOff>7946440</xdr:colOff>
      <xdr:row>6</xdr:row>
      <xdr:rowOff>4306271</xdr:rowOff>
    </xdr:to>
    <xdr:pic>
      <xdr:nvPicPr>
        <xdr:cNvPr id="84" name="Picture 83">
          <a:extLst>
            <a:ext uri="{FF2B5EF4-FFF2-40B4-BE49-F238E27FC236}">
              <a16:creationId xmlns:a16="http://schemas.microsoft.com/office/drawing/2014/main" id="{00000000-0008-0000-0B00-000054000000}"/>
            </a:ext>
          </a:extLst>
        </xdr:cNvPr>
        <xdr:cNvPicPr>
          <a:picLocks noChangeAspect="1" noChangeArrowheads="1"/>
        </xdr:cNvPicPr>
      </xdr:nvPicPr>
      <xdr:blipFill>
        <a:blip xmlns:r="http://schemas.openxmlformats.org/officeDocument/2006/relationships" r:embed="rId2"/>
        <a:stretch>
          <a:fillRect/>
        </a:stretch>
      </xdr:blipFill>
      <xdr:spPr bwMode="auto">
        <a:xfrm>
          <a:off x="21079408" y="11904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260841</xdr:colOff>
      <xdr:row>8</xdr:row>
      <xdr:rowOff>172336</xdr:rowOff>
    </xdr:from>
    <xdr:to>
      <xdr:col>1</xdr:col>
      <xdr:colOff>7927481</xdr:colOff>
      <xdr:row>8</xdr:row>
      <xdr:rowOff>4308390</xdr:rowOff>
    </xdr:to>
    <xdr:pic>
      <xdr:nvPicPr>
        <xdr:cNvPr id="51" name="Picture 50">
          <a:extLst>
            <a:ext uri="{FF2B5EF4-FFF2-40B4-BE49-F238E27FC236}">
              <a16:creationId xmlns:a16="http://schemas.microsoft.com/office/drawing/2014/main" id="{00000000-0008-0000-0B00-000033000000}"/>
            </a:ext>
          </a:extLst>
        </xdr:cNvPr>
        <xdr:cNvPicPr>
          <a:picLocks noChangeAspect="1" noChangeArrowheads="1"/>
        </xdr:cNvPicPr>
      </xdr:nvPicPr>
      <xdr:blipFill>
        <a:blip xmlns:r="http://schemas.openxmlformats.org/officeDocument/2006/relationships" r:embed="rId3"/>
        <a:stretch>
          <a:fillRect/>
        </a:stretch>
      </xdr:blipFill>
      <xdr:spPr bwMode="auto">
        <a:xfrm>
          <a:off x="1149841" y="5938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260841</xdr:colOff>
      <xdr:row>10</xdr:row>
      <xdr:rowOff>172336</xdr:rowOff>
    </xdr:from>
    <xdr:to>
      <xdr:col>1</xdr:col>
      <xdr:colOff>7927481</xdr:colOff>
      <xdr:row>10</xdr:row>
      <xdr:rowOff>4308390</xdr:rowOff>
    </xdr:to>
    <xdr:pic>
      <xdr:nvPicPr>
        <xdr:cNvPr id="52" name="Picture 51">
          <a:extLst>
            <a:ext uri="{FF2B5EF4-FFF2-40B4-BE49-F238E27FC236}">
              <a16:creationId xmlns:a16="http://schemas.microsoft.com/office/drawing/2014/main" id="{00000000-0008-0000-0B00-000034000000}"/>
            </a:ext>
          </a:extLst>
        </xdr:cNvPr>
        <xdr:cNvPicPr>
          <a:picLocks noChangeAspect="1" noChangeArrowheads="1"/>
        </xdr:cNvPicPr>
      </xdr:nvPicPr>
      <xdr:blipFill>
        <a:blip xmlns:r="http://schemas.openxmlformats.org/officeDocument/2006/relationships" r:embed="rId4"/>
        <a:stretch>
          <a:fillRect/>
        </a:stretch>
      </xdr:blipFill>
      <xdr:spPr bwMode="auto">
        <a:xfrm>
          <a:off x="1149841" y="10637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12</xdr:row>
      <xdr:rowOff>172336</xdr:rowOff>
    </xdr:from>
    <xdr:to>
      <xdr:col>1</xdr:col>
      <xdr:colOff>7925440</xdr:colOff>
      <xdr:row>12</xdr:row>
      <xdr:rowOff>4308390</xdr:rowOff>
    </xdr:to>
    <xdr:pic>
      <xdr:nvPicPr>
        <xdr:cNvPr id="53" name="Picture 52">
          <a:extLst>
            <a:ext uri="{FF2B5EF4-FFF2-40B4-BE49-F238E27FC236}">
              <a16:creationId xmlns:a16="http://schemas.microsoft.com/office/drawing/2014/main" id="{00000000-0008-0000-0B00-000035000000}"/>
            </a:ext>
          </a:extLst>
        </xdr:cNvPr>
        <xdr:cNvPicPr>
          <a:picLocks noChangeAspect="1" noChangeArrowheads="1"/>
        </xdr:cNvPicPr>
      </xdr:nvPicPr>
      <xdr:blipFill>
        <a:blip xmlns:r="http://schemas.openxmlformats.org/officeDocument/2006/relationships" r:embed="rId5"/>
        <a:stretch>
          <a:fillRect/>
        </a:stretch>
      </xdr:blipFill>
      <xdr:spPr bwMode="auto">
        <a:xfrm>
          <a:off x="1147800" y="15336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14</xdr:row>
      <xdr:rowOff>172335</xdr:rowOff>
    </xdr:from>
    <xdr:to>
      <xdr:col>1</xdr:col>
      <xdr:colOff>7925440</xdr:colOff>
      <xdr:row>14</xdr:row>
      <xdr:rowOff>4308389</xdr:rowOff>
    </xdr:to>
    <xdr:pic>
      <xdr:nvPicPr>
        <xdr:cNvPr id="73" name="Picture 72">
          <a:extLst>
            <a:ext uri="{FF2B5EF4-FFF2-40B4-BE49-F238E27FC236}">
              <a16:creationId xmlns:a16="http://schemas.microsoft.com/office/drawing/2014/main" id="{00000000-0008-0000-0B00-000049000000}"/>
            </a:ext>
          </a:extLst>
        </xdr:cNvPr>
        <xdr:cNvPicPr>
          <a:picLocks noChangeAspect="1" noChangeArrowheads="1"/>
        </xdr:cNvPicPr>
      </xdr:nvPicPr>
      <xdr:blipFill>
        <a:blip xmlns:r="http://schemas.openxmlformats.org/officeDocument/2006/relationships" r:embed="rId6"/>
        <a:stretch>
          <a:fillRect/>
        </a:stretch>
      </xdr:blipFill>
      <xdr:spPr bwMode="auto">
        <a:xfrm>
          <a:off x="1147800" y="20035135"/>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6</xdr:row>
      <xdr:rowOff>172336</xdr:rowOff>
    </xdr:from>
    <xdr:to>
      <xdr:col>1</xdr:col>
      <xdr:colOff>7925440</xdr:colOff>
      <xdr:row>6</xdr:row>
      <xdr:rowOff>4308390</xdr:rowOff>
    </xdr:to>
    <xdr:pic>
      <xdr:nvPicPr>
        <xdr:cNvPr id="76" name="Picture 75">
          <a:extLst>
            <a:ext uri="{FF2B5EF4-FFF2-40B4-BE49-F238E27FC236}">
              <a16:creationId xmlns:a16="http://schemas.microsoft.com/office/drawing/2014/main" id="{00000000-0008-0000-0B00-00004C000000}"/>
            </a:ext>
          </a:extLst>
        </xdr:cNvPr>
        <xdr:cNvPicPr>
          <a:picLocks noChangeAspect="1" noChangeArrowheads="1"/>
        </xdr:cNvPicPr>
      </xdr:nvPicPr>
      <xdr:blipFill>
        <a:blip xmlns:r="http://schemas.openxmlformats.org/officeDocument/2006/relationships" r:embed="rId7"/>
        <a:stretch>
          <a:fillRect/>
        </a:stretch>
      </xdr:blipFill>
      <xdr:spPr bwMode="auto">
        <a:xfrm>
          <a:off x="1147800" y="11629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16</xdr:row>
      <xdr:rowOff>172336</xdr:rowOff>
    </xdr:from>
    <xdr:to>
      <xdr:col>1</xdr:col>
      <xdr:colOff>7925440</xdr:colOff>
      <xdr:row>16</xdr:row>
      <xdr:rowOff>4308390</xdr:rowOff>
    </xdr:to>
    <xdr:pic>
      <xdr:nvPicPr>
        <xdr:cNvPr id="77" name="Picture 76">
          <a:extLst>
            <a:ext uri="{FF2B5EF4-FFF2-40B4-BE49-F238E27FC236}">
              <a16:creationId xmlns:a16="http://schemas.microsoft.com/office/drawing/2014/main" id="{00000000-0008-0000-0B00-00004D000000}"/>
            </a:ext>
          </a:extLst>
        </xdr:cNvPr>
        <xdr:cNvPicPr>
          <a:picLocks noChangeAspect="1" noChangeArrowheads="1"/>
        </xdr:cNvPicPr>
      </xdr:nvPicPr>
      <xdr:blipFill>
        <a:blip xmlns:r="http://schemas.openxmlformats.org/officeDocument/2006/relationships" r:embed="rId8"/>
        <a:stretch>
          <a:fillRect/>
        </a:stretch>
      </xdr:blipFill>
      <xdr:spPr bwMode="auto">
        <a:xfrm>
          <a:off x="1147800" y="24734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18</xdr:row>
      <xdr:rowOff>172336</xdr:rowOff>
    </xdr:from>
    <xdr:to>
      <xdr:col>1</xdr:col>
      <xdr:colOff>7925440</xdr:colOff>
      <xdr:row>18</xdr:row>
      <xdr:rowOff>4308390</xdr:rowOff>
    </xdr:to>
    <xdr:pic>
      <xdr:nvPicPr>
        <xdr:cNvPr id="85" name="Picture 84">
          <a:extLst>
            <a:ext uri="{FF2B5EF4-FFF2-40B4-BE49-F238E27FC236}">
              <a16:creationId xmlns:a16="http://schemas.microsoft.com/office/drawing/2014/main" id="{00000000-0008-0000-0B00-000055000000}"/>
            </a:ext>
          </a:extLst>
        </xdr:cNvPr>
        <xdr:cNvPicPr>
          <a:picLocks noChangeAspect="1" noChangeArrowheads="1"/>
        </xdr:cNvPicPr>
      </xdr:nvPicPr>
      <xdr:blipFill>
        <a:blip xmlns:r="http://schemas.openxmlformats.org/officeDocument/2006/relationships" r:embed="rId9"/>
        <a:stretch>
          <a:fillRect/>
        </a:stretch>
      </xdr:blipFill>
      <xdr:spPr bwMode="auto">
        <a:xfrm>
          <a:off x="1147800" y="29433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20</xdr:row>
      <xdr:rowOff>172336</xdr:rowOff>
    </xdr:from>
    <xdr:to>
      <xdr:col>1</xdr:col>
      <xdr:colOff>7925440</xdr:colOff>
      <xdr:row>20</xdr:row>
      <xdr:rowOff>4308390</xdr:rowOff>
    </xdr:to>
    <xdr:pic>
      <xdr:nvPicPr>
        <xdr:cNvPr id="86" name="Picture 85">
          <a:extLst>
            <a:ext uri="{FF2B5EF4-FFF2-40B4-BE49-F238E27FC236}">
              <a16:creationId xmlns:a16="http://schemas.microsoft.com/office/drawing/2014/main" id="{00000000-0008-0000-0B00-000056000000}"/>
            </a:ext>
          </a:extLst>
        </xdr:cNvPr>
        <xdr:cNvPicPr>
          <a:picLocks noChangeAspect="1" noChangeArrowheads="1"/>
        </xdr:cNvPicPr>
      </xdr:nvPicPr>
      <xdr:blipFill>
        <a:blip xmlns:r="http://schemas.openxmlformats.org/officeDocument/2006/relationships" r:embed="rId10"/>
        <a:stretch>
          <a:fillRect/>
        </a:stretch>
      </xdr:blipFill>
      <xdr:spPr bwMode="auto">
        <a:xfrm>
          <a:off x="1147800" y="341575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8</xdr:row>
      <xdr:rowOff>172336</xdr:rowOff>
    </xdr:from>
    <xdr:to>
      <xdr:col>4</xdr:col>
      <xdr:colOff>7933138</xdr:colOff>
      <xdr:row>8</xdr:row>
      <xdr:rowOff>4308390</xdr:rowOff>
    </xdr:to>
    <xdr:pic>
      <xdr:nvPicPr>
        <xdr:cNvPr id="17" name="Picture 16">
          <a:extLst>
            <a:ext uri="{FF2B5EF4-FFF2-40B4-BE49-F238E27FC236}">
              <a16:creationId xmlns:a16="http://schemas.microsoft.com/office/drawing/2014/main" id="{00000000-0008-0000-0B00-000011000000}"/>
            </a:ext>
          </a:extLst>
        </xdr:cNvPr>
        <xdr:cNvPicPr>
          <a:picLocks noChangeAspect="1" noChangeArrowheads="1"/>
        </xdr:cNvPicPr>
      </xdr:nvPicPr>
      <xdr:blipFill>
        <a:blip xmlns:r="http://schemas.openxmlformats.org/officeDocument/2006/relationships" r:embed="rId11"/>
        <a:stretch>
          <a:fillRect/>
        </a:stretch>
      </xdr:blipFill>
      <xdr:spPr bwMode="auto">
        <a:xfrm>
          <a:off x="11144979" y="5938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10</xdr:row>
      <xdr:rowOff>172336</xdr:rowOff>
    </xdr:from>
    <xdr:to>
      <xdr:col>4</xdr:col>
      <xdr:colOff>7933138</xdr:colOff>
      <xdr:row>10</xdr:row>
      <xdr:rowOff>4308390</xdr:rowOff>
    </xdr:to>
    <xdr:pic>
      <xdr:nvPicPr>
        <xdr:cNvPr id="19" name="Picture 18">
          <a:extLst>
            <a:ext uri="{FF2B5EF4-FFF2-40B4-BE49-F238E27FC236}">
              <a16:creationId xmlns:a16="http://schemas.microsoft.com/office/drawing/2014/main" id="{00000000-0008-0000-0B00-000013000000}"/>
            </a:ext>
          </a:extLst>
        </xdr:cNvPr>
        <xdr:cNvPicPr>
          <a:picLocks noChangeAspect="1" noChangeArrowheads="1"/>
        </xdr:cNvPicPr>
      </xdr:nvPicPr>
      <xdr:blipFill>
        <a:blip xmlns:r="http://schemas.openxmlformats.org/officeDocument/2006/relationships" r:embed="rId12"/>
        <a:stretch>
          <a:fillRect/>
        </a:stretch>
      </xdr:blipFill>
      <xdr:spPr bwMode="auto">
        <a:xfrm>
          <a:off x="11144979" y="10637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12</xdr:row>
      <xdr:rowOff>172336</xdr:rowOff>
    </xdr:from>
    <xdr:to>
      <xdr:col>4</xdr:col>
      <xdr:colOff>7933138</xdr:colOff>
      <xdr:row>12</xdr:row>
      <xdr:rowOff>4308390</xdr:rowOff>
    </xdr:to>
    <xdr:pic>
      <xdr:nvPicPr>
        <xdr:cNvPr id="20" name="Picture 19">
          <a:extLst>
            <a:ext uri="{FF2B5EF4-FFF2-40B4-BE49-F238E27FC236}">
              <a16:creationId xmlns:a16="http://schemas.microsoft.com/office/drawing/2014/main" id="{00000000-0008-0000-0B00-000014000000}"/>
            </a:ext>
          </a:extLst>
        </xdr:cNvPr>
        <xdr:cNvPicPr>
          <a:picLocks noChangeAspect="1" noChangeArrowheads="1"/>
        </xdr:cNvPicPr>
      </xdr:nvPicPr>
      <xdr:blipFill>
        <a:blip xmlns:r="http://schemas.openxmlformats.org/officeDocument/2006/relationships" r:embed="rId13"/>
        <a:stretch>
          <a:fillRect/>
        </a:stretch>
      </xdr:blipFill>
      <xdr:spPr bwMode="auto">
        <a:xfrm>
          <a:off x="11144979" y="15336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14</xdr:row>
      <xdr:rowOff>172336</xdr:rowOff>
    </xdr:from>
    <xdr:to>
      <xdr:col>4</xdr:col>
      <xdr:colOff>7933138</xdr:colOff>
      <xdr:row>14</xdr:row>
      <xdr:rowOff>4308390</xdr:rowOff>
    </xdr:to>
    <xdr:pic>
      <xdr:nvPicPr>
        <xdr:cNvPr id="21" name="Picture 20">
          <a:extLst>
            <a:ext uri="{FF2B5EF4-FFF2-40B4-BE49-F238E27FC236}">
              <a16:creationId xmlns:a16="http://schemas.microsoft.com/office/drawing/2014/main" id="{00000000-0008-0000-0B00-000015000000}"/>
            </a:ext>
          </a:extLst>
        </xdr:cNvPr>
        <xdr:cNvPicPr>
          <a:picLocks noChangeAspect="1" noChangeArrowheads="1"/>
        </xdr:cNvPicPr>
      </xdr:nvPicPr>
      <xdr:blipFill>
        <a:blip xmlns:r="http://schemas.openxmlformats.org/officeDocument/2006/relationships" r:embed="rId14"/>
        <a:stretch>
          <a:fillRect/>
        </a:stretch>
      </xdr:blipFill>
      <xdr:spPr bwMode="auto">
        <a:xfrm>
          <a:off x="11144979" y="20035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16</xdr:row>
      <xdr:rowOff>172336</xdr:rowOff>
    </xdr:from>
    <xdr:to>
      <xdr:col>4</xdr:col>
      <xdr:colOff>7933138</xdr:colOff>
      <xdr:row>16</xdr:row>
      <xdr:rowOff>4308390</xdr:rowOff>
    </xdr:to>
    <xdr:pic>
      <xdr:nvPicPr>
        <xdr:cNvPr id="22" name="Picture 21">
          <a:extLst>
            <a:ext uri="{FF2B5EF4-FFF2-40B4-BE49-F238E27FC236}">
              <a16:creationId xmlns:a16="http://schemas.microsoft.com/office/drawing/2014/main" id="{00000000-0008-0000-0B00-000016000000}"/>
            </a:ext>
          </a:extLst>
        </xdr:cNvPr>
        <xdr:cNvPicPr>
          <a:picLocks noChangeAspect="1" noChangeArrowheads="1"/>
        </xdr:cNvPicPr>
      </xdr:nvPicPr>
      <xdr:blipFill>
        <a:blip xmlns:r="http://schemas.openxmlformats.org/officeDocument/2006/relationships" r:embed="rId15"/>
        <a:stretch>
          <a:fillRect/>
        </a:stretch>
      </xdr:blipFill>
      <xdr:spPr bwMode="auto">
        <a:xfrm>
          <a:off x="11144979" y="24734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18</xdr:row>
      <xdr:rowOff>172336</xdr:rowOff>
    </xdr:from>
    <xdr:to>
      <xdr:col>4</xdr:col>
      <xdr:colOff>7933138</xdr:colOff>
      <xdr:row>18</xdr:row>
      <xdr:rowOff>4308390</xdr:rowOff>
    </xdr:to>
    <xdr:pic>
      <xdr:nvPicPr>
        <xdr:cNvPr id="23" name="Picture 22">
          <a:extLst>
            <a:ext uri="{FF2B5EF4-FFF2-40B4-BE49-F238E27FC236}">
              <a16:creationId xmlns:a16="http://schemas.microsoft.com/office/drawing/2014/main" id="{00000000-0008-0000-0B00-000017000000}"/>
            </a:ext>
          </a:extLst>
        </xdr:cNvPr>
        <xdr:cNvPicPr>
          <a:picLocks noChangeAspect="1" noChangeArrowheads="1"/>
        </xdr:cNvPicPr>
      </xdr:nvPicPr>
      <xdr:blipFill>
        <a:blip xmlns:r="http://schemas.openxmlformats.org/officeDocument/2006/relationships" r:embed="rId16"/>
        <a:stretch>
          <a:fillRect/>
        </a:stretch>
      </xdr:blipFill>
      <xdr:spPr bwMode="auto">
        <a:xfrm>
          <a:off x="11144979" y="29433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20</xdr:row>
      <xdr:rowOff>172336</xdr:rowOff>
    </xdr:from>
    <xdr:to>
      <xdr:col>4</xdr:col>
      <xdr:colOff>7933138</xdr:colOff>
      <xdr:row>20</xdr:row>
      <xdr:rowOff>4308390</xdr:rowOff>
    </xdr:to>
    <xdr:pic>
      <xdr:nvPicPr>
        <xdr:cNvPr id="24" name="Picture 23">
          <a:extLst>
            <a:ext uri="{FF2B5EF4-FFF2-40B4-BE49-F238E27FC236}">
              <a16:creationId xmlns:a16="http://schemas.microsoft.com/office/drawing/2014/main" id="{00000000-0008-0000-0B00-000018000000}"/>
            </a:ext>
          </a:extLst>
        </xdr:cNvPr>
        <xdr:cNvPicPr>
          <a:picLocks noChangeAspect="1" noChangeArrowheads="1"/>
        </xdr:cNvPicPr>
      </xdr:nvPicPr>
      <xdr:blipFill>
        <a:blip xmlns:r="http://schemas.openxmlformats.org/officeDocument/2006/relationships" r:embed="rId17"/>
        <a:stretch>
          <a:fillRect/>
        </a:stretch>
      </xdr:blipFill>
      <xdr:spPr bwMode="auto">
        <a:xfrm>
          <a:off x="11144979" y="341575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8</xdr:row>
      <xdr:rowOff>174455</xdr:rowOff>
    </xdr:from>
    <xdr:to>
      <xdr:col>7</xdr:col>
      <xdr:colOff>7946440</xdr:colOff>
      <xdr:row>8</xdr:row>
      <xdr:rowOff>4306271</xdr:rowOff>
    </xdr:to>
    <xdr:pic>
      <xdr:nvPicPr>
        <xdr:cNvPr id="25" name="Picture 24">
          <a:extLst>
            <a:ext uri="{FF2B5EF4-FFF2-40B4-BE49-F238E27FC236}">
              <a16:creationId xmlns:a16="http://schemas.microsoft.com/office/drawing/2014/main" id="{00000000-0008-0000-0B00-000019000000}"/>
            </a:ext>
          </a:extLst>
        </xdr:cNvPr>
        <xdr:cNvPicPr>
          <a:picLocks noChangeAspect="1" noChangeArrowheads="1"/>
        </xdr:cNvPicPr>
      </xdr:nvPicPr>
      <xdr:blipFill>
        <a:blip xmlns:r="http://schemas.openxmlformats.org/officeDocument/2006/relationships" r:embed="rId18"/>
        <a:stretch>
          <a:fillRect/>
        </a:stretch>
      </xdr:blipFill>
      <xdr:spPr bwMode="auto">
        <a:xfrm>
          <a:off x="21085758" y="5940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10</xdr:row>
      <xdr:rowOff>174455</xdr:rowOff>
    </xdr:from>
    <xdr:to>
      <xdr:col>7</xdr:col>
      <xdr:colOff>7946440</xdr:colOff>
      <xdr:row>10</xdr:row>
      <xdr:rowOff>4306271</xdr:rowOff>
    </xdr:to>
    <xdr:pic>
      <xdr:nvPicPr>
        <xdr:cNvPr id="27" name="Picture 26">
          <a:extLst>
            <a:ext uri="{FF2B5EF4-FFF2-40B4-BE49-F238E27FC236}">
              <a16:creationId xmlns:a16="http://schemas.microsoft.com/office/drawing/2014/main" id="{00000000-0008-0000-0B00-00001B000000}"/>
            </a:ext>
          </a:extLst>
        </xdr:cNvPr>
        <xdr:cNvPicPr>
          <a:picLocks noChangeAspect="1" noChangeArrowheads="1"/>
        </xdr:cNvPicPr>
      </xdr:nvPicPr>
      <xdr:blipFill>
        <a:blip xmlns:r="http://schemas.openxmlformats.org/officeDocument/2006/relationships" r:embed="rId19"/>
        <a:stretch>
          <a:fillRect/>
        </a:stretch>
      </xdr:blipFill>
      <xdr:spPr bwMode="auto">
        <a:xfrm>
          <a:off x="21085758" y="10639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12</xdr:row>
      <xdr:rowOff>174455</xdr:rowOff>
    </xdr:from>
    <xdr:to>
      <xdr:col>7</xdr:col>
      <xdr:colOff>7946440</xdr:colOff>
      <xdr:row>12</xdr:row>
      <xdr:rowOff>4306271</xdr:rowOff>
    </xdr:to>
    <xdr:pic>
      <xdr:nvPicPr>
        <xdr:cNvPr id="28" name="Picture 27">
          <a:extLst>
            <a:ext uri="{FF2B5EF4-FFF2-40B4-BE49-F238E27FC236}">
              <a16:creationId xmlns:a16="http://schemas.microsoft.com/office/drawing/2014/main" id="{00000000-0008-0000-0B00-00001C000000}"/>
            </a:ext>
          </a:extLst>
        </xdr:cNvPr>
        <xdr:cNvPicPr>
          <a:picLocks noChangeAspect="1" noChangeArrowheads="1"/>
        </xdr:cNvPicPr>
      </xdr:nvPicPr>
      <xdr:blipFill>
        <a:blip xmlns:r="http://schemas.openxmlformats.org/officeDocument/2006/relationships" r:embed="rId20"/>
        <a:stretch>
          <a:fillRect/>
        </a:stretch>
      </xdr:blipFill>
      <xdr:spPr bwMode="auto">
        <a:xfrm>
          <a:off x="21085758" y="15338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14</xdr:row>
      <xdr:rowOff>174455</xdr:rowOff>
    </xdr:from>
    <xdr:to>
      <xdr:col>7</xdr:col>
      <xdr:colOff>7946440</xdr:colOff>
      <xdr:row>14</xdr:row>
      <xdr:rowOff>4306271</xdr:rowOff>
    </xdr:to>
    <xdr:pic>
      <xdr:nvPicPr>
        <xdr:cNvPr id="29" name="Picture 28">
          <a:extLst>
            <a:ext uri="{FF2B5EF4-FFF2-40B4-BE49-F238E27FC236}">
              <a16:creationId xmlns:a16="http://schemas.microsoft.com/office/drawing/2014/main" id="{00000000-0008-0000-0B00-00001D000000}"/>
            </a:ext>
          </a:extLst>
        </xdr:cNvPr>
        <xdr:cNvPicPr>
          <a:picLocks noChangeAspect="1" noChangeArrowheads="1"/>
        </xdr:cNvPicPr>
      </xdr:nvPicPr>
      <xdr:blipFill>
        <a:blip xmlns:r="http://schemas.openxmlformats.org/officeDocument/2006/relationships" r:embed="rId21"/>
        <a:stretch>
          <a:fillRect/>
        </a:stretch>
      </xdr:blipFill>
      <xdr:spPr bwMode="auto">
        <a:xfrm>
          <a:off x="21085758" y="20037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16</xdr:row>
      <xdr:rowOff>174455</xdr:rowOff>
    </xdr:from>
    <xdr:to>
      <xdr:col>7</xdr:col>
      <xdr:colOff>7946440</xdr:colOff>
      <xdr:row>16</xdr:row>
      <xdr:rowOff>4306271</xdr:rowOff>
    </xdr:to>
    <xdr:pic>
      <xdr:nvPicPr>
        <xdr:cNvPr id="31" name="Picture 30">
          <a:extLst>
            <a:ext uri="{FF2B5EF4-FFF2-40B4-BE49-F238E27FC236}">
              <a16:creationId xmlns:a16="http://schemas.microsoft.com/office/drawing/2014/main" id="{00000000-0008-0000-0B00-00001F000000}"/>
            </a:ext>
          </a:extLst>
        </xdr:cNvPr>
        <xdr:cNvPicPr>
          <a:picLocks noChangeAspect="1" noChangeArrowheads="1"/>
        </xdr:cNvPicPr>
      </xdr:nvPicPr>
      <xdr:blipFill>
        <a:blip xmlns:r="http://schemas.openxmlformats.org/officeDocument/2006/relationships" r:embed="rId22"/>
        <a:stretch>
          <a:fillRect/>
        </a:stretch>
      </xdr:blipFill>
      <xdr:spPr bwMode="auto">
        <a:xfrm>
          <a:off x="21085758" y="24736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18</xdr:row>
      <xdr:rowOff>174455</xdr:rowOff>
    </xdr:from>
    <xdr:to>
      <xdr:col>7</xdr:col>
      <xdr:colOff>7946440</xdr:colOff>
      <xdr:row>18</xdr:row>
      <xdr:rowOff>4306271</xdr:rowOff>
    </xdr:to>
    <xdr:pic>
      <xdr:nvPicPr>
        <xdr:cNvPr id="33" name="Picture 32">
          <a:extLst>
            <a:ext uri="{FF2B5EF4-FFF2-40B4-BE49-F238E27FC236}">
              <a16:creationId xmlns:a16="http://schemas.microsoft.com/office/drawing/2014/main" id="{00000000-0008-0000-0B00-000021000000}"/>
            </a:ext>
          </a:extLst>
        </xdr:cNvPr>
        <xdr:cNvPicPr>
          <a:picLocks noChangeAspect="1" noChangeArrowheads="1"/>
        </xdr:cNvPicPr>
      </xdr:nvPicPr>
      <xdr:blipFill>
        <a:blip xmlns:r="http://schemas.openxmlformats.org/officeDocument/2006/relationships" r:embed="rId23"/>
        <a:stretch>
          <a:fillRect/>
        </a:stretch>
      </xdr:blipFill>
      <xdr:spPr bwMode="auto">
        <a:xfrm>
          <a:off x="21085758" y="29435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20</xdr:row>
      <xdr:rowOff>174455</xdr:rowOff>
    </xdr:from>
    <xdr:to>
      <xdr:col>7</xdr:col>
      <xdr:colOff>7946440</xdr:colOff>
      <xdr:row>20</xdr:row>
      <xdr:rowOff>4306271</xdr:rowOff>
    </xdr:to>
    <xdr:pic>
      <xdr:nvPicPr>
        <xdr:cNvPr id="34" name="Picture 33">
          <a:extLst>
            <a:ext uri="{FF2B5EF4-FFF2-40B4-BE49-F238E27FC236}">
              <a16:creationId xmlns:a16="http://schemas.microsoft.com/office/drawing/2014/main" id="{00000000-0008-0000-0B00-000022000000}"/>
            </a:ext>
          </a:extLst>
        </xdr:cNvPr>
        <xdr:cNvPicPr>
          <a:picLocks noChangeAspect="1" noChangeArrowheads="1"/>
        </xdr:cNvPicPr>
      </xdr:nvPicPr>
      <xdr:blipFill>
        <a:blip xmlns:r="http://schemas.openxmlformats.org/officeDocument/2006/relationships" r:embed="rId24"/>
        <a:stretch>
          <a:fillRect/>
        </a:stretch>
      </xdr:blipFill>
      <xdr:spPr bwMode="auto">
        <a:xfrm>
          <a:off x="21085758" y="341596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30</xdr:row>
          <xdr:rowOff>22860</xdr:rowOff>
        </xdr:from>
        <xdr:to>
          <xdr:col>6</xdr:col>
          <xdr:colOff>876300</xdr:colOff>
          <xdr:row>31</xdr:row>
          <xdr:rowOff>0</xdr:rowOff>
        </xdr:to>
        <xdr:sp macro="" textlink="">
          <xdr:nvSpPr>
            <xdr:cNvPr id="674505" name="Drop Down 713" hidden="1">
              <a:extLst>
                <a:ext uri="{63B3BB69-23CF-44E3-9099-C40C66FF867C}">
                  <a14:compatExt spid="_x0000_s674505"/>
                </a:ext>
                <a:ext uri="{FF2B5EF4-FFF2-40B4-BE49-F238E27FC236}">
                  <a16:creationId xmlns:a16="http://schemas.microsoft.com/office/drawing/2014/main" id="{00000000-0008-0000-0100-0000C9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22860</xdr:rowOff>
        </xdr:from>
        <xdr:to>
          <xdr:col>6</xdr:col>
          <xdr:colOff>876300</xdr:colOff>
          <xdr:row>32</xdr:row>
          <xdr:rowOff>0</xdr:rowOff>
        </xdr:to>
        <xdr:sp macro="" textlink="">
          <xdr:nvSpPr>
            <xdr:cNvPr id="674508" name="Drop Down 716" hidden="1">
              <a:extLst>
                <a:ext uri="{63B3BB69-23CF-44E3-9099-C40C66FF867C}">
                  <a14:compatExt spid="_x0000_s674508"/>
                </a:ext>
                <a:ext uri="{FF2B5EF4-FFF2-40B4-BE49-F238E27FC236}">
                  <a16:creationId xmlns:a16="http://schemas.microsoft.com/office/drawing/2014/main" id="{00000000-0008-0000-0100-0000CC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22860</xdr:rowOff>
        </xdr:from>
        <xdr:to>
          <xdr:col>6</xdr:col>
          <xdr:colOff>876300</xdr:colOff>
          <xdr:row>36</xdr:row>
          <xdr:rowOff>0</xdr:rowOff>
        </xdr:to>
        <xdr:sp macro="" textlink="">
          <xdr:nvSpPr>
            <xdr:cNvPr id="674527" name="Drop Down 735" hidden="1">
              <a:extLst>
                <a:ext uri="{63B3BB69-23CF-44E3-9099-C40C66FF867C}">
                  <a14:compatExt spid="_x0000_s674527"/>
                </a:ext>
                <a:ext uri="{FF2B5EF4-FFF2-40B4-BE49-F238E27FC236}">
                  <a16:creationId xmlns:a16="http://schemas.microsoft.com/office/drawing/2014/main" id="{00000000-0008-0000-0100-0000DF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22860</xdr:rowOff>
        </xdr:from>
        <xdr:to>
          <xdr:col>6</xdr:col>
          <xdr:colOff>876300</xdr:colOff>
          <xdr:row>41</xdr:row>
          <xdr:rowOff>0</xdr:rowOff>
        </xdr:to>
        <xdr:sp macro="" textlink="">
          <xdr:nvSpPr>
            <xdr:cNvPr id="674534" name="Drop Down 742" hidden="1">
              <a:extLst>
                <a:ext uri="{63B3BB69-23CF-44E3-9099-C40C66FF867C}">
                  <a14:compatExt spid="_x0000_s674534"/>
                </a:ext>
                <a:ext uri="{FF2B5EF4-FFF2-40B4-BE49-F238E27FC236}">
                  <a16:creationId xmlns:a16="http://schemas.microsoft.com/office/drawing/2014/main" id="{00000000-0008-0000-0100-0000E6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22860</xdr:rowOff>
        </xdr:from>
        <xdr:to>
          <xdr:col>6</xdr:col>
          <xdr:colOff>876300</xdr:colOff>
          <xdr:row>38</xdr:row>
          <xdr:rowOff>0</xdr:rowOff>
        </xdr:to>
        <xdr:sp macro="" textlink="">
          <xdr:nvSpPr>
            <xdr:cNvPr id="674536" name="Drop Down 744" hidden="1">
              <a:extLst>
                <a:ext uri="{63B3BB69-23CF-44E3-9099-C40C66FF867C}">
                  <a14:compatExt spid="_x0000_s674536"/>
                </a:ext>
                <a:ext uri="{FF2B5EF4-FFF2-40B4-BE49-F238E27FC236}">
                  <a16:creationId xmlns:a16="http://schemas.microsoft.com/office/drawing/2014/main" id="{00000000-0008-0000-0100-0000E8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22860</xdr:rowOff>
        </xdr:from>
        <xdr:to>
          <xdr:col>6</xdr:col>
          <xdr:colOff>876300</xdr:colOff>
          <xdr:row>37</xdr:row>
          <xdr:rowOff>0</xdr:rowOff>
        </xdr:to>
        <xdr:sp macro="" textlink="">
          <xdr:nvSpPr>
            <xdr:cNvPr id="674539" name="Drop Down 747" hidden="1">
              <a:extLst>
                <a:ext uri="{63B3BB69-23CF-44E3-9099-C40C66FF867C}">
                  <a14:compatExt spid="_x0000_s674539"/>
                </a:ext>
                <a:ext uri="{FF2B5EF4-FFF2-40B4-BE49-F238E27FC236}">
                  <a16:creationId xmlns:a16="http://schemas.microsoft.com/office/drawing/2014/main" id="{00000000-0008-0000-0100-0000EB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22860</xdr:rowOff>
        </xdr:from>
        <xdr:to>
          <xdr:col>6</xdr:col>
          <xdr:colOff>876300</xdr:colOff>
          <xdr:row>40</xdr:row>
          <xdr:rowOff>0</xdr:rowOff>
        </xdr:to>
        <xdr:sp macro="" textlink="">
          <xdr:nvSpPr>
            <xdr:cNvPr id="674540" name="Drop Down 748" hidden="1">
              <a:extLst>
                <a:ext uri="{63B3BB69-23CF-44E3-9099-C40C66FF867C}">
                  <a14:compatExt spid="_x0000_s674540"/>
                </a:ext>
                <a:ext uri="{FF2B5EF4-FFF2-40B4-BE49-F238E27FC236}">
                  <a16:creationId xmlns:a16="http://schemas.microsoft.com/office/drawing/2014/main" id="{00000000-0008-0000-0100-0000EC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41</xdr:row>
          <xdr:rowOff>22860</xdr:rowOff>
        </xdr:from>
        <xdr:to>
          <xdr:col>6</xdr:col>
          <xdr:colOff>876300</xdr:colOff>
          <xdr:row>42</xdr:row>
          <xdr:rowOff>0</xdr:rowOff>
        </xdr:to>
        <xdr:sp macro="" textlink="">
          <xdr:nvSpPr>
            <xdr:cNvPr id="674541" name="Drop Down 749" hidden="1">
              <a:extLst>
                <a:ext uri="{63B3BB69-23CF-44E3-9099-C40C66FF867C}">
                  <a14:compatExt spid="_x0000_s674541"/>
                </a:ext>
                <a:ext uri="{FF2B5EF4-FFF2-40B4-BE49-F238E27FC236}">
                  <a16:creationId xmlns:a16="http://schemas.microsoft.com/office/drawing/2014/main" id="{00000000-0008-0000-0100-0000ED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42</xdr:row>
          <xdr:rowOff>22860</xdr:rowOff>
        </xdr:from>
        <xdr:to>
          <xdr:col>6</xdr:col>
          <xdr:colOff>876300</xdr:colOff>
          <xdr:row>43</xdr:row>
          <xdr:rowOff>0</xdr:rowOff>
        </xdr:to>
        <xdr:sp macro="" textlink="">
          <xdr:nvSpPr>
            <xdr:cNvPr id="674542" name="Drop Down 750" hidden="1">
              <a:extLst>
                <a:ext uri="{63B3BB69-23CF-44E3-9099-C40C66FF867C}">
                  <a14:compatExt spid="_x0000_s674542"/>
                </a:ext>
                <a:ext uri="{FF2B5EF4-FFF2-40B4-BE49-F238E27FC236}">
                  <a16:creationId xmlns:a16="http://schemas.microsoft.com/office/drawing/2014/main" id="{00000000-0008-0000-0100-0000EE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22860</xdr:rowOff>
        </xdr:from>
        <xdr:to>
          <xdr:col>6</xdr:col>
          <xdr:colOff>876300</xdr:colOff>
          <xdr:row>44</xdr:row>
          <xdr:rowOff>0</xdr:rowOff>
        </xdr:to>
        <xdr:sp macro="" textlink="">
          <xdr:nvSpPr>
            <xdr:cNvPr id="674543" name="Drop Down 751" hidden="1">
              <a:extLst>
                <a:ext uri="{63B3BB69-23CF-44E3-9099-C40C66FF867C}">
                  <a14:compatExt spid="_x0000_s674543"/>
                </a:ext>
                <a:ext uri="{FF2B5EF4-FFF2-40B4-BE49-F238E27FC236}">
                  <a16:creationId xmlns:a16="http://schemas.microsoft.com/office/drawing/2014/main" id="{00000000-0008-0000-0100-0000EF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22860</xdr:rowOff>
        </xdr:from>
        <xdr:to>
          <xdr:col>6</xdr:col>
          <xdr:colOff>876300</xdr:colOff>
          <xdr:row>35</xdr:row>
          <xdr:rowOff>0</xdr:rowOff>
        </xdr:to>
        <xdr:sp macro="" textlink="">
          <xdr:nvSpPr>
            <xdr:cNvPr id="674544" name="Drop Down 752" hidden="1">
              <a:extLst>
                <a:ext uri="{63B3BB69-23CF-44E3-9099-C40C66FF867C}">
                  <a14:compatExt spid="_x0000_s674544"/>
                </a:ext>
                <a:ext uri="{FF2B5EF4-FFF2-40B4-BE49-F238E27FC236}">
                  <a16:creationId xmlns:a16="http://schemas.microsoft.com/office/drawing/2014/main" id="{00000000-0008-0000-0100-0000F0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44</xdr:row>
          <xdr:rowOff>22860</xdr:rowOff>
        </xdr:from>
        <xdr:to>
          <xdr:col>6</xdr:col>
          <xdr:colOff>876300</xdr:colOff>
          <xdr:row>45</xdr:row>
          <xdr:rowOff>0</xdr:rowOff>
        </xdr:to>
        <xdr:sp macro="" textlink="">
          <xdr:nvSpPr>
            <xdr:cNvPr id="674632" name="Drop Down 840" hidden="1">
              <a:extLst>
                <a:ext uri="{63B3BB69-23CF-44E3-9099-C40C66FF867C}">
                  <a14:compatExt spid="_x0000_s674632"/>
                </a:ext>
                <a:ext uri="{FF2B5EF4-FFF2-40B4-BE49-F238E27FC236}">
                  <a16:creationId xmlns:a16="http://schemas.microsoft.com/office/drawing/2014/main" id="{00000000-0008-0000-0100-0000484B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22860</xdr:rowOff>
        </xdr:from>
        <xdr:to>
          <xdr:col>6</xdr:col>
          <xdr:colOff>876300</xdr:colOff>
          <xdr:row>34</xdr:row>
          <xdr:rowOff>0</xdr:rowOff>
        </xdr:to>
        <xdr:sp macro="" textlink="">
          <xdr:nvSpPr>
            <xdr:cNvPr id="674633" name="Drop Down 841" hidden="1">
              <a:extLst>
                <a:ext uri="{63B3BB69-23CF-44E3-9099-C40C66FF867C}">
                  <a14:compatExt spid="_x0000_s674633"/>
                </a:ext>
                <a:ext uri="{FF2B5EF4-FFF2-40B4-BE49-F238E27FC236}">
                  <a16:creationId xmlns:a16="http://schemas.microsoft.com/office/drawing/2014/main" id="{00000000-0008-0000-0100-0000494B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370999</xdr:colOff>
          <xdr:row>0</xdr:row>
          <xdr:rowOff>95250</xdr:rowOff>
        </xdr:from>
        <xdr:to>
          <xdr:col>7</xdr:col>
          <xdr:colOff>906899</xdr:colOff>
          <xdr:row>26</xdr:row>
          <xdr:rowOff>57258</xdr:rowOff>
        </xdr:to>
        <xdr:pic>
          <xdr:nvPicPr>
            <xdr:cNvPr id="77" name="Picture 8888">
              <a:extLst>
                <a:ext uri="{FF2B5EF4-FFF2-40B4-BE49-F238E27FC236}">
                  <a16:creationId xmlns:a16="http://schemas.microsoft.com/office/drawing/2014/main" id="{00000000-0008-0000-0100-00004D000000}"/>
                </a:ext>
              </a:extLst>
            </xdr:cNvPr>
            <xdr:cNvPicPr>
              <a:picLocks noChangeAspect="1" noChangeArrowheads="1"/>
              <a:extLst>
                <a:ext uri="{84589F7E-364E-4C9E-8A38-B11213B215E9}">
                  <a14:cameraTool cellRange="PICTURE1" spid="_x0000_s764419"/>
                </a:ext>
              </a:extLst>
            </xdr:cNvPicPr>
          </xdr:nvPicPr>
          <xdr:blipFill>
            <a:blip xmlns:r="http://schemas.openxmlformats.org/officeDocument/2006/relationships" r:embed="rId1"/>
            <a:srcRect/>
            <a:stretch>
              <a:fillRect/>
            </a:stretch>
          </xdr:blipFill>
          <xdr:spPr bwMode="auto">
            <a:xfrm>
              <a:off x="370999" y="95250"/>
              <a:ext cx="7636857" cy="4125399"/>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twoCellAnchor>
    <xdr:from>
      <xdr:col>1</xdr:col>
      <xdr:colOff>437308</xdr:colOff>
      <xdr:row>10</xdr:row>
      <xdr:rowOff>67668</xdr:rowOff>
    </xdr:from>
    <xdr:to>
      <xdr:col>1</xdr:col>
      <xdr:colOff>760148</xdr:colOff>
      <xdr:row>11</xdr:row>
      <xdr:rowOff>139781</xdr:rowOff>
    </xdr:to>
    <xdr:sp macro="" textlink="">
      <xdr:nvSpPr>
        <xdr:cNvPr id="78" name="Text Box 244">
          <a:extLst>
            <a:ext uri="{FF2B5EF4-FFF2-40B4-BE49-F238E27FC236}">
              <a16:creationId xmlns:a16="http://schemas.microsoft.com/office/drawing/2014/main" id="{00000000-0008-0000-0100-00004E000000}"/>
            </a:ext>
          </a:extLst>
        </xdr:cNvPr>
        <xdr:cNvSpPr txBox="1">
          <a:spLocks noChangeArrowheads="1"/>
        </xdr:cNvSpPr>
      </xdr:nvSpPr>
      <xdr:spPr bwMode="auto">
        <a:xfrm>
          <a:off x="1105438" y="1668972"/>
          <a:ext cx="322840" cy="232244"/>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C</a:t>
          </a:r>
          <a:r>
            <a:rPr lang="en-US" sz="1100" b="0" i="0" strike="noStrike" baseline="-25000">
              <a:solidFill>
                <a:srgbClr val="000000"/>
              </a:solidFill>
              <a:latin typeface="Arial" pitchFamily="34" charset="0"/>
              <a:cs typeface="Arial" pitchFamily="34" charset="0"/>
            </a:rPr>
            <a:t>IN</a:t>
          </a:r>
        </a:p>
      </xdr:txBody>
    </xdr:sp>
    <xdr:clientData/>
  </xdr:twoCellAnchor>
  <xdr:twoCellAnchor>
    <xdr:from>
      <xdr:col>5</xdr:col>
      <xdr:colOff>284378</xdr:colOff>
      <xdr:row>9</xdr:row>
      <xdr:rowOff>30478</xdr:rowOff>
    </xdr:from>
    <xdr:to>
      <xdr:col>5</xdr:col>
      <xdr:colOff>834448</xdr:colOff>
      <xdr:row>10</xdr:row>
      <xdr:rowOff>51718</xdr:rowOff>
    </xdr:to>
    <xdr:sp macro="" textlink="'Variable Mgmt'!B221">
      <xdr:nvSpPr>
        <xdr:cNvPr id="79" name="Text Box 267">
          <a:extLst>
            <a:ext uri="{FF2B5EF4-FFF2-40B4-BE49-F238E27FC236}">
              <a16:creationId xmlns:a16="http://schemas.microsoft.com/office/drawing/2014/main" id="{00000000-0008-0000-0100-00004F000000}"/>
            </a:ext>
          </a:extLst>
        </xdr:cNvPr>
        <xdr:cNvSpPr txBox="1">
          <a:spLocks noChangeArrowheads="1" noTextEdit="1"/>
        </xdr:cNvSpPr>
      </xdr:nvSpPr>
      <xdr:spPr bwMode="auto">
        <a:xfrm>
          <a:off x="5309161" y="1471652"/>
          <a:ext cx="550070" cy="181370"/>
        </a:xfrm>
        <a:prstGeom prst="rect">
          <a:avLst/>
        </a:prstGeom>
        <a:noFill/>
        <a:ln w="9525">
          <a:noFill/>
          <a:miter lim="800000"/>
          <a:headEnd/>
          <a:tailEnd/>
        </a:ln>
      </xdr:spPr>
      <xdr:txBody>
        <a:bodyPr vertOverflow="clip" wrap="square" lIns="27432" tIns="22860" rIns="0" bIns="0" anchor="ctr" upright="1"/>
        <a:lstStyle/>
        <a:p>
          <a:pPr algn="l" rtl="0">
            <a:defRPr sz="1000"/>
          </a:pPr>
          <a:fld id="{DEF62FD0-959B-4627-B7E8-61CA1688D174}" type="TxLink">
            <a:rPr lang="en-US" sz="800" b="0" i="0" u="none" strike="noStrike" baseline="0">
              <a:solidFill>
                <a:srgbClr val="000000"/>
              </a:solidFill>
              <a:latin typeface="Arial" pitchFamily="34" charset="0"/>
              <a:cs typeface="Arial" pitchFamily="34" charset="0"/>
            </a:rPr>
            <a:pPr algn="l" rtl="0">
              <a:defRPr sz="1000"/>
            </a:pPr>
            <a:t>10µF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4</xdr:col>
      <xdr:colOff>356563</xdr:colOff>
      <xdr:row>4</xdr:row>
      <xdr:rowOff>127871</xdr:rowOff>
    </xdr:from>
    <xdr:to>
      <xdr:col>4</xdr:col>
      <xdr:colOff>808168</xdr:colOff>
      <xdr:row>6</xdr:row>
      <xdr:rowOff>62470</xdr:rowOff>
    </xdr:to>
    <xdr:sp macro="" textlink="'Variable Mgmt'!B207">
      <xdr:nvSpPr>
        <xdr:cNvPr id="80" name="Text Box 275">
          <a:extLst>
            <a:ext uri="{FF2B5EF4-FFF2-40B4-BE49-F238E27FC236}">
              <a16:creationId xmlns:a16="http://schemas.microsoft.com/office/drawing/2014/main" id="{00000000-0008-0000-0100-000050000000}"/>
            </a:ext>
          </a:extLst>
        </xdr:cNvPr>
        <xdr:cNvSpPr txBox="1">
          <a:spLocks noChangeArrowheads="1" noTextEdit="1"/>
        </xdr:cNvSpPr>
      </xdr:nvSpPr>
      <xdr:spPr bwMode="auto">
        <a:xfrm>
          <a:off x="4172085" y="768393"/>
          <a:ext cx="451605" cy="254860"/>
        </a:xfrm>
        <a:prstGeom prst="rect">
          <a:avLst/>
        </a:prstGeom>
        <a:noFill/>
        <a:ln w="9525">
          <a:noFill/>
          <a:miter lim="800000"/>
          <a:headEnd/>
          <a:tailEnd/>
        </a:ln>
      </xdr:spPr>
      <xdr:txBody>
        <a:bodyPr vertOverflow="clip" wrap="square" lIns="27432" tIns="22860" rIns="0" bIns="0" anchor="ctr" upright="1"/>
        <a:lstStyle/>
        <a:p>
          <a:pPr algn="ctr" rtl="0">
            <a:defRPr sz="1000"/>
          </a:pPr>
          <a:fld id="{08583DE7-3129-476B-98BE-2887A134E956}" type="TxLink">
            <a:rPr lang="en-US" sz="800" b="0" i="0" u="none" strike="noStrike" baseline="0">
              <a:solidFill>
                <a:srgbClr val="000000"/>
              </a:solidFill>
              <a:latin typeface="Arial" pitchFamily="34" charset="0"/>
              <a:cs typeface="Arial" pitchFamily="34" charset="0"/>
            </a:rPr>
            <a:pPr algn="ctr" rtl="0">
              <a:defRPr sz="1000"/>
            </a:pPr>
            <a:t>60µH</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xdr:col>
      <xdr:colOff>324307</xdr:colOff>
      <xdr:row>11</xdr:row>
      <xdr:rowOff>107415</xdr:rowOff>
    </xdr:from>
    <xdr:to>
      <xdr:col>2</xdr:col>
      <xdr:colOff>32056</xdr:colOff>
      <xdr:row>12</xdr:row>
      <xdr:rowOff>143562</xdr:rowOff>
    </xdr:to>
    <xdr:sp macro="" textlink="'Variable Mgmt'!B226">
      <xdr:nvSpPr>
        <xdr:cNvPr id="81" name="Text Box 276">
          <a:extLst>
            <a:ext uri="{FF2B5EF4-FFF2-40B4-BE49-F238E27FC236}">
              <a16:creationId xmlns:a16="http://schemas.microsoft.com/office/drawing/2014/main" id="{00000000-0008-0000-0100-000051000000}"/>
            </a:ext>
          </a:extLst>
        </xdr:cNvPr>
        <xdr:cNvSpPr txBox="1">
          <a:spLocks noChangeArrowheads="1" noTextEdit="1"/>
        </xdr:cNvSpPr>
      </xdr:nvSpPr>
      <xdr:spPr bwMode="auto">
        <a:xfrm>
          <a:off x="992437" y="1868850"/>
          <a:ext cx="508402" cy="196277"/>
        </a:xfrm>
        <a:prstGeom prst="rect">
          <a:avLst/>
        </a:prstGeom>
        <a:noFill/>
        <a:ln w="9525">
          <a:noFill/>
          <a:miter lim="800000"/>
          <a:headEnd/>
          <a:tailEnd/>
        </a:ln>
      </xdr:spPr>
      <xdr:txBody>
        <a:bodyPr vertOverflow="clip" wrap="square" lIns="27432" tIns="22860" rIns="0" bIns="0" anchor="ctr" upright="1"/>
        <a:lstStyle/>
        <a:p>
          <a:pPr algn="ctr" rtl="0">
            <a:defRPr sz="1000"/>
          </a:pPr>
          <a:fld id="{7E8F3901-1453-4951-8E28-510E65401D4C}" type="TxLink">
            <a:rPr lang="en-US" sz="800" b="0" i="0" u="none" strike="noStrike" baseline="0">
              <a:solidFill>
                <a:srgbClr val="000000"/>
              </a:solidFill>
              <a:latin typeface="Arial" pitchFamily="34" charset="0"/>
              <a:cs typeface="Arial" pitchFamily="34" charset="0"/>
            </a:rPr>
            <a:pPr algn="ctr" rtl="0">
              <a:defRPr sz="1000"/>
            </a:pPr>
            <a:t>10µF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xdr:col>
      <xdr:colOff>773104</xdr:colOff>
      <xdr:row>21</xdr:row>
      <xdr:rowOff>15667</xdr:rowOff>
    </xdr:from>
    <xdr:to>
      <xdr:col>2</xdr:col>
      <xdr:colOff>416419</xdr:colOff>
      <xdr:row>22</xdr:row>
      <xdr:rowOff>134199</xdr:rowOff>
    </xdr:to>
    <xdr:sp macro="" textlink="'Variable Mgmt'!D253">
      <xdr:nvSpPr>
        <xdr:cNvPr id="82" name="Text Box 281">
          <a:extLst>
            <a:ext uri="{FF2B5EF4-FFF2-40B4-BE49-F238E27FC236}">
              <a16:creationId xmlns:a16="http://schemas.microsoft.com/office/drawing/2014/main" id="{00000000-0008-0000-0100-000052000000}"/>
            </a:ext>
          </a:extLst>
        </xdr:cNvPr>
        <xdr:cNvSpPr txBox="1">
          <a:spLocks noChangeArrowheads="1" noTextEdit="1"/>
        </xdr:cNvSpPr>
      </xdr:nvSpPr>
      <xdr:spPr bwMode="auto">
        <a:xfrm>
          <a:off x="1441234" y="3378406"/>
          <a:ext cx="443968" cy="278663"/>
        </a:xfrm>
        <a:prstGeom prst="rect">
          <a:avLst/>
        </a:prstGeom>
        <a:noFill/>
        <a:ln w="9525">
          <a:noFill/>
          <a:miter lim="800000"/>
          <a:headEnd/>
          <a:tailEnd/>
        </a:ln>
      </xdr:spPr>
      <xdr:txBody>
        <a:bodyPr vertOverflow="clip" wrap="square" lIns="27432" tIns="22860" rIns="0" bIns="0" anchor="ctr" upright="1"/>
        <a:lstStyle/>
        <a:p>
          <a:pPr algn="l" rtl="0">
            <a:defRPr sz="1000"/>
          </a:pPr>
          <a:fld id="{F2115F91-8BFD-4C9B-9969-8B2C04ADF4C5}" type="TxLink">
            <a:rPr lang="en-US" sz="800" b="0" i="0" u="none" strike="noStrike">
              <a:solidFill>
                <a:srgbClr val="000000"/>
              </a:solidFill>
              <a:latin typeface="Arial"/>
              <a:cs typeface="Arial"/>
            </a:rPr>
            <a:pPr algn="l" rtl="0">
              <a:defRPr sz="1000"/>
            </a:pPr>
            <a:t> </a:t>
          </a:fld>
          <a:endParaRPr lang="en-US" sz="800" b="0" i="0" strike="noStrike">
            <a:solidFill>
              <a:srgbClr val="000000"/>
            </a:solidFill>
            <a:latin typeface="Arial" pitchFamily="34" charset="0"/>
            <a:cs typeface="Arial" pitchFamily="34" charset="0"/>
          </a:endParaRPr>
        </a:p>
      </xdr:txBody>
    </xdr:sp>
    <xdr:clientData/>
  </xdr:twoCellAnchor>
  <xdr:twoCellAnchor>
    <xdr:from>
      <xdr:col>0</xdr:col>
      <xdr:colOff>571314</xdr:colOff>
      <xdr:row>4</xdr:row>
      <xdr:rowOff>24656</xdr:rowOff>
    </xdr:from>
    <xdr:to>
      <xdr:col>1</xdr:col>
      <xdr:colOff>445666</xdr:colOff>
      <xdr:row>6</xdr:row>
      <xdr:rowOff>157846</xdr:rowOff>
    </xdr:to>
    <xdr:sp macro="" textlink="'Variable Mgmt'!B213">
      <xdr:nvSpPr>
        <xdr:cNvPr id="85" name="Text Box 283">
          <a:extLst>
            <a:ext uri="{FF2B5EF4-FFF2-40B4-BE49-F238E27FC236}">
              <a16:creationId xmlns:a16="http://schemas.microsoft.com/office/drawing/2014/main" id="{00000000-0008-0000-0100-000055000000}"/>
            </a:ext>
          </a:extLst>
        </xdr:cNvPr>
        <xdr:cNvSpPr txBox="1">
          <a:spLocks noChangeArrowheads="1" noTextEdit="1"/>
        </xdr:cNvSpPr>
      </xdr:nvSpPr>
      <xdr:spPr bwMode="auto">
        <a:xfrm>
          <a:off x="571314" y="665178"/>
          <a:ext cx="542482" cy="453451"/>
        </a:xfrm>
        <a:prstGeom prst="rect">
          <a:avLst/>
        </a:prstGeom>
        <a:noFill/>
        <a:ln w="9525">
          <a:noFill/>
          <a:miter lim="800000"/>
          <a:headEnd/>
          <a:tailEnd/>
        </a:ln>
      </xdr:spPr>
      <xdr:txBody>
        <a:bodyPr vertOverflow="clip" wrap="square" lIns="27432" tIns="22860" rIns="0" bIns="0" anchor="ctr" upright="1"/>
        <a:lstStyle/>
        <a:p>
          <a:pPr algn="r" rtl="0">
            <a:defRPr sz="1000"/>
          </a:pPr>
          <a:fld id="{211B0151-B00E-493E-8C8F-6E492416D93B}" type="TxLink">
            <a:rPr lang="en-US" sz="1400" b="1" i="0" u="none" strike="noStrike">
              <a:solidFill>
                <a:srgbClr val="FF0000"/>
              </a:solidFill>
              <a:latin typeface="Arial" pitchFamily="34" charset="0"/>
              <a:cs typeface="Arial" pitchFamily="34" charset="0"/>
            </a:rPr>
            <a:pPr algn="r" rtl="0">
              <a:defRPr sz="1000"/>
            </a:pPr>
            <a:t>20V</a:t>
          </a:fld>
          <a:endParaRPr lang="en-US" sz="1400" b="1" i="0" strike="noStrike">
            <a:solidFill>
              <a:srgbClr val="FF0000"/>
            </a:solidFill>
            <a:latin typeface="Arial" pitchFamily="34" charset="0"/>
            <a:cs typeface="Arial" pitchFamily="34" charset="0"/>
          </a:endParaRPr>
        </a:p>
      </xdr:txBody>
    </xdr:sp>
    <xdr:clientData/>
  </xdr:twoCellAnchor>
  <xdr:twoCellAnchor>
    <xdr:from>
      <xdr:col>6</xdr:col>
      <xdr:colOff>1014449</xdr:colOff>
      <xdr:row>4</xdr:row>
      <xdr:rowOff>52892</xdr:rowOff>
    </xdr:from>
    <xdr:to>
      <xdr:col>7</xdr:col>
      <xdr:colOff>548886</xdr:colOff>
      <xdr:row>6</xdr:row>
      <xdr:rowOff>75671</xdr:rowOff>
    </xdr:to>
    <xdr:sp macro="" textlink="'Variable Mgmt'!B216">
      <xdr:nvSpPr>
        <xdr:cNvPr id="87" name="Text Box 285">
          <a:extLst>
            <a:ext uri="{FF2B5EF4-FFF2-40B4-BE49-F238E27FC236}">
              <a16:creationId xmlns:a16="http://schemas.microsoft.com/office/drawing/2014/main" id="{00000000-0008-0000-0100-000057000000}"/>
            </a:ext>
          </a:extLst>
        </xdr:cNvPr>
        <xdr:cNvSpPr txBox="1">
          <a:spLocks noChangeArrowheads="1" noTextEdit="1"/>
        </xdr:cNvSpPr>
      </xdr:nvSpPr>
      <xdr:spPr bwMode="auto">
        <a:xfrm>
          <a:off x="6983449" y="693414"/>
          <a:ext cx="666394" cy="343040"/>
        </a:xfrm>
        <a:prstGeom prst="rect">
          <a:avLst/>
        </a:prstGeom>
        <a:noFill/>
        <a:ln w="9525">
          <a:noFill/>
          <a:miter lim="800000"/>
          <a:headEnd/>
          <a:tailEnd/>
        </a:ln>
      </xdr:spPr>
      <xdr:txBody>
        <a:bodyPr vertOverflow="clip" wrap="square" lIns="27432" tIns="22860" rIns="0" bIns="0" anchor="ctr" upright="1"/>
        <a:lstStyle/>
        <a:p>
          <a:pPr algn="l" rtl="0">
            <a:defRPr sz="1000"/>
          </a:pPr>
          <a:fld id="{702C2B8A-7C4B-4FDB-B229-3170089D9686}" type="TxLink">
            <a:rPr lang="en-US" sz="1400" b="1" i="0" u="none" strike="noStrike" baseline="0">
              <a:solidFill>
                <a:srgbClr val="FF0000"/>
              </a:solidFill>
              <a:latin typeface="Arial" pitchFamily="34" charset="0"/>
              <a:cs typeface="Arial" pitchFamily="34" charset="0"/>
            </a:rPr>
            <a:pPr algn="l" rtl="0">
              <a:defRPr sz="1000"/>
            </a:pPr>
            <a:t>20V</a:t>
          </a:fld>
          <a:endParaRPr lang="en-US" sz="1400" b="1" i="0" u="none" strike="noStrike" baseline="0">
            <a:solidFill>
              <a:srgbClr val="FF0000"/>
            </a:solidFill>
            <a:latin typeface="Arial" pitchFamily="34" charset="0"/>
            <a:cs typeface="Arial" pitchFamily="34" charset="0"/>
          </a:endParaRPr>
        </a:p>
      </xdr:txBody>
    </xdr:sp>
    <xdr:clientData/>
  </xdr:twoCellAnchor>
  <xdr:twoCellAnchor>
    <xdr:from>
      <xdr:col>6</xdr:col>
      <xdr:colOff>926501</xdr:colOff>
      <xdr:row>5</xdr:row>
      <xdr:rowOff>145742</xdr:rowOff>
    </xdr:from>
    <xdr:to>
      <xdr:col>7</xdr:col>
      <xdr:colOff>346993</xdr:colOff>
      <xdr:row>7</xdr:row>
      <xdr:rowOff>126182</xdr:rowOff>
    </xdr:to>
    <xdr:sp macro="" textlink="'Variable Mgmt'!B271">
      <xdr:nvSpPr>
        <xdr:cNvPr id="88" name="Text Box 286">
          <a:extLst>
            <a:ext uri="{FF2B5EF4-FFF2-40B4-BE49-F238E27FC236}">
              <a16:creationId xmlns:a16="http://schemas.microsoft.com/office/drawing/2014/main" id="{00000000-0008-0000-0100-000058000000}"/>
            </a:ext>
          </a:extLst>
        </xdr:cNvPr>
        <xdr:cNvSpPr txBox="1">
          <a:spLocks noChangeArrowheads="1" noTextEdit="1"/>
        </xdr:cNvSpPr>
      </xdr:nvSpPr>
      <xdr:spPr bwMode="auto">
        <a:xfrm>
          <a:off x="6895501" y="946394"/>
          <a:ext cx="552449" cy="300701"/>
        </a:xfrm>
        <a:prstGeom prst="rect">
          <a:avLst/>
        </a:prstGeom>
        <a:noFill/>
        <a:ln w="9525">
          <a:noFill/>
          <a:miter lim="800000"/>
          <a:headEnd/>
          <a:tailEnd/>
        </a:ln>
      </xdr:spPr>
      <xdr:txBody>
        <a:bodyPr vertOverflow="clip" wrap="square" lIns="27432" tIns="22860" rIns="0" bIns="0" anchor="ctr" upright="1"/>
        <a:lstStyle/>
        <a:p>
          <a:pPr algn="ctr" rtl="0">
            <a:defRPr sz="1000"/>
          </a:pPr>
          <a:fld id="{E0FB88FA-F39E-4ACF-AB5E-DCB628763AAE}" type="TxLink">
            <a:rPr lang="en-US" sz="1000" b="1" i="0" u="none" strike="noStrike">
              <a:solidFill>
                <a:srgbClr val="FF0000"/>
              </a:solidFill>
              <a:latin typeface="Arial" pitchFamily="34" charset="0"/>
              <a:cs typeface="Arial" pitchFamily="34" charset="0"/>
            </a:rPr>
            <a:pPr algn="ctr" rtl="0">
              <a:defRPr sz="1000"/>
            </a:pPr>
            <a:t>0.1A</a:t>
          </a:fld>
          <a:endParaRPr lang="en-US" sz="1000" b="1" i="0" strike="noStrike">
            <a:solidFill>
              <a:srgbClr val="FF0000"/>
            </a:solidFill>
            <a:latin typeface="Arial" pitchFamily="34" charset="0"/>
            <a:cs typeface="Arial" pitchFamily="34" charset="0"/>
          </a:endParaRPr>
        </a:p>
      </xdr:txBody>
    </xdr:sp>
    <xdr:clientData/>
  </xdr:twoCellAnchor>
  <xdr:twoCellAnchor>
    <xdr:from>
      <xdr:col>2</xdr:col>
      <xdr:colOff>73794</xdr:colOff>
      <xdr:row>8</xdr:row>
      <xdr:rowOff>55189</xdr:rowOff>
    </xdr:from>
    <xdr:to>
      <xdr:col>2</xdr:col>
      <xdr:colOff>598492</xdr:colOff>
      <xdr:row>9</xdr:row>
      <xdr:rowOff>144998</xdr:rowOff>
    </xdr:to>
    <xdr:sp macro="" textlink="'Variable Mgmt'!C245">
      <xdr:nvSpPr>
        <xdr:cNvPr id="92" name="Text Box 268">
          <a:extLst>
            <a:ext uri="{FF2B5EF4-FFF2-40B4-BE49-F238E27FC236}">
              <a16:creationId xmlns:a16="http://schemas.microsoft.com/office/drawing/2014/main" id="{00000000-0008-0000-0100-00005C000000}"/>
            </a:ext>
          </a:extLst>
        </xdr:cNvPr>
        <xdr:cNvSpPr txBox="1">
          <a:spLocks noChangeArrowheads="1" noTextEdit="1"/>
        </xdr:cNvSpPr>
      </xdr:nvSpPr>
      <xdr:spPr bwMode="auto">
        <a:xfrm>
          <a:off x="1542577" y="1336232"/>
          <a:ext cx="524698" cy="249940"/>
        </a:xfrm>
        <a:prstGeom prst="rect">
          <a:avLst/>
        </a:prstGeom>
        <a:noFill/>
        <a:ln w="9525">
          <a:noFill/>
          <a:miter lim="800000"/>
          <a:headEnd/>
          <a:tailEnd/>
        </a:ln>
      </xdr:spPr>
      <xdr:txBody>
        <a:bodyPr vertOverflow="clip" wrap="square" lIns="27432" tIns="22860" rIns="0" bIns="0" anchor="ctr" upright="1"/>
        <a:lstStyle/>
        <a:p>
          <a:pPr algn="l" rtl="0">
            <a:defRPr sz="1000"/>
          </a:pPr>
          <a:fld id="{9F0ED324-D4DC-458E-AFDF-B2BC6995B894}" type="TxLink">
            <a:rPr lang="en-US" sz="800" b="0" i="0" u="none" strike="noStrike">
              <a:solidFill>
                <a:srgbClr val="000000"/>
              </a:solidFill>
              <a:latin typeface="Arial"/>
              <a:cs typeface="Arial"/>
            </a:rPr>
            <a:pPr algn="l" rtl="0">
              <a:defRPr sz="1000"/>
            </a:pPr>
            <a:t> </a:t>
          </a:fld>
          <a:endParaRPr lang="el-GR" sz="800" b="0" i="0" strike="noStrike">
            <a:solidFill>
              <a:srgbClr val="000000"/>
            </a:solidFill>
            <a:latin typeface="Arial" pitchFamily="34" charset="0"/>
            <a:cs typeface="Arial" pitchFamily="34" charset="0"/>
          </a:endParaRPr>
        </a:p>
      </xdr:txBody>
    </xdr:sp>
    <xdr:clientData/>
  </xdr:twoCellAnchor>
  <xdr:twoCellAnchor>
    <xdr:from>
      <xdr:col>2</xdr:col>
      <xdr:colOff>49223</xdr:colOff>
      <xdr:row>14</xdr:row>
      <xdr:rowOff>21690</xdr:rowOff>
    </xdr:from>
    <xdr:to>
      <xdr:col>2</xdr:col>
      <xdr:colOff>573921</xdr:colOff>
      <xdr:row>15</xdr:row>
      <xdr:rowOff>76082</xdr:rowOff>
    </xdr:to>
    <xdr:sp macro="" textlink="'Variable Mgmt'!C246">
      <xdr:nvSpPr>
        <xdr:cNvPr id="93" name="Text Box 268">
          <a:extLst>
            <a:ext uri="{FF2B5EF4-FFF2-40B4-BE49-F238E27FC236}">
              <a16:creationId xmlns:a16="http://schemas.microsoft.com/office/drawing/2014/main" id="{00000000-0008-0000-0100-00005D000000}"/>
            </a:ext>
          </a:extLst>
        </xdr:cNvPr>
        <xdr:cNvSpPr txBox="1">
          <a:spLocks noChangeArrowheads="1" noTextEdit="1"/>
        </xdr:cNvSpPr>
      </xdr:nvSpPr>
      <xdr:spPr bwMode="auto">
        <a:xfrm>
          <a:off x="1518006" y="2263516"/>
          <a:ext cx="524698" cy="214523"/>
        </a:xfrm>
        <a:prstGeom prst="rect">
          <a:avLst/>
        </a:prstGeom>
        <a:noFill/>
        <a:ln w="9525">
          <a:noFill/>
          <a:miter lim="800000"/>
          <a:headEnd/>
          <a:tailEnd/>
        </a:ln>
      </xdr:spPr>
      <xdr:txBody>
        <a:bodyPr vertOverflow="clip" wrap="square" lIns="27432" tIns="22860" rIns="0" bIns="0" anchor="ctr" upright="1"/>
        <a:lstStyle/>
        <a:p>
          <a:pPr algn="l" rtl="0">
            <a:defRPr sz="1000"/>
          </a:pPr>
          <a:fld id="{34FF5C9F-E605-45FC-B7D1-F0CC0D61FE72}" type="TxLink">
            <a:rPr lang="en-US" sz="800" b="0" i="0" u="none" strike="noStrike">
              <a:solidFill>
                <a:srgbClr val="000000"/>
              </a:solidFill>
              <a:latin typeface="Arial"/>
              <a:cs typeface="Arial"/>
            </a:rPr>
            <a:pPr algn="l" rtl="0">
              <a:defRPr sz="1000"/>
            </a:pPr>
            <a:t> </a:t>
          </a:fld>
          <a:endParaRPr lang="el-GR" sz="800" b="0" i="0" strike="noStrike">
            <a:solidFill>
              <a:srgbClr val="000000"/>
            </a:solidFill>
            <a:latin typeface="Arial" pitchFamily="34" charset="0"/>
            <a:cs typeface="Arial" pitchFamily="34" charset="0"/>
          </a:endParaRPr>
        </a:p>
      </xdr:txBody>
    </xdr:sp>
    <xdr:clientData/>
  </xdr:twoCellAnchor>
  <xdr:twoCellAnchor>
    <xdr:from>
      <xdr:col>3</xdr:col>
      <xdr:colOff>1261621</xdr:colOff>
      <xdr:row>14</xdr:row>
      <xdr:rowOff>138379</xdr:rowOff>
    </xdr:from>
    <xdr:to>
      <xdr:col>4</xdr:col>
      <xdr:colOff>432279</xdr:colOff>
      <xdr:row>16</xdr:row>
      <xdr:rowOff>60821</xdr:rowOff>
    </xdr:to>
    <xdr:sp macro="" textlink="'Variable Mgmt'!C235">
      <xdr:nvSpPr>
        <xdr:cNvPr id="94" name="Text Box 268">
          <a:extLst>
            <a:ext uri="{FF2B5EF4-FFF2-40B4-BE49-F238E27FC236}">
              <a16:creationId xmlns:a16="http://schemas.microsoft.com/office/drawing/2014/main" id="{00000000-0008-0000-0100-00005E000000}"/>
            </a:ext>
          </a:extLst>
        </xdr:cNvPr>
        <xdr:cNvSpPr txBox="1">
          <a:spLocks noChangeArrowheads="1" noTextEdit="1"/>
        </xdr:cNvSpPr>
      </xdr:nvSpPr>
      <xdr:spPr bwMode="auto">
        <a:xfrm>
          <a:off x="3669099" y="2380205"/>
          <a:ext cx="578702" cy="242703"/>
        </a:xfrm>
        <a:prstGeom prst="rect">
          <a:avLst/>
        </a:prstGeom>
        <a:noFill/>
        <a:ln w="9525">
          <a:noFill/>
          <a:miter lim="800000"/>
          <a:headEnd/>
          <a:tailEnd/>
        </a:ln>
      </xdr:spPr>
      <xdr:txBody>
        <a:bodyPr vertOverflow="clip" wrap="square" lIns="27432" tIns="22860" rIns="0" bIns="0" anchor="ctr" upright="1"/>
        <a:lstStyle/>
        <a:p>
          <a:pPr algn="l" rtl="0">
            <a:defRPr sz="1000"/>
          </a:pPr>
          <a:fld id="{748954DB-E280-498C-BC91-9439B9EC7524}" type="TxLink">
            <a:rPr lang="en-US" sz="800" b="0" i="0" u="none" strike="noStrike">
              <a:solidFill>
                <a:srgbClr val="000000"/>
              </a:solidFill>
              <a:latin typeface="Arial"/>
              <a:cs typeface="Arial"/>
            </a:rPr>
            <a:pPr algn="l" rtl="0">
              <a:defRPr sz="1000"/>
            </a:pPr>
            <a:t>203.2kΩ</a:t>
          </a:fld>
          <a:endParaRPr lang="el-GR" sz="800" b="0" i="0" strike="noStrike">
            <a:solidFill>
              <a:srgbClr val="000000"/>
            </a:solidFill>
            <a:latin typeface="Arial" pitchFamily="34" charset="0"/>
            <a:cs typeface="Arial" pitchFamily="34" charset="0"/>
          </a:endParaRPr>
        </a:p>
      </xdr:txBody>
    </xdr:sp>
    <xdr:clientData/>
  </xdr:twoCellAnchor>
  <xdr:twoCellAnchor>
    <xdr:from>
      <xdr:col>4</xdr:col>
      <xdr:colOff>329105</xdr:colOff>
      <xdr:row>20</xdr:row>
      <xdr:rowOff>22695</xdr:rowOff>
    </xdr:from>
    <xdr:to>
      <xdr:col>4</xdr:col>
      <xdr:colOff>843589</xdr:colOff>
      <xdr:row>21</xdr:row>
      <xdr:rowOff>62191</xdr:rowOff>
    </xdr:to>
    <xdr:sp macro="" textlink="'Variable Mgmt'!C249">
      <xdr:nvSpPr>
        <xdr:cNvPr id="95" name="Text Box 265">
          <a:extLst>
            <a:ext uri="{FF2B5EF4-FFF2-40B4-BE49-F238E27FC236}">
              <a16:creationId xmlns:a16="http://schemas.microsoft.com/office/drawing/2014/main" id="{00000000-0008-0000-0100-00005F000000}"/>
            </a:ext>
          </a:extLst>
        </xdr:cNvPr>
        <xdr:cNvSpPr txBox="1">
          <a:spLocks noChangeArrowheads="1" noTextEdit="1"/>
        </xdr:cNvSpPr>
      </xdr:nvSpPr>
      <xdr:spPr bwMode="auto">
        <a:xfrm>
          <a:off x="4144627" y="3225304"/>
          <a:ext cx="514484" cy="199626"/>
        </a:xfrm>
        <a:prstGeom prst="rect">
          <a:avLst/>
        </a:prstGeom>
        <a:noFill/>
        <a:ln w="9525">
          <a:noFill/>
          <a:miter lim="800000"/>
          <a:headEnd/>
          <a:tailEnd/>
        </a:ln>
      </xdr:spPr>
      <xdr:txBody>
        <a:bodyPr vertOverflow="clip" wrap="square" lIns="27432" tIns="22860" rIns="0" bIns="0" anchor="t" upright="1"/>
        <a:lstStyle/>
        <a:p>
          <a:pPr algn="l" rtl="0">
            <a:defRPr sz="1000"/>
          </a:pPr>
          <a:fld id="{B2616B24-776D-472C-9328-875E07CFCCA9}" type="TxLink">
            <a:rPr lang="en-US" sz="800" b="0" i="0" u="none" strike="noStrike" baseline="0">
              <a:solidFill>
                <a:srgbClr val="000000"/>
              </a:solidFill>
              <a:latin typeface="Arial"/>
              <a:cs typeface="Arial"/>
            </a:rPr>
            <a:pPr algn="l" rtl="0">
              <a:defRPr sz="1000"/>
            </a:pPr>
            <a:t>12.1kΩ</a:t>
          </a:fld>
          <a:endParaRPr lang="el-GR" sz="800" b="0" i="0" u="none" strike="noStrike" baseline="0">
            <a:solidFill>
              <a:srgbClr val="000000"/>
            </a:solidFill>
            <a:latin typeface="Arial" pitchFamily="34" charset="0"/>
            <a:cs typeface="Arial" pitchFamily="34" charset="0"/>
          </a:endParaRPr>
        </a:p>
      </xdr:txBody>
    </xdr:sp>
    <xdr:clientData/>
  </xdr:twoCellAnchor>
  <xdr:twoCellAnchor>
    <xdr:from>
      <xdr:col>0</xdr:col>
      <xdr:colOff>354772</xdr:colOff>
      <xdr:row>7</xdr:row>
      <xdr:rowOff>6666</xdr:rowOff>
    </xdr:from>
    <xdr:to>
      <xdr:col>2</xdr:col>
      <xdr:colOff>198978</xdr:colOff>
      <xdr:row>8</xdr:row>
      <xdr:rowOff>133350</xdr:rowOff>
    </xdr:to>
    <xdr:sp macro="" textlink="'Variable Mgmt'!B214">
      <xdr:nvSpPr>
        <xdr:cNvPr id="96" name="Text Box 283">
          <a:extLst>
            <a:ext uri="{FF2B5EF4-FFF2-40B4-BE49-F238E27FC236}">
              <a16:creationId xmlns:a16="http://schemas.microsoft.com/office/drawing/2014/main" id="{00000000-0008-0000-0100-000060000000}"/>
            </a:ext>
          </a:extLst>
        </xdr:cNvPr>
        <xdr:cNvSpPr txBox="1">
          <a:spLocks noChangeArrowheads="1" noTextEdit="1"/>
        </xdr:cNvSpPr>
      </xdr:nvSpPr>
      <xdr:spPr bwMode="auto">
        <a:xfrm>
          <a:off x="354772" y="1127579"/>
          <a:ext cx="1312989" cy="286814"/>
        </a:xfrm>
        <a:prstGeom prst="rect">
          <a:avLst/>
        </a:prstGeom>
        <a:noFill/>
        <a:ln w="9525">
          <a:noFill/>
          <a:miter lim="800000"/>
          <a:headEnd/>
          <a:tailEnd/>
        </a:ln>
      </xdr:spPr>
      <xdr:txBody>
        <a:bodyPr vertOverflow="clip" wrap="square" lIns="27432" tIns="22860" rIns="0" bIns="0" anchor="t" upright="1"/>
        <a:lstStyle/>
        <a:p>
          <a:pPr algn="ctr" rtl="0">
            <a:defRPr sz="1000"/>
          </a:pPr>
          <a:fld id="{47315316-35F3-49E7-A4CE-EA42773D1FAE}" type="TxLink">
            <a:rPr lang="en-US" sz="1000" b="1" i="0" u="none" strike="noStrike">
              <a:solidFill>
                <a:srgbClr val="000000"/>
              </a:solidFill>
              <a:latin typeface="Arial"/>
              <a:cs typeface="Arial"/>
            </a:rPr>
            <a:pPr algn="ctr" rtl="0">
              <a:defRPr sz="1000"/>
            </a:pPr>
            <a:t>9V...21V</a:t>
          </a:fld>
          <a:endParaRPr lang="en-US" sz="1000" b="1" i="0" strike="noStrike">
            <a:solidFill>
              <a:srgbClr val="000000"/>
            </a:solidFill>
            <a:latin typeface="Arial" pitchFamily="34" charset="0"/>
            <a:cs typeface="Arial" pitchFamily="34" charset="0"/>
          </a:endParaRPr>
        </a:p>
      </xdr:txBody>
    </xdr:sp>
    <xdr:clientData/>
  </xdr:twoCellAnchor>
  <xdr:twoCellAnchor>
    <xdr:from>
      <xdr:col>3</xdr:col>
      <xdr:colOff>1247969</xdr:colOff>
      <xdr:row>18</xdr:row>
      <xdr:rowOff>83599</xdr:rowOff>
    </xdr:from>
    <xdr:to>
      <xdr:col>4</xdr:col>
      <xdr:colOff>170797</xdr:colOff>
      <xdr:row>20</xdr:row>
      <xdr:rowOff>11639</xdr:rowOff>
    </xdr:to>
    <xdr:sp macro="" textlink="'Variable Mgmt'!C241">
      <xdr:nvSpPr>
        <xdr:cNvPr id="97" name="Text Box 225">
          <a:extLst>
            <a:ext uri="{FF2B5EF4-FFF2-40B4-BE49-F238E27FC236}">
              <a16:creationId xmlns:a16="http://schemas.microsoft.com/office/drawing/2014/main" id="{00000000-0008-0000-0100-000061000000}"/>
            </a:ext>
          </a:extLst>
        </xdr:cNvPr>
        <xdr:cNvSpPr txBox="1">
          <a:spLocks noChangeArrowheads="1"/>
        </xdr:cNvSpPr>
      </xdr:nvSpPr>
      <xdr:spPr bwMode="auto">
        <a:xfrm>
          <a:off x="3655447" y="2965947"/>
          <a:ext cx="330872" cy="248301"/>
        </a:xfrm>
        <a:prstGeom prst="rect">
          <a:avLst/>
        </a:prstGeom>
        <a:noFill/>
        <a:ln w="9525">
          <a:noFill/>
          <a:miter lim="800000"/>
          <a:headEnd/>
          <a:tailEnd/>
        </a:ln>
      </xdr:spPr>
      <xdr:txBody>
        <a:bodyPr vertOverflow="clip" wrap="square" lIns="27432" tIns="27432" rIns="0" bIns="0" anchor="ctr" upright="1"/>
        <a:lstStyle/>
        <a:p>
          <a:pPr algn="l" rtl="0">
            <a:defRPr sz="1000"/>
          </a:pPr>
          <a:fld id="{C394427D-AAFB-4910-BFD4-26E4AF094E1D}" type="TxLink">
            <a:rPr lang="en-US" sz="1000" b="0" i="0" u="none" strike="noStrike">
              <a:solidFill>
                <a:srgbClr val="000000"/>
              </a:solidFill>
              <a:latin typeface="Arial"/>
              <a:cs typeface="Arial"/>
            </a:rPr>
            <a:pPr algn="l" rtl="0">
              <a:defRPr sz="1000"/>
            </a:pPr>
            <a:t>Rtc</a:t>
          </a:fld>
          <a:endParaRPr lang="en-US" sz="1100" b="0" i="0" strike="noStrike" baseline="-25000">
            <a:solidFill>
              <a:srgbClr val="000000"/>
            </a:solidFill>
            <a:latin typeface="Arial" pitchFamily="34" charset="0"/>
            <a:cs typeface="Arial" pitchFamily="34" charset="0"/>
          </a:endParaRPr>
        </a:p>
      </xdr:txBody>
    </xdr:sp>
    <xdr:clientData/>
  </xdr:twoCellAnchor>
  <xdr:twoCellAnchor>
    <xdr:from>
      <xdr:col>3</xdr:col>
      <xdr:colOff>1227972</xdr:colOff>
      <xdr:row>19</xdr:row>
      <xdr:rowOff>154031</xdr:rowOff>
    </xdr:from>
    <xdr:to>
      <xdr:col>4</xdr:col>
      <xdr:colOff>335308</xdr:colOff>
      <xdr:row>21</xdr:row>
      <xdr:rowOff>64707</xdr:rowOff>
    </xdr:to>
    <xdr:sp macro="" textlink="'Variable Mgmt'!B241">
      <xdr:nvSpPr>
        <xdr:cNvPr id="98" name="Text Box 268">
          <a:extLst>
            <a:ext uri="{FF2B5EF4-FFF2-40B4-BE49-F238E27FC236}">
              <a16:creationId xmlns:a16="http://schemas.microsoft.com/office/drawing/2014/main" id="{00000000-0008-0000-0100-000062000000}"/>
            </a:ext>
          </a:extLst>
        </xdr:cNvPr>
        <xdr:cNvSpPr txBox="1">
          <a:spLocks noChangeArrowheads="1" noTextEdit="1"/>
        </xdr:cNvSpPr>
      </xdr:nvSpPr>
      <xdr:spPr bwMode="auto">
        <a:xfrm>
          <a:off x="3635450" y="3196509"/>
          <a:ext cx="515380" cy="230937"/>
        </a:xfrm>
        <a:prstGeom prst="rect">
          <a:avLst/>
        </a:prstGeom>
        <a:noFill/>
        <a:ln w="9525">
          <a:noFill/>
          <a:miter lim="800000"/>
          <a:headEnd/>
          <a:tailEnd/>
        </a:ln>
      </xdr:spPr>
      <xdr:txBody>
        <a:bodyPr vertOverflow="clip" wrap="square" lIns="27432" tIns="22860" rIns="0" bIns="0" anchor="ctr" upright="1"/>
        <a:lstStyle/>
        <a:p>
          <a:pPr algn="l" rtl="0">
            <a:defRPr sz="1000"/>
          </a:pPr>
          <a:fld id="{35437053-6AF1-4CB6-8BC9-CEEF911045AA}" type="TxLink">
            <a:rPr lang="en-US" sz="800" b="0" i="0" u="none" strike="noStrike">
              <a:solidFill>
                <a:srgbClr val="000000"/>
              </a:solidFill>
              <a:latin typeface="Arial"/>
              <a:cs typeface="Arial"/>
            </a:rPr>
            <a:pPr algn="l" rtl="0">
              <a:defRPr sz="1000"/>
            </a:pPr>
            <a:t>402kΩ</a:t>
          </a:fld>
          <a:endParaRPr lang="el-GR" sz="800" b="0" i="0" strike="noStrike">
            <a:solidFill>
              <a:srgbClr val="000000"/>
            </a:solidFill>
            <a:latin typeface="Arial" pitchFamily="34" charset="0"/>
            <a:cs typeface="Arial" pitchFamily="34" charset="0"/>
          </a:endParaRPr>
        </a:p>
      </xdr:txBody>
    </xdr:sp>
    <xdr:clientData/>
  </xdr:twoCellAnchor>
  <xdr:twoCellAnchor>
    <xdr:from>
      <xdr:col>2</xdr:col>
      <xdr:colOff>121601</xdr:colOff>
      <xdr:row>6</xdr:row>
      <xdr:rowOff>151676</xdr:rowOff>
    </xdr:from>
    <xdr:to>
      <xdr:col>2</xdr:col>
      <xdr:colOff>523651</xdr:colOff>
      <xdr:row>8</xdr:row>
      <xdr:rowOff>59662</xdr:rowOff>
    </xdr:to>
    <xdr:sp macro="" textlink="'Variable Mgmt'!C244">
      <xdr:nvSpPr>
        <xdr:cNvPr id="99" name="Text Box 264">
          <a:extLst>
            <a:ext uri="{FF2B5EF4-FFF2-40B4-BE49-F238E27FC236}">
              <a16:creationId xmlns:a16="http://schemas.microsoft.com/office/drawing/2014/main" id="{00000000-0008-0000-0100-000063000000}"/>
            </a:ext>
          </a:extLst>
        </xdr:cNvPr>
        <xdr:cNvSpPr txBox="1">
          <a:spLocks noChangeArrowheads="1" noTextEdit="1"/>
        </xdr:cNvSpPr>
      </xdr:nvSpPr>
      <xdr:spPr bwMode="auto">
        <a:xfrm>
          <a:off x="1590384" y="1112459"/>
          <a:ext cx="402050" cy="228246"/>
        </a:xfrm>
        <a:prstGeom prst="rect">
          <a:avLst/>
        </a:prstGeom>
        <a:noFill/>
        <a:ln w="9525">
          <a:noFill/>
          <a:miter lim="800000"/>
          <a:headEnd/>
          <a:tailEnd/>
        </a:ln>
      </xdr:spPr>
      <xdr:txBody>
        <a:bodyPr vertOverflow="clip" wrap="square" lIns="27432" tIns="22860" rIns="0" bIns="0" anchor="ctr" upright="1"/>
        <a:lstStyle/>
        <a:p>
          <a:pPr algn="l" rtl="0">
            <a:defRPr sz="1000"/>
          </a:pPr>
          <a:fld id="{31380AD2-7EE8-49DF-ADF3-9022D781233D}" type="TxLink">
            <a:rPr lang="en-US" sz="1000" b="0" i="0" u="none" strike="noStrike" baseline="0">
              <a:solidFill>
                <a:srgbClr val="000000"/>
              </a:solidFill>
              <a:latin typeface="Arial"/>
              <a:cs typeface="Arial"/>
            </a:rPr>
            <a:pPr algn="l" rtl="0">
              <a:defRPr sz="1000"/>
            </a:pPr>
            <a:t> </a:t>
          </a:fld>
          <a:endParaRPr lang="el-GR" sz="1000" b="0" i="0" u="none" strike="noStrike" baseline="0">
            <a:solidFill>
              <a:srgbClr val="000000"/>
            </a:solidFill>
            <a:latin typeface="Arial" pitchFamily="34" charset="0"/>
            <a:cs typeface="Arial" pitchFamily="34" charset="0"/>
          </a:endParaRPr>
        </a:p>
      </xdr:txBody>
    </xdr:sp>
    <xdr:clientData/>
  </xdr:twoCellAnchor>
  <xdr:twoCellAnchor>
    <xdr:from>
      <xdr:col>2</xdr:col>
      <xdr:colOff>88470</xdr:colOff>
      <xdr:row>13</xdr:row>
      <xdr:rowOff>21364</xdr:rowOff>
    </xdr:from>
    <xdr:to>
      <xdr:col>2</xdr:col>
      <xdr:colOff>512500</xdr:colOff>
      <xdr:row>14</xdr:row>
      <xdr:rowOff>41881</xdr:rowOff>
    </xdr:to>
    <xdr:sp macro="" textlink="'Variable Mgmt'!D244">
      <xdr:nvSpPr>
        <xdr:cNvPr id="100" name="Text Box 264">
          <a:extLst>
            <a:ext uri="{FF2B5EF4-FFF2-40B4-BE49-F238E27FC236}">
              <a16:creationId xmlns:a16="http://schemas.microsoft.com/office/drawing/2014/main" id="{00000000-0008-0000-0100-000064000000}"/>
            </a:ext>
          </a:extLst>
        </xdr:cNvPr>
        <xdr:cNvSpPr txBox="1">
          <a:spLocks noChangeArrowheads="1" noTextEdit="1"/>
        </xdr:cNvSpPr>
      </xdr:nvSpPr>
      <xdr:spPr bwMode="auto">
        <a:xfrm>
          <a:off x="1557253" y="2103060"/>
          <a:ext cx="424030" cy="180647"/>
        </a:xfrm>
        <a:prstGeom prst="rect">
          <a:avLst/>
        </a:prstGeom>
        <a:noFill/>
        <a:ln w="9525">
          <a:noFill/>
          <a:miter lim="800000"/>
          <a:headEnd/>
          <a:tailEnd/>
        </a:ln>
      </xdr:spPr>
      <xdr:txBody>
        <a:bodyPr vertOverflow="clip" wrap="square" lIns="27432" tIns="22860" rIns="0" bIns="0" anchor="ctr" upright="1"/>
        <a:lstStyle/>
        <a:p>
          <a:pPr algn="l" rtl="0">
            <a:defRPr sz="1000"/>
          </a:pPr>
          <a:fld id="{873432C6-E14A-45C8-BEDA-C8EFF8641C5C}" type="TxLink">
            <a:rPr lang="en-US" sz="1000" b="0" i="0" u="none" strike="noStrike" baseline="0">
              <a:solidFill>
                <a:srgbClr val="000000"/>
              </a:solidFill>
              <a:latin typeface="Arial"/>
              <a:cs typeface="Arial"/>
            </a:rPr>
            <a:pPr algn="l" rtl="0">
              <a:defRPr sz="1000"/>
            </a:pPr>
            <a:t> </a:t>
          </a:fld>
          <a:endParaRPr lang="el-GR" sz="1000" b="0" i="0" u="none" strike="noStrike" baseline="0">
            <a:solidFill>
              <a:srgbClr val="000000"/>
            </a:solidFill>
            <a:latin typeface="Arial" pitchFamily="34" charset="0"/>
            <a:cs typeface="Arial" pitchFamily="34" charset="0"/>
          </a:endParaRPr>
        </a:p>
      </xdr:txBody>
    </xdr:sp>
    <xdr:clientData/>
  </xdr:twoCellAnchor>
  <xdr:twoCellAnchor>
    <xdr:from>
      <xdr:col>1</xdr:col>
      <xdr:colOff>785167</xdr:colOff>
      <xdr:row>19</xdr:row>
      <xdr:rowOff>72115</xdr:rowOff>
    </xdr:from>
    <xdr:to>
      <xdr:col>2</xdr:col>
      <xdr:colOff>428482</xdr:colOff>
      <xdr:row>21</xdr:row>
      <xdr:rowOff>84377</xdr:rowOff>
    </xdr:to>
    <xdr:sp macro="" textlink="'Variable Mgmt'!C254">
      <xdr:nvSpPr>
        <xdr:cNvPr id="101" name="Text Box 281">
          <a:extLst>
            <a:ext uri="{FF2B5EF4-FFF2-40B4-BE49-F238E27FC236}">
              <a16:creationId xmlns:a16="http://schemas.microsoft.com/office/drawing/2014/main" id="{00000000-0008-0000-0100-000065000000}"/>
            </a:ext>
          </a:extLst>
        </xdr:cNvPr>
        <xdr:cNvSpPr txBox="1">
          <a:spLocks noChangeArrowheads="1" noTextEdit="1"/>
        </xdr:cNvSpPr>
      </xdr:nvSpPr>
      <xdr:spPr bwMode="auto">
        <a:xfrm>
          <a:off x="1453297" y="3114593"/>
          <a:ext cx="443968" cy="332523"/>
        </a:xfrm>
        <a:prstGeom prst="rect">
          <a:avLst/>
        </a:prstGeom>
        <a:noFill/>
        <a:ln w="9525">
          <a:noFill/>
          <a:miter lim="800000"/>
          <a:headEnd/>
          <a:tailEnd/>
        </a:ln>
      </xdr:spPr>
      <xdr:txBody>
        <a:bodyPr vertOverflow="clip" wrap="square" lIns="27432" tIns="22860" rIns="0" bIns="0" anchor="ctr" upright="1"/>
        <a:lstStyle/>
        <a:p>
          <a:pPr algn="l" rtl="0">
            <a:defRPr sz="1000"/>
          </a:pPr>
          <a:fld id="{B81C36CF-66FD-4734-B04F-DAE82AF849A9}" type="TxLink">
            <a:rPr lang="en-US" sz="1100" b="0" i="0" u="none" strike="noStrike">
              <a:solidFill>
                <a:srgbClr val="000000"/>
              </a:solidFill>
              <a:latin typeface="Arial"/>
              <a:cs typeface="Arial"/>
            </a:rPr>
            <a:pPr algn="l" rtl="0">
              <a:defRPr sz="1000"/>
            </a:pPr>
            <a:t> </a:t>
          </a:fld>
          <a:endParaRPr lang="en-US" sz="1100" b="0" i="0" strike="noStrike">
            <a:solidFill>
              <a:srgbClr val="000000"/>
            </a:solidFill>
            <a:latin typeface="Arial" pitchFamily="34" charset="0"/>
            <a:cs typeface="Arial" pitchFamily="34" charset="0"/>
          </a:endParaRPr>
        </a:p>
      </xdr:txBody>
    </xdr:sp>
    <xdr:clientData/>
  </xdr:twoCellAnchor>
  <xdr:twoCellAnchor>
    <xdr:from>
      <xdr:col>3</xdr:col>
      <xdr:colOff>1273241</xdr:colOff>
      <xdr:row>13</xdr:row>
      <xdr:rowOff>128134</xdr:rowOff>
    </xdr:from>
    <xdr:to>
      <xdr:col>4</xdr:col>
      <xdr:colOff>188037</xdr:colOff>
      <xdr:row>15</xdr:row>
      <xdr:rowOff>36858</xdr:rowOff>
    </xdr:to>
    <xdr:sp macro="" textlink="">
      <xdr:nvSpPr>
        <xdr:cNvPr id="103" name="Text Box 244">
          <a:extLst>
            <a:ext uri="{FF2B5EF4-FFF2-40B4-BE49-F238E27FC236}">
              <a16:creationId xmlns:a16="http://schemas.microsoft.com/office/drawing/2014/main" id="{00000000-0008-0000-0100-000067000000}"/>
            </a:ext>
          </a:extLst>
        </xdr:cNvPr>
        <xdr:cNvSpPr txBox="1">
          <a:spLocks noChangeArrowheads="1"/>
        </xdr:cNvSpPr>
      </xdr:nvSpPr>
      <xdr:spPr bwMode="auto">
        <a:xfrm>
          <a:off x="3680719" y="2209830"/>
          <a:ext cx="322840" cy="228985"/>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FB</a:t>
          </a:r>
        </a:p>
      </xdr:txBody>
    </xdr:sp>
    <xdr:clientData/>
  </xdr:twoCellAnchor>
  <xdr:twoCellAnchor>
    <xdr:from>
      <xdr:col>4</xdr:col>
      <xdr:colOff>360902</xdr:colOff>
      <xdr:row>18</xdr:row>
      <xdr:rowOff>125757</xdr:rowOff>
    </xdr:from>
    <xdr:to>
      <xdr:col>4</xdr:col>
      <xdr:colOff>747919</xdr:colOff>
      <xdr:row>20</xdr:row>
      <xdr:rowOff>37084</xdr:rowOff>
    </xdr:to>
    <xdr:sp macro="" textlink="">
      <xdr:nvSpPr>
        <xdr:cNvPr id="104" name="Text Box 244">
          <a:extLst>
            <a:ext uri="{FF2B5EF4-FFF2-40B4-BE49-F238E27FC236}">
              <a16:creationId xmlns:a16="http://schemas.microsoft.com/office/drawing/2014/main" id="{00000000-0008-0000-0100-000068000000}"/>
            </a:ext>
          </a:extLst>
        </xdr:cNvPr>
        <xdr:cNvSpPr txBox="1">
          <a:spLocks noChangeArrowheads="1"/>
        </xdr:cNvSpPr>
      </xdr:nvSpPr>
      <xdr:spPr bwMode="auto">
        <a:xfrm>
          <a:off x="4176424" y="3008105"/>
          <a:ext cx="387017" cy="231588"/>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SET</a:t>
          </a:r>
        </a:p>
      </xdr:txBody>
    </xdr:sp>
    <xdr:clientData/>
  </xdr:twoCellAnchor>
  <xdr:twoCellAnchor>
    <xdr:from>
      <xdr:col>3</xdr:col>
      <xdr:colOff>857224</xdr:colOff>
      <xdr:row>6</xdr:row>
      <xdr:rowOff>112844</xdr:rowOff>
    </xdr:from>
    <xdr:to>
      <xdr:col>3</xdr:col>
      <xdr:colOff>1321108</xdr:colOff>
      <xdr:row>8</xdr:row>
      <xdr:rowOff>49801</xdr:rowOff>
    </xdr:to>
    <xdr:sp macro="" textlink="">
      <xdr:nvSpPr>
        <xdr:cNvPr id="105" name="Text Box 235">
          <a:extLst>
            <a:ext uri="{FF2B5EF4-FFF2-40B4-BE49-F238E27FC236}">
              <a16:creationId xmlns:a16="http://schemas.microsoft.com/office/drawing/2014/main" id="{00000000-0008-0000-0100-000069000000}"/>
            </a:ext>
          </a:extLst>
        </xdr:cNvPr>
        <xdr:cNvSpPr txBox="1">
          <a:spLocks noChangeArrowheads="1"/>
        </xdr:cNvSpPr>
      </xdr:nvSpPr>
      <xdr:spPr bwMode="auto">
        <a:xfrm>
          <a:off x="3264702" y="1073627"/>
          <a:ext cx="463884" cy="257217"/>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CLAMP</a:t>
          </a:r>
        </a:p>
      </xdr:txBody>
    </xdr:sp>
    <xdr:clientData/>
  </xdr:twoCellAnchor>
  <xdr:twoCellAnchor>
    <xdr:from>
      <xdr:col>3</xdr:col>
      <xdr:colOff>1103188</xdr:colOff>
      <xdr:row>10</xdr:row>
      <xdr:rowOff>64562</xdr:rowOff>
    </xdr:from>
    <xdr:to>
      <xdr:col>3</xdr:col>
      <xdr:colOff>1372488</xdr:colOff>
      <xdr:row>12</xdr:row>
      <xdr:rowOff>3715</xdr:rowOff>
    </xdr:to>
    <xdr:sp macro="" textlink="">
      <xdr:nvSpPr>
        <xdr:cNvPr id="126" name="Text Box 235">
          <a:extLst>
            <a:ext uri="{FF2B5EF4-FFF2-40B4-BE49-F238E27FC236}">
              <a16:creationId xmlns:a16="http://schemas.microsoft.com/office/drawing/2014/main" id="{00000000-0008-0000-0100-00007E000000}"/>
            </a:ext>
          </a:extLst>
        </xdr:cNvPr>
        <xdr:cNvSpPr txBox="1">
          <a:spLocks noChangeArrowheads="1"/>
        </xdr:cNvSpPr>
      </xdr:nvSpPr>
      <xdr:spPr bwMode="auto">
        <a:xfrm>
          <a:off x="3510666" y="1665866"/>
          <a:ext cx="269300" cy="259414"/>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F</a:t>
          </a:r>
        </a:p>
      </xdr:txBody>
    </xdr:sp>
    <xdr:clientData/>
  </xdr:twoCellAnchor>
  <xdr:twoCellAnchor>
    <xdr:from>
      <xdr:col>4</xdr:col>
      <xdr:colOff>170008</xdr:colOff>
      <xdr:row>4</xdr:row>
      <xdr:rowOff>32991</xdr:rowOff>
    </xdr:from>
    <xdr:to>
      <xdr:col>4</xdr:col>
      <xdr:colOff>818184</xdr:colOff>
      <xdr:row>5</xdr:row>
      <xdr:rowOff>88347</xdr:rowOff>
    </xdr:to>
    <xdr:sp macro="" textlink="'Variable Mgmt'!B209">
      <xdr:nvSpPr>
        <xdr:cNvPr id="127" name="Text Box 265">
          <a:extLst>
            <a:ext uri="{FF2B5EF4-FFF2-40B4-BE49-F238E27FC236}">
              <a16:creationId xmlns:a16="http://schemas.microsoft.com/office/drawing/2014/main" id="{00000000-0008-0000-0100-00007F000000}"/>
            </a:ext>
          </a:extLst>
        </xdr:cNvPr>
        <xdr:cNvSpPr txBox="1">
          <a:spLocks noChangeArrowheads="1" noTextEdit="1"/>
        </xdr:cNvSpPr>
      </xdr:nvSpPr>
      <xdr:spPr bwMode="auto">
        <a:xfrm>
          <a:off x="3985530" y="673513"/>
          <a:ext cx="648176" cy="215486"/>
        </a:xfrm>
        <a:prstGeom prst="rect">
          <a:avLst/>
        </a:prstGeom>
        <a:noFill/>
        <a:ln w="9525">
          <a:noFill/>
          <a:miter lim="800000"/>
          <a:headEnd/>
          <a:tailEnd/>
        </a:ln>
      </xdr:spPr>
      <xdr:txBody>
        <a:bodyPr vertOverflow="clip" wrap="square" lIns="27432" tIns="22860" rIns="0" bIns="0" anchor="t" upright="1"/>
        <a:lstStyle/>
        <a:p>
          <a:pPr algn="ctr" rtl="0">
            <a:defRPr sz="1000"/>
          </a:pPr>
          <a:fld id="{4DF3E085-FEDD-406F-9003-D894075812A3}" type="TxLink">
            <a:rPr lang="en-US" sz="800" b="0" i="0" u="none" strike="noStrike" baseline="0">
              <a:solidFill>
                <a:srgbClr val="000000"/>
              </a:solidFill>
              <a:latin typeface="Arial"/>
              <a:cs typeface="Arial"/>
            </a:rPr>
            <a:pPr algn="ctr" rtl="0">
              <a:defRPr sz="1000"/>
            </a:pPr>
            <a:t>1 : 1</a:t>
          </a:fld>
          <a:endParaRPr lang="el-GR" sz="800" b="0" i="0" u="none" strike="noStrike" baseline="0">
            <a:solidFill>
              <a:srgbClr val="000000"/>
            </a:solidFill>
            <a:latin typeface="Arial" pitchFamily="34" charset="0"/>
            <a:cs typeface="Arial" pitchFamily="34" charset="0"/>
          </a:endParaRPr>
        </a:p>
      </xdr:txBody>
    </xdr:sp>
    <xdr:clientData/>
  </xdr:twoCellAnchor>
  <xdr:twoCellAnchor>
    <xdr:from>
      <xdr:col>6</xdr:col>
      <xdr:colOff>917542</xdr:colOff>
      <xdr:row>12</xdr:row>
      <xdr:rowOff>9547</xdr:rowOff>
    </xdr:from>
    <xdr:to>
      <xdr:col>7</xdr:col>
      <xdr:colOff>451979</xdr:colOff>
      <xdr:row>14</xdr:row>
      <xdr:rowOff>32326</xdr:rowOff>
    </xdr:to>
    <xdr:sp macro="" textlink="'Variable Mgmt'!B217">
      <xdr:nvSpPr>
        <xdr:cNvPr id="128" name="Text Box 285">
          <a:extLst>
            <a:ext uri="{FF2B5EF4-FFF2-40B4-BE49-F238E27FC236}">
              <a16:creationId xmlns:a16="http://schemas.microsoft.com/office/drawing/2014/main" id="{00000000-0008-0000-0100-000080000000}"/>
            </a:ext>
          </a:extLst>
        </xdr:cNvPr>
        <xdr:cNvSpPr txBox="1">
          <a:spLocks noChangeArrowheads="1" noTextEdit="1"/>
        </xdr:cNvSpPr>
      </xdr:nvSpPr>
      <xdr:spPr bwMode="auto">
        <a:xfrm>
          <a:off x="6886542" y="1931112"/>
          <a:ext cx="666394" cy="343040"/>
        </a:xfrm>
        <a:prstGeom prst="rect">
          <a:avLst/>
        </a:prstGeom>
        <a:noFill/>
        <a:ln w="9525">
          <a:noFill/>
          <a:miter lim="800000"/>
          <a:headEnd/>
          <a:tailEnd/>
        </a:ln>
      </xdr:spPr>
      <xdr:txBody>
        <a:bodyPr vertOverflow="clip" wrap="square" lIns="27432" tIns="22860" rIns="0" bIns="0" anchor="ctr" upright="1"/>
        <a:lstStyle/>
        <a:p>
          <a:pPr algn="l" rtl="0">
            <a:defRPr sz="1000"/>
          </a:pPr>
          <a:fld id="{1EB32AF4-7354-4114-B6DF-5AD8FEB0166D}" type="TxLink">
            <a:rPr lang="en-US" sz="1350" b="1" i="0" u="none" strike="noStrike" baseline="0">
              <a:solidFill>
                <a:srgbClr val="FF0000"/>
              </a:solidFill>
              <a:latin typeface="Arial"/>
              <a:cs typeface="Arial"/>
            </a:rPr>
            <a:pPr algn="l" rtl="0">
              <a:defRPr sz="1000"/>
            </a:pPr>
            <a:t> </a:t>
          </a:fld>
          <a:endParaRPr lang="en-US" sz="1350" b="1" i="0" u="none" strike="noStrike" baseline="0">
            <a:solidFill>
              <a:srgbClr val="FF0000"/>
            </a:solidFill>
            <a:latin typeface="Arial" pitchFamily="34" charset="0"/>
            <a:cs typeface="Arial" pitchFamily="34" charset="0"/>
          </a:endParaRPr>
        </a:p>
      </xdr:txBody>
    </xdr:sp>
    <xdr:clientData/>
  </xdr:twoCellAnchor>
  <xdr:twoCellAnchor>
    <xdr:from>
      <xdr:col>6</xdr:col>
      <xdr:colOff>922959</xdr:colOff>
      <xdr:row>13</xdr:row>
      <xdr:rowOff>157337</xdr:rowOff>
    </xdr:from>
    <xdr:to>
      <xdr:col>7</xdr:col>
      <xdr:colOff>391077</xdr:colOff>
      <xdr:row>15</xdr:row>
      <xdr:rowOff>137777</xdr:rowOff>
    </xdr:to>
    <xdr:sp macro="" textlink="'Variable Mgmt'!B272">
      <xdr:nvSpPr>
        <xdr:cNvPr id="129" name="Text Box 286">
          <a:extLst>
            <a:ext uri="{FF2B5EF4-FFF2-40B4-BE49-F238E27FC236}">
              <a16:creationId xmlns:a16="http://schemas.microsoft.com/office/drawing/2014/main" id="{00000000-0008-0000-0100-000081000000}"/>
            </a:ext>
          </a:extLst>
        </xdr:cNvPr>
        <xdr:cNvSpPr txBox="1">
          <a:spLocks noChangeArrowheads="1" noTextEdit="1"/>
        </xdr:cNvSpPr>
      </xdr:nvSpPr>
      <xdr:spPr bwMode="auto">
        <a:xfrm>
          <a:off x="6891959" y="2239033"/>
          <a:ext cx="600075" cy="300701"/>
        </a:xfrm>
        <a:prstGeom prst="rect">
          <a:avLst/>
        </a:prstGeom>
        <a:noFill/>
        <a:ln w="9525">
          <a:noFill/>
          <a:miter lim="800000"/>
          <a:headEnd/>
          <a:tailEnd/>
        </a:ln>
      </xdr:spPr>
      <xdr:txBody>
        <a:bodyPr vertOverflow="clip" wrap="square" lIns="27432" tIns="22860" rIns="0" bIns="0" anchor="ctr" upright="1"/>
        <a:lstStyle/>
        <a:p>
          <a:pPr algn="ctr" rtl="0">
            <a:defRPr sz="1000"/>
          </a:pPr>
          <a:fld id="{F430775D-5566-4B2B-9D86-4FABD1E02F13}" type="TxLink">
            <a:rPr lang="en-US" sz="1000" b="1" i="0" u="none" strike="noStrike">
              <a:solidFill>
                <a:srgbClr val="FF0000"/>
              </a:solidFill>
              <a:latin typeface="Arial"/>
              <a:cs typeface="Arial"/>
            </a:rPr>
            <a:pPr algn="ctr" rtl="0">
              <a:defRPr sz="1000"/>
            </a:pPr>
            <a:t> </a:t>
          </a:fld>
          <a:endParaRPr lang="en-US" sz="1000" b="1" i="0" strike="noStrike">
            <a:solidFill>
              <a:srgbClr val="FF0000"/>
            </a:solidFill>
            <a:latin typeface="Arial" pitchFamily="34" charset="0"/>
            <a:cs typeface="Arial" pitchFamily="34" charset="0"/>
          </a:endParaRPr>
        </a:p>
      </xdr:txBody>
    </xdr:sp>
    <xdr:clientData/>
  </xdr:twoCellAnchor>
  <xdr:twoCellAnchor>
    <xdr:from>
      <xdr:col>6</xdr:col>
      <xdr:colOff>1029495</xdr:colOff>
      <xdr:row>13</xdr:row>
      <xdr:rowOff>129506</xdr:rowOff>
    </xdr:from>
    <xdr:to>
      <xdr:col>7</xdr:col>
      <xdr:colOff>563932</xdr:colOff>
      <xdr:row>15</xdr:row>
      <xdr:rowOff>150490</xdr:rowOff>
    </xdr:to>
    <xdr:sp macro="" textlink="'Variable Mgmt'!B218">
      <xdr:nvSpPr>
        <xdr:cNvPr id="130" name="Text Box 285">
          <a:extLst>
            <a:ext uri="{FF2B5EF4-FFF2-40B4-BE49-F238E27FC236}">
              <a16:creationId xmlns:a16="http://schemas.microsoft.com/office/drawing/2014/main" id="{00000000-0008-0000-0100-000082000000}"/>
            </a:ext>
          </a:extLst>
        </xdr:cNvPr>
        <xdr:cNvSpPr txBox="1">
          <a:spLocks noChangeArrowheads="1" noTextEdit="1"/>
        </xdr:cNvSpPr>
      </xdr:nvSpPr>
      <xdr:spPr bwMode="auto">
        <a:xfrm>
          <a:off x="6998495" y="2211202"/>
          <a:ext cx="666394" cy="341245"/>
        </a:xfrm>
        <a:prstGeom prst="rect">
          <a:avLst/>
        </a:prstGeom>
        <a:noFill/>
        <a:ln w="9525">
          <a:noFill/>
          <a:miter lim="800000"/>
          <a:headEnd/>
          <a:tailEnd/>
        </a:ln>
      </xdr:spPr>
      <xdr:txBody>
        <a:bodyPr vertOverflow="clip" wrap="square" lIns="27432" tIns="22860" rIns="0" bIns="0" anchor="ctr" upright="1"/>
        <a:lstStyle/>
        <a:p>
          <a:pPr algn="l" rtl="0">
            <a:defRPr sz="1000"/>
          </a:pPr>
          <a:fld id="{6CC6AC32-C574-4CE6-AE26-39476DAD0777}" type="TxLink">
            <a:rPr lang="en-US" sz="1350" b="1" i="0" u="none" strike="noStrike" baseline="0">
              <a:solidFill>
                <a:srgbClr val="FF0000"/>
              </a:solidFill>
              <a:latin typeface="Arial"/>
              <a:cs typeface="Arial"/>
            </a:rPr>
            <a:pPr algn="l" rtl="0">
              <a:defRPr sz="1000"/>
            </a:pPr>
            <a:t> </a:t>
          </a:fld>
          <a:endParaRPr lang="en-US" sz="1350" b="1" i="0" u="none" strike="noStrike" baseline="0">
            <a:solidFill>
              <a:srgbClr val="FF0000"/>
            </a:solidFill>
            <a:latin typeface="Arial" pitchFamily="34" charset="0"/>
            <a:cs typeface="Arial" pitchFamily="34" charset="0"/>
          </a:endParaRPr>
        </a:p>
      </xdr:txBody>
    </xdr:sp>
    <xdr:clientData/>
  </xdr:twoCellAnchor>
  <xdr:twoCellAnchor>
    <xdr:from>
      <xdr:col>6</xdr:col>
      <xdr:colOff>796084</xdr:colOff>
      <xdr:row>15</xdr:row>
      <xdr:rowOff>78513</xdr:rowOff>
    </xdr:from>
    <xdr:to>
      <xdr:col>7</xdr:col>
      <xdr:colOff>418201</xdr:colOff>
      <xdr:row>17</xdr:row>
      <xdr:rowOff>58954</xdr:rowOff>
    </xdr:to>
    <xdr:sp macro="" textlink="'Variable Mgmt'!B273">
      <xdr:nvSpPr>
        <xdr:cNvPr id="131" name="Text Box 286">
          <a:extLst>
            <a:ext uri="{FF2B5EF4-FFF2-40B4-BE49-F238E27FC236}">
              <a16:creationId xmlns:a16="http://schemas.microsoft.com/office/drawing/2014/main" id="{00000000-0008-0000-0100-000083000000}"/>
            </a:ext>
          </a:extLst>
        </xdr:cNvPr>
        <xdr:cNvSpPr txBox="1">
          <a:spLocks noChangeArrowheads="1" noTextEdit="1"/>
        </xdr:cNvSpPr>
      </xdr:nvSpPr>
      <xdr:spPr bwMode="auto">
        <a:xfrm>
          <a:off x="6765084" y="2480470"/>
          <a:ext cx="754074" cy="300701"/>
        </a:xfrm>
        <a:prstGeom prst="rect">
          <a:avLst/>
        </a:prstGeom>
        <a:noFill/>
        <a:ln w="9525">
          <a:noFill/>
          <a:miter lim="800000"/>
          <a:headEnd/>
          <a:tailEnd/>
        </a:ln>
      </xdr:spPr>
      <xdr:txBody>
        <a:bodyPr vertOverflow="clip" wrap="square" lIns="27432" tIns="22860" rIns="0" bIns="0" anchor="ctr" upright="1"/>
        <a:lstStyle/>
        <a:p>
          <a:pPr algn="ctr" rtl="0">
            <a:defRPr sz="1000"/>
          </a:pPr>
          <a:fld id="{21AE0BE5-7426-43AE-A5A8-768A4DEE6C58}" type="TxLink">
            <a:rPr lang="en-US" sz="1000" b="1" i="0" u="none" strike="noStrike">
              <a:solidFill>
                <a:srgbClr val="FF0000"/>
              </a:solidFill>
              <a:latin typeface="Arial"/>
              <a:cs typeface="Arial"/>
            </a:rPr>
            <a:pPr algn="ctr" rtl="0">
              <a:defRPr sz="1000"/>
            </a:pPr>
            <a:t> </a:t>
          </a:fld>
          <a:endParaRPr lang="en-US" sz="1000" b="1" i="0" strike="noStrike">
            <a:solidFill>
              <a:srgbClr val="FF0000"/>
            </a:solidFill>
            <a:latin typeface="Arial" pitchFamily="34" charset="0"/>
            <a:cs typeface="Arial" pitchFamily="34" charset="0"/>
          </a:endParaRPr>
        </a:p>
      </xdr:txBody>
    </xdr:sp>
    <xdr:clientData/>
  </xdr:twoCellAnchor>
  <xdr:twoCellAnchor>
    <xdr:from>
      <xdr:col>6</xdr:col>
      <xdr:colOff>883902</xdr:colOff>
      <xdr:row>12</xdr:row>
      <xdr:rowOff>53671</xdr:rowOff>
    </xdr:from>
    <xdr:to>
      <xdr:col>7</xdr:col>
      <xdr:colOff>302015</xdr:colOff>
      <xdr:row>13</xdr:row>
      <xdr:rowOff>69388</xdr:rowOff>
    </xdr:to>
    <xdr:sp macro="" textlink="'Variable Mgmt'!D221">
      <xdr:nvSpPr>
        <xdr:cNvPr id="132" name="Text Box 267">
          <a:extLst>
            <a:ext uri="{FF2B5EF4-FFF2-40B4-BE49-F238E27FC236}">
              <a16:creationId xmlns:a16="http://schemas.microsoft.com/office/drawing/2014/main" id="{00000000-0008-0000-0100-000084000000}"/>
            </a:ext>
          </a:extLst>
        </xdr:cNvPr>
        <xdr:cNvSpPr txBox="1">
          <a:spLocks noChangeArrowheads="1" noTextEdit="1"/>
        </xdr:cNvSpPr>
      </xdr:nvSpPr>
      <xdr:spPr bwMode="auto">
        <a:xfrm>
          <a:off x="6852902" y="1975236"/>
          <a:ext cx="550070" cy="175848"/>
        </a:xfrm>
        <a:prstGeom prst="rect">
          <a:avLst/>
        </a:prstGeom>
        <a:noFill/>
        <a:ln w="9525">
          <a:noFill/>
          <a:miter lim="800000"/>
          <a:headEnd/>
          <a:tailEnd/>
        </a:ln>
      </xdr:spPr>
      <xdr:txBody>
        <a:bodyPr vertOverflow="clip" wrap="square" lIns="27432" tIns="22860" rIns="0" bIns="0" anchor="ctr" upright="1"/>
        <a:lstStyle/>
        <a:p>
          <a:pPr algn="l" rtl="0">
            <a:defRPr sz="1000"/>
          </a:pPr>
          <a:fld id="{1BBBBB7F-554B-4BC8-BF86-B8FB4EA76457}" type="TxLink">
            <a:rPr lang="en-US" sz="800" b="0" i="0" u="none" strike="noStrike" baseline="0">
              <a:solidFill>
                <a:srgbClr val="000000"/>
              </a:solidFill>
              <a:latin typeface="Arial"/>
              <a:cs typeface="Arial"/>
            </a:rPr>
            <a:pPr algn="l" rtl="0">
              <a:defRPr sz="1000"/>
            </a:pPr>
            <a:t> </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5</xdr:col>
      <xdr:colOff>687465</xdr:colOff>
      <xdr:row>17</xdr:row>
      <xdr:rowOff>46078</xdr:rowOff>
    </xdr:from>
    <xdr:to>
      <xdr:col>6</xdr:col>
      <xdr:colOff>293318</xdr:colOff>
      <xdr:row>18</xdr:row>
      <xdr:rowOff>67317</xdr:rowOff>
    </xdr:to>
    <xdr:sp macro="" textlink="'Variable Mgmt'!C221">
      <xdr:nvSpPr>
        <xdr:cNvPr id="133" name="Text Box 267">
          <a:extLst>
            <a:ext uri="{FF2B5EF4-FFF2-40B4-BE49-F238E27FC236}">
              <a16:creationId xmlns:a16="http://schemas.microsoft.com/office/drawing/2014/main" id="{00000000-0008-0000-0100-000085000000}"/>
            </a:ext>
          </a:extLst>
        </xdr:cNvPr>
        <xdr:cNvSpPr txBox="1">
          <a:spLocks noChangeArrowheads="1" noTextEdit="1"/>
        </xdr:cNvSpPr>
      </xdr:nvSpPr>
      <xdr:spPr bwMode="auto">
        <a:xfrm>
          <a:off x="5712248" y="2768295"/>
          <a:ext cx="550070" cy="181370"/>
        </a:xfrm>
        <a:prstGeom prst="rect">
          <a:avLst/>
        </a:prstGeom>
        <a:noFill/>
        <a:ln w="9525">
          <a:noFill/>
          <a:miter lim="800000"/>
          <a:headEnd/>
          <a:tailEnd/>
        </a:ln>
      </xdr:spPr>
      <xdr:txBody>
        <a:bodyPr vertOverflow="clip" wrap="square" lIns="27432" tIns="22860" rIns="0" bIns="0" anchor="ctr" upright="1"/>
        <a:lstStyle/>
        <a:p>
          <a:pPr algn="l" rtl="0">
            <a:defRPr sz="1000"/>
          </a:pPr>
          <a:fld id="{EB8BEA1C-AFA8-40F4-BE4F-A41F4D085390}" type="TxLink">
            <a:rPr lang="en-US" sz="800" b="0" i="0" u="none" strike="noStrike" baseline="0">
              <a:solidFill>
                <a:srgbClr val="000000"/>
              </a:solidFill>
              <a:latin typeface="Arial"/>
              <a:cs typeface="Arial"/>
            </a:rPr>
            <a:pPr algn="l" rtl="0">
              <a:defRPr sz="1000"/>
            </a:pPr>
            <a:t> </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4</xdr:col>
      <xdr:colOff>118865</xdr:colOff>
      <xdr:row>5</xdr:row>
      <xdr:rowOff>19490</xdr:rowOff>
    </xdr:from>
    <xdr:to>
      <xdr:col>4</xdr:col>
      <xdr:colOff>441705</xdr:colOff>
      <xdr:row>6</xdr:row>
      <xdr:rowOff>91603</xdr:rowOff>
    </xdr:to>
    <xdr:sp macro="" textlink="">
      <xdr:nvSpPr>
        <xdr:cNvPr id="134" name="Text Box 244">
          <a:extLst>
            <a:ext uri="{FF2B5EF4-FFF2-40B4-BE49-F238E27FC236}">
              <a16:creationId xmlns:a16="http://schemas.microsoft.com/office/drawing/2014/main" id="{00000000-0008-0000-0100-000086000000}"/>
            </a:ext>
          </a:extLst>
        </xdr:cNvPr>
        <xdr:cNvSpPr txBox="1">
          <a:spLocks noChangeArrowheads="1"/>
        </xdr:cNvSpPr>
      </xdr:nvSpPr>
      <xdr:spPr bwMode="auto">
        <a:xfrm>
          <a:off x="3934387" y="820142"/>
          <a:ext cx="322840" cy="232244"/>
        </a:xfrm>
        <a:prstGeom prst="rect">
          <a:avLst/>
        </a:prstGeom>
        <a:noFill/>
        <a:ln w="9525">
          <a:noFill/>
          <a:miter lim="800000"/>
          <a:headEnd/>
          <a:tailEnd/>
        </a:ln>
      </xdr:spPr>
      <xdr:txBody>
        <a:bodyPr vertOverflow="clip" wrap="square" lIns="27432" tIns="27432" rIns="0" bIns="0" anchor="t" upright="1"/>
        <a:lstStyle/>
        <a:p>
          <a:pPr algn="ctr" rtl="0">
            <a:defRPr sz="1000"/>
          </a:pPr>
          <a:r>
            <a:rPr lang="en-US" sz="1100" b="0" i="0" strike="noStrike">
              <a:solidFill>
                <a:srgbClr val="000000"/>
              </a:solidFill>
              <a:latin typeface="Arial" pitchFamily="34" charset="0"/>
              <a:cs typeface="Arial" pitchFamily="34" charset="0"/>
            </a:rPr>
            <a:t>T</a:t>
          </a:r>
          <a:r>
            <a:rPr lang="en-US" sz="1100" b="0" i="0" strike="noStrike" baseline="-25000">
              <a:solidFill>
                <a:srgbClr val="000000"/>
              </a:solidFill>
              <a:latin typeface="Arial" pitchFamily="34" charset="0"/>
              <a:cs typeface="Arial" pitchFamily="34" charset="0"/>
            </a:rPr>
            <a:t>1</a:t>
          </a:r>
        </a:p>
      </xdr:txBody>
    </xdr:sp>
    <xdr:clientData/>
  </xdr:twoCellAnchor>
  <mc:AlternateContent xmlns:mc="http://schemas.openxmlformats.org/markup-compatibility/2006">
    <mc:Choice xmlns:a14="http://schemas.microsoft.com/office/drawing/2010/main" Requires="a14">
      <xdr:twoCellAnchor editAs="oneCell">
        <xdr:from>
          <xdr:col>5</xdr:col>
          <xdr:colOff>899160</xdr:colOff>
          <xdr:row>32</xdr:row>
          <xdr:rowOff>22860</xdr:rowOff>
        </xdr:from>
        <xdr:to>
          <xdr:col>6</xdr:col>
          <xdr:colOff>868680</xdr:colOff>
          <xdr:row>33</xdr:row>
          <xdr:rowOff>0</xdr:rowOff>
        </xdr:to>
        <xdr:sp macro="" textlink="">
          <xdr:nvSpPr>
            <xdr:cNvPr id="706019" name="Drop Down 1507" hidden="1">
              <a:extLst>
                <a:ext uri="{63B3BB69-23CF-44E3-9099-C40C66FF867C}">
                  <a14:compatExt spid="_x0000_s706019"/>
                </a:ext>
                <a:ext uri="{FF2B5EF4-FFF2-40B4-BE49-F238E27FC236}">
                  <a16:creationId xmlns:a16="http://schemas.microsoft.com/office/drawing/2014/main" id="{00000000-0008-0000-0100-0000E3C5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807815</xdr:colOff>
      <xdr:row>9</xdr:row>
      <xdr:rowOff>77055</xdr:rowOff>
    </xdr:from>
    <xdr:to>
      <xdr:col>3</xdr:col>
      <xdr:colOff>191960</xdr:colOff>
      <xdr:row>10</xdr:row>
      <xdr:rowOff>147375</xdr:rowOff>
    </xdr:to>
    <xdr:sp macro="" textlink="">
      <xdr:nvSpPr>
        <xdr:cNvPr id="47" name="Text Box 244">
          <a:extLst>
            <a:ext uri="{FF2B5EF4-FFF2-40B4-BE49-F238E27FC236}">
              <a16:creationId xmlns:a16="http://schemas.microsoft.com/office/drawing/2014/main" id="{00000000-0008-0000-0100-00002F000000}"/>
            </a:ext>
          </a:extLst>
        </xdr:cNvPr>
        <xdr:cNvSpPr txBox="1">
          <a:spLocks noChangeArrowheads="1"/>
        </xdr:cNvSpPr>
      </xdr:nvSpPr>
      <xdr:spPr bwMode="auto">
        <a:xfrm>
          <a:off x="2276598" y="1518229"/>
          <a:ext cx="322840" cy="230450"/>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U</a:t>
          </a:r>
          <a:r>
            <a:rPr lang="en-US" sz="1100" b="0" i="0" strike="noStrike" baseline="-25000">
              <a:solidFill>
                <a:srgbClr val="000000"/>
              </a:solidFill>
              <a:latin typeface="Arial" pitchFamily="34" charset="0"/>
              <a:cs typeface="Arial" pitchFamily="34" charset="0"/>
            </a:rPr>
            <a:t>1</a:t>
          </a:r>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38</xdr:row>
          <xdr:rowOff>22860</xdr:rowOff>
        </xdr:from>
        <xdr:to>
          <xdr:col>6</xdr:col>
          <xdr:colOff>876300</xdr:colOff>
          <xdr:row>39</xdr:row>
          <xdr:rowOff>0</xdr:rowOff>
        </xdr:to>
        <xdr:sp macro="" textlink="">
          <xdr:nvSpPr>
            <xdr:cNvPr id="706028" name="Drop Down 1516" hidden="1">
              <a:extLst>
                <a:ext uri="{63B3BB69-23CF-44E3-9099-C40C66FF867C}">
                  <a14:compatExt spid="_x0000_s706028"/>
                </a:ext>
                <a:ext uri="{FF2B5EF4-FFF2-40B4-BE49-F238E27FC236}">
                  <a16:creationId xmlns:a16="http://schemas.microsoft.com/office/drawing/2014/main" id="{00000000-0008-0000-0100-0000ECC5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834886</xdr:colOff>
      <xdr:row>13</xdr:row>
      <xdr:rowOff>59221</xdr:rowOff>
    </xdr:from>
    <xdr:to>
      <xdr:col>3</xdr:col>
      <xdr:colOff>756479</xdr:colOff>
      <xdr:row>15</xdr:row>
      <xdr:rowOff>123925</xdr:rowOff>
    </xdr:to>
    <xdr:sp macro="" textlink="'Variable Mgmt'!$P$15">
      <xdr:nvSpPr>
        <xdr:cNvPr id="49" name="Text Box 24">
          <a:extLst>
            <a:ext uri="{FF2B5EF4-FFF2-40B4-BE49-F238E27FC236}">
              <a16:creationId xmlns:a16="http://schemas.microsoft.com/office/drawing/2014/main" id="{00000000-0008-0000-0100-000031000000}"/>
            </a:ext>
          </a:extLst>
        </xdr:cNvPr>
        <xdr:cNvSpPr txBox="1">
          <a:spLocks noChangeArrowheads="1" noTextEdit="1"/>
        </xdr:cNvSpPr>
      </xdr:nvSpPr>
      <xdr:spPr bwMode="auto">
        <a:xfrm>
          <a:off x="2303669" y="2140917"/>
          <a:ext cx="860288" cy="384965"/>
        </a:xfrm>
        <a:prstGeom prst="rect">
          <a:avLst/>
        </a:prstGeom>
        <a:solidFill>
          <a:srgbClr val="D1FFFF"/>
        </a:solidFill>
        <a:ln w="9525">
          <a:noFill/>
          <a:miter lim="800000"/>
          <a:headEnd/>
          <a:tailEnd/>
        </a:ln>
      </xdr:spPr>
      <xdr:txBody>
        <a:bodyPr wrap="square" lIns="27432" tIns="22860" rIns="0"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fld id="{B1A5E21C-7C9A-4ABA-8141-466878755063}" type="TxLink">
            <a:rPr lang="en-US" sz="1200" b="1" i="0" u="none" strike="noStrike" baseline="0">
              <a:solidFill>
                <a:srgbClr val="FF0000"/>
              </a:solidFill>
              <a:latin typeface="Arial"/>
              <a:cs typeface="Arial"/>
            </a:rPr>
            <a:pPr algn="ctr" rtl="0">
              <a:defRPr sz="1000"/>
            </a:pPr>
            <a:t>LM5181</a:t>
          </a:fld>
          <a:endParaRPr lang="en-US" sz="1200" b="1" i="0" u="none" strike="noStrike" baseline="0">
            <a:solidFill>
              <a:srgbClr val="FF0000"/>
            </a:solidFill>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542925</xdr:colOff>
      <xdr:row>7</xdr:row>
      <xdr:rowOff>38100</xdr:rowOff>
    </xdr:from>
    <xdr:to>
      <xdr:col>10</xdr:col>
      <xdr:colOff>419100</xdr:colOff>
      <xdr:row>62</xdr:row>
      <xdr:rowOff>107170</xdr:rowOff>
    </xdr:to>
    <xdr:pic>
      <xdr:nvPicPr>
        <xdr:cNvPr id="8" name="Picture 7">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704975"/>
          <a:ext cx="5972175" cy="8974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533400</xdr:colOff>
      <xdr:row>7</xdr:row>
      <xdr:rowOff>38100</xdr:rowOff>
    </xdr:from>
    <xdr:to>
      <xdr:col>21</xdr:col>
      <xdr:colOff>552450</xdr:colOff>
      <xdr:row>62</xdr:row>
      <xdr:rowOff>145539</xdr:rowOff>
    </xdr:to>
    <xdr:pic>
      <xdr:nvPicPr>
        <xdr:cNvPr id="10" name="Picture 9">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1704975"/>
          <a:ext cx="6124575" cy="9013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596588</xdr:colOff>
      <xdr:row>7</xdr:row>
      <xdr:rowOff>49787</xdr:rowOff>
    </xdr:from>
    <xdr:to>
      <xdr:col>35</xdr:col>
      <xdr:colOff>1651</xdr:colOff>
      <xdr:row>33</xdr:row>
      <xdr:rowOff>114300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15236513" y="1716662"/>
          <a:ext cx="6720263" cy="4274563"/>
        </a:xfrm>
        <a:prstGeom prst="rect">
          <a:avLst/>
        </a:prstGeom>
      </xdr:spPr>
    </xdr:pic>
    <xdr:clientData/>
  </xdr:twoCellAnchor>
  <xdr:twoCellAnchor editAs="oneCell">
    <xdr:from>
      <xdr:col>23</xdr:col>
      <xdr:colOff>580605</xdr:colOff>
      <xdr:row>36</xdr:row>
      <xdr:rowOff>78361</xdr:rowOff>
    </xdr:from>
    <xdr:to>
      <xdr:col>34</xdr:col>
      <xdr:colOff>579190</xdr:colOff>
      <xdr:row>62</xdr:row>
      <xdr:rowOff>123824</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15220530" y="6441061"/>
          <a:ext cx="6704185" cy="42555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266699</xdr:colOff>
      <xdr:row>17</xdr:row>
      <xdr:rowOff>76199</xdr:rowOff>
    </xdr:from>
    <xdr:to>
      <xdr:col>17</xdr:col>
      <xdr:colOff>742949</xdr:colOff>
      <xdr:row>46</xdr:row>
      <xdr:rowOff>19049</xdr:rowOff>
    </xdr:to>
    <xdr:graphicFrame macro="">
      <xdr:nvGraphicFramePr>
        <xdr:cNvPr id="2" name="Chart 1029">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38100</xdr:colOff>
          <xdr:row>2</xdr:row>
          <xdr:rowOff>137160</xdr:rowOff>
        </xdr:from>
        <xdr:to>
          <xdr:col>1</xdr:col>
          <xdr:colOff>403860</xdr:colOff>
          <xdr:row>4</xdr:row>
          <xdr:rowOff>38100</xdr:rowOff>
        </xdr:to>
        <xdr:sp macro="" textlink="">
          <xdr:nvSpPr>
            <xdr:cNvPr id="740353" name="Drop Down 1" hidden="1">
              <a:extLst>
                <a:ext uri="{63B3BB69-23CF-44E3-9099-C40C66FF867C}">
                  <a14:compatExt spid="_x0000_s740353"/>
                </a:ext>
                <a:ext uri="{FF2B5EF4-FFF2-40B4-BE49-F238E27FC236}">
                  <a16:creationId xmlns:a16="http://schemas.microsoft.com/office/drawing/2014/main" id="{00000000-0008-0000-0400-0000014C0B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8</xdr:col>
      <xdr:colOff>152400</xdr:colOff>
      <xdr:row>9</xdr:row>
      <xdr:rowOff>0</xdr:rowOff>
    </xdr:from>
    <xdr:to>
      <xdr:col>23</xdr:col>
      <xdr:colOff>38100</xdr:colOff>
      <xdr:row>40</xdr:row>
      <xdr:rowOff>1732</xdr:rowOff>
    </xdr:to>
    <xdr:graphicFrame macro="">
      <xdr:nvGraphicFramePr>
        <xdr:cNvPr id="3" name="Chart 253">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142875</xdr:colOff>
      <xdr:row>40</xdr:row>
      <xdr:rowOff>123825</xdr:rowOff>
    </xdr:from>
    <xdr:to>
      <xdr:col>23</xdr:col>
      <xdr:colOff>19050</xdr:colOff>
      <xdr:row>71</xdr:row>
      <xdr:rowOff>125557</xdr:rowOff>
    </xdr:to>
    <xdr:graphicFrame macro="">
      <xdr:nvGraphicFramePr>
        <xdr:cNvPr id="4" name="Chart 25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73715</xdr:colOff>
      <xdr:row>72</xdr:row>
      <xdr:rowOff>142875</xdr:rowOff>
    </xdr:from>
    <xdr:to>
      <xdr:col>50</xdr:col>
      <xdr:colOff>197540</xdr:colOff>
      <xdr:row>103</xdr:row>
      <xdr:rowOff>150129</xdr:rowOff>
    </xdr:to>
    <xdr:graphicFrame macro="">
      <xdr:nvGraphicFramePr>
        <xdr:cNvPr id="6" name="Chart 253">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228600</xdr:colOff>
      <xdr:row>9</xdr:row>
      <xdr:rowOff>28575</xdr:rowOff>
    </xdr:from>
    <xdr:to>
      <xdr:col>46</xdr:col>
      <xdr:colOff>361950</xdr:colOff>
      <xdr:row>40</xdr:row>
      <xdr:rowOff>30307</xdr:rowOff>
    </xdr:to>
    <xdr:graphicFrame macro="">
      <xdr:nvGraphicFramePr>
        <xdr:cNvPr id="7" name="Chart 253">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159205</xdr:colOff>
      <xdr:row>72</xdr:row>
      <xdr:rowOff>141513</xdr:rowOff>
    </xdr:from>
    <xdr:to>
      <xdr:col>19</xdr:col>
      <xdr:colOff>371475</xdr:colOff>
      <xdr:row>101</xdr:row>
      <xdr:rowOff>123825</xdr:rowOff>
    </xdr:to>
    <xdr:graphicFrame macro="">
      <xdr:nvGraphicFramePr>
        <xdr:cNvPr id="9" name="Chart 253">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593913</xdr:colOff>
      <xdr:row>73</xdr:row>
      <xdr:rowOff>112061</xdr:rowOff>
    </xdr:from>
    <xdr:to>
      <xdr:col>31</xdr:col>
      <xdr:colOff>537882</xdr:colOff>
      <xdr:row>102</xdr:row>
      <xdr:rowOff>78441</xdr:rowOff>
    </xdr:to>
    <xdr:graphicFrame macro="">
      <xdr:nvGraphicFramePr>
        <xdr:cNvPr id="8" name="Chart 253">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342900</xdr:colOff>
      <xdr:row>9</xdr:row>
      <xdr:rowOff>19050</xdr:rowOff>
    </xdr:from>
    <xdr:to>
      <xdr:col>27</xdr:col>
      <xdr:colOff>47625</xdr:colOff>
      <xdr:row>40</xdr:row>
      <xdr:rowOff>20782</xdr:rowOff>
    </xdr:to>
    <xdr:graphicFrame macro="">
      <xdr:nvGraphicFramePr>
        <xdr:cNvPr id="2" name="Chart 253">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352425</xdr:colOff>
      <xdr:row>41</xdr:row>
      <xdr:rowOff>0</xdr:rowOff>
    </xdr:from>
    <xdr:to>
      <xdr:col>27</xdr:col>
      <xdr:colOff>57150</xdr:colOff>
      <xdr:row>72</xdr:row>
      <xdr:rowOff>1732</xdr:rowOff>
    </xdr:to>
    <xdr:graphicFrame macro="">
      <xdr:nvGraphicFramePr>
        <xdr:cNvPr id="3" name="Chart 253">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194582</xdr:colOff>
      <xdr:row>41</xdr:row>
      <xdr:rowOff>21771</xdr:rowOff>
    </xdr:from>
    <xdr:to>
      <xdr:col>47</xdr:col>
      <xdr:colOff>123825</xdr:colOff>
      <xdr:row>72</xdr:row>
      <xdr:rowOff>23503</xdr:rowOff>
    </xdr:to>
    <xdr:graphicFrame macro="">
      <xdr:nvGraphicFramePr>
        <xdr:cNvPr id="4" name="Chart 25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228600</xdr:colOff>
      <xdr:row>9</xdr:row>
      <xdr:rowOff>28575</xdr:rowOff>
    </xdr:from>
    <xdr:to>
      <xdr:col>47</xdr:col>
      <xdr:colOff>19050</xdr:colOff>
      <xdr:row>40</xdr:row>
      <xdr:rowOff>30307</xdr:rowOff>
    </xdr:to>
    <xdr:graphicFrame macro="">
      <xdr:nvGraphicFramePr>
        <xdr:cNvPr id="5" name="Chart 253">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300471</xdr:colOff>
      <xdr:row>72</xdr:row>
      <xdr:rowOff>129021</xdr:rowOff>
    </xdr:from>
    <xdr:to>
      <xdr:col>23</xdr:col>
      <xdr:colOff>138546</xdr:colOff>
      <xdr:row>103</xdr:row>
      <xdr:rowOff>130753</xdr:rowOff>
    </xdr:to>
    <xdr:graphicFrame macro="">
      <xdr:nvGraphicFramePr>
        <xdr:cNvPr id="6" name="Chart 253">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0</xdr:colOff>
      <xdr:row>12</xdr:row>
      <xdr:rowOff>0</xdr:rowOff>
    </xdr:from>
    <xdr:to>
      <xdr:col>33</xdr:col>
      <xdr:colOff>248709</xdr:colOff>
      <xdr:row>40</xdr:row>
      <xdr:rowOff>61288</xdr:rowOff>
    </xdr:to>
    <xdr:graphicFrame macro="">
      <xdr:nvGraphicFramePr>
        <xdr:cNvPr id="2" name="Chart 2">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85725</xdr:colOff>
      <xdr:row>111</xdr:row>
      <xdr:rowOff>114300</xdr:rowOff>
    </xdr:from>
    <xdr:to>
      <xdr:col>20</xdr:col>
      <xdr:colOff>161925</xdr:colOff>
      <xdr:row>144</xdr:row>
      <xdr:rowOff>76200</xdr:rowOff>
    </xdr:to>
    <xdr:graphicFrame macro="">
      <xdr:nvGraphicFramePr>
        <xdr:cNvPr id="3" name="Chart 31">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1600199</xdr:colOff>
      <xdr:row>4</xdr:row>
      <xdr:rowOff>95250</xdr:rowOff>
    </xdr:from>
    <xdr:to>
      <xdr:col>4</xdr:col>
      <xdr:colOff>3267074</xdr:colOff>
      <xdr:row>4</xdr:row>
      <xdr:rowOff>535385</xdr:rowOff>
    </xdr:to>
    <xdr:pic>
      <xdr:nvPicPr>
        <xdr:cNvPr id="4" name="Picture 84">
          <a:extLst>
            <a:ext uri="{FF2B5EF4-FFF2-40B4-BE49-F238E27FC236}">
              <a16:creationId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857749" y="800100"/>
          <a:ext cx="1666875" cy="440135"/>
        </a:xfrm>
        <a:prstGeom prst="rect">
          <a:avLst/>
        </a:prstGeom>
        <a:noFill/>
        <a:ln w="1">
          <a:noFill/>
          <a:miter lim="800000"/>
          <a:headEnd/>
          <a:tailEnd type="none" w="med" len="med"/>
        </a:ln>
        <a:effectLst/>
      </xdr:spPr>
    </xdr:pic>
    <xdr:clientData/>
  </xdr:twoCellAnchor>
  <xdr:twoCellAnchor>
    <xdr:from>
      <xdr:col>0</xdr:col>
      <xdr:colOff>95250</xdr:colOff>
      <xdr:row>148</xdr:row>
      <xdr:rowOff>76200</xdr:rowOff>
    </xdr:from>
    <xdr:to>
      <xdr:col>20</xdr:col>
      <xdr:colOff>687917</xdr:colOff>
      <xdr:row>181</xdr:row>
      <xdr:rowOff>38100</xdr:rowOff>
    </xdr:to>
    <xdr:graphicFrame macro="">
      <xdr:nvGraphicFramePr>
        <xdr:cNvPr id="8" name="Chart 31">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22</xdr:col>
          <xdr:colOff>182880</xdr:colOff>
          <xdr:row>111</xdr:row>
          <xdr:rowOff>144780</xdr:rowOff>
        </xdr:from>
        <xdr:to>
          <xdr:col>36</xdr:col>
          <xdr:colOff>22860</xdr:colOff>
          <xdr:row>125</xdr:row>
          <xdr:rowOff>144780</xdr:rowOff>
        </xdr:to>
        <xdr:sp macro="" textlink="">
          <xdr:nvSpPr>
            <xdr:cNvPr id="683009" name="Object 1" hidden="1">
              <a:extLst>
                <a:ext uri="{63B3BB69-23CF-44E3-9099-C40C66FF867C}">
                  <a14:compatExt spid="_x0000_s683009"/>
                </a:ext>
                <a:ext uri="{FF2B5EF4-FFF2-40B4-BE49-F238E27FC236}">
                  <a16:creationId xmlns:a16="http://schemas.microsoft.com/office/drawing/2014/main" id="{00000000-0008-0000-0800-0000016C0A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0</xdr:col>
      <xdr:colOff>392906</xdr:colOff>
      <xdr:row>218</xdr:row>
      <xdr:rowOff>130969</xdr:rowOff>
    </xdr:from>
    <xdr:to>
      <xdr:col>19</xdr:col>
      <xdr:colOff>626267</xdr:colOff>
      <xdr:row>250</xdr:row>
      <xdr:rowOff>124619</xdr:rowOff>
    </xdr:to>
    <xdr:graphicFrame macro="">
      <xdr:nvGraphicFramePr>
        <xdr:cNvPr id="13" name="Chart 31">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35718</xdr:colOff>
      <xdr:row>255</xdr:row>
      <xdr:rowOff>47626</xdr:rowOff>
    </xdr:from>
    <xdr:to>
      <xdr:col>13</xdr:col>
      <xdr:colOff>16668</xdr:colOff>
      <xdr:row>287</xdr:row>
      <xdr:rowOff>104776</xdr:rowOff>
    </xdr:to>
    <xdr:graphicFrame macro="">
      <xdr:nvGraphicFramePr>
        <xdr:cNvPr id="16" name="Chart 253">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28575</xdr:colOff>
      <xdr:row>289</xdr:row>
      <xdr:rowOff>66675</xdr:rowOff>
    </xdr:from>
    <xdr:to>
      <xdr:col>13</xdr:col>
      <xdr:colOff>9525</xdr:colOff>
      <xdr:row>321</xdr:row>
      <xdr:rowOff>123825</xdr:rowOff>
    </xdr:to>
    <xdr:graphicFrame macro="">
      <xdr:nvGraphicFramePr>
        <xdr:cNvPr id="15" name="Chart 253">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95251</xdr:colOff>
      <xdr:row>182</xdr:row>
      <xdr:rowOff>100853</xdr:rowOff>
    </xdr:from>
    <xdr:to>
      <xdr:col>20</xdr:col>
      <xdr:colOff>708023</xdr:colOff>
      <xdr:row>215</xdr:row>
      <xdr:rowOff>62753</xdr:rowOff>
    </xdr:to>
    <xdr:graphicFrame macro="">
      <xdr:nvGraphicFramePr>
        <xdr:cNvPr id="17" name="Chart 31">
          <a:extLst>
            <a:ext uri="{FF2B5EF4-FFF2-40B4-BE49-F238E27FC236}">
              <a16:creationId xmlns:a16="http://schemas.microsoft.com/office/drawing/2014/main" id="{00000000-0008-0000-08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0.16877</cdr:x>
      <cdr:y>0.12917</cdr:y>
    </cdr:from>
    <cdr:to>
      <cdr:x>0.23482</cdr:x>
      <cdr:y>0.16636</cdr:y>
    </cdr:to>
    <cdr:sp macro="" textlink="'Variable Mgmt'!$B$264">
      <cdr:nvSpPr>
        <cdr:cNvPr id="2" name="Text Box 24"/>
        <cdr:cNvSpPr txBox="1">
          <a:spLocks xmlns:a="http://schemas.openxmlformats.org/drawingml/2006/main" noChangeArrowheads="1" noTextEdit="1"/>
        </cdr:cNvSpPr>
      </cdr:nvSpPr>
      <cdr:spPr bwMode="auto">
        <a:xfrm xmlns:a="http://schemas.openxmlformats.org/drawingml/2006/main">
          <a:off x="1403360" y="665601"/>
          <a:ext cx="549265" cy="19165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22860" rIns="0" bIns="22860" anchor="b"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fld id="{FB7B9190-533F-41A0-B9F6-41424F4E3D27}" type="TxLink">
            <a:rPr lang="en-US" sz="1100" b="0" i="0" u="none" strike="noStrike" baseline="0">
              <a:solidFill>
                <a:srgbClr val="000000"/>
              </a:solidFill>
              <a:latin typeface="Arial"/>
              <a:cs typeface="Arial"/>
            </a:rPr>
            <a:pPr algn="l" rtl="0">
              <a:defRPr sz="1000"/>
            </a:pPr>
            <a:t>75.7%</a:t>
          </a:fld>
          <a:endParaRPr lang="en-US" sz="1100" b="1" i="0" u="none" strike="noStrike" baseline="0">
            <a:solidFill>
              <a:srgbClr val="000000"/>
            </a:solidFill>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bwMode="auto">
        <a:noFill/>
        <a:ln w="9525">
          <a:noFill/>
          <a:miter lim="800000"/>
          <a:headEnd/>
          <a:tailEnd/>
        </a:ln>
      </a:spPr>
      <a:bodyPr vertOverflow="clip" wrap="square" lIns="27432" tIns="27432" rIns="0" bIns="0" anchor="t" upright="1"/>
      <a:lstStyle>
        <a:defPPr algn="l" rtl="0">
          <a:defRPr sz="1100" b="0" i="0" strike="noStrike">
            <a:solidFill>
              <a:srgbClr val="000000"/>
            </a:solidFill>
            <a:latin typeface="Calibri"/>
          </a:defRPr>
        </a:defPPr>
      </a:lst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13" Type="http://schemas.openxmlformats.org/officeDocument/2006/relationships/ctrlProp" Target="../ctrlProps/ctrlProp8.xml"/><Relationship Id="rId3" Type="http://schemas.openxmlformats.org/officeDocument/2006/relationships/drawing" Target="../drawings/drawing1.xml"/><Relationship Id="rId7" Type="http://schemas.openxmlformats.org/officeDocument/2006/relationships/ctrlProp" Target="../ctrlProps/ctrlProp2.xml"/><Relationship Id="rId12" Type="http://schemas.openxmlformats.org/officeDocument/2006/relationships/ctrlProp" Target="../ctrlProps/ctrlProp7.xml"/><Relationship Id="rId2" Type="http://schemas.openxmlformats.org/officeDocument/2006/relationships/printerSettings" Target="../printerSettings/printerSettings1.bin"/><Relationship Id="rId1" Type="http://schemas.openxmlformats.org/officeDocument/2006/relationships/hyperlink" Target="http://www.ti.com/widevin" TargetMode="External"/><Relationship Id="rId6" Type="http://schemas.openxmlformats.org/officeDocument/2006/relationships/ctrlProp" Target="../ctrlProps/ctrlProp1.xml"/><Relationship Id="rId11" Type="http://schemas.openxmlformats.org/officeDocument/2006/relationships/ctrlProp" Target="../ctrlProps/ctrlProp6.xml"/><Relationship Id="rId5" Type="http://schemas.openxmlformats.org/officeDocument/2006/relationships/vmlDrawing" Target="../drawings/vmlDrawing2.vml"/><Relationship Id="rId10" Type="http://schemas.openxmlformats.org/officeDocument/2006/relationships/ctrlProp" Target="../ctrlProps/ctrlProp5.xml"/><Relationship Id="rId4" Type="http://schemas.openxmlformats.org/officeDocument/2006/relationships/vmlDrawing" Target="../drawings/vmlDrawing1.vml"/><Relationship Id="rId9" Type="http://schemas.openxmlformats.org/officeDocument/2006/relationships/ctrlProp" Target="../ctrlProps/ctrlProp4.xml"/><Relationship Id="rId1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3.xml"/><Relationship Id="rId13" Type="http://schemas.openxmlformats.org/officeDocument/2006/relationships/ctrlProp" Target="../ctrlProps/ctrlProp18.xml"/><Relationship Id="rId18" Type="http://schemas.openxmlformats.org/officeDocument/2006/relationships/ctrlProp" Target="../ctrlProps/ctrlProp23.xml"/><Relationship Id="rId3" Type="http://schemas.openxmlformats.org/officeDocument/2006/relationships/vmlDrawing" Target="../drawings/vmlDrawing3.vml"/><Relationship Id="rId7" Type="http://schemas.openxmlformats.org/officeDocument/2006/relationships/ctrlProp" Target="../ctrlProps/ctrlProp12.xml"/><Relationship Id="rId12" Type="http://schemas.openxmlformats.org/officeDocument/2006/relationships/ctrlProp" Target="../ctrlProps/ctrlProp17.xml"/><Relationship Id="rId17"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21.xml"/><Relationship Id="rId1" Type="http://schemas.openxmlformats.org/officeDocument/2006/relationships/printerSettings" Target="../printerSettings/printerSettings2.bin"/><Relationship Id="rId6" Type="http://schemas.openxmlformats.org/officeDocument/2006/relationships/ctrlProp" Target="../ctrlProps/ctrlProp11.xml"/><Relationship Id="rId11" Type="http://schemas.openxmlformats.org/officeDocument/2006/relationships/ctrlProp" Target="../ctrlProps/ctrlProp16.xml"/><Relationship Id="rId5" Type="http://schemas.openxmlformats.org/officeDocument/2006/relationships/ctrlProp" Target="../ctrlProps/ctrlProp10.xml"/><Relationship Id="rId15" Type="http://schemas.openxmlformats.org/officeDocument/2006/relationships/ctrlProp" Target="../ctrlProps/ctrlProp20.xml"/><Relationship Id="rId10" Type="http://schemas.openxmlformats.org/officeDocument/2006/relationships/ctrlProp" Target="../ctrlProps/ctrlProp15.xml"/><Relationship Id="rId4" Type="http://schemas.openxmlformats.org/officeDocument/2006/relationships/ctrlProp" Target="../ctrlProps/ctrlProp9.xml"/><Relationship Id="rId9" Type="http://schemas.openxmlformats.org/officeDocument/2006/relationships/ctrlProp" Target="../ctrlProps/ctrlProp14.xml"/><Relationship Id="rId14" Type="http://schemas.openxmlformats.org/officeDocument/2006/relationships/ctrlProp" Target="../ctrlProps/ctrlProp1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trlProp" Target="../ctrlProps/ctrlProp2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comments" Target="../comments2.xml"/><Relationship Id="rId5" Type="http://schemas.openxmlformats.org/officeDocument/2006/relationships/image" Target="../media/image15.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AI68"/>
  <sheetViews>
    <sheetView tabSelected="1" topLeftCell="B1" zoomScale="73" zoomScaleNormal="100" zoomScaleSheetLayoutView="70" workbookViewId="0">
      <selection activeCell="E43" sqref="E43"/>
    </sheetView>
  </sheetViews>
  <sheetFormatPr defaultColWidth="9.33203125" defaultRowHeight="13.8" x14ac:dyDescent="0.3"/>
  <cols>
    <col min="1" max="1" width="8.33203125" style="86" customWidth="1"/>
    <col min="2" max="2" width="8.33203125" style="35" customWidth="1"/>
    <col min="3" max="3" width="13.5546875" style="35" customWidth="1"/>
    <col min="4" max="4" width="9.6640625" style="35" customWidth="1"/>
    <col min="5" max="5" width="9.33203125" style="35" customWidth="1"/>
    <col min="6" max="6" width="8.6640625" style="35" customWidth="1"/>
    <col min="7" max="7" width="2.6640625" style="35" customWidth="1"/>
    <col min="8" max="9" width="8.33203125" style="35" customWidth="1"/>
    <col min="10" max="10" width="13.6640625" style="35" customWidth="1"/>
    <col min="11" max="11" width="10" style="35" customWidth="1"/>
    <col min="12" max="12" width="9.44140625" style="35" customWidth="1"/>
    <col min="13" max="13" width="8.6640625" style="35" customWidth="1"/>
    <col min="14" max="15" width="9.33203125" style="35"/>
    <col min="16" max="18" width="10.33203125" style="35" customWidth="1"/>
    <col min="19" max="19" width="10" style="35" bestFit="1" customWidth="1"/>
    <col min="20" max="25" width="9.33203125" style="35"/>
    <col min="26" max="26" width="29" style="35" customWidth="1"/>
    <col min="27" max="27" width="3.33203125" style="35" customWidth="1"/>
    <col min="28" max="16384" width="9.33203125" style="35"/>
  </cols>
  <sheetData>
    <row r="1" spans="1:27" ht="47.25" customHeight="1" x14ac:dyDescent="0.3">
      <c r="A1" s="451" t="s">
        <v>804</v>
      </c>
      <c r="B1" s="449"/>
      <c r="C1" s="449"/>
      <c r="D1" s="449"/>
      <c r="E1" s="449"/>
      <c r="F1" s="449"/>
      <c r="G1" s="449"/>
      <c r="H1" s="449"/>
      <c r="I1" s="449"/>
      <c r="J1" s="449"/>
      <c r="K1" s="449"/>
      <c r="L1" s="449"/>
      <c r="M1" s="449"/>
      <c r="N1" s="449"/>
      <c r="O1" s="449"/>
      <c r="P1" s="449"/>
      <c r="Q1" s="449"/>
      <c r="R1" s="450"/>
      <c r="S1" s="450"/>
      <c r="T1" s="450"/>
      <c r="U1" s="450"/>
      <c r="V1" s="359"/>
      <c r="W1" s="359"/>
      <c r="X1" s="359"/>
      <c r="Y1" s="359"/>
      <c r="Z1" s="359"/>
      <c r="AA1" s="359"/>
    </row>
    <row r="2" spans="1:27" ht="14.1" customHeight="1" x14ac:dyDescent="0.55000000000000004">
      <c r="A2" s="340"/>
      <c r="B2" s="341"/>
      <c r="C2" s="341"/>
      <c r="D2" s="341"/>
      <c r="E2" s="341"/>
      <c r="F2" s="341"/>
      <c r="G2" s="341"/>
      <c r="H2" s="341"/>
      <c r="I2" s="341"/>
      <c r="J2" s="341"/>
      <c r="K2" s="341"/>
      <c r="L2" s="341"/>
      <c r="M2" s="341"/>
      <c r="N2" s="341"/>
      <c r="O2" s="354"/>
      <c r="P2" s="341"/>
      <c r="Q2" s="341"/>
      <c r="R2" s="349"/>
      <c r="S2" s="349"/>
      <c r="T2" s="349"/>
      <c r="U2" s="349"/>
      <c r="V2" s="349"/>
      <c r="W2" s="349"/>
      <c r="X2" s="349"/>
      <c r="Y2" s="349"/>
      <c r="Z2" s="349"/>
      <c r="AA2" s="349"/>
    </row>
    <row r="3" spans="1:27" ht="16.2" customHeight="1" x14ac:dyDescent="0.55000000000000004">
      <c r="A3" s="342" t="s">
        <v>105</v>
      </c>
      <c r="B3" s="343"/>
      <c r="C3" s="355" t="s">
        <v>106</v>
      </c>
      <c r="D3" s="344"/>
      <c r="E3" s="64"/>
      <c r="F3" s="346" t="s">
        <v>59</v>
      </c>
      <c r="G3" s="345"/>
      <c r="H3" s="341"/>
      <c r="I3" s="341"/>
      <c r="J3" s="345"/>
      <c r="K3" s="347"/>
      <c r="L3" s="348"/>
      <c r="M3" s="349"/>
      <c r="N3" s="349"/>
      <c r="O3" s="349"/>
      <c r="P3" s="1"/>
      <c r="Q3" s="349" t="s">
        <v>77</v>
      </c>
      <c r="R3" s="349"/>
      <c r="S3" s="349"/>
      <c r="T3" s="349"/>
      <c r="U3" s="452" t="s">
        <v>316</v>
      </c>
      <c r="V3" s="349"/>
      <c r="W3" s="349"/>
      <c r="X3" s="349"/>
      <c r="Y3" s="349"/>
      <c r="Z3" s="349"/>
      <c r="AA3" s="349"/>
    </row>
    <row r="4" spans="1:27" ht="14.1" customHeight="1" thickBot="1" x14ac:dyDescent="0.4">
      <c r="A4" s="350"/>
      <c r="B4" s="351"/>
      <c r="C4" s="352"/>
      <c r="D4" s="352"/>
      <c r="E4" s="352"/>
      <c r="F4" s="352"/>
      <c r="G4" s="352"/>
      <c r="H4" s="352"/>
      <c r="I4" s="352"/>
      <c r="J4" s="352"/>
      <c r="K4" s="352"/>
      <c r="L4" s="352"/>
      <c r="M4" s="353"/>
      <c r="N4" s="353"/>
      <c r="O4" s="353"/>
      <c r="P4" s="353"/>
      <c r="Q4" s="353"/>
      <c r="R4" s="349"/>
      <c r="S4" s="349"/>
      <c r="T4" s="349"/>
      <c r="U4" s="349"/>
      <c r="V4" s="349"/>
      <c r="W4" s="349"/>
      <c r="X4" s="349"/>
      <c r="Y4" s="349"/>
      <c r="Z4" s="349"/>
      <c r="AA4" s="349"/>
    </row>
    <row r="5" spans="1:27" ht="19.5" customHeight="1" thickBot="1" x14ac:dyDescent="0.4">
      <c r="A5" s="85" t="s">
        <v>101</v>
      </c>
      <c r="B5" s="63"/>
      <c r="C5" s="36"/>
      <c r="D5" s="36"/>
      <c r="E5" s="37"/>
      <c r="F5" s="36"/>
      <c r="G5" s="55"/>
      <c r="H5" s="508" t="s">
        <v>362</v>
      </c>
      <c r="I5" s="73"/>
      <c r="J5" s="74"/>
      <c r="K5" s="74"/>
      <c r="L5" s="75"/>
      <c r="M5" s="309"/>
      <c r="N5" s="38"/>
      <c r="O5" s="38"/>
      <c r="P5" s="38"/>
      <c r="Q5" s="38"/>
      <c r="R5" s="435"/>
      <c r="S5" s="435"/>
      <c r="T5" s="435"/>
      <c r="U5" s="435"/>
      <c r="V5" s="435"/>
      <c r="W5" s="435"/>
      <c r="X5" s="435"/>
      <c r="Y5" s="435"/>
      <c r="Z5" s="438"/>
      <c r="AA5" s="349"/>
    </row>
    <row r="6" spans="1:27" ht="15.75" customHeight="1" x14ac:dyDescent="0.3">
      <c r="A6" s="119"/>
      <c r="B6" s="120"/>
      <c r="C6" s="121"/>
      <c r="D6" s="122" t="s">
        <v>370</v>
      </c>
      <c r="E6" s="123">
        <v>9</v>
      </c>
      <c r="F6" s="369" t="s">
        <v>0</v>
      </c>
      <c r="G6" s="71"/>
      <c r="H6" s="394"/>
      <c r="I6" s="441"/>
      <c r="J6" s="181"/>
      <c r="K6" s="442" t="s">
        <v>675</v>
      </c>
      <c r="L6" s="627">
        <f>Lmin</f>
        <v>50.800000000000011</v>
      </c>
      <c r="M6" s="548" t="s">
        <v>96</v>
      </c>
      <c r="N6" s="38"/>
      <c r="O6" s="38"/>
      <c r="P6" s="38"/>
      <c r="Q6" s="38"/>
      <c r="R6" s="58"/>
      <c r="S6" s="58"/>
      <c r="T6" s="58"/>
      <c r="U6" s="58"/>
      <c r="V6" s="58"/>
      <c r="W6" s="58"/>
      <c r="X6" s="58"/>
      <c r="Y6" s="58"/>
      <c r="Z6" s="439"/>
      <c r="AA6" s="349"/>
    </row>
    <row r="7" spans="1:27" ht="14.25" customHeight="1" x14ac:dyDescent="0.35">
      <c r="A7" s="113"/>
      <c r="B7" s="112"/>
      <c r="C7" s="114"/>
      <c r="D7" s="124" t="s">
        <v>371</v>
      </c>
      <c r="E7" s="125">
        <v>20</v>
      </c>
      <c r="F7" s="370" t="s">
        <v>0</v>
      </c>
      <c r="G7" s="71"/>
      <c r="H7" s="69"/>
      <c r="I7" s="70"/>
      <c r="J7" s="68"/>
      <c r="K7" s="79" t="s">
        <v>368</v>
      </c>
      <c r="L7" s="125">
        <v>60</v>
      </c>
      <c r="M7" s="370" t="s">
        <v>96</v>
      </c>
      <c r="N7" s="38"/>
      <c r="O7" s="38"/>
      <c r="P7" s="38"/>
      <c r="Q7" s="38"/>
      <c r="R7" s="58"/>
      <c r="S7" s="58"/>
      <c r="T7" s="58"/>
      <c r="U7" s="58"/>
      <c r="V7" s="58"/>
      <c r="W7" s="58"/>
      <c r="X7" s="58"/>
      <c r="Y7" s="58"/>
      <c r="Z7" s="439"/>
      <c r="AA7" s="349"/>
    </row>
    <row r="8" spans="1:27" ht="15.75" customHeight="1" x14ac:dyDescent="0.3">
      <c r="A8" s="113"/>
      <c r="B8" s="112"/>
      <c r="C8" s="114"/>
      <c r="D8" s="124" t="s">
        <v>372</v>
      </c>
      <c r="E8" s="125">
        <v>21</v>
      </c>
      <c r="F8" s="370" t="s">
        <v>0</v>
      </c>
      <c r="G8" s="71"/>
      <c r="H8" s="69"/>
      <c r="I8" s="70"/>
      <c r="J8" s="68"/>
      <c r="K8" s="79" t="s">
        <v>537</v>
      </c>
      <c r="L8" s="125">
        <v>1000</v>
      </c>
      <c r="M8" s="370" t="s">
        <v>20</v>
      </c>
      <c r="N8" s="38"/>
      <c r="O8" s="38"/>
      <c r="P8" s="38"/>
      <c r="Q8" s="38"/>
      <c r="R8" s="58"/>
      <c r="S8" s="58"/>
      <c r="T8" s="58"/>
      <c r="U8" s="58"/>
      <c r="V8" s="58"/>
      <c r="W8" s="58"/>
      <c r="X8" s="58"/>
      <c r="Y8" s="58"/>
      <c r="Z8" s="439"/>
      <c r="AA8" s="349"/>
    </row>
    <row r="9" spans="1:27" ht="15.75" customHeight="1" x14ac:dyDescent="0.3">
      <c r="A9" s="113"/>
      <c r="B9" s="112"/>
      <c r="C9" s="114"/>
      <c r="D9" s="124" t="s">
        <v>369</v>
      </c>
      <c r="E9" s="506"/>
      <c r="F9" s="126"/>
      <c r="G9" s="71"/>
      <c r="H9" s="69"/>
      <c r="I9" s="70"/>
      <c r="J9" s="68"/>
      <c r="K9" s="79" t="str">
        <f>CHOOSE(MODE, "Secondary Winding DCR", "Secondary Winding #1 DCR")</f>
        <v>Secondary Winding DCR</v>
      </c>
      <c r="L9" s="125">
        <v>1000</v>
      </c>
      <c r="M9" s="370" t="s">
        <v>20</v>
      </c>
      <c r="N9" s="38"/>
      <c r="O9" s="38"/>
      <c r="P9" s="38"/>
      <c r="Q9" s="38"/>
      <c r="R9" s="58"/>
      <c r="S9" s="58"/>
      <c r="T9" s="58"/>
      <c r="U9" s="58"/>
      <c r="V9" s="58"/>
      <c r="W9" s="58"/>
      <c r="X9" s="58"/>
      <c r="Y9" s="58"/>
      <c r="Z9" s="439"/>
      <c r="AA9" s="349"/>
    </row>
    <row r="10" spans="1:27" ht="15.75" customHeight="1" x14ac:dyDescent="0.3">
      <c r="A10" s="113"/>
      <c r="B10" s="112"/>
      <c r="C10" s="114"/>
      <c r="D10" s="124" t="str">
        <f>CHOOSE(MODE, "Output Voltage, VOUT ", "Output Voltage, VOUT1")</f>
        <v xml:space="preserve">Output Voltage, VOUT </v>
      </c>
      <c r="E10" s="125">
        <v>20</v>
      </c>
      <c r="F10" s="370" t="s">
        <v>0</v>
      </c>
      <c r="G10" s="71"/>
      <c r="H10" s="69"/>
      <c r="I10" s="70"/>
      <c r="J10" s="68"/>
      <c r="K10" s="79" t="str">
        <f>CHOOSE(MODE, "", "Secondary Winding #2 DCR")</f>
        <v/>
      </c>
      <c r="L10" s="125">
        <v>50</v>
      </c>
      <c r="M10" s="370" t="str">
        <f>CHOOSE(MODE, "", "mΩ")</f>
        <v/>
      </c>
      <c r="N10" s="38"/>
      <c r="O10" s="38"/>
      <c r="P10" s="38"/>
      <c r="Q10" s="38"/>
      <c r="R10" s="58"/>
      <c r="S10" s="58"/>
      <c r="T10" s="58"/>
      <c r="U10" s="58"/>
      <c r="V10" s="58"/>
      <c r="W10" s="58"/>
      <c r="X10" s="58"/>
      <c r="Y10" s="58"/>
      <c r="Z10" s="439"/>
      <c r="AA10" s="349"/>
    </row>
    <row r="11" spans="1:27" ht="15.75" customHeight="1" thickBot="1" x14ac:dyDescent="0.35">
      <c r="A11" s="116"/>
      <c r="B11" s="132"/>
      <c r="C11" s="440"/>
      <c r="D11" s="444" t="str">
        <f>CHOOSE(MODE, "Rated Output Current, IOUT ", "Rated Output Current, IOUT1")</f>
        <v xml:space="preserve">Rated Output Current, IOUT </v>
      </c>
      <c r="E11" s="445">
        <v>0.1</v>
      </c>
      <c r="F11" s="446" t="s">
        <v>1</v>
      </c>
      <c r="G11" s="71"/>
      <c r="H11" s="69"/>
      <c r="I11" s="58"/>
      <c r="J11" s="58"/>
      <c r="K11" s="79" t="s">
        <v>679</v>
      </c>
      <c r="L11" s="125">
        <v>1000</v>
      </c>
      <c r="M11" s="370" t="s">
        <v>678</v>
      </c>
      <c r="N11" s="38"/>
      <c r="O11" s="38"/>
      <c r="P11" s="38"/>
      <c r="Q11" s="38"/>
      <c r="R11" s="58"/>
      <c r="S11" s="58"/>
      <c r="T11" s="58"/>
      <c r="U11" s="58"/>
      <c r="V11" s="58"/>
      <c r="W11" s="58"/>
      <c r="X11" s="58"/>
      <c r="Y11" s="58"/>
      <c r="Z11" s="439"/>
      <c r="AA11" s="349"/>
    </row>
    <row r="12" spans="1:27" ht="15.75" customHeight="1" x14ac:dyDescent="0.3">
      <c r="A12" s="58"/>
      <c r="B12" s="58"/>
      <c r="C12" s="58"/>
      <c r="D12" s="124" t="str">
        <f>CHOOSE(MODE, "", "Output Voltage, VOUT2")</f>
        <v/>
      </c>
      <c r="E12" s="125">
        <v>-16</v>
      </c>
      <c r="F12" s="370" t="str">
        <f>CHOOSE(MODE, "", "V", "V")</f>
        <v/>
      </c>
      <c r="G12" s="71"/>
      <c r="H12" s="69"/>
      <c r="I12" s="70"/>
      <c r="J12" s="68"/>
      <c r="K12" s="67" t="str">
        <f>IF(MODE=1, "Transformer Turns Ratio, Pri : Sec", "Turns Ratio, PRI : SEC1")</f>
        <v>Transformer Turns Ratio, Pri : Sec</v>
      </c>
      <c r="L12" s="377"/>
      <c r="M12" s="82"/>
      <c r="N12" s="38"/>
      <c r="O12" s="38"/>
      <c r="P12" s="38"/>
      <c r="Q12" s="38"/>
      <c r="R12" s="58"/>
      <c r="S12" s="58"/>
      <c r="T12" s="58"/>
      <c r="U12" s="58"/>
      <c r="V12" s="58"/>
      <c r="W12" s="58"/>
      <c r="X12" s="58"/>
      <c r="Y12" s="58"/>
      <c r="Z12" s="439"/>
      <c r="AA12" s="349"/>
    </row>
    <row r="13" spans="1:27" ht="15.75" customHeight="1" thickBot="1" x14ac:dyDescent="0.35">
      <c r="A13" s="116"/>
      <c r="B13" s="132"/>
      <c r="C13" s="440"/>
      <c r="D13" s="444" t="str">
        <f>CHOOSE(MODE, "", "Rated Output Current, IOUT2")</f>
        <v/>
      </c>
      <c r="E13" s="445">
        <v>-0.1</v>
      </c>
      <c r="F13" s="370" t="str">
        <f>CHOOSE(MODE, "", "A", "A")</f>
        <v/>
      </c>
      <c r="G13" s="71"/>
      <c r="H13" s="113"/>
      <c r="I13" s="112"/>
      <c r="J13" s="114"/>
      <c r="K13" s="68" t="str">
        <f>CHOOSE(MODE, "SW Voltage at VIN(max) - Spike Not Included", "Turns Ratio, SEC2 : SEC1")</f>
        <v>SW Voltage at VIN(max) - Spike Not Included</v>
      </c>
      <c r="L13" s="70">
        <f>CHOOSE(MODE, ROUND('Variable Mgmt'!B50,0), ROUND(Nsec1sec2,2))</f>
        <v>41</v>
      </c>
      <c r="M13" s="82" t="str">
        <f>CHOOSE(MODE, "V", "")</f>
        <v>V</v>
      </c>
      <c r="N13" s="38"/>
      <c r="O13" s="38"/>
      <c r="P13" s="38"/>
      <c r="Q13" s="38"/>
      <c r="R13" s="58"/>
      <c r="S13" s="58"/>
      <c r="T13" s="58"/>
      <c r="U13" s="58"/>
      <c r="V13" s="58"/>
      <c r="W13" s="58"/>
      <c r="X13" s="58"/>
      <c r="Y13" s="58"/>
      <c r="Z13" s="439"/>
      <c r="AA13" s="349"/>
    </row>
    <row r="14" spans="1:27" ht="15.75" customHeight="1" x14ac:dyDescent="0.3">
      <c r="A14" s="113"/>
      <c r="B14" s="112"/>
      <c r="C14" s="114"/>
      <c r="D14" s="124"/>
      <c r="E14" s="58"/>
      <c r="F14" s="666"/>
      <c r="G14" s="71"/>
      <c r="H14" s="113"/>
      <c r="I14" s="112"/>
      <c r="J14" s="114"/>
      <c r="K14" s="665" t="str">
        <f>IF(L13&gt;Vsw_max/1.05, "Select a smaller turns ratio!", "")</f>
        <v/>
      </c>
      <c r="L14" s="70"/>
      <c r="M14" s="82"/>
      <c r="N14" s="38"/>
      <c r="O14" s="38"/>
      <c r="P14" s="38"/>
      <c r="Q14" s="38"/>
      <c r="R14" s="58"/>
      <c r="S14" s="58"/>
      <c r="T14" s="58"/>
      <c r="U14" s="58"/>
      <c r="V14" s="58"/>
      <c r="W14" s="58"/>
      <c r="X14" s="58"/>
      <c r="Y14" s="58"/>
      <c r="Z14" s="439"/>
      <c r="AA14" s="349"/>
    </row>
    <row r="15" spans="1:27" ht="15.75" customHeight="1" x14ac:dyDescent="0.3">
      <c r="A15" s="367"/>
      <c r="B15" s="58"/>
      <c r="C15" s="58"/>
      <c r="D15" s="58"/>
      <c r="E15" s="58"/>
      <c r="F15" s="666"/>
      <c r="G15" s="72"/>
      <c r="H15" s="113"/>
      <c r="I15" s="112"/>
      <c r="J15" s="521"/>
      <c r="K15" s="68" t="str">
        <f>CHOOSE(MODE, "Max Output Current at VIN(min)", "Max Output Power at VIN(min)")</f>
        <v>Max Output Current at VIN(min)</v>
      </c>
      <c r="L15" s="634">
        <f>CHOOSE(MODE, 'Variable Mgmt'!B46, 'Variable Mgmt'!B45)</f>
        <v>0.10588733287858117</v>
      </c>
      <c r="M15" s="550" t="str">
        <f>CHOOSE(MODE, "A", "W")</f>
        <v>A</v>
      </c>
      <c r="N15" s="38"/>
      <c r="O15" s="38"/>
      <c r="P15" s="38"/>
      <c r="Q15" s="38"/>
      <c r="R15" s="58"/>
      <c r="S15" s="58"/>
      <c r="T15" s="58"/>
      <c r="U15" s="58"/>
      <c r="V15" s="58"/>
      <c r="W15" s="58"/>
      <c r="X15" s="58"/>
      <c r="Y15" s="58"/>
      <c r="Z15" s="439"/>
      <c r="AA15" s="349"/>
    </row>
    <row r="16" spans="1:27" ht="16.5" customHeight="1" thickBot="1" x14ac:dyDescent="0.4">
      <c r="A16" s="85" t="s">
        <v>297</v>
      </c>
      <c r="B16" s="73"/>
      <c r="C16" s="74"/>
      <c r="D16" s="74"/>
      <c r="E16" s="75"/>
      <c r="F16" s="74"/>
      <c r="G16" s="71"/>
      <c r="H16" s="625"/>
      <c r="I16" s="38"/>
      <c r="J16" s="38"/>
      <c r="K16" s="182" t="s">
        <v>673</v>
      </c>
      <c r="L16" s="635">
        <f>Don_Vinmin*100</f>
        <v>69.387755102040813</v>
      </c>
      <c r="M16" s="550" t="s">
        <v>674</v>
      </c>
      <c r="N16" s="38"/>
      <c r="O16" s="38"/>
      <c r="P16" s="38"/>
      <c r="Q16" s="38"/>
      <c r="R16" s="58"/>
      <c r="S16" s="58"/>
      <c r="T16" s="58"/>
      <c r="U16" s="58"/>
      <c r="V16" s="58"/>
      <c r="W16" s="58"/>
      <c r="X16" s="58"/>
      <c r="Y16" s="58"/>
      <c r="Z16" s="439"/>
      <c r="AA16" s="349"/>
    </row>
    <row r="17" spans="1:27" ht="15.75" customHeight="1" x14ac:dyDescent="0.3">
      <c r="A17" s="329"/>
      <c r="B17" s="501"/>
      <c r="C17" s="443"/>
      <c r="D17" s="181" t="s">
        <v>315</v>
      </c>
      <c r="E17" s="529">
        <f>'Variable Mgmt'!B127</f>
        <v>2.2000000000000002</v>
      </c>
      <c r="F17" s="371" t="s">
        <v>97</v>
      </c>
      <c r="G17" s="71"/>
      <c r="H17" s="509"/>
      <c r="I17" s="509"/>
      <c r="J17" s="509"/>
      <c r="K17" s="630" t="s">
        <v>808</v>
      </c>
      <c r="L17" s="377">
        <v>36.481900999387356</v>
      </c>
      <c r="M17" s="443" t="s">
        <v>292</v>
      </c>
      <c r="N17" s="38"/>
      <c r="O17" s="38"/>
      <c r="P17" s="38"/>
      <c r="Q17" s="38"/>
      <c r="R17" s="58"/>
      <c r="S17" s="58"/>
      <c r="T17" s="58"/>
      <c r="U17" s="58"/>
      <c r="V17" s="58"/>
      <c r="W17" s="58"/>
      <c r="X17" s="58"/>
      <c r="Y17" s="58"/>
      <c r="Z17" s="439"/>
      <c r="AA17" s="349"/>
    </row>
    <row r="18" spans="1:27" ht="15.75" customHeight="1" x14ac:dyDescent="0.35">
      <c r="A18" s="76"/>
      <c r="B18" s="70"/>
      <c r="C18" s="74"/>
      <c r="D18" s="79" t="s">
        <v>141</v>
      </c>
      <c r="E18" s="77">
        <v>10</v>
      </c>
      <c r="F18" s="372" t="s">
        <v>97</v>
      </c>
      <c r="G18" s="71"/>
      <c r="H18" s="70"/>
      <c r="I18" s="38"/>
      <c r="J18" s="38"/>
      <c r="K18" s="630"/>
      <c r="L18" s="377">
        <v>22.379048873220089</v>
      </c>
      <c r="M18" s="70" t="s">
        <v>292</v>
      </c>
      <c r="N18" s="38"/>
      <c r="O18" s="38"/>
      <c r="P18" s="38"/>
      <c r="Q18" s="38"/>
      <c r="R18" s="58"/>
      <c r="S18" s="58"/>
      <c r="T18" s="58"/>
      <c r="U18" s="58"/>
      <c r="V18" s="58"/>
      <c r="W18" s="58"/>
      <c r="X18" s="58"/>
      <c r="Y18" s="58"/>
      <c r="Z18" s="439"/>
      <c r="AA18" s="349"/>
    </row>
    <row r="19" spans="1:27" ht="15.75" customHeight="1" x14ac:dyDescent="0.3">
      <c r="A19" s="76"/>
      <c r="B19" s="70"/>
      <c r="C19" s="129"/>
      <c r="D19" s="124" t="s">
        <v>104</v>
      </c>
      <c r="E19" s="125">
        <v>3</v>
      </c>
      <c r="F19" s="370" t="s">
        <v>20</v>
      </c>
      <c r="G19" s="71"/>
      <c r="H19" s="70"/>
      <c r="I19" s="38"/>
      <c r="J19" s="38"/>
      <c r="K19" s="630" t="s">
        <v>809</v>
      </c>
      <c r="L19" s="631">
        <f>'Calculations - Single'!U105</f>
        <v>0.44094488188976377</v>
      </c>
      <c r="M19" s="70" t="s">
        <v>1</v>
      </c>
      <c r="N19" s="38"/>
      <c r="O19" s="38"/>
      <c r="P19" s="38"/>
      <c r="Q19" s="38"/>
      <c r="R19" s="58"/>
      <c r="S19" s="58"/>
      <c r="T19" s="58"/>
      <c r="U19" s="58"/>
      <c r="V19" s="58"/>
      <c r="W19" s="58"/>
      <c r="X19" s="58"/>
      <c r="Y19" s="58"/>
      <c r="Z19" s="439"/>
      <c r="AA19" s="349"/>
    </row>
    <row r="20" spans="1:27" ht="15.75" customHeight="1" thickBot="1" x14ac:dyDescent="0.4">
      <c r="A20" s="80"/>
      <c r="B20" s="81"/>
      <c r="C20" s="87"/>
      <c r="D20" s="182" t="s">
        <v>506</v>
      </c>
      <c r="E20" s="183">
        <f>Vinripple2</f>
        <v>16.622383376499293</v>
      </c>
      <c r="F20" s="84" t="s">
        <v>103</v>
      </c>
      <c r="G20" s="71"/>
      <c r="H20" s="70"/>
      <c r="I20" s="38"/>
      <c r="J20" s="38"/>
      <c r="K20" s="632" t="s">
        <v>810</v>
      </c>
      <c r="L20" s="633">
        <f>Nps*L19</f>
        <v>0.44094488188976377</v>
      </c>
      <c r="M20" s="83" t="s">
        <v>1</v>
      </c>
      <c r="N20" s="38"/>
      <c r="O20" s="38"/>
      <c r="P20" s="38"/>
      <c r="Q20" s="38"/>
      <c r="R20" s="58"/>
      <c r="S20" s="58"/>
      <c r="T20" s="58"/>
      <c r="U20" s="58"/>
      <c r="V20" s="58"/>
      <c r="W20" s="58"/>
      <c r="X20" s="58"/>
      <c r="Y20" s="58"/>
      <c r="Z20" s="439"/>
      <c r="AA20" s="349"/>
    </row>
    <row r="21" spans="1:27" ht="15.75" customHeight="1" thickBot="1" x14ac:dyDescent="0.35">
      <c r="A21" s="364"/>
      <c r="B21" s="365"/>
      <c r="C21" s="366"/>
      <c r="D21" s="366" t="str">
        <f>CHOOSE(MODE, "Minimum Output Capacitance", "Minimum Output Capacitance, Output #1")</f>
        <v>Minimum Output Capacitance</v>
      </c>
      <c r="E21" s="629">
        <f>'Variable Mgmt'!B102</f>
        <v>4.7</v>
      </c>
      <c r="F21" s="371" t="s">
        <v>97</v>
      </c>
      <c r="G21" s="510"/>
      <c r="H21" s="443"/>
      <c r="I21" s="509"/>
      <c r="J21" s="435"/>
      <c r="K21" s="366" t="str">
        <f>CHOOSE(MODE, "", "Minimum Output Capacitance, Output #2")</f>
        <v/>
      </c>
      <c r="L21" s="547">
        <f>'Variable Mgmt'!B112</f>
        <v>4.7</v>
      </c>
      <c r="M21" s="371" t="s">
        <v>97</v>
      </c>
      <c r="N21" s="38"/>
      <c r="O21" s="38"/>
      <c r="P21" s="38"/>
      <c r="Q21" s="38"/>
      <c r="R21" s="58"/>
      <c r="S21" s="58"/>
      <c r="T21" s="58"/>
      <c r="U21" s="58"/>
      <c r="V21" s="58"/>
      <c r="W21" s="58"/>
      <c r="X21" s="58"/>
      <c r="Y21" s="58"/>
      <c r="Z21" s="439"/>
      <c r="AA21" s="349"/>
    </row>
    <row r="22" spans="1:27" ht="15.75" customHeight="1" x14ac:dyDescent="0.3">
      <c r="A22" s="69"/>
      <c r="B22" s="70"/>
      <c r="C22" s="114"/>
      <c r="D22" s="130" t="s">
        <v>140</v>
      </c>
      <c r="E22" s="125">
        <v>10</v>
      </c>
      <c r="F22" s="370" t="s">
        <v>97</v>
      </c>
      <c r="G22" s="511"/>
      <c r="H22" s="70"/>
      <c r="I22" s="38"/>
      <c r="J22" s="58"/>
      <c r="K22" s="130" t="s">
        <v>545</v>
      </c>
      <c r="L22" s="125">
        <v>22</v>
      </c>
      <c r="M22" s="370" t="s">
        <v>97</v>
      </c>
      <c r="N22" s="38"/>
      <c r="O22" s="38"/>
      <c r="P22" s="38"/>
      <c r="Q22" s="38"/>
      <c r="R22" s="58"/>
      <c r="S22" s="58"/>
      <c r="T22" s="58"/>
      <c r="U22" s="58"/>
      <c r="V22" s="58"/>
      <c r="W22" s="58"/>
      <c r="X22" s="58"/>
      <c r="Y22" s="58"/>
      <c r="Z22" s="439"/>
      <c r="AA22" s="349"/>
    </row>
    <row r="23" spans="1:27" ht="16.5" customHeight="1" thickBot="1" x14ac:dyDescent="0.35">
      <c r="A23" s="69"/>
      <c r="B23" s="70"/>
      <c r="C23" s="129"/>
      <c r="D23" s="124" t="s">
        <v>546</v>
      </c>
      <c r="E23" s="125">
        <v>3</v>
      </c>
      <c r="F23" s="370" t="s">
        <v>20</v>
      </c>
      <c r="G23" s="512"/>
      <c r="H23" s="70"/>
      <c r="I23" s="38"/>
      <c r="J23" s="58"/>
      <c r="K23" s="124" t="s">
        <v>546</v>
      </c>
      <c r="L23" s="125">
        <v>2</v>
      </c>
      <c r="M23" s="370" t="s">
        <v>20</v>
      </c>
      <c r="N23" s="38"/>
      <c r="O23" s="38"/>
      <c r="P23" s="38"/>
      <c r="Q23" s="38"/>
      <c r="R23" s="58"/>
      <c r="S23" s="58"/>
      <c r="T23" s="58"/>
      <c r="U23" s="58"/>
      <c r="V23" s="58"/>
      <c r="W23" s="58"/>
      <c r="X23" s="58"/>
      <c r="Y23" s="58"/>
      <c r="Z23" s="439"/>
      <c r="AA23" s="349"/>
    </row>
    <row r="24" spans="1:27" ht="15.75" customHeight="1" thickBot="1" x14ac:dyDescent="0.4">
      <c r="A24" s="80"/>
      <c r="B24" s="83"/>
      <c r="C24" s="83"/>
      <c r="D24" s="182" t="str">
        <f>CHOOSE(MODE, "Resulting Output Voltage Ripple", "Resulting Output Voltage Ripple, Output #1")</f>
        <v>Resulting Output Voltage Ripple</v>
      </c>
      <c r="E24" s="183">
        <f>Vripple1_actual</f>
        <v>14.089536000000004</v>
      </c>
      <c r="F24" s="84" t="s">
        <v>103</v>
      </c>
      <c r="G24" s="510"/>
      <c r="H24" s="83"/>
      <c r="I24" s="437"/>
      <c r="J24" s="436"/>
      <c r="K24" s="182" t="str">
        <f>CHOOSE(MODE, "", "Resulting Output Voltage Ripple, Output #2")</f>
        <v/>
      </c>
      <c r="L24" s="183">
        <f>Vripple2_actual</f>
        <v>5.2539377315845552</v>
      </c>
      <c r="M24" s="84" t="s">
        <v>103</v>
      </c>
      <c r="N24" s="38"/>
      <c r="O24" s="38"/>
      <c r="P24" s="38"/>
      <c r="Q24" s="38"/>
      <c r="R24" s="58"/>
      <c r="S24" s="58"/>
      <c r="T24" s="58"/>
      <c r="U24" s="58"/>
      <c r="V24" s="58"/>
      <c r="W24" s="58"/>
      <c r="X24" s="58"/>
      <c r="Y24" s="58"/>
      <c r="Z24" s="439"/>
      <c r="AA24" s="349"/>
    </row>
    <row r="25" spans="1:27" ht="13.5" customHeight="1" x14ac:dyDescent="0.3">
      <c r="A25" s="367"/>
      <c r="B25" s="58"/>
      <c r="C25" s="58"/>
      <c r="D25" s="58"/>
      <c r="E25" s="58"/>
      <c r="F25" s="58"/>
      <c r="G25" s="58"/>
      <c r="H25" s="58"/>
      <c r="I25" s="58"/>
      <c r="J25" s="58"/>
      <c r="K25" s="58"/>
      <c r="L25" s="58"/>
      <c r="M25" s="58"/>
      <c r="N25" s="38"/>
      <c r="O25" s="38"/>
      <c r="P25" s="38"/>
      <c r="Q25" s="38"/>
      <c r="R25" s="58"/>
      <c r="S25" s="58"/>
      <c r="T25" s="58"/>
      <c r="U25" s="58"/>
      <c r="V25" s="58"/>
      <c r="W25" s="58"/>
      <c r="X25" s="58"/>
      <c r="Y25" s="58"/>
      <c r="Z25" s="439"/>
      <c r="AA25" s="349"/>
    </row>
    <row r="26" spans="1:27" ht="19.5" customHeight="1" thickBot="1" x14ac:dyDescent="0.35">
      <c r="A26" s="85" t="s">
        <v>389</v>
      </c>
      <c r="B26" s="73"/>
      <c r="C26" s="70"/>
      <c r="D26" s="68"/>
      <c r="E26" s="70"/>
      <c r="F26" s="70"/>
      <c r="G26" s="70"/>
      <c r="H26" s="70"/>
      <c r="I26" s="38"/>
      <c r="J26" s="38"/>
      <c r="K26" s="38"/>
      <c r="L26" s="38"/>
      <c r="M26" s="38"/>
      <c r="N26" s="38"/>
      <c r="O26" s="38"/>
      <c r="P26" s="38"/>
      <c r="Q26" s="38"/>
      <c r="R26" s="58"/>
      <c r="S26" s="58"/>
      <c r="T26" s="58"/>
      <c r="U26" s="58"/>
      <c r="V26" s="58"/>
      <c r="W26" s="58"/>
      <c r="X26" s="58"/>
      <c r="Y26" s="58"/>
      <c r="Z26" s="439"/>
      <c r="AA26" s="349"/>
    </row>
    <row r="27" spans="1:27" ht="15.75" customHeight="1" x14ac:dyDescent="0.3">
      <c r="A27" s="119"/>
      <c r="B27" s="120"/>
      <c r="C27" s="181"/>
      <c r="D27" s="181" t="s">
        <v>374</v>
      </c>
      <c r="E27" s="503">
        <f>Rfb_recommend</f>
        <v>203.2</v>
      </c>
      <c r="F27" s="448" t="s">
        <v>21</v>
      </c>
      <c r="G27" s="70"/>
      <c r="H27" s="70"/>
      <c r="I27" s="38"/>
      <c r="J27" s="38"/>
      <c r="K27" s="38"/>
      <c r="L27" s="38"/>
      <c r="M27" s="38"/>
      <c r="N27" s="38"/>
      <c r="O27" s="38"/>
      <c r="P27" s="38"/>
      <c r="Q27" s="38"/>
      <c r="R27" s="58"/>
      <c r="S27" s="58"/>
      <c r="T27" s="58"/>
      <c r="U27" s="58"/>
      <c r="V27" s="58"/>
      <c r="W27" s="58"/>
      <c r="X27" s="58"/>
      <c r="Y27" s="58"/>
      <c r="Z27" s="439"/>
      <c r="AA27" s="349"/>
    </row>
    <row r="28" spans="1:27" ht="15.75" customHeight="1" thickBot="1" x14ac:dyDescent="0.35">
      <c r="A28" s="113"/>
      <c r="B28" s="112"/>
      <c r="C28" s="114"/>
      <c r="D28" s="130" t="s">
        <v>373</v>
      </c>
      <c r="E28" s="131">
        <v>203.2</v>
      </c>
      <c r="F28" s="126" t="str">
        <f>IF(Vout=Vref,"","kΩ")</f>
        <v>kΩ</v>
      </c>
      <c r="G28" s="70"/>
      <c r="H28" s="70"/>
      <c r="I28" s="38"/>
      <c r="J28" s="38"/>
      <c r="K28" s="38"/>
      <c r="L28" s="38"/>
      <c r="M28" s="38"/>
      <c r="N28" s="38"/>
      <c r="O28" s="38"/>
      <c r="P28" s="38"/>
      <c r="Q28" s="38"/>
      <c r="R28" s="58"/>
      <c r="S28" s="58"/>
      <c r="T28" s="58"/>
      <c r="U28" s="58"/>
      <c r="V28" s="58"/>
      <c r="W28" s="58"/>
      <c r="X28" s="58"/>
      <c r="Y28" s="58"/>
      <c r="Z28" s="439"/>
      <c r="AA28" s="349"/>
    </row>
    <row r="29" spans="1:27" ht="14.1" customHeight="1" x14ac:dyDescent="0.3">
      <c r="A29" s="333"/>
      <c r="B29" s="334"/>
      <c r="C29" s="335"/>
      <c r="D29" s="336" t="s">
        <v>291</v>
      </c>
      <c r="E29" s="335" t="s">
        <v>697</v>
      </c>
      <c r="F29" s="337"/>
      <c r="G29" s="71"/>
      <c r="H29" s="70"/>
      <c r="I29" s="38"/>
      <c r="J29" s="38"/>
      <c r="K29" s="38"/>
      <c r="L29" s="38"/>
      <c r="M29" s="38"/>
      <c r="N29" s="38"/>
      <c r="O29" s="38"/>
      <c r="P29" s="38"/>
      <c r="Q29" s="38"/>
      <c r="R29" s="58"/>
      <c r="S29" s="58"/>
      <c r="T29" s="58"/>
      <c r="U29" s="58"/>
      <c r="V29" s="58"/>
      <c r="W29" s="58"/>
      <c r="X29" s="58"/>
      <c r="Y29" s="58"/>
      <c r="Z29" s="439"/>
      <c r="AA29" s="349"/>
    </row>
    <row r="30" spans="1:27" ht="16.5" customHeight="1" x14ac:dyDescent="0.3">
      <c r="A30" s="113"/>
      <c r="B30" s="112"/>
      <c r="C30" s="112"/>
      <c r="D30" s="128" t="str">
        <f>CHOOSE(MODE_SS,"Soft-Start Time","*Leave SS Pin Open or Supply by Ext. Bias")</f>
        <v>*Leave SS Pin Open or Supply by Ext. Bias</v>
      </c>
      <c r="E30" s="125">
        <v>20</v>
      </c>
      <c r="F30" s="126" t="s">
        <v>63</v>
      </c>
      <c r="G30" s="71"/>
      <c r="H30" s="70"/>
      <c r="I30" s="38"/>
      <c r="J30" s="38"/>
      <c r="K30" s="38"/>
      <c r="L30" s="38"/>
      <c r="M30" s="38"/>
      <c r="N30" s="38"/>
      <c r="O30" s="38"/>
      <c r="P30" s="38"/>
      <c r="Q30" s="38"/>
      <c r="R30" s="58"/>
      <c r="S30" s="58"/>
      <c r="T30" s="58"/>
      <c r="U30" s="58"/>
      <c r="V30" s="58"/>
      <c r="W30" s="58"/>
      <c r="X30" s="58"/>
      <c r="Y30" s="58"/>
      <c r="Z30" s="439"/>
      <c r="AA30" s="349"/>
    </row>
    <row r="31" spans="1:27" ht="16.5" customHeight="1" thickBot="1" x14ac:dyDescent="0.4">
      <c r="A31" s="116"/>
      <c r="B31" s="117"/>
      <c r="C31" s="117"/>
      <c r="D31" s="318" t="s">
        <v>142</v>
      </c>
      <c r="E31" s="332">
        <f>IF(Tss&gt;0.0001,Css_u*1000000000,"N/A")</f>
        <v>100</v>
      </c>
      <c r="F31" s="118" t="s">
        <v>56</v>
      </c>
      <c r="G31" s="71"/>
      <c r="H31" s="70"/>
      <c r="I31" s="38"/>
      <c r="J31" s="38"/>
      <c r="K31" s="38"/>
      <c r="L31" s="38"/>
      <c r="M31" s="38"/>
      <c r="N31" s="38"/>
      <c r="O31" s="38"/>
      <c r="P31" s="38"/>
      <c r="Q31" s="38"/>
      <c r="R31" s="58"/>
      <c r="S31" s="58"/>
      <c r="T31" s="58"/>
      <c r="U31" s="58"/>
      <c r="V31" s="58"/>
      <c r="W31" s="58"/>
      <c r="X31" s="58"/>
      <c r="Y31" s="58"/>
      <c r="Z31" s="439"/>
      <c r="AA31" s="349"/>
    </row>
    <row r="32" spans="1:27" ht="15.75" customHeight="1" x14ac:dyDescent="0.3">
      <c r="A32" s="113"/>
      <c r="B32" s="112"/>
      <c r="C32" s="112"/>
      <c r="D32" s="67" t="s">
        <v>387</v>
      </c>
      <c r="E32" s="127"/>
      <c r="F32" s="115"/>
      <c r="G32" s="70"/>
      <c r="H32" s="70"/>
      <c r="I32" s="38"/>
      <c r="J32" s="38"/>
      <c r="K32" s="38"/>
      <c r="L32" s="38"/>
      <c r="M32" s="38"/>
      <c r="N32" s="38"/>
      <c r="O32" s="38"/>
      <c r="P32" s="38"/>
      <c r="Q32" s="38"/>
      <c r="R32" s="58"/>
      <c r="S32" s="58"/>
      <c r="T32" s="58"/>
      <c r="U32" s="58"/>
      <c r="V32" s="58"/>
      <c r="W32" s="58"/>
      <c r="X32" s="58"/>
      <c r="Y32" s="58"/>
      <c r="Z32" s="439"/>
      <c r="AA32" s="349"/>
    </row>
    <row r="33" spans="1:27" ht="15.75" customHeight="1" x14ac:dyDescent="0.3">
      <c r="A33" s="113"/>
      <c r="B33" s="112"/>
      <c r="C33" s="112"/>
      <c r="D33" s="67" t="str">
        <f>CHOOSE(TC,"Diode Voltage Drop Thermal Coefficient","*Leave TC Pin Open")</f>
        <v>Diode Voltage Drop Thermal Coefficient</v>
      </c>
      <c r="E33" s="507">
        <v>-1.5</v>
      </c>
      <c r="F33" s="115" t="s">
        <v>386</v>
      </c>
      <c r="G33" s="70"/>
      <c r="H33" s="70"/>
      <c r="I33" s="38"/>
      <c r="J33" s="38"/>
      <c r="K33" s="38"/>
      <c r="L33" s="38"/>
      <c r="M33" s="38"/>
      <c r="N33" s="38"/>
      <c r="O33" s="38"/>
      <c r="P33" s="38"/>
      <c r="Q33" s="38"/>
      <c r="R33" s="58"/>
      <c r="S33" s="58"/>
      <c r="T33" s="58"/>
      <c r="U33" s="58"/>
      <c r="V33" s="58"/>
      <c r="W33" s="58"/>
      <c r="X33" s="58"/>
      <c r="Y33" s="58"/>
      <c r="Z33" s="439"/>
      <c r="AA33" s="349"/>
    </row>
    <row r="34" spans="1:27" ht="15.75" customHeight="1" thickBot="1" x14ac:dyDescent="0.35">
      <c r="A34" s="116"/>
      <c r="B34" s="132"/>
      <c r="C34" s="132"/>
      <c r="D34" s="440" t="s">
        <v>388</v>
      </c>
      <c r="E34" s="457">
        <f>RTC</f>
        <v>402</v>
      </c>
      <c r="F34" s="458" t="s">
        <v>21</v>
      </c>
      <c r="G34" s="70"/>
      <c r="H34" s="70"/>
      <c r="I34" s="38"/>
      <c r="J34" s="38"/>
      <c r="K34" s="56"/>
      <c r="L34" s="38"/>
      <c r="M34" s="38"/>
      <c r="N34" s="38"/>
      <c r="O34" s="38"/>
      <c r="P34" s="38"/>
      <c r="Q34" s="38"/>
      <c r="R34" s="58"/>
      <c r="S34" s="58"/>
      <c r="T34" s="58"/>
      <c r="U34" s="58"/>
      <c r="V34" s="58"/>
      <c r="W34" s="58"/>
      <c r="X34" s="58"/>
      <c r="Y34" s="58"/>
      <c r="Z34" s="439"/>
      <c r="AA34" s="349"/>
    </row>
    <row r="35" spans="1:27" ht="16.5" customHeight="1" x14ac:dyDescent="0.3">
      <c r="A35" s="113"/>
      <c r="B35" s="112"/>
      <c r="C35" s="112"/>
      <c r="D35" s="130" t="s">
        <v>304</v>
      </c>
      <c r="E35" s="127"/>
      <c r="F35" s="115"/>
      <c r="G35" s="70"/>
      <c r="H35" s="70"/>
      <c r="I35" s="38"/>
      <c r="J35" s="38"/>
      <c r="K35" s="38"/>
      <c r="L35" s="38"/>
      <c r="M35" s="38"/>
      <c r="N35" s="38"/>
      <c r="O35" s="38"/>
      <c r="P35" s="38"/>
      <c r="Q35" s="38"/>
      <c r="R35" s="58"/>
      <c r="S35" s="58"/>
      <c r="T35" s="58"/>
      <c r="U35" s="58"/>
      <c r="V35" s="58"/>
      <c r="W35" s="58"/>
      <c r="X35" s="58"/>
      <c r="Y35" s="58"/>
      <c r="Z35" s="439"/>
      <c r="AA35" s="349"/>
    </row>
    <row r="36" spans="1:27" ht="15.75" customHeight="1" x14ac:dyDescent="0.3">
      <c r="A36" s="113"/>
      <c r="B36" s="112"/>
      <c r="C36" s="129"/>
      <c r="D36" s="130" t="str">
        <f>CHOOSE(MODE_UVLO, "Input UVLO Turn-On Threshold", "*Connect EN pin to VIN or Logic HIGH")</f>
        <v>*Connect EN pin to VIN or Logic HIGH</v>
      </c>
      <c r="E36" s="131">
        <v>8</v>
      </c>
      <c r="F36" s="126" t="s">
        <v>0</v>
      </c>
      <c r="G36" s="70"/>
      <c r="H36" s="70"/>
      <c r="I36" s="58"/>
      <c r="J36" s="58"/>
      <c r="K36" s="58"/>
      <c r="L36" s="184"/>
      <c r="M36" s="38"/>
      <c r="N36" s="38"/>
      <c r="O36" s="38"/>
      <c r="P36" s="38"/>
      <c r="Q36" s="38"/>
      <c r="R36" s="58"/>
      <c r="S36" s="58"/>
      <c r="T36" s="58"/>
      <c r="U36" s="58"/>
      <c r="V36" s="58"/>
      <c r="W36" s="58"/>
      <c r="X36" s="58"/>
      <c r="Y36" s="58"/>
      <c r="Z36" s="439"/>
      <c r="AA36" s="349"/>
    </row>
    <row r="37" spans="1:27" ht="15.75" customHeight="1" thickBot="1" x14ac:dyDescent="0.35">
      <c r="A37" s="116"/>
      <c r="B37" s="132"/>
      <c r="C37" s="132"/>
      <c r="D37" s="374" t="str">
        <f>CHOOSE(MODE_UVLO, "Input UVLO Turn-Off Threshold", "")</f>
        <v/>
      </c>
      <c r="E37" s="375">
        <v>7.5</v>
      </c>
      <c r="F37" s="376" t="s">
        <v>0</v>
      </c>
      <c r="G37" s="70"/>
      <c r="H37" s="114"/>
      <c r="I37" s="185"/>
      <c r="J37" s="187"/>
      <c r="K37" s="58"/>
      <c r="L37" s="58"/>
      <c r="M37" s="38"/>
      <c r="N37" s="38"/>
      <c r="O37" s="38"/>
      <c r="P37" s="38"/>
      <c r="Q37" s="38"/>
      <c r="R37" s="58"/>
      <c r="S37" s="58"/>
      <c r="T37" s="58"/>
      <c r="U37" s="58"/>
      <c r="V37" s="58"/>
      <c r="W37" s="58"/>
      <c r="X37" s="58"/>
      <c r="Y37" s="58"/>
      <c r="Z37" s="439"/>
      <c r="AA37" s="349"/>
    </row>
    <row r="38" spans="1:27" ht="15.75" customHeight="1" x14ac:dyDescent="0.3">
      <c r="A38" s="394"/>
      <c r="B38" s="112"/>
      <c r="C38" s="129"/>
      <c r="D38" s="114" t="s">
        <v>378</v>
      </c>
      <c r="E38" s="498">
        <f>'Variable Mgmt'!F157</f>
        <v>46.400000000000006</v>
      </c>
      <c r="F38" s="115" t="s">
        <v>21</v>
      </c>
      <c r="G38" s="70"/>
      <c r="H38" s="189"/>
      <c r="I38" s="128"/>
      <c r="J38" s="505"/>
      <c r="K38" s="188"/>
      <c r="L38" s="58"/>
      <c r="M38" s="38"/>
      <c r="N38" s="38"/>
      <c r="O38" s="38"/>
      <c r="P38" s="38"/>
      <c r="Q38" s="38"/>
      <c r="R38" s="58"/>
      <c r="S38" s="58"/>
      <c r="T38" s="58"/>
      <c r="U38" s="58"/>
      <c r="V38" s="58"/>
      <c r="W38" s="58"/>
      <c r="X38" s="58"/>
      <c r="Y38" s="58"/>
      <c r="Z38" s="439"/>
      <c r="AA38" s="349"/>
    </row>
    <row r="39" spans="1:27" ht="15.75" customHeight="1" thickBot="1" x14ac:dyDescent="0.35">
      <c r="A39" s="116"/>
      <c r="B39" s="132"/>
      <c r="C39" s="132"/>
      <c r="D39" s="440" t="s">
        <v>293</v>
      </c>
      <c r="E39" s="440">
        <f>'Variable Mgmt'!F158</f>
        <v>10.700000000000001</v>
      </c>
      <c r="F39" s="118" t="s">
        <v>21</v>
      </c>
      <c r="G39" s="70"/>
      <c r="H39" s="70"/>
      <c r="I39" s="58"/>
      <c r="J39" s="186"/>
      <c r="K39" s="58"/>
      <c r="L39" s="58"/>
      <c r="M39" s="38"/>
      <c r="N39" s="38"/>
      <c r="O39" s="38"/>
      <c r="P39" s="38"/>
      <c r="Q39" s="38" t="s">
        <v>78</v>
      </c>
      <c r="R39" s="58"/>
      <c r="S39" s="58"/>
      <c r="T39" s="58"/>
      <c r="U39" s="58"/>
      <c r="V39" s="58"/>
      <c r="W39" s="58"/>
      <c r="X39" s="58"/>
      <c r="Y39" s="58"/>
      <c r="Z39" s="439"/>
      <c r="AA39" s="349"/>
    </row>
    <row r="40" spans="1:27" ht="13.5" customHeight="1" x14ac:dyDescent="0.3">
      <c r="A40" s="394"/>
      <c r="B40" s="441"/>
      <c r="C40" s="441"/>
      <c r="D40" s="442"/>
      <c r="E40" s="442"/>
      <c r="F40" s="443"/>
      <c r="G40" s="70"/>
      <c r="H40" s="70"/>
      <c r="I40" s="38"/>
      <c r="J40" s="57"/>
      <c r="K40" s="38"/>
      <c r="L40" s="38"/>
      <c r="M40" s="38"/>
      <c r="N40" s="38"/>
      <c r="O40" s="38"/>
      <c r="P40" s="38"/>
      <c r="Q40" s="38"/>
      <c r="R40" s="58"/>
      <c r="S40" s="58"/>
      <c r="T40" s="58"/>
      <c r="U40" s="58"/>
      <c r="V40" s="58"/>
      <c r="W40" s="58"/>
      <c r="X40" s="58"/>
      <c r="Y40" s="58"/>
      <c r="Z40" s="439"/>
      <c r="AA40" s="349"/>
    </row>
    <row r="41" spans="1:27" ht="19.5" customHeight="1" thickBot="1" x14ac:dyDescent="0.35">
      <c r="A41" s="395" t="s">
        <v>505</v>
      </c>
      <c r="B41" s="70"/>
      <c r="C41" s="70"/>
      <c r="D41" s="68"/>
      <c r="E41" s="78"/>
      <c r="F41" s="70"/>
      <c r="G41" s="70"/>
      <c r="H41" s="70"/>
      <c r="I41" s="38"/>
      <c r="J41" s="57"/>
      <c r="K41" s="38"/>
      <c r="L41" s="38"/>
      <c r="M41" s="38"/>
      <c r="N41" s="38"/>
      <c r="O41" s="38"/>
      <c r="P41" s="38"/>
      <c r="Q41" s="38"/>
      <c r="R41" s="58"/>
      <c r="S41" s="58"/>
      <c r="T41" s="58"/>
      <c r="U41" s="58"/>
      <c r="V41" s="58"/>
      <c r="W41" s="58"/>
      <c r="X41" s="58"/>
      <c r="Y41" s="58"/>
      <c r="Z41" s="439"/>
      <c r="AA41" s="349"/>
    </row>
    <row r="42" spans="1:27" ht="15.75" customHeight="1" x14ac:dyDescent="0.35">
      <c r="A42" s="494"/>
      <c r="B42" s="435"/>
      <c r="C42" s="435"/>
      <c r="D42" s="495" t="s">
        <v>655</v>
      </c>
      <c r="E42" s="499">
        <v>0.32</v>
      </c>
      <c r="F42" s="496" t="s">
        <v>0</v>
      </c>
      <c r="G42" s="70"/>
      <c r="H42" s="70"/>
      <c r="I42" s="38"/>
      <c r="J42" s="57"/>
      <c r="K42" s="38"/>
      <c r="L42" s="38"/>
      <c r="M42" s="38"/>
      <c r="N42" s="38"/>
      <c r="O42" s="38"/>
      <c r="P42" s="38"/>
      <c r="Q42" s="38"/>
      <c r="R42" s="58"/>
      <c r="S42" s="58"/>
      <c r="T42" s="58"/>
      <c r="U42" s="58"/>
      <c r="V42" s="58"/>
      <c r="W42" s="58"/>
      <c r="X42" s="58"/>
      <c r="Y42" s="58"/>
      <c r="Z42" s="439"/>
      <c r="AA42" s="349"/>
    </row>
    <row r="43" spans="1:27" ht="15.75" customHeight="1" x14ac:dyDescent="0.35">
      <c r="A43" s="367"/>
      <c r="B43" s="58"/>
      <c r="C43" s="58"/>
      <c r="D43" s="545" t="s">
        <v>656</v>
      </c>
      <c r="E43" s="77">
        <v>0.4</v>
      </c>
      <c r="F43" s="372" t="s">
        <v>0</v>
      </c>
      <c r="G43" s="70"/>
      <c r="H43" s="70"/>
      <c r="I43" s="38"/>
      <c r="J43" s="57"/>
      <c r="K43" s="38"/>
      <c r="L43" s="38"/>
      <c r="M43" s="38"/>
      <c r="N43" s="38"/>
      <c r="O43" s="38"/>
      <c r="P43" s="38"/>
      <c r="Q43" s="38"/>
      <c r="R43" s="58"/>
      <c r="S43" s="58"/>
      <c r="T43" s="58"/>
      <c r="U43" s="58"/>
      <c r="V43" s="58"/>
      <c r="W43" s="58"/>
      <c r="X43" s="58"/>
      <c r="Y43" s="58"/>
      <c r="Z43" s="439"/>
      <c r="AA43" s="349"/>
    </row>
    <row r="44" spans="1:27" ht="15.75" customHeight="1" x14ac:dyDescent="0.3">
      <c r="A44" s="69"/>
      <c r="B44" s="112"/>
      <c r="C44" s="112"/>
      <c r="D44" s="130" t="s">
        <v>812</v>
      </c>
      <c r="E44" s="493">
        <v>41</v>
      </c>
      <c r="F44" s="370" t="s">
        <v>84</v>
      </c>
      <c r="G44" s="70"/>
      <c r="H44" s="70"/>
      <c r="I44" s="38"/>
      <c r="J44" s="57"/>
      <c r="K44" s="38"/>
      <c r="L44" s="38"/>
      <c r="M44" s="38"/>
      <c r="N44" s="38"/>
      <c r="O44" s="38"/>
      <c r="P44" s="38"/>
      <c r="Q44" s="38"/>
      <c r="R44" s="58"/>
      <c r="S44" s="58"/>
      <c r="T44" s="58"/>
      <c r="U44" s="58"/>
      <c r="V44" s="58"/>
      <c r="W44" s="58"/>
      <c r="X44" s="58"/>
      <c r="Y44" s="58"/>
      <c r="Z44" s="439"/>
      <c r="AA44" s="349"/>
    </row>
    <row r="45" spans="1:27" ht="15.75" customHeight="1" x14ac:dyDescent="0.35">
      <c r="A45" s="69"/>
      <c r="B45" s="70"/>
      <c r="C45" s="70"/>
      <c r="D45" s="67" t="s">
        <v>516</v>
      </c>
      <c r="E45" s="493">
        <v>55</v>
      </c>
      <c r="F45" s="370" t="s">
        <v>102</v>
      </c>
      <c r="G45" s="70"/>
      <c r="H45" s="70"/>
      <c r="I45" s="38"/>
      <c r="J45" s="38"/>
      <c r="K45" s="38"/>
      <c r="L45" s="38"/>
      <c r="M45" s="38"/>
      <c r="N45" s="38"/>
      <c r="O45" s="38"/>
      <c r="P45" s="38"/>
      <c r="Q45" s="38"/>
      <c r="R45" s="58"/>
      <c r="S45" s="58"/>
      <c r="T45" s="58"/>
      <c r="U45" s="58"/>
      <c r="V45" s="58"/>
      <c r="W45" s="58"/>
      <c r="X45" s="58"/>
      <c r="Y45" s="58"/>
      <c r="Z45" s="439"/>
      <c r="AA45" s="349"/>
    </row>
    <row r="46" spans="1:27" ht="15.75" customHeight="1" x14ac:dyDescent="0.35">
      <c r="A46" s="69"/>
      <c r="B46" s="70"/>
      <c r="C46" s="70"/>
      <c r="D46" s="68" t="s">
        <v>798</v>
      </c>
      <c r="E46" s="316">
        <f>CHOOSE(MODE, 'Calculations - Single'!BP105, 'Calculations - Dual'!BO105)</f>
        <v>85.413141266799869</v>
      </c>
      <c r="F46" s="82" t="s">
        <v>292</v>
      </c>
      <c r="G46" s="70"/>
      <c r="H46" s="70"/>
      <c r="I46" s="38"/>
      <c r="J46" s="38"/>
      <c r="K46" s="38"/>
      <c r="L46" s="38"/>
      <c r="M46" s="38"/>
      <c r="N46" s="38"/>
      <c r="O46" s="38"/>
      <c r="P46" s="38"/>
      <c r="Q46" s="38"/>
      <c r="R46" s="58"/>
      <c r="S46" s="58"/>
      <c r="T46" s="58"/>
      <c r="U46" s="58"/>
      <c r="V46" s="58"/>
      <c r="W46" s="58"/>
      <c r="X46" s="58"/>
      <c r="Y46" s="58"/>
      <c r="Z46" s="439"/>
      <c r="AA46" s="349"/>
    </row>
    <row r="47" spans="1:27" ht="15.75" customHeight="1" thickBot="1" x14ac:dyDescent="0.4">
      <c r="A47" s="80"/>
      <c r="B47" s="81"/>
      <c r="C47" s="81"/>
      <c r="D47" s="318" t="s">
        <v>799</v>
      </c>
      <c r="E47" s="447">
        <f>E45+E46/1000*ThetaJA</f>
        <v>58.501938791938798</v>
      </c>
      <c r="F47" s="373" t="s">
        <v>102</v>
      </c>
      <c r="G47" s="70"/>
      <c r="H47" s="70"/>
      <c r="I47" s="38"/>
      <c r="J47" s="38"/>
      <c r="K47" s="38"/>
      <c r="L47" s="38"/>
      <c r="M47" s="38"/>
      <c r="N47" s="38"/>
      <c r="O47" s="38"/>
      <c r="P47" s="38"/>
      <c r="Q47" s="38"/>
      <c r="R47" s="58"/>
      <c r="S47" s="58"/>
      <c r="T47" s="58"/>
      <c r="U47" s="58"/>
      <c r="V47" s="58"/>
      <c r="W47" s="58"/>
      <c r="X47" s="58"/>
      <c r="Y47" s="58"/>
      <c r="Z47" s="439"/>
      <c r="AA47" s="349"/>
    </row>
    <row r="48" spans="1:27" ht="15.75" customHeight="1" thickBot="1" x14ac:dyDescent="0.35">
      <c r="A48" s="646"/>
      <c r="B48" s="83"/>
      <c r="C48" s="83"/>
      <c r="D48" s="182"/>
      <c r="E48" s="647"/>
      <c r="F48" s="489"/>
      <c r="G48" s="70"/>
      <c r="H48" s="70"/>
      <c r="I48" s="38"/>
      <c r="J48" s="38"/>
      <c r="K48" s="38"/>
      <c r="L48" s="38"/>
      <c r="M48" s="38"/>
      <c r="N48" s="38"/>
      <c r="O48" s="38"/>
      <c r="P48" s="38"/>
      <c r="Q48" s="38"/>
      <c r="R48" s="58"/>
      <c r="S48" s="58"/>
      <c r="T48" s="58"/>
      <c r="U48" s="58"/>
      <c r="V48" s="58"/>
      <c r="W48" s="58"/>
      <c r="X48" s="58"/>
      <c r="Y48" s="58"/>
      <c r="Z48" s="439"/>
      <c r="AA48" s="349"/>
    </row>
    <row r="49" spans="1:35" ht="15.75" customHeight="1" x14ac:dyDescent="0.3">
      <c r="A49" s="69"/>
      <c r="B49" s="70"/>
      <c r="C49" s="70"/>
      <c r="D49" s="68"/>
      <c r="E49" s="316"/>
      <c r="F49" s="331"/>
      <c r="G49" s="70"/>
      <c r="H49" s="70"/>
      <c r="I49" s="38"/>
      <c r="J49" s="38"/>
      <c r="K49" s="38"/>
      <c r="L49" s="38"/>
      <c r="M49" s="38"/>
      <c r="N49" s="38"/>
      <c r="O49" s="38"/>
      <c r="P49" s="38"/>
      <c r="Q49" s="38"/>
      <c r="R49" s="58"/>
      <c r="S49" s="58"/>
      <c r="T49" s="58"/>
      <c r="U49" s="58"/>
      <c r="V49" s="58"/>
      <c r="W49" s="58"/>
      <c r="X49" s="58"/>
      <c r="Y49" s="58"/>
      <c r="Z49" s="439"/>
      <c r="AA49" s="349"/>
    </row>
    <row r="50" spans="1:35" ht="15.75" customHeight="1" x14ac:dyDescent="0.3">
      <c r="A50" s="85" t="s">
        <v>858</v>
      </c>
      <c r="B50" s="70"/>
      <c r="C50" s="70"/>
      <c r="D50" s="124"/>
      <c r="E50" s="316"/>
      <c r="F50" s="331"/>
      <c r="G50" s="331" t="s">
        <v>855</v>
      </c>
      <c r="H50" s="70"/>
      <c r="I50" s="38"/>
      <c r="J50" s="38"/>
      <c r="K50" s="38"/>
      <c r="L50" s="38"/>
      <c r="M50" s="38"/>
      <c r="N50" s="38"/>
      <c r="O50" s="38"/>
      <c r="P50" s="38"/>
      <c r="Q50" s="38"/>
      <c r="R50" s="58"/>
      <c r="S50" s="58"/>
      <c r="T50" s="58"/>
      <c r="U50" s="58"/>
      <c r="V50" s="58"/>
      <c r="W50" s="58"/>
      <c r="X50" s="58"/>
      <c r="Y50" s="58"/>
      <c r="Z50" s="439"/>
      <c r="AA50" s="349"/>
    </row>
    <row r="51" spans="1:35" ht="15.75" customHeight="1" x14ac:dyDescent="0.3">
      <c r="A51" s="654"/>
      <c r="B51" s="655"/>
      <c r="C51" s="655"/>
      <c r="D51" s="667" t="str">
        <f>CHOOSE(MODE, "Recommended Csnb", "Recommended Csnb1")</f>
        <v>Recommended Csnb</v>
      </c>
      <c r="E51" s="668">
        <v>22</v>
      </c>
      <c r="F51" s="657" t="s">
        <v>15</v>
      </c>
      <c r="G51" s="70"/>
      <c r="H51" s="654"/>
      <c r="I51" s="661"/>
      <c r="J51" s="661"/>
      <c r="K51" s="667" t="str">
        <f>CHOOSE(MODE, "", "Recommended Csnb2")</f>
        <v/>
      </c>
      <c r="L51" s="668" t="str">
        <f>CHOOSE(MODE, "", 22)</f>
        <v/>
      </c>
      <c r="M51" s="657" t="str">
        <f>CHOOSE(MODE, "", "pF")</f>
        <v/>
      </c>
      <c r="N51" s="38"/>
      <c r="O51" s="38"/>
      <c r="P51" s="38"/>
      <c r="Q51" s="38"/>
      <c r="R51" s="58"/>
      <c r="S51" s="58"/>
      <c r="T51" s="58"/>
      <c r="U51" s="58"/>
      <c r="V51" s="58"/>
      <c r="W51" s="58"/>
      <c r="X51" s="58"/>
      <c r="Y51" s="58"/>
      <c r="Z51" s="439"/>
      <c r="AA51" s="349"/>
    </row>
    <row r="52" spans="1:35" ht="15.75" customHeight="1" x14ac:dyDescent="0.3">
      <c r="A52" s="658"/>
      <c r="B52" s="70"/>
      <c r="C52" s="70"/>
      <c r="D52" s="68" t="s">
        <v>853</v>
      </c>
      <c r="E52" s="316">
        <f>(VIN_max/Npri_sec1+E10)*1.5</f>
        <v>61.5</v>
      </c>
      <c r="F52" s="659" t="s">
        <v>0</v>
      </c>
      <c r="G52" s="70"/>
      <c r="H52" s="658"/>
      <c r="I52" s="38"/>
      <c r="J52" s="38"/>
      <c r="K52" s="68" t="str">
        <f>CHOOSE(MODE, "", "Snubber Capacitor Voltage Rating &gt;")</f>
        <v/>
      </c>
      <c r="L52" s="316" t="str">
        <f>CHOOSE(MODE, "", (VIN_max/Npri_sec2+ABS(E12))*1.5)</f>
        <v/>
      </c>
      <c r="M52" s="659" t="str">
        <f>CHOOSE(MODE, "", "V")</f>
        <v/>
      </c>
      <c r="N52" s="38"/>
      <c r="O52" s="38"/>
      <c r="P52" s="38"/>
      <c r="Q52" s="38"/>
      <c r="R52" s="58"/>
      <c r="S52" s="58"/>
      <c r="T52" s="58"/>
      <c r="U52" s="58"/>
      <c r="V52" s="58"/>
      <c r="W52" s="58"/>
      <c r="X52" s="58"/>
      <c r="Y52" s="58"/>
      <c r="Z52" s="439"/>
      <c r="AA52" s="349"/>
    </row>
    <row r="53" spans="1:35" ht="15.75" customHeight="1" x14ac:dyDescent="0.3">
      <c r="A53" s="658"/>
      <c r="B53" s="70"/>
      <c r="C53" s="70"/>
      <c r="D53" s="68" t="str">
        <f>CHOOSE(MODE, "Recommended Rsnb", "Recommended Rsnb1")</f>
        <v>Recommended Rsnb</v>
      </c>
      <c r="E53" s="316">
        <v>100</v>
      </c>
      <c r="F53" s="660" t="s">
        <v>136</v>
      </c>
      <c r="G53" s="70"/>
      <c r="H53" s="658"/>
      <c r="I53" s="38"/>
      <c r="J53" s="38"/>
      <c r="K53" s="68" t="str">
        <f>CHOOSE(MODE, "", "Recommended Rsnb2")</f>
        <v/>
      </c>
      <c r="L53" s="316" t="str">
        <f>CHOOSE(MODE, "", 100)</f>
        <v/>
      </c>
      <c r="M53" s="660" t="str">
        <f>CHOOSE(MODE, "", "Ω")</f>
        <v/>
      </c>
      <c r="N53" s="38"/>
      <c r="O53" s="38"/>
      <c r="P53" s="38"/>
      <c r="Q53" s="38"/>
      <c r="R53" s="58"/>
      <c r="S53" s="58"/>
      <c r="T53" s="58"/>
      <c r="U53" s="58"/>
      <c r="V53" s="58"/>
      <c r="W53" s="58"/>
      <c r="X53" s="58"/>
      <c r="Y53" s="58"/>
      <c r="Z53" s="439"/>
      <c r="AA53" s="349"/>
    </row>
    <row r="54" spans="1:35" ht="15.75" customHeight="1" x14ac:dyDescent="0.3">
      <c r="A54" s="650"/>
      <c r="B54" s="651"/>
      <c r="C54" s="651"/>
      <c r="D54" s="669" t="s">
        <v>854</v>
      </c>
      <c r="E54" s="670">
        <f>E52*E52*E51*0.000000000001*350000*4</f>
        <v>0.11649330000000001</v>
      </c>
      <c r="F54" s="653" t="s">
        <v>45</v>
      </c>
      <c r="G54" s="70"/>
      <c r="H54" s="650"/>
      <c r="I54" s="664"/>
      <c r="J54" s="664"/>
      <c r="K54" s="669" t="str">
        <f>CHOOSE(MODE, "", "Snubber Resistor Power Dissipation Rating &gt;")</f>
        <v/>
      </c>
      <c r="L54" s="670" t="str">
        <f>CHOOSE(MODE, "", L52*L52*L51*0.000000000001*350000*4)</f>
        <v/>
      </c>
      <c r="M54" s="653" t="str">
        <f>CHOOSE(MODE, "", "W")</f>
        <v/>
      </c>
      <c r="N54" s="38"/>
      <c r="O54" s="38"/>
      <c r="P54" s="38"/>
      <c r="Q54" s="38"/>
      <c r="R54" s="58"/>
      <c r="S54" s="58"/>
      <c r="T54" s="58"/>
      <c r="U54" s="58"/>
      <c r="V54" s="58"/>
      <c r="W54" s="58"/>
      <c r="X54" s="58"/>
      <c r="Y54" s="58"/>
      <c r="Z54" s="439"/>
      <c r="AA54" s="349"/>
    </row>
    <row r="55" spans="1:35" ht="15.75" customHeight="1" x14ac:dyDescent="0.3">
      <c r="A55" s="69"/>
      <c r="B55" s="70"/>
      <c r="C55" s="70"/>
      <c r="D55" s="68"/>
      <c r="E55" s="316"/>
      <c r="F55" s="331"/>
      <c r="G55" s="70"/>
      <c r="H55" s="70"/>
      <c r="I55" s="38"/>
      <c r="J55" s="38"/>
      <c r="K55" s="38"/>
      <c r="L55" s="38"/>
      <c r="M55" s="38"/>
      <c r="N55" s="38"/>
      <c r="O55" s="38"/>
      <c r="P55" s="38"/>
      <c r="Q55" s="38"/>
      <c r="R55" s="58"/>
      <c r="S55" s="58"/>
      <c r="T55" s="58"/>
      <c r="U55" s="58"/>
      <c r="V55" s="58"/>
      <c r="W55" s="58"/>
      <c r="X55" s="58"/>
      <c r="Y55" s="58"/>
      <c r="Z55" s="439"/>
      <c r="AA55" s="349"/>
    </row>
    <row r="56" spans="1:35" ht="15.75" customHeight="1" x14ac:dyDescent="0.3">
      <c r="A56" s="85" t="s">
        <v>850</v>
      </c>
      <c r="B56" s="70"/>
      <c r="C56" s="70"/>
      <c r="D56" s="68"/>
      <c r="E56" s="316"/>
      <c r="F56" s="331"/>
      <c r="G56" s="331" t="s">
        <v>852</v>
      </c>
      <c r="H56" s="70"/>
      <c r="I56" s="38"/>
      <c r="J56" s="38"/>
      <c r="K56" s="38"/>
      <c r="L56" s="38"/>
      <c r="M56" s="38"/>
      <c r="N56" s="38"/>
      <c r="O56" s="38"/>
      <c r="P56" s="38"/>
      <c r="Q56" s="38"/>
      <c r="R56" s="58"/>
      <c r="S56" s="58"/>
      <c r="T56" s="58"/>
      <c r="U56" s="58"/>
      <c r="V56" s="58"/>
      <c r="W56" s="58"/>
      <c r="X56" s="58"/>
      <c r="Y56" s="58"/>
      <c r="Z56" s="439"/>
      <c r="AA56" s="349"/>
    </row>
    <row r="57" spans="1:35" ht="15.75" customHeight="1" x14ac:dyDescent="0.3">
      <c r="A57" s="654"/>
      <c r="B57" s="655"/>
      <c r="C57" s="655"/>
      <c r="D57" s="656" t="str">
        <f>CHOOSE(MODE, "Min Load Current, IOUTmin ", "Min Load Current, IOUT1min")</f>
        <v xml:space="preserve">Min Load Current, IOUTmin </v>
      </c>
      <c r="E57" s="673">
        <v>0.01</v>
      </c>
      <c r="F57" s="657" t="s">
        <v>1</v>
      </c>
      <c r="G57" s="70"/>
      <c r="H57" s="654"/>
      <c r="I57" s="661"/>
      <c r="J57" s="661"/>
      <c r="K57" s="656" t="str">
        <f>CHOOSE(MODE, " ", "Min Load Current, IOUT2min")</f>
        <v xml:space="preserve"> </v>
      </c>
      <c r="L57" s="675">
        <v>-5.0000000000000001E-3</v>
      </c>
      <c r="M57" s="662" t="str">
        <f>CHOOSE(MODE, "", "A")</f>
        <v/>
      </c>
      <c r="N57" s="38"/>
      <c r="O57" s="38"/>
      <c r="P57" s="38"/>
      <c r="Q57" s="38"/>
      <c r="R57" s="58"/>
      <c r="S57" s="58"/>
      <c r="T57" s="58"/>
      <c r="U57" s="58"/>
      <c r="V57" s="58"/>
      <c r="W57" s="58"/>
      <c r="X57" s="58"/>
      <c r="Y57" s="58"/>
      <c r="Z57" s="439"/>
      <c r="AA57" s="349"/>
    </row>
    <row r="58" spans="1:35" ht="15.75" customHeight="1" x14ac:dyDescent="0.3">
      <c r="A58" s="658"/>
      <c r="B58" s="70"/>
      <c r="C58" s="70"/>
      <c r="D58" s="67" t="str">
        <f>CHOOSE(MODE,"Max Output Voltage Limit, VOUTmax","Max Output Voltage Limit, VOUT1max")</f>
        <v>Max Output Voltage Limit, VOUTmax</v>
      </c>
      <c r="E58" s="674">
        <v>21</v>
      </c>
      <c r="F58" s="659" t="s">
        <v>0</v>
      </c>
      <c r="G58" s="70"/>
      <c r="H58" s="658"/>
      <c r="I58" s="38"/>
      <c r="J58" s="38"/>
      <c r="K58" s="67" t="str">
        <f>CHOOSE(MODE,"","Max Output Voltage Limit, VOUT2max")</f>
        <v/>
      </c>
      <c r="L58" s="676">
        <v>-17</v>
      </c>
      <c r="M58" s="663" t="str">
        <f>CHOOSE(MODE,"","V")</f>
        <v/>
      </c>
      <c r="N58" s="38"/>
      <c r="O58" s="38"/>
      <c r="P58" s="38"/>
      <c r="Q58" s="38"/>
      <c r="R58" s="58"/>
      <c r="S58" s="58"/>
      <c r="T58" s="58"/>
      <c r="U58" s="58"/>
      <c r="V58" s="58"/>
      <c r="W58" s="58"/>
      <c r="X58" s="58"/>
      <c r="Y58" s="58"/>
      <c r="Z58" s="439"/>
      <c r="AA58" s="349"/>
    </row>
    <row r="59" spans="1:35" ht="15.75" customHeight="1" x14ac:dyDescent="0.3">
      <c r="A59" s="658"/>
      <c r="B59" s="70"/>
      <c r="C59" s="58"/>
      <c r="D59" s="68" t="str">
        <f>CHOOSE(MODE," Zener Clamp Dz or Dymmy Load Rdmy","Zener Clamp Dz1 or Dummy Load Rdmy1")</f>
        <v xml:space="preserve"> Zener Clamp Dz or Dymmy Load Rdmy</v>
      </c>
      <c r="E59" s="677" t="str">
        <f>CHOOSE(MODE, IF('Calculations - Single'!G329="Yes",IF(E58&gt;ROUND(Vout*11.25,0)/10, "Dz", "Rdmy"), "None"), IF('Calculations - Dual'!G329="Yes",IF(E58&gt;ROUND(Vout*11.25,0)/10, "Dz1", "Rdmy1"), "None"))</f>
        <v>None</v>
      </c>
      <c r="F59" s="659" t="s">
        <v>78</v>
      </c>
      <c r="G59" s="70"/>
      <c r="H59" s="658"/>
      <c r="I59" s="38"/>
      <c r="J59" s="38"/>
      <c r="K59" s="68" t="str">
        <f>CHOOSE(MODE,"","Zener Clamp Dz2 or Dummy Load Rdmy2")</f>
        <v/>
      </c>
      <c r="L59" s="677" t="str">
        <f>CHOOSE(MODE, "", IF('Calculations - Dual'!N329="Yes",IF(ABS(L58)&gt;ROUND(Vout2*11.25,0)/10, "Dz2", "Rdmy2"), "None"))</f>
        <v/>
      </c>
      <c r="M59" s="663"/>
      <c r="N59" s="38"/>
      <c r="O59" s="38"/>
      <c r="P59" s="38"/>
      <c r="Q59" s="38"/>
      <c r="R59" s="58"/>
      <c r="S59" s="58"/>
      <c r="T59" s="58"/>
      <c r="U59" s="58"/>
      <c r="V59" s="58"/>
      <c r="W59" s="58"/>
      <c r="X59" s="58"/>
      <c r="Y59" s="58"/>
      <c r="Z59" s="439"/>
      <c r="AA59" s="349"/>
    </row>
    <row r="60" spans="1:35" ht="15.75" customHeight="1" x14ac:dyDescent="0.3">
      <c r="A60" s="658"/>
      <c r="B60" s="70"/>
      <c r="C60" s="74"/>
      <c r="D60" s="68" t="str">
        <f>"Selection "&amp;IF(E59="Dz", "Zener Clamp (5%)", IF(E59="Rdym", "Dummy Load (1%)", ""))</f>
        <v xml:space="preserve">Selection </v>
      </c>
      <c r="E60" s="672" t="str">
        <f>CHOOSE(MODE,IF(OR(E59="Rdmy",E59="Rdmy1"),'Standard Value Calculator'!J23,IF(E59="None","None",ROUND(E58/0.0105,0)/100)),IF(OR(E59="Rdmy",E59="Rdmy1"),'Standard Value Calculator'!J24,IF(E59="None","None",ROUND(E58/0.0105,0)/100)))</f>
        <v>None</v>
      </c>
      <c r="F60" s="660" t="str">
        <f>IF(OR(E59="DZ", E59="DZ1"), "V", IF(OR(E59="Rdmy", E59="Rdmy1"),"Ohm", ""))</f>
        <v/>
      </c>
      <c r="G60" s="70"/>
      <c r="H60" s="658"/>
      <c r="I60" s="38"/>
      <c r="J60" s="38"/>
      <c r="K60" s="68" t="str">
        <f>CHOOSE(MODE, "", "Selection "&amp;IF(L59="Dz", "Zener Clamp (5%)", IF(L59="Rdym", "Dummy Load (1%)", "")))</f>
        <v/>
      </c>
      <c r="L60" s="678" t="str">
        <f>CHOOSE(MODE,"",IF(L59="Rdmy2",'Standard Value Calculator'!J25,IF(L59="None","None",ROUND(ABS(L58)/0.0105,0)/100)))</f>
        <v/>
      </c>
      <c r="M60" s="660" t="str">
        <f>IF(L59="DZ2", "V", IF(L59="Rdmy2","Ohm", ""))</f>
        <v/>
      </c>
      <c r="N60" s="38"/>
      <c r="O60" s="38"/>
      <c r="P60" s="38"/>
      <c r="Q60" s="38"/>
      <c r="R60" s="58"/>
      <c r="S60" s="58"/>
      <c r="T60" s="58"/>
      <c r="U60" s="58"/>
      <c r="V60" s="58"/>
      <c r="W60" s="58"/>
      <c r="X60" s="58"/>
      <c r="Y60" s="58"/>
      <c r="Z60" s="439"/>
      <c r="AA60" s="349"/>
    </row>
    <row r="61" spans="1:35" ht="15.75" customHeight="1" x14ac:dyDescent="0.3">
      <c r="A61" s="650"/>
      <c r="B61" s="651"/>
      <c r="C61" s="651"/>
      <c r="D61" s="669" t="s">
        <v>839</v>
      </c>
      <c r="E61" s="652" t="str">
        <f>IF(OR(E59="Rdmy",E59="Rdmy1"),(Vout*1.08)^2/E60*4, IF(OR(E59="Dz",E59="Dz1"), E60*1.065*E57*4*0+'Standard Value Calculator'!I27*5, "N/A"))</f>
        <v>N/A</v>
      </c>
      <c r="F61" s="653" t="s">
        <v>45</v>
      </c>
      <c r="G61" s="70"/>
      <c r="H61" s="650"/>
      <c r="I61" s="664"/>
      <c r="J61" s="664"/>
      <c r="K61" s="669" t="str">
        <f>CHOOSE(MODE, "", "Selected Device Min Power Rating&gt;")</f>
        <v/>
      </c>
      <c r="L61" s="652" t="str">
        <f>CHOOSE(MODE, "", IF(L59="Rdmy2",(Vout2*1.08)^2/L60*4, IF(L59="Dz2", ABS(L60*1.065*L57*4*0+'Standard Value Calculator'!I29*5), "N/A")))</f>
        <v/>
      </c>
      <c r="M61" s="653" t="str">
        <f>CHOOSE(MODE, "", "W")</f>
        <v/>
      </c>
      <c r="N61" s="38"/>
      <c r="O61" s="38"/>
      <c r="P61" s="38"/>
      <c r="Q61" s="38"/>
      <c r="R61" s="58"/>
      <c r="S61" s="58"/>
      <c r="T61" s="58"/>
      <c r="U61" s="58"/>
      <c r="V61" s="58"/>
      <c r="W61" s="58"/>
      <c r="X61" s="58"/>
      <c r="Y61" s="58"/>
      <c r="Z61" s="439"/>
      <c r="AA61" s="349"/>
    </row>
    <row r="62" spans="1:35" ht="15.75" customHeight="1" thickBot="1" x14ac:dyDescent="0.35">
      <c r="A62" s="69"/>
      <c r="B62" s="70"/>
      <c r="C62" s="70"/>
      <c r="D62" s="68"/>
      <c r="E62" s="316"/>
      <c r="F62" s="331"/>
      <c r="G62" s="70"/>
      <c r="H62" s="70"/>
      <c r="I62" s="38"/>
      <c r="J62" s="38"/>
      <c r="K62" s="38"/>
      <c r="L62" s="38"/>
      <c r="M62" s="38"/>
      <c r="N62" s="38"/>
      <c r="O62" s="38"/>
      <c r="P62" s="38"/>
      <c r="Q62" s="38"/>
      <c r="R62" s="58"/>
      <c r="S62" s="58"/>
      <c r="T62" s="58"/>
      <c r="U62" s="58"/>
      <c r="V62" s="58"/>
      <c r="W62" s="58"/>
      <c r="X62" s="58"/>
      <c r="Y62" s="58"/>
      <c r="Z62" s="439"/>
      <c r="AA62" s="349"/>
    </row>
    <row r="63" spans="1:35" x14ac:dyDescent="0.3">
      <c r="A63" s="357"/>
      <c r="B63" s="358"/>
      <c r="C63" s="359"/>
      <c r="D63" s="359"/>
      <c r="E63" s="359"/>
      <c r="F63" s="359"/>
      <c r="G63" s="359"/>
      <c r="H63" s="359"/>
      <c r="I63" s="359"/>
      <c r="J63" s="359"/>
      <c r="K63" s="359"/>
      <c r="L63" s="359"/>
      <c r="M63" s="359"/>
      <c r="N63" s="359"/>
      <c r="O63" s="359"/>
      <c r="P63" s="359"/>
      <c r="Q63" s="359"/>
      <c r="R63" s="356"/>
      <c r="S63" s="356"/>
      <c r="T63" s="356"/>
      <c r="U63" s="349"/>
      <c r="V63" s="349"/>
      <c r="W63" s="356"/>
      <c r="X63" s="356"/>
      <c r="Y63" s="356"/>
      <c r="Z63" s="349"/>
      <c r="AA63" s="349"/>
      <c r="AB63" s="18"/>
      <c r="AC63" s="18"/>
      <c r="AD63" s="18"/>
      <c r="AG63" s="18"/>
      <c r="AH63" s="18"/>
      <c r="AI63" s="18"/>
    </row>
    <row r="64" spans="1:35" x14ac:dyDescent="0.3">
      <c r="A64" s="35"/>
      <c r="R64" s="18"/>
      <c r="S64" s="18"/>
      <c r="T64" s="18"/>
      <c r="W64" s="18"/>
      <c r="X64" s="18"/>
      <c r="Y64" s="18"/>
      <c r="AB64" s="18"/>
      <c r="AC64" s="18"/>
      <c r="AD64" s="18"/>
      <c r="AG64" s="18"/>
      <c r="AH64" s="18"/>
      <c r="AI64" s="18"/>
    </row>
    <row r="65" spans="18:35" x14ac:dyDescent="0.3">
      <c r="R65" s="18"/>
      <c r="S65" s="18"/>
      <c r="T65" s="18"/>
      <c r="W65" s="18"/>
      <c r="X65" s="18"/>
      <c r="Y65" s="18"/>
      <c r="AB65" s="18"/>
      <c r="AC65" s="18"/>
      <c r="AD65" s="18"/>
      <c r="AG65" s="18"/>
      <c r="AH65" s="18"/>
      <c r="AI65" s="18"/>
    </row>
    <row r="66" spans="18:35" x14ac:dyDescent="0.3">
      <c r="R66" s="18"/>
      <c r="S66" s="18"/>
      <c r="T66" s="18"/>
      <c r="W66" s="18"/>
      <c r="X66" s="18"/>
      <c r="Y66" s="18"/>
      <c r="AB66" s="18"/>
      <c r="AC66" s="18"/>
      <c r="AD66" s="18"/>
      <c r="AG66" s="18"/>
      <c r="AH66" s="18"/>
      <c r="AI66" s="18"/>
    </row>
    <row r="67" spans="18:35" x14ac:dyDescent="0.3">
      <c r="R67" s="18"/>
      <c r="S67" s="18"/>
      <c r="T67" s="18"/>
      <c r="W67" s="18"/>
      <c r="X67" s="18"/>
      <c r="Y67" s="18"/>
      <c r="AB67" s="18"/>
      <c r="AC67" s="18"/>
      <c r="AD67" s="18"/>
      <c r="AG67" s="18"/>
      <c r="AH67" s="18"/>
      <c r="AI67" s="18"/>
    </row>
    <row r="68" spans="18:35" x14ac:dyDescent="0.3">
      <c r="R68" s="18"/>
      <c r="S68" s="18"/>
      <c r="T68" s="18"/>
      <c r="W68" s="18"/>
      <c r="X68" s="18"/>
      <c r="Y68" s="18"/>
      <c r="AB68" s="18"/>
      <c r="AC68" s="18"/>
      <c r="AD68" s="18"/>
      <c r="AG68" s="18"/>
      <c r="AH68" s="18"/>
      <c r="AI68" s="18"/>
    </row>
  </sheetData>
  <sheetProtection algorithmName="SHA-512" hashValue="kEvJgdvDUWM9dPyD9Me/KI6MEWQ4Z+LHNJ/aaKk4E6mGOofAmvCd1PJnQ5k569ZC1kSdWfUQGVt9PdN5BussaA==" saltValue="iDpg6dRHi2Ul2+JebGkCOQ==" spinCount="100000" sheet="1" objects="1" scenarios="1" selectLockedCells="1"/>
  <phoneticPr fontId="6" type="noConversion"/>
  <conditionalFormatting sqref="A37:F37">
    <cfRule type="expression" dxfId="72" priority="70">
      <formula>MODE_UVLO=1</formula>
    </cfRule>
  </conditionalFormatting>
  <conditionalFormatting sqref="A40:F40">
    <cfRule type="expression" dxfId="71" priority="79">
      <formula>MODE_UVLO=2</formula>
    </cfRule>
  </conditionalFormatting>
  <conditionalFormatting sqref="D30">
    <cfRule type="expression" dxfId="70" priority="109">
      <formula>OR(MODE_SS=2,MODE_SS=3)</formula>
    </cfRule>
  </conditionalFormatting>
  <conditionalFormatting sqref="D33">
    <cfRule type="expression" dxfId="69" priority="55">
      <formula>OR(TC=2)</formula>
    </cfRule>
  </conditionalFormatting>
  <conditionalFormatting sqref="D36:D37">
    <cfRule type="expression" dxfId="68" priority="103">
      <formula>MODE_UVLO=2</formula>
    </cfRule>
  </conditionalFormatting>
  <conditionalFormatting sqref="D31:F31">
    <cfRule type="expression" dxfId="67" priority="108">
      <formula>OR(MODE_SS=2,MODE_SS=3)</formula>
    </cfRule>
  </conditionalFormatting>
  <conditionalFormatting sqref="E6">
    <cfRule type="cellIs" dxfId="66" priority="38" operator="notBetween">
      <formula>4.5</formula>
      <formula>VIN_MAX_RATING</formula>
    </cfRule>
  </conditionalFormatting>
  <conditionalFormatting sqref="E7">
    <cfRule type="cellIs" dxfId="65" priority="10" stopIfTrue="1" operator="lessThan">
      <formula>$E$6</formula>
    </cfRule>
    <cfRule type="cellIs" dxfId="64" priority="39" stopIfTrue="1" operator="notBetween">
      <formula>4.5</formula>
      <formula>VIN_MAX_RATING</formula>
    </cfRule>
  </conditionalFormatting>
  <conditionalFormatting sqref="E8">
    <cfRule type="cellIs" dxfId="63" priority="11" operator="lessThan">
      <formula>$E$7</formula>
    </cfRule>
    <cfRule type="cellIs" dxfId="62" priority="142" operator="notBetween">
      <formula>4.5</formula>
      <formula>VIN_MAX_RATING</formula>
    </cfRule>
  </conditionalFormatting>
  <conditionalFormatting sqref="E10">
    <cfRule type="cellIs" dxfId="61" priority="139" stopIfTrue="1" operator="notBetween">
      <formula>0</formula>
      <formula>200</formula>
    </cfRule>
  </conditionalFormatting>
  <conditionalFormatting sqref="E11">
    <cfRule type="cellIs" dxfId="60" priority="9" operator="lessThan">
      <formula>0</formula>
    </cfRule>
    <cfRule type="cellIs" dxfId="59" priority="67" operator="between">
      <formula>-0.0099</formula>
      <formula>0.0099</formula>
    </cfRule>
    <cfRule type="expression" dxfId="58" priority="94">
      <formula>"Iout&gt;2"</formula>
    </cfRule>
  </conditionalFormatting>
  <conditionalFormatting sqref="E12">
    <cfRule type="cellIs" dxfId="57" priority="66" operator="notBetween">
      <formula>-200</formula>
      <formula>200</formula>
    </cfRule>
  </conditionalFormatting>
  <conditionalFormatting sqref="E13">
    <cfRule type="expression" dxfId="55" priority="65">
      <formula>Iout2 &gt; 2</formula>
    </cfRule>
    <cfRule type="cellIs" dxfId="54" priority="64" operator="between">
      <formula>-0.0099</formula>
      <formula>0.0099</formula>
    </cfRule>
    <cfRule type="expression" dxfId="53" priority="8">
      <formula>$E$12*$E$13&lt;0</formula>
    </cfRule>
  </conditionalFormatting>
  <conditionalFormatting sqref="E18">
    <cfRule type="cellIs" dxfId="52" priority="132" stopIfTrue="1" operator="lessThan">
      <formula>$E$17</formula>
    </cfRule>
  </conditionalFormatting>
  <conditionalFormatting sqref="E19">
    <cfRule type="cellIs" dxfId="51" priority="131" stopIfTrue="1" operator="equal">
      <formula>0</formula>
    </cfRule>
  </conditionalFormatting>
  <conditionalFormatting sqref="E22">
    <cfRule type="cellIs" dxfId="50" priority="136" stopIfTrue="1" operator="lessThan">
      <formula>$E$21</formula>
    </cfRule>
  </conditionalFormatting>
  <conditionalFormatting sqref="E23">
    <cfRule type="cellIs" dxfId="49" priority="60" stopIfTrue="1" operator="equal">
      <formula>0</formula>
    </cfRule>
  </conditionalFormatting>
  <conditionalFormatting sqref="E30">
    <cfRule type="cellIs" dxfId="48" priority="126" operator="lessThan">
      <formula>6</formula>
    </cfRule>
  </conditionalFormatting>
  <conditionalFormatting sqref="E36">
    <cfRule type="cellIs" dxfId="47" priority="7" operator="greaterThan">
      <formula>$E$6</formula>
    </cfRule>
    <cfRule type="cellIs" dxfId="46" priority="128" operator="notBetween">
      <formula>65</formula>
      <formula>4.5</formula>
    </cfRule>
  </conditionalFormatting>
  <conditionalFormatting sqref="E37">
    <cfRule type="cellIs" dxfId="45" priority="6" operator="greaterThan">
      <formula>$E$36</formula>
    </cfRule>
    <cfRule type="cellIs" dxfId="44" priority="104" operator="notBetween">
      <formula>3.5</formula>
      <formula>$E$36</formula>
    </cfRule>
  </conditionalFormatting>
  <conditionalFormatting sqref="E45">
    <cfRule type="cellIs" dxfId="43" priority="87" operator="notBetween">
      <formula>-40</formula>
      <formula>150</formula>
    </cfRule>
  </conditionalFormatting>
  <conditionalFormatting sqref="E52">
    <cfRule type="cellIs" dxfId="42" priority="28" operator="notBetween">
      <formula>-40</formula>
      <formula>150</formula>
    </cfRule>
  </conditionalFormatting>
  <conditionalFormatting sqref="E57">
    <cfRule type="cellIs" dxfId="41" priority="5" operator="lessThan">
      <formula>0</formula>
    </cfRule>
  </conditionalFormatting>
  <conditionalFormatting sqref="E58">
    <cfRule type="cellIs" dxfId="40" priority="4" operator="lessThan">
      <formula>$E$10*1.05</formula>
    </cfRule>
  </conditionalFormatting>
  <conditionalFormatting sqref="E30:F30">
    <cfRule type="expression" dxfId="39" priority="110">
      <formula>OR(MODE_SS=2,MODE_SS=3)</formula>
    </cfRule>
  </conditionalFormatting>
  <conditionalFormatting sqref="E33:F33 D34:F34">
    <cfRule type="expression" dxfId="38" priority="54">
      <formula>OR(TC=2)</formula>
    </cfRule>
  </conditionalFormatting>
  <conditionalFormatting sqref="E36:F37 C38:F40">
    <cfRule type="expression" dxfId="37" priority="80">
      <formula>MODE_UVLO=2</formula>
    </cfRule>
  </conditionalFormatting>
  <conditionalFormatting sqref="F14:F15">
    <cfRule type="expression" dxfId="35" priority="30">
      <formula>(MODE=2)</formula>
    </cfRule>
  </conditionalFormatting>
  <conditionalFormatting sqref="F17">
    <cfRule type="cellIs" dxfId="34" priority="68" stopIfTrue="1" operator="lessThanOrEqual">
      <formula>0</formula>
    </cfRule>
  </conditionalFormatting>
  <conditionalFormatting sqref="F21">
    <cfRule type="cellIs" dxfId="33" priority="86" stopIfTrue="1" operator="lessThanOrEqual">
      <formula>0</formula>
    </cfRule>
  </conditionalFormatting>
  <conditionalFormatting sqref="F38:F39">
    <cfRule type="expression" dxfId="32" priority="78">
      <formula>MODE_UVLO=2</formula>
    </cfRule>
  </conditionalFormatting>
  <conditionalFormatting sqref="G51:M54">
    <cfRule type="expression" priority="25">
      <formula>"MODE=true"</formula>
    </cfRule>
  </conditionalFormatting>
  <conditionalFormatting sqref="J38">
    <cfRule type="cellIs" dxfId="29" priority="150" stopIfTrue="1" operator="notBetween">
      <formula>600</formula>
      <formula>50</formula>
    </cfRule>
    <cfRule type="cellIs" dxfId="28" priority="151" stopIfTrue="1" operator="greaterThan">
      <formula>$E$9</formula>
    </cfRule>
  </conditionalFormatting>
  <conditionalFormatting sqref="L22">
    <cfRule type="cellIs" dxfId="22" priority="50" stopIfTrue="1" operator="lessThan">
      <formula>$L$21</formula>
    </cfRule>
  </conditionalFormatting>
  <conditionalFormatting sqref="L23">
    <cfRule type="cellIs" dxfId="21" priority="48" stopIfTrue="1" operator="equal">
      <formula>0</formula>
    </cfRule>
  </conditionalFormatting>
  <conditionalFormatting sqref="L51:L54">
    <cfRule type="cellIs" dxfId="20" priority="26" operator="notBetween">
      <formula>-40</formula>
      <formula>150</formula>
    </cfRule>
  </conditionalFormatting>
  <conditionalFormatting sqref="L57">
    <cfRule type="expression" dxfId="19" priority="3">
      <formula>$L$57*$E$12&lt;0</formula>
    </cfRule>
  </conditionalFormatting>
  <conditionalFormatting sqref="L58">
    <cfRule type="expression" dxfId="16" priority="1">
      <formula>$L$58/$E$12&lt;1.05</formula>
    </cfRule>
    <cfRule type="expression" dxfId="15" priority="2">
      <formula>$E$12*$L$58&lt;0</formula>
    </cfRule>
  </conditionalFormatting>
  <conditionalFormatting sqref="M21">
    <cfRule type="cellIs" dxfId="12" priority="49" stopIfTrue="1" operator="lessThanOrEqual">
      <formula>0</formula>
    </cfRule>
  </conditionalFormatting>
  <hyperlinks>
    <hyperlink ref="C3" r:id="rId1" xr:uid="{00000000-0004-0000-0000-000000000000}"/>
  </hyperlinks>
  <printOptions horizontalCentered="1" verticalCentered="1"/>
  <pageMargins left="0.1" right="0.1" top="0.1" bottom="0.1" header="0.25" footer="0.25"/>
  <pageSetup scale="61" orientation="landscape" r:id="rId2"/>
  <headerFooter alignWithMargins="0"/>
  <rowBreaks count="1" manualBreakCount="1">
    <brk id="63" max="16383" man="1"/>
  </rowBreaks>
  <drawing r:id="rId3"/>
  <legacyDrawing r:id="rId4"/>
  <legacyDrawingHF r:id="rId5"/>
  <mc:AlternateContent xmlns:mc="http://schemas.openxmlformats.org/markup-compatibility/2006">
    <mc:Choice Requires="x14">
      <controls>
        <mc:AlternateContent xmlns:mc="http://schemas.openxmlformats.org/markup-compatibility/2006">
          <mc:Choice Requires="x14">
            <control shapeId="750825" r:id="rId6" name="Drop Down 5353">
              <controlPr defaultSize="0" autoLine="0" autoPict="0">
                <anchor moveWithCells="1">
                  <from>
                    <xdr:col>24</xdr:col>
                    <xdr:colOff>144780</xdr:colOff>
                    <xdr:row>0</xdr:row>
                    <xdr:rowOff>381000</xdr:rowOff>
                  </from>
                  <to>
                    <xdr:col>24</xdr:col>
                    <xdr:colOff>525780</xdr:colOff>
                    <xdr:row>1</xdr:row>
                    <xdr:rowOff>0</xdr:rowOff>
                  </to>
                </anchor>
              </controlPr>
            </control>
          </mc:Choice>
        </mc:AlternateContent>
        <mc:AlternateContent xmlns:mc="http://schemas.openxmlformats.org/markup-compatibility/2006">
          <mc:Choice Requires="x14">
            <control shapeId="672895" r:id="rId7" name="Spinner 127">
              <controlPr defaultSize="0" autoPict="0">
                <anchor moveWithCells="1" sizeWithCells="1">
                  <from>
                    <xdr:col>5</xdr:col>
                    <xdr:colOff>137160</xdr:colOff>
                    <xdr:row>6</xdr:row>
                    <xdr:rowOff>22860</xdr:rowOff>
                  </from>
                  <to>
                    <xdr:col>5</xdr:col>
                    <xdr:colOff>304800</xdr:colOff>
                    <xdr:row>7</xdr:row>
                    <xdr:rowOff>30480</xdr:rowOff>
                  </to>
                </anchor>
              </controlPr>
            </control>
          </mc:Choice>
        </mc:AlternateContent>
        <mc:AlternateContent xmlns:mc="http://schemas.openxmlformats.org/markup-compatibility/2006">
          <mc:Choice Requires="x14">
            <control shapeId="672935" r:id="rId8" name="Drop Down 167">
              <controlPr defaultSize="0" autoLine="0" autoPict="0">
                <anchor moveWithCells="1">
                  <from>
                    <xdr:col>4</xdr:col>
                    <xdr:colOff>22860</xdr:colOff>
                    <xdr:row>28</xdr:row>
                    <xdr:rowOff>0</xdr:rowOff>
                  </from>
                  <to>
                    <xdr:col>5</xdr:col>
                    <xdr:colOff>289560</xdr:colOff>
                    <xdr:row>29</xdr:row>
                    <xdr:rowOff>30480</xdr:rowOff>
                  </to>
                </anchor>
              </controlPr>
            </control>
          </mc:Choice>
        </mc:AlternateContent>
        <mc:AlternateContent xmlns:mc="http://schemas.openxmlformats.org/markup-compatibility/2006">
          <mc:Choice Requires="x14">
            <control shapeId="673043" r:id="rId9" name="Drop Down 275">
              <controlPr defaultSize="0" autoLine="0" autoPict="0">
                <anchor moveWithCells="1">
                  <from>
                    <xdr:col>4</xdr:col>
                    <xdr:colOff>22860</xdr:colOff>
                    <xdr:row>34</xdr:row>
                    <xdr:rowOff>0</xdr:rowOff>
                  </from>
                  <to>
                    <xdr:col>5</xdr:col>
                    <xdr:colOff>259080</xdr:colOff>
                    <xdr:row>34</xdr:row>
                    <xdr:rowOff>213360</xdr:rowOff>
                  </to>
                </anchor>
              </controlPr>
            </control>
          </mc:Choice>
        </mc:AlternateContent>
        <mc:AlternateContent xmlns:mc="http://schemas.openxmlformats.org/markup-compatibility/2006">
          <mc:Choice Requires="x14">
            <control shapeId="697343" r:id="rId10" name="Drop Down 3071">
              <controlPr defaultSize="0" autoLine="0" autoPict="0">
                <anchor moveWithCells="1">
                  <from>
                    <xdr:col>11</xdr:col>
                    <xdr:colOff>22860</xdr:colOff>
                    <xdr:row>11</xdr:row>
                    <xdr:rowOff>0</xdr:rowOff>
                  </from>
                  <to>
                    <xdr:col>12</xdr:col>
                    <xdr:colOff>68580</xdr:colOff>
                    <xdr:row>12</xdr:row>
                    <xdr:rowOff>22860</xdr:rowOff>
                  </to>
                </anchor>
              </controlPr>
            </control>
          </mc:Choice>
        </mc:AlternateContent>
        <mc:AlternateContent xmlns:mc="http://schemas.openxmlformats.org/markup-compatibility/2006">
          <mc:Choice Requires="x14">
            <control shapeId="714798" r:id="rId11" name="Drop Down 3118">
              <controlPr defaultSize="0" autoLine="0" autoPict="0">
                <anchor moveWithCells="1">
                  <from>
                    <xdr:col>4</xdr:col>
                    <xdr:colOff>0</xdr:colOff>
                    <xdr:row>31</xdr:row>
                    <xdr:rowOff>22860</xdr:rowOff>
                  </from>
                  <to>
                    <xdr:col>5</xdr:col>
                    <xdr:colOff>266700</xdr:colOff>
                    <xdr:row>32</xdr:row>
                    <xdr:rowOff>22860</xdr:rowOff>
                  </to>
                </anchor>
              </controlPr>
            </control>
          </mc:Choice>
        </mc:AlternateContent>
        <mc:AlternateContent xmlns:mc="http://schemas.openxmlformats.org/markup-compatibility/2006">
          <mc:Choice Requires="x14">
            <control shapeId="715085" r:id="rId12" name="Drop Down 3405">
              <controlPr locked="0" defaultSize="0" autoLine="0" autoPict="0">
                <anchor moveWithCells="1">
                  <from>
                    <xdr:col>4</xdr:col>
                    <xdr:colOff>0</xdr:colOff>
                    <xdr:row>7</xdr:row>
                    <xdr:rowOff>190500</xdr:rowOff>
                  </from>
                  <to>
                    <xdr:col>5</xdr:col>
                    <xdr:colOff>76200</xdr:colOff>
                    <xdr:row>8</xdr:row>
                    <xdr:rowOff>190500</xdr:rowOff>
                  </to>
                </anchor>
              </controlPr>
            </control>
          </mc:Choice>
        </mc:AlternateContent>
        <mc:AlternateContent xmlns:mc="http://schemas.openxmlformats.org/markup-compatibility/2006">
          <mc:Choice Requires="x14">
            <control shapeId="750660" r:id="rId13" name="Drop Down 5188">
              <controlPr locked="0" defaultSize="0" autoLine="0" autoPict="0">
                <anchor moveWithCells="1">
                  <from>
                    <xdr:col>4</xdr:col>
                    <xdr:colOff>30480</xdr:colOff>
                    <xdr:row>4</xdr:row>
                    <xdr:rowOff>22860</xdr:rowOff>
                  </from>
                  <to>
                    <xdr:col>5</xdr:col>
                    <xdr:colOff>403860</xdr:colOff>
                    <xdr:row>4</xdr:row>
                    <xdr:rowOff>251460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52" id="{7DE853EF-1754-4C48-A140-FF26B3EC5CF8}">
            <xm:f>'Variable Mgmt'!$B$60=FALSE</xm:f>
            <x14:dxf>
              <border>
                <bottom/>
                <vertical/>
                <horizontal/>
              </border>
            </x14:dxf>
          </x14:cfRule>
          <xm:sqref>A11:F12</xm:sqref>
        </x14:conditionalFormatting>
        <x14:conditionalFormatting xmlns:xm="http://schemas.microsoft.com/office/excel/2006/main">
          <x14:cfRule type="expression" priority="182" id="{9B976DD7-FFA8-454F-A63D-186A721FDF9C}">
            <xm:f>'Variable Mgmt'!$B$60</xm:f>
            <x14:dxf>
              <border>
                <bottom/>
                <vertical/>
                <horizontal/>
              </border>
            </x14:dxf>
          </x14:cfRule>
          <xm:sqref>A12:F13 A14:D14</xm:sqref>
        </x14:conditionalFormatting>
        <x14:conditionalFormatting xmlns:xm="http://schemas.microsoft.com/office/excel/2006/main">
          <x14:cfRule type="expression" priority="180" id="{2F97F2FF-95A0-40C5-B045-6ADA68EA7C2F}">
            <xm:f>'Variable Mgmt'!$B$60</xm:f>
            <x14:dxf>
              <font>
                <strike val="0"/>
                <color theme="0"/>
              </font>
              <fill>
                <patternFill>
                  <bgColor theme="0"/>
                </patternFill>
              </fill>
            </x14:dxf>
          </x14:cfRule>
          <xm:sqref>E12:E13</xm:sqref>
        </x14:conditionalFormatting>
        <x14:conditionalFormatting xmlns:xm="http://schemas.microsoft.com/office/excel/2006/main">
          <x14:cfRule type="expression" priority="183" id="{25C53C6F-CE07-4419-8FCF-F6B8FCD8434A}">
            <xm:f>'Variable Mgmt'!$B$60</xm:f>
            <x14:dxf>
              <border>
                <right/>
                <vertical/>
                <horizontal/>
              </border>
            </x14:dxf>
          </x14:cfRule>
          <xm:sqref>F12:F13</xm:sqref>
        </x14:conditionalFormatting>
        <x14:conditionalFormatting xmlns:xm="http://schemas.microsoft.com/office/excel/2006/main">
          <x14:cfRule type="expression" priority="45" id="{8076779E-531E-4945-9FF1-9C72CDB0D6DC}">
            <xm:f>'Variable Mgmt'!$B$60=TRUE</xm:f>
            <x14:dxf>
              <border>
                <top/>
                <bottom/>
                <vertical/>
                <horizontal/>
              </border>
            </x14:dxf>
          </x14:cfRule>
          <xm:sqref>G22:G23</xm:sqref>
        </x14:conditionalFormatting>
        <x14:conditionalFormatting xmlns:xm="http://schemas.microsoft.com/office/excel/2006/main">
          <x14:cfRule type="expression" priority="46" id="{B42E45EE-F49B-4512-9DB9-8B85B95C6919}">
            <xm:f>'Variable Mgmt'!$B$60=TRUE</xm:f>
            <x14:dxf>
              <border>
                <left/>
                <right/>
                <top/>
                <bottom/>
                <vertical/>
                <horizontal/>
              </border>
            </x14:dxf>
          </x14:cfRule>
          <xm:sqref>H21:J24</xm:sqref>
        </x14:conditionalFormatting>
        <x14:conditionalFormatting xmlns:xm="http://schemas.microsoft.com/office/excel/2006/main">
          <x14:cfRule type="expression" priority="29" id="{6A589E4F-73D5-400C-B465-4C34FC9CCF83}">
            <xm:f>'Variable Mgmt'!$B$60=FALSE</xm:f>
            <x14:dxf>
              <font>
                <color theme="0"/>
              </font>
            </x14:dxf>
          </x14:cfRule>
          <xm:sqref>K17:M20</xm:sqref>
        </x14:conditionalFormatting>
        <x14:conditionalFormatting xmlns:xm="http://schemas.microsoft.com/office/excel/2006/main">
          <x14:cfRule type="expression" priority="47" id="{18CE8F81-B526-43C7-B5F1-BAA9C73809CD}">
            <xm:f>'Variable Mgmt'!$B$60=TRUE</xm:f>
            <x14:dxf>
              <font>
                <color theme="0"/>
              </font>
              <fill>
                <patternFill>
                  <bgColor theme="0"/>
                </patternFill>
              </fill>
              <border>
                <right/>
                <top/>
                <bottom/>
              </border>
            </x14:dxf>
          </x14:cfRule>
          <xm:sqref>K21:M24</xm:sqref>
        </x14:conditionalFormatting>
        <x14:conditionalFormatting xmlns:xm="http://schemas.microsoft.com/office/excel/2006/main">
          <x14:cfRule type="expression" priority="186" id="{2E385B5D-C8C9-48C7-B4AE-E1A8F27EB6E6}">
            <xm:f>'Variable Mgmt'!$B$92&gt;'Variable Mgmt'!$B$81*1000000</xm:f>
            <x14:dxf>
              <font>
                <color rgb="FFFF0000"/>
              </font>
            </x14:dxf>
          </x14:cfRule>
          <xm:sqref>L7</xm:sqref>
        </x14:conditionalFormatting>
        <x14:conditionalFormatting xmlns:xm="http://schemas.microsoft.com/office/excel/2006/main">
          <x14:cfRule type="expression" priority="44" id="{DA50B535-B6B5-4DFB-9CBC-C505A48C7EB5}">
            <xm:f>'Variable Mgmt'!$B$60=TRUE</xm:f>
            <x14:dxf>
              <font>
                <color theme="0"/>
              </font>
              <fill>
                <patternFill>
                  <bgColor theme="0"/>
                </patternFill>
              </fill>
            </x14:dxf>
          </x14:cfRule>
          <xm:sqref>L10</xm:sqref>
        </x14:conditionalFormatting>
        <x14:conditionalFormatting xmlns:xm="http://schemas.microsoft.com/office/excel/2006/main">
          <x14:cfRule type="expression" priority="187" id="{EE277573-B7FD-4D2F-97C3-CC46EAD89E7B}">
            <xm:f>AND('Variable Mgmt'!#REF!&gt;'Variable Mgmt'!$B$64*1/1000, MODE=1)</xm:f>
            <x14:dxf>
              <font>
                <b/>
                <i val="0"/>
                <color rgb="FFFF0000"/>
              </font>
            </x14:dxf>
          </x14:cfRule>
          <xm:sqref>L12</xm:sqref>
        </x14:conditionalFormatting>
        <x14:conditionalFormatting xmlns:xm="http://schemas.microsoft.com/office/excel/2006/main">
          <x14:cfRule type="expression" priority="13" id="{A5CCDE80-CA7B-43C9-85B5-68458520B476}">
            <xm:f>'Variable Mgmt'!$B$60=TRUE</xm:f>
            <x14:dxf>
              <font>
                <color theme="0"/>
              </font>
            </x14:dxf>
          </x14:cfRule>
          <x14:cfRule type="expression" priority="12" id="{0F0DB212-D1A4-4698-84D1-3D9EBCED844A}">
            <xm:f>NOT('Variable Mgmt'!$B$60=TRUE)</xm:f>
            <x14:dxf>
              <font>
                <color theme="1"/>
              </font>
              <fill>
                <patternFill>
                  <fgColor rgb="FFFFFF00"/>
                  <bgColor rgb="FFFFFF00"/>
                </patternFill>
              </fill>
            </x14:dxf>
          </x14:cfRule>
          <xm:sqref>L57:L58</xm:sqref>
        </x14:conditionalFormatting>
        <x14:conditionalFormatting xmlns:xm="http://schemas.microsoft.com/office/excel/2006/main">
          <x14:cfRule type="expression" priority="42" id="{2E35C64D-1122-4B17-B495-E52D781938E1}">
            <xm:f>'Variable Mgmt'!$D$45=TRUE</xm:f>
            <x14:dxf>
              <font>
                <strike val="0"/>
                <color theme="0"/>
              </font>
              <fill>
                <patternFill>
                  <bgColor rgb="FFFF0000"/>
                </patternFill>
              </fill>
            </x14:dxf>
          </x14:cfRule>
          <xm:sqref>L15:M15</xm:sqref>
        </x14:conditionalFormatting>
        <x14:conditionalFormatting xmlns:xm="http://schemas.microsoft.com/office/excel/2006/main">
          <x14:cfRule type="expression" priority="41" id="{F4D74C3C-4D76-4D0F-8E84-39601788AC8B}">
            <xm:f>'Variable Mgmt'!$D$69=TRUE</xm:f>
            <x14:dxf>
              <font>
                <b/>
                <i val="0"/>
                <color theme="0"/>
              </font>
              <fill>
                <patternFill>
                  <bgColor rgb="FFFF0000"/>
                </patternFill>
              </fill>
            </x14:dxf>
          </x14:cfRule>
          <xm:sqref>L16:M16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2:B7"/>
  <sheetViews>
    <sheetView topLeftCell="A4" zoomScaleNormal="100" workbookViewId="0">
      <selection activeCell="H7" sqref="H7"/>
    </sheetView>
  </sheetViews>
  <sheetFormatPr defaultRowHeight="13.2" x14ac:dyDescent="0.25"/>
  <cols>
    <col min="2" max="2" width="126.44140625" customWidth="1"/>
  </cols>
  <sheetData>
    <row r="2" spans="1:2" ht="17.25" customHeight="1" x14ac:dyDescent="0.25">
      <c r="A2" s="59" t="str">
        <f>CHOOSE(MODE, "EFF_SINGLE", "EFF_DUAL")</f>
        <v>EFF_SINGLE</v>
      </c>
    </row>
    <row r="5" spans="1:2" ht="409.5" customHeight="1" x14ac:dyDescent="0.25">
      <c r="B5" s="312"/>
    </row>
    <row r="6" spans="1:2" ht="17.100000000000001" customHeight="1" x14ac:dyDescent="0.25"/>
    <row r="7" spans="1:2" ht="409.5" customHeight="1" x14ac:dyDescent="0.25">
      <c r="B7" s="312"/>
    </row>
  </sheetData>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B7"/>
  <sheetViews>
    <sheetView zoomScaleNormal="100" workbookViewId="0">
      <selection activeCell="C7" sqref="C7"/>
    </sheetView>
  </sheetViews>
  <sheetFormatPr defaultRowHeight="13.2" x14ac:dyDescent="0.25"/>
  <cols>
    <col min="2" max="2" width="126.44140625" customWidth="1"/>
  </cols>
  <sheetData>
    <row r="2" spans="1:2" ht="17.25" customHeight="1" x14ac:dyDescent="0.25">
      <c r="A2" s="59" t="str">
        <f>CHOOSE(MODE, "Fsw_SINGLE", "Fsw_DUAL")</f>
        <v>Fsw_SINGLE</v>
      </c>
    </row>
    <row r="5" spans="1:2" ht="409.5" customHeight="1" x14ac:dyDescent="0.25">
      <c r="B5" s="312"/>
    </row>
    <row r="6" spans="1:2" ht="17.100000000000001" customHeight="1" x14ac:dyDescent="0.25"/>
    <row r="7" spans="1:2" ht="409.5" customHeight="1" x14ac:dyDescent="0.25">
      <c r="B7" s="312"/>
    </row>
  </sheetData>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tabColor rgb="FF00B050"/>
  </sheetPr>
  <dimension ref="A2:T66"/>
  <sheetViews>
    <sheetView zoomScale="25" zoomScaleNormal="25" zoomScaleSheetLayoutView="145" workbookViewId="0">
      <selection activeCell="H23" sqref="H23"/>
    </sheetView>
  </sheetViews>
  <sheetFormatPr defaultRowHeight="13.2" x14ac:dyDescent="0.25"/>
  <cols>
    <col min="1" max="1" width="12.6640625" style="312" customWidth="1"/>
    <col min="2" max="2" width="124.6640625" customWidth="1"/>
    <col min="3" max="4" width="9.33203125" style="312"/>
    <col min="5" max="5" width="124.6640625" customWidth="1"/>
    <col min="8" max="8" width="124.6640625" style="312" customWidth="1"/>
  </cols>
  <sheetData>
    <row r="2" spans="1:6" x14ac:dyDescent="0.25">
      <c r="A2" s="312" t="str">
        <f>'Variable Mgmt'!K52</f>
        <v>SCH_SINGLE_UVLOint_SSint_TCyes</v>
      </c>
    </row>
    <row r="5" spans="1:6" s="312" customFormat="1" ht="13.5" customHeight="1" x14ac:dyDescent="0.25"/>
    <row r="6" spans="1:6" s="312" customFormat="1" ht="16.5" customHeight="1" x14ac:dyDescent="0.25"/>
    <row r="7" spans="1:6" ht="357" customHeight="1" x14ac:dyDescent="0.25">
      <c r="E7" s="331"/>
    </row>
    <row r="8" spans="1:6" s="312" customFormat="1" ht="17.25" customHeight="1" x14ac:dyDescent="0.25"/>
    <row r="9" spans="1:6" ht="357" customHeight="1" x14ac:dyDescent="0.25">
      <c r="B9" s="59"/>
      <c r="E9" s="331"/>
      <c r="F9" s="312"/>
    </row>
    <row r="10" spans="1:6" s="312" customFormat="1" x14ac:dyDescent="0.25"/>
    <row r="11" spans="1:6" ht="357" customHeight="1" x14ac:dyDescent="0.25">
      <c r="B11" s="331"/>
      <c r="E11" s="312"/>
      <c r="F11" s="312"/>
    </row>
    <row r="12" spans="1:6" x14ac:dyDescent="0.25">
      <c r="B12" s="312"/>
      <c r="E12" s="312"/>
      <c r="F12" s="312"/>
    </row>
    <row r="13" spans="1:6" ht="357" customHeight="1" x14ac:dyDescent="0.25">
      <c r="B13" s="331"/>
      <c r="E13" s="312"/>
      <c r="F13" s="312"/>
    </row>
    <row r="14" spans="1:6" x14ac:dyDescent="0.25">
      <c r="B14" s="312"/>
      <c r="E14" s="312"/>
      <c r="F14" s="312"/>
    </row>
    <row r="15" spans="1:6" ht="357" customHeight="1" x14ac:dyDescent="0.25">
      <c r="E15" s="312"/>
      <c r="F15" s="312"/>
    </row>
    <row r="16" spans="1:6" x14ac:dyDescent="0.25">
      <c r="B16" s="312"/>
      <c r="E16" s="312"/>
    </row>
    <row r="17" spans="2:6" ht="357" customHeight="1" x14ac:dyDescent="0.25">
      <c r="B17" s="331"/>
      <c r="E17" s="312"/>
      <c r="F17" s="312"/>
    </row>
    <row r="18" spans="2:6" ht="12" customHeight="1" x14ac:dyDescent="0.25">
      <c r="B18" s="312"/>
      <c r="E18" s="312"/>
    </row>
    <row r="19" spans="2:6" ht="357" customHeight="1" x14ac:dyDescent="0.25">
      <c r="B19" s="312"/>
      <c r="E19" s="312"/>
    </row>
    <row r="20" spans="2:6" ht="13.5" customHeight="1" x14ac:dyDescent="0.25">
      <c r="B20" s="312"/>
      <c r="E20" s="312"/>
    </row>
    <row r="21" spans="2:6" ht="357" customHeight="1" x14ac:dyDescent="0.25">
      <c r="B21" s="312"/>
      <c r="E21" s="312"/>
    </row>
    <row r="22" spans="2:6" x14ac:dyDescent="0.25">
      <c r="B22" s="312"/>
      <c r="E22" s="312"/>
    </row>
    <row r="23" spans="2:6" ht="357" customHeight="1" x14ac:dyDescent="0.25">
      <c r="B23" s="312"/>
      <c r="E23" s="312"/>
    </row>
    <row r="24" spans="2:6" x14ac:dyDescent="0.25">
      <c r="B24" s="312"/>
      <c r="E24" s="312"/>
    </row>
    <row r="25" spans="2:6" ht="327.75" customHeight="1" x14ac:dyDescent="0.25">
      <c r="B25" s="312"/>
      <c r="E25" s="312"/>
    </row>
    <row r="26" spans="2:6" x14ac:dyDescent="0.25">
      <c r="E26" s="312"/>
    </row>
    <row r="27" spans="2:6" ht="327.60000000000002" customHeight="1" x14ac:dyDescent="0.25">
      <c r="B27" s="312"/>
      <c r="E27" s="312"/>
    </row>
    <row r="28" spans="2:6" x14ac:dyDescent="0.25">
      <c r="B28" s="312"/>
      <c r="E28" s="312"/>
    </row>
    <row r="29" spans="2:6" ht="327.75" customHeight="1" x14ac:dyDescent="0.25">
      <c r="B29" s="312"/>
      <c r="E29" s="312"/>
    </row>
    <row r="30" spans="2:6" ht="13.5" customHeight="1" x14ac:dyDescent="0.25">
      <c r="B30" s="312"/>
      <c r="E30" s="312"/>
    </row>
    <row r="31" spans="2:6" ht="327.75" customHeight="1" x14ac:dyDescent="0.25">
      <c r="B31" s="312"/>
      <c r="E31" s="312"/>
    </row>
    <row r="32" spans="2:6" ht="13.5" customHeight="1" x14ac:dyDescent="0.25">
      <c r="B32" s="312"/>
      <c r="E32" s="312"/>
    </row>
    <row r="33" spans="2:20" ht="327.75" customHeight="1" x14ac:dyDescent="0.25">
      <c r="B33" s="312"/>
      <c r="E33" s="312"/>
    </row>
    <row r="34" spans="2:20" ht="13.5" customHeight="1" x14ac:dyDescent="0.25">
      <c r="B34" s="312"/>
      <c r="E34" s="312"/>
    </row>
    <row r="35" spans="2:20" ht="327.60000000000002" customHeight="1" x14ac:dyDescent="0.25">
      <c r="B35" s="312"/>
      <c r="E35" s="312"/>
    </row>
    <row r="36" spans="2:20" ht="13.5" customHeight="1" x14ac:dyDescent="0.25">
      <c r="B36" s="312"/>
      <c r="E36" s="312"/>
    </row>
    <row r="37" spans="2:20" ht="327.75" customHeight="1" x14ac:dyDescent="0.25">
      <c r="B37" s="312"/>
      <c r="E37" s="312"/>
    </row>
    <row r="38" spans="2:20" ht="13.5" customHeight="1" x14ac:dyDescent="0.4">
      <c r="B38" s="312"/>
      <c r="E38" s="312"/>
      <c r="G38" s="313"/>
    </row>
    <row r="39" spans="2:20" ht="327.75" customHeight="1" x14ac:dyDescent="0.25">
      <c r="B39" s="312"/>
      <c r="E39" s="312"/>
    </row>
    <row r="40" spans="2:20" x14ac:dyDescent="0.25">
      <c r="B40" s="312"/>
      <c r="E40" s="312"/>
      <c r="Q40" s="9"/>
      <c r="S40" s="9"/>
      <c r="T40" s="9"/>
    </row>
    <row r="41" spans="2:20" ht="327.75" customHeight="1" x14ac:dyDescent="0.25">
      <c r="B41" s="312"/>
      <c r="E41" s="312"/>
      <c r="Q41" s="9"/>
      <c r="S41" s="9"/>
    </row>
    <row r="42" spans="2:20" x14ac:dyDescent="0.25">
      <c r="B42" s="312"/>
      <c r="E42" s="312"/>
      <c r="Q42" s="9"/>
      <c r="S42" s="9"/>
    </row>
    <row r="43" spans="2:20" ht="327.75" customHeight="1" x14ac:dyDescent="0.25">
      <c r="B43" s="312"/>
      <c r="E43" s="312"/>
      <c r="Q43" s="9"/>
      <c r="S43" s="9"/>
    </row>
    <row r="44" spans="2:20" x14ac:dyDescent="0.25">
      <c r="B44" s="312"/>
      <c r="E44" s="312"/>
      <c r="Q44" s="9"/>
      <c r="S44" s="9"/>
    </row>
    <row r="45" spans="2:20" ht="327.75" customHeight="1" x14ac:dyDescent="0.25">
      <c r="B45" s="312"/>
      <c r="E45" s="312"/>
      <c r="Q45" s="9"/>
      <c r="S45" s="9"/>
    </row>
    <row r="46" spans="2:20" x14ac:dyDescent="0.25">
      <c r="B46" s="312"/>
      <c r="E46" s="312"/>
      <c r="Q46" s="9"/>
      <c r="S46" s="9"/>
    </row>
    <row r="47" spans="2:20" ht="327.75" customHeight="1" x14ac:dyDescent="0.25">
      <c r="B47" s="312"/>
      <c r="E47" s="312"/>
      <c r="Q47" s="9"/>
      <c r="S47" s="314"/>
    </row>
    <row r="48" spans="2:20" x14ac:dyDescent="0.25">
      <c r="B48" s="312"/>
      <c r="E48" s="312"/>
      <c r="Q48" s="9"/>
      <c r="S48" s="9"/>
    </row>
    <row r="49" spans="2:19" ht="327.75" customHeight="1" x14ac:dyDescent="0.25">
      <c r="B49" s="312"/>
      <c r="E49" s="312"/>
      <c r="Q49" s="9"/>
      <c r="S49" s="9"/>
    </row>
    <row r="50" spans="2:19" x14ac:dyDescent="0.25">
      <c r="B50" s="312"/>
      <c r="E50" s="312"/>
      <c r="Q50" s="9"/>
      <c r="S50" s="9"/>
    </row>
    <row r="51" spans="2:19" x14ac:dyDescent="0.25">
      <c r="B51" s="312"/>
      <c r="E51" s="312"/>
      <c r="Q51" s="9"/>
      <c r="S51" s="9"/>
    </row>
    <row r="52" spans="2:19" x14ac:dyDescent="0.25">
      <c r="B52" s="312"/>
      <c r="E52" s="312"/>
      <c r="Q52" s="9"/>
      <c r="S52" s="9"/>
    </row>
    <row r="53" spans="2:19" x14ac:dyDescent="0.25">
      <c r="B53" s="312"/>
      <c r="E53" s="312"/>
    </row>
    <row r="54" spans="2:19" x14ac:dyDescent="0.25">
      <c r="B54" s="312"/>
      <c r="E54" s="312"/>
    </row>
    <row r="55" spans="2:19" x14ac:dyDescent="0.25">
      <c r="B55" s="312"/>
      <c r="E55" s="312"/>
      <c r="R55" s="3"/>
    </row>
    <row r="56" spans="2:19" x14ac:dyDescent="0.25">
      <c r="B56" s="312"/>
      <c r="E56" s="312"/>
    </row>
    <row r="57" spans="2:19" x14ac:dyDescent="0.25">
      <c r="B57" s="312"/>
      <c r="E57" s="312"/>
    </row>
    <row r="66" spans="18:18" x14ac:dyDescent="0.25">
      <c r="R66" s="3"/>
    </row>
  </sheetData>
  <conditionalFormatting sqref="O6">
    <cfRule type="cellIs" dxfId="0" priority="1" stopIfTrue="1" operator="equal">
      <formula>"n"</formula>
    </cfRule>
  </conditionalFormatting>
  <pageMargins left="0.75" right="0.75" top="1" bottom="1" header="0.5" footer="0.5"/>
  <pageSetup scale="83"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2:K159"/>
  <sheetViews>
    <sheetView workbookViewId="0">
      <selection activeCell="H27" sqref="H27"/>
    </sheetView>
  </sheetViews>
  <sheetFormatPr defaultRowHeight="13.2" x14ac:dyDescent="0.25"/>
  <cols>
    <col min="1" max="1" width="17.33203125" customWidth="1"/>
    <col min="2" max="2" width="12" bestFit="1" customWidth="1"/>
    <col min="8" max="8" width="12.33203125" customWidth="1"/>
    <col min="9" max="9" width="12.44140625" bestFit="1" customWidth="1"/>
    <col min="10" max="10" width="15.44140625" customWidth="1"/>
  </cols>
  <sheetData>
    <row r="2" spans="1:11" x14ac:dyDescent="0.25">
      <c r="A2" t="s">
        <v>68</v>
      </c>
      <c r="B2" t="s">
        <v>66</v>
      </c>
      <c r="C2" t="s">
        <v>14</v>
      </c>
      <c r="D2" t="s">
        <v>28</v>
      </c>
      <c r="E2" t="s">
        <v>75</v>
      </c>
    </row>
    <row r="3" spans="1:11" x14ac:dyDescent="0.25">
      <c r="A3" t="s">
        <v>71</v>
      </c>
      <c r="B3">
        <f>Css</f>
        <v>1.0000000000000001E-7</v>
      </c>
      <c r="C3">
        <f>Cout</f>
        <v>10</v>
      </c>
      <c r="D3">
        <f>Cin</f>
        <v>10</v>
      </c>
      <c r="E3">
        <f>Cb</f>
        <v>0</v>
      </c>
      <c r="H3" t="s">
        <v>73</v>
      </c>
      <c r="I3" t="s">
        <v>74</v>
      </c>
      <c r="J3" s="3" t="s">
        <v>70</v>
      </c>
    </row>
    <row r="4" spans="1:11" ht="13.8" x14ac:dyDescent="0.3">
      <c r="A4" s="6" t="s">
        <v>70</v>
      </c>
      <c r="B4" s="6">
        <f>SUM(B6:B158)/1000000000000</f>
        <v>9.9999999999999995E-8</v>
      </c>
      <c r="C4" s="6">
        <f>SUM(C6:C158)/1000000000000</f>
        <v>0</v>
      </c>
      <c r="D4" s="6">
        <f>SUM(D6:D158)/1000000000000</f>
        <v>0</v>
      </c>
      <c r="E4" s="6">
        <f t="shared" ref="E4" si="0">IF(E3="OPEN","OPEN",SUM(E6:E158)/1000000000000)</f>
        <v>0</v>
      </c>
      <c r="H4" s="59" t="s">
        <v>139</v>
      </c>
      <c r="I4" t="e">
        <f>Rt</f>
        <v>#NAME?</v>
      </c>
      <c r="J4" s="3" t="e">
        <f t="shared" ref="J4:J9" si="1">IF(I4&gt;(INT(0.5+100*POWER(10,IF(96*(LOG(I4)-INT(LOG(I4)))-ROUND(96*(LOG(I4)-INT(LOG(I4))),0)&lt;0,ROUND(96*(LOG(I4)-INT(LOG(I4))),0)-1,ROUND(96*(LOG(I4)-INT(LOG(I4))),0))/96))*POWER(10,INT(LOG(I4))-2)+INT(0.5+100*POWER(10,(IF(96*(LOG(I4)-INT(LOG(I4)))-ROUND(96*(LOG(I4)-INT(LOG(I4))),0)&lt;0,ROUND(96*(LOG(I4)-INT(LOG(I4))),0)-1,ROUND(96*(LOG(I4)-INT(LOG(I4))),0))+1)/96))*POWER(10,INT(LOG(I4))-2))/2,INT(0.5+100*POWER(10,(IF(96*(LOG(I4)-INT(LOG(I4)))-ROUND(96*(LOG(I4)-INT(LOG(I4))),0)&lt;0,ROUND(96*(LOG(I4)-INT(LOG(I4))),0)-1,ROUND(96*(LOG(I4)-INT(LOG(I4))),0))+1)/96))*POWER(10,INT(LOG(I4))-2),INT(0.5+100*POWER(10,IF(96*(LOG(I4)-INT(LOG(I4)))-ROUND(96*(LOG(I4)-INT(LOG(I4))),0)&lt;0,ROUND(96*(LOG(I4)-INT(LOG(I4))),0)-1,ROUND(96*(LOG(I4)-INT(LOG(I4))),0))/96))*POWER(10,INT(LOG(I4))-2))</f>
        <v>#NAME?</v>
      </c>
      <c r="K4" s="12" t="s">
        <v>136</v>
      </c>
    </row>
    <row r="5" spans="1:11" ht="13.8" x14ac:dyDescent="0.3">
      <c r="A5" t="s">
        <v>69</v>
      </c>
      <c r="J5" s="3"/>
      <c r="K5" s="12"/>
    </row>
    <row r="6" spans="1:11" ht="13.8" x14ac:dyDescent="0.3">
      <c r="A6">
        <v>0.47</v>
      </c>
      <c r="B6">
        <f t="shared" ref="B6:E6" si="2">IF(IF((B$3*10^12-$A7)*(B$3*10^12-$A6)*-1&lt;0,0,1)*IF(ABS(B$3*10^12-$A7)&gt;(B$3*10^12-$A6),$A6,$A7)=B7,0,IF((B$3*10^12-$A7)*(B$3*10^12-$A6)*-1&lt;0,0,1)*IF(ABS(B$3*10^12-$A7)&gt;(B$3*10^12-$A6),$A6,$A7))</f>
        <v>0</v>
      </c>
      <c r="C6">
        <f t="shared" si="2"/>
        <v>0</v>
      </c>
      <c r="D6">
        <f t="shared" si="2"/>
        <v>0</v>
      </c>
      <c r="E6">
        <f t="shared" si="2"/>
        <v>0</v>
      </c>
      <c r="H6" s="59" t="s">
        <v>162</v>
      </c>
      <c r="I6" t="e">
        <f>Rshunt</f>
        <v>#NAME?</v>
      </c>
      <c r="J6" s="3" t="e">
        <f t="shared" si="1"/>
        <v>#NAME?</v>
      </c>
      <c r="K6" s="12" t="s">
        <v>136</v>
      </c>
    </row>
    <row r="7" spans="1:11" ht="13.8" x14ac:dyDescent="0.3">
      <c r="A7">
        <v>0.56000000000000005</v>
      </c>
      <c r="B7">
        <f t="shared" ref="B7:B70" si="3">IF(IF((B$3*10^12-$A8)*(B$3*10^12-$A7)*-1&lt;0,0,1)*IF(ABS(B$3*10^12-$A8)&gt;(B$3*10^12-$A7),$A7,$A8)=B8,0,IF((B$3*10^12-$A8)*(B$3*10^12-$A7)*-1&lt;0,0,1)*IF(ABS(B$3*10^12-$A8)&gt;(B$3*10^12-$A7),$A7,$A8))</f>
        <v>0</v>
      </c>
      <c r="C7">
        <f t="shared" ref="C7:C69" si="4">IF(IF((C$3*10^12-$A8)*(C$3*10^12-$A7)*-1&lt;0,0,1)*IF(ABS(C$3*10^12-$A8)&gt;(C$3*10^12-$A7),$A7,$A8)=C8,0,IF((C$3*10^12-$A8)*(C$3*10^12-$A7)*-1&lt;0,0,1)*IF(ABS(C$3*10^12-$A8)&gt;(C$3*10^12-$A7),$A7,$A8))</f>
        <v>0</v>
      </c>
      <c r="D7">
        <f t="shared" ref="D7:D69" si="5">IF(IF((D$3*10^12-$A8)*(D$3*10^12-$A7)*-1&lt;0,0,1)*IF(ABS(D$3*10^12-$A8)&gt;(D$3*10^12-$A7),$A7,$A8)=D8,0,IF((D$3*10^12-$A8)*(D$3*10^12-$A7)*-1&lt;0,0,1)*IF(ABS(D$3*10^12-$A8)&gt;(D$3*10^12-$A7),$A7,$A8))</f>
        <v>0</v>
      </c>
      <c r="E7">
        <f t="shared" ref="E7:E37" si="6">IF(IF((E$3*10^12-$A8)*(E$3*10^12-$A7)*-1&lt;0,0,1)*IF(ABS(E$3*10^12-$A8)&gt;(E$3*10^12-$A7),$A7,$A8)=E8,0,IF((E$3*10^12-$A8)*(E$3*10^12-$A7)*-1&lt;0,0,1)*IF(ABS(E$3*10^12-$A8)&gt;(E$3*10^12-$A7),$A7,$A8))</f>
        <v>0</v>
      </c>
      <c r="H7" t="s">
        <v>79</v>
      </c>
      <c r="I7">
        <v>6220.3534470000013</v>
      </c>
      <c r="J7" s="3">
        <f t="shared" si="1"/>
        <v>6190</v>
      </c>
      <c r="K7" s="12" t="s">
        <v>136</v>
      </c>
    </row>
    <row r="8" spans="1:11" ht="13.8" x14ac:dyDescent="0.3">
      <c r="A8">
        <v>0.68</v>
      </c>
      <c r="B8">
        <f t="shared" si="3"/>
        <v>0</v>
      </c>
      <c r="C8">
        <f t="shared" si="4"/>
        <v>0</v>
      </c>
      <c r="D8">
        <f t="shared" si="5"/>
        <v>0</v>
      </c>
      <c r="E8">
        <f t="shared" si="6"/>
        <v>0</v>
      </c>
      <c r="J8" s="3"/>
      <c r="K8" s="12"/>
    </row>
    <row r="9" spans="1:11" ht="13.8" x14ac:dyDescent="0.3">
      <c r="A9">
        <v>0.82</v>
      </c>
      <c r="B9">
        <f t="shared" si="3"/>
        <v>0</v>
      </c>
      <c r="C9">
        <f t="shared" si="4"/>
        <v>0</v>
      </c>
      <c r="D9">
        <f t="shared" si="5"/>
        <v>0</v>
      </c>
      <c r="E9">
        <f t="shared" si="6"/>
        <v>0</v>
      </c>
      <c r="H9" t="s">
        <v>383</v>
      </c>
      <c r="I9">
        <f>RTC_1</f>
        <v>406399.99999999994</v>
      </c>
      <c r="J9" s="3">
        <f t="shared" si="1"/>
        <v>402000</v>
      </c>
      <c r="K9" s="12" t="s">
        <v>136</v>
      </c>
    </row>
    <row r="10" spans="1:11" ht="13.8" x14ac:dyDescent="0.3">
      <c r="A10">
        <v>1</v>
      </c>
      <c r="B10">
        <f t="shared" si="3"/>
        <v>0</v>
      </c>
      <c r="C10">
        <f t="shared" si="4"/>
        <v>0</v>
      </c>
      <c r="D10">
        <f t="shared" si="5"/>
        <v>0</v>
      </c>
      <c r="E10">
        <f t="shared" si="6"/>
        <v>0</v>
      </c>
      <c r="H10" t="s">
        <v>17</v>
      </c>
      <c r="I10">
        <f>Rfb</f>
        <v>203200</v>
      </c>
      <c r="J10" s="3">
        <f>IF(I10="OPEN","OPEN",IF(I10&gt;(INT(0.5+100*POWER(10,IF(96*(LOG(I10)-INT(LOG(I10)))-ROUND(96*(LOG(I10)-INT(LOG(I10))),0)&lt;0,ROUND(96*(LOG(I10)-INT(LOG(I10))),0)-1,ROUND(96*(LOG(I10)-INT(LOG(I10))),0))/96))*POWER(10,INT(LOG(I10))-2)+INT(0.5+100*POWER(10,(IF(96*(LOG(I10)-INT(LOG(I10)))-ROUND(96*(LOG(I10)-INT(LOG(I10))),0)&lt;0,ROUND(96*(LOG(I10)-INT(LOG(I10))),0)-1,ROUND(96*(LOG(I10)-INT(LOG(I10))),0))+1)/96))*POWER(10,INT(LOG(I10))-2))/2,INT(0.5+100*POWER(10,(IF(96*(LOG(I10)-INT(LOG(I10)))-ROUND(96*(LOG(I10)-INT(LOG(I10))),0)&lt;0,ROUND(96*(LOG(I10)-INT(LOG(I10))),0)-1,ROUND(96*(LOG(I10)-INT(LOG(I10))),0))+1)/96))*POWER(10,INT(LOG(I10))-2),INT(0.5+100*POWER(10,IF(96*(LOG(I10)-INT(LOG(I10)))-ROUND(96*(LOG(I10)-INT(LOG(I10))),0)&lt;0,ROUND(96*(LOG(I10)-INT(LOG(I10))),0)-1,ROUND(96*(LOG(I10)-INT(LOG(I10))),0))/96))*POWER(10,INT(LOG(I10))-2)))</f>
        <v>205000</v>
      </c>
      <c r="K10" s="12" t="s">
        <v>136</v>
      </c>
    </row>
    <row r="11" spans="1:11" x14ac:dyDescent="0.25">
      <c r="A11">
        <v>1.2</v>
      </c>
      <c r="B11">
        <f t="shared" si="3"/>
        <v>0</v>
      </c>
      <c r="C11">
        <f t="shared" si="4"/>
        <v>0</v>
      </c>
      <c r="D11">
        <f t="shared" si="5"/>
        <v>0</v>
      </c>
      <c r="E11">
        <f t="shared" si="6"/>
        <v>0</v>
      </c>
      <c r="J11" s="3"/>
    </row>
    <row r="12" spans="1:11" x14ac:dyDescent="0.25">
      <c r="A12">
        <v>1.5</v>
      </c>
      <c r="B12">
        <f t="shared" si="3"/>
        <v>0</v>
      </c>
      <c r="C12">
        <f t="shared" si="4"/>
        <v>0</v>
      </c>
      <c r="D12">
        <f t="shared" si="5"/>
        <v>0</v>
      </c>
      <c r="E12">
        <f t="shared" si="6"/>
        <v>0</v>
      </c>
      <c r="J12" s="3"/>
    </row>
    <row r="13" spans="1:11" ht="13.8" x14ac:dyDescent="0.3">
      <c r="A13">
        <v>1.8</v>
      </c>
      <c r="B13">
        <f t="shared" si="3"/>
        <v>0</v>
      </c>
      <c r="C13">
        <f t="shared" si="4"/>
        <v>0</v>
      </c>
      <c r="D13">
        <f t="shared" si="5"/>
        <v>0</v>
      </c>
      <c r="E13">
        <f t="shared" si="6"/>
        <v>0</v>
      </c>
      <c r="H13" s="59" t="s">
        <v>76</v>
      </c>
      <c r="I13">
        <v>6.3765361949159995</v>
      </c>
      <c r="J13" s="3">
        <f>IF(I13=0,0,IF(I13&gt;(INT(0.5+100*POWER(10,IF(96*(LOG(I13)-INT(LOG(I13)))-ROUND(96*(LOG(I13)-INT(LOG(I13))),0)&lt;0,ROUND(96*(LOG(I13)-INT(LOG(I13))),0)-1,ROUND(96*(LOG(I13)-INT(LOG(I13))),0))/96))*POWER(10,INT(LOG(I13))-2)+INT(0.5+100*POWER(10,(IF(96*(LOG(I13)-INT(LOG(I13)))-ROUND(96*(LOG(I13)-INT(LOG(I13))),0)&lt;0,ROUND(96*(LOG(I13)-INT(LOG(I13))),0)-1,ROUND(96*(LOG(I13)-INT(LOG(I13))),0))+1)/96))*POWER(10,INT(LOG(I13))-2))/2,INT(0.5+100*POWER(10,(IF(96*(LOG(I13)-INT(LOG(I13)))-ROUND(96*(LOG(I13)-INT(LOG(I13))),0)&lt;0,ROUND(96*(LOG(I13)-INT(LOG(I13))),0)-1,ROUND(96*(LOG(I13)-INT(LOG(I13))),0))+1)/96))*POWER(10,INT(LOG(I13))-2),INT(0.5+100*POWER(10,IF(96*(LOG(I13)-INT(LOG(I13)))-ROUND(96*(LOG(I13)-INT(LOG(I13))),0)&lt;0,ROUND(96*(LOG(I13)-INT(LOG(I13))),0)-1,ROUND(96*(LOG(I13)-INT(LOG(I13))),0))/96))*POWER(10,INT(LOG(I13))-2)))</f>
        <v>6.34</v>
      </c>
      <c r="K13" s="12" t="s">
        <v>161</v>
      </c>
    </row>
    <row r="14" spans="1:11" x14ac:dyDescent="0.25">
      <c r="A14">
        <v>2.2000000000000002</v>
      </c>
      <c r="B14">
        <f t="shared" ref="B14:E14" si="7">IF(IF((B$3*10^12-$A15)*(B$3*10^12-$A14)*-1&lt;0,0,1)*IF(ABS(B$3*10^12-$A15)&gt;(B$3*10^12-$A14),$A14,$A15)=B15,0,IF((B$3*10^12-$A15)*(B$3*10^12-$A14)*-1&lt;0,0,1)*IF(ABS(B$3*10^12-$A15)&gt;(B$3*10^12-$A14),$A14,$A15))</f>
        <v>0</v>
      </c>
      <c r="C14">
        <f t="shared" si="7"/>
        <v>0</v>
      </c>
      <c r="D14">
        <f t="shared" si="7"/>
        <v>0</v>
      </c>
      <c r="E14">
        <f t="shared" si="7"/>
        <v>0</v>
      </c>
      <c r="H14" s="59" t="s">
        <v>160</v>
      </c>
      <c r="I14" t="e">
        <f>Cslope_ideal</f>
        <v>#NAME?</v>
      </c>
      <c r="J14" t="e">
        <f>#REF!*1000000000000</f>
        <v>#REF!</v>
      </c>
      <c r="K14" s="59" t="s">
        <v>15</v>
      </c>
    </row>
    <row r="15" spans="1:11" x14ac:dyDescent="0.25">
      <c r="A15">
        <v>2.7</v>
      </c>
      <c r="B15">
        <f t="shared" si="3"/>
        <v>0</v>
      </c>
      <c r="C15">
        <f t="shared" si="4"/>
        <v>0</v>
      </c>
      <c r="D15">
        <f t="shared" si="5"/>
        <v>0</v>
      </c>
      <c r="E15">
        <f t="shared" si="6"/>
        <v>0</v>
      </c>
    </row>
    <row r="16" spans="1:11" ht="13.8" x14ac:dyDescent="0.3">
      <c r="A16">
        <v>3.3</v>
      </c>
      <c r="B16">
        <f t="shared" si="3"/>
        <v>0</v>
      </c>
      <c r="C16">
        <f t="shared" si="4"/>
        <v>0</v>
      </c>
      <c r="D16">
        <f t="shared" si="5"/>
        <v>0</v>
      </c>
      <c r="E16">
        <f t="shared" si="6"/>
        <v>0</v>
      </c>
      <c r="H16" s="59" t="s">
        <v>130</v>
      </c>
      <c r="I16">
        <f>Ruvlo1</f>
        <v>46.666666666666679</v>
      </c>
      <c r="J16" s="3">
        <f>IF(I16="OPEN","OPEN",IF(I16&gt;(INT(0.5+100*POWER(10,IF(96*(LOG(I16)-INT(LOG(I16)))-ROUND(96*(LOG(I16)-INT(LOG(I16))),0)&lt;0,ROUND(96*(LOG(I16)-INT(LOG(I16))),0)-1,ROUND(96*(LOG(I16)-INT(LOG(I16))),0))/96))*POWER(10,INT(LOG(I16))-2)+INT(0.5+100*POWER(10,(IF(96*(LOG(I16)-INT(LOG(I16)))-ROUND(96*(LOG(I16)-INT(LOG(I16))),0)&lt;0,ROUND(96*(LOG(I16)-INT(LOG(I16))),0)-1,ROUND(96*(LOG(I16)-INT(LOG(I16))),0))+1)/96))*POWER(10,INT(LOG(I16))-2))/2,INT(0.5+100*POWER(10,(IF(96*(LOG(I16)-INT(LOG(I16)))-ROUND(96*(LOG(I16)-INT(LOG(I16))),0)&lt;0,ROUND(96*(LOG(I16)-INT(LOG(I16))),0)-1,ROUND(96*(LOG(I16)-INT(LOG(I16))),0))+1)/96))*POWER(10,INT(LOG(I16))-2),INT(0.5+100*POWER(10,IF(96*(LOG(I16)-INT(LOG(I16)))-ROUND(96*(LOG(I16)-INT(LOG(I16))),0)&lt;0,ROUND(96*(LOG(I16)-INT(LOG(I16))),0)-1,ROUND(96*(LOG(I16)-INT(LOG(I16))),0))/96))*POWER(10,INT(LOG(I16))-2)))</f>
        <v>46.400000000000006</v>
      </c>
      <c r="K16" s="12" t="s">
        <v>113</v>
      </c>
    </row>
    <row r="17" spans="1:11" ht="13.8" x14ac:dyDescent="0.3">
      <c r="A17">
        <v>3.9</v>
      </c>
      <c r="B17">
        <f t="shared" si="3"/>
        <v>0</v>
      </c>
      <c r="C17">
        <f t="shared" si="4"/>
        <v>0</v>
      </c>
      <c r="D17">
        <f t="shared" si="5"/>
        <v>0</v>
      </c>
      <c r="E17">
        <f t="shared" si="6"/>
        <v>0</v>
      </c>
      <c r="H17" s="59" t="s">
        <v>131</v>
      </c>
      <c r="I17" s="153">
        <f>Ruvlo2</f>
        <v>10.707692307692309</v>
      </c>
      <c r="J17" s="3">
        <f>IF(I17="OPEN","OPEN",IF(I17&gt;(INT(0.5+100*POWER(10,IF(96*(LOG(I17)-INT(LOG(I17)))-ROUND(96*(LOG(I17)-INT(LOG(I17))),0)&lt;0,ROUND(96*(LOG(I17)-INT(LOG(I17))),0)-1,ROUND(96*(LOG(I17)-INT(LOG(I17))),0))/96))*POWER(10,INT(LOG(I17))-2)+INT(0.5+100*POWER(10,(IF(96*(LOG(I17)-INT(LOG(I17)))-ROUND(96*(LOG(I17)-INT(LOG(I17))),0)&lt;0,ROUND(96*(LOG(I17)-INT(LOG(I17))),0)-1,ROUND(96*(LOG(I17)-INT(LOG(I17))),0))+1)/96))*POWER(10,INT(LOG(I17))-2))/2,INT(0.5+100*POWER(10,(IF(96*(LOG(I17)-INT(LOG(I17)))-ROUND(96*(LOG(I17)-INT(LOG(I17))),0)&lt;0,ROUND(96*(LOG(I17)-INT(LOG(I17))),0)-1,ROUND(96*(LOG(I17)-INT(LOG(I17))),0))+1)/96))*POWER(10,INT(LOG(I17))-2),INT(0.5+100*POWER(10,IF(96*(LOG(I17)-INT(LOG(I17)))-ROUND(96*(LOG(I17)-INT(LOG(I17))),0)&lt;0,ROUND(96*(LOG(I17)-INT(LOG(I17))),0)-1,ROUND(96*(LOG(I17)-INT(LOG(I17))),0))/96))*POWER(10,INT(LOG(I17))-2)))</f>
        <v>10.700000000000001</v>
      </c>
      <c r="K17" s="12" t="s">
        <v>113</v>
      </c>
    </row>
    <row r="18" spans="1:11" ht="13.8" x14ac:dyDescent="0.3">
      <c r="A18">
        <v>4.7</v>
      </c>
      <c r="B18">
        <f t="shared" si="3"/>
        <v>0</v>
      </c>
      <c r="C18">
        <f t="shared" si="4"/>
        <v>0</v>
      </c>
      <c r="D18">
        <f t="shared" si="5"/>
        <v>0</v>
      </c>
      <c r="E18">
        <f t="shared" si="6"/>
        <v>0</v>
      </c>
      <c r="H18" s="59" t="s">
        <v>295</v>
      </c>
      <c r="I18" s="153" t="e">
        <f>Rhys</f>
        <v>#NAME?</v>
      </c>
      <c r="J18" s="3" t="e">
        <f>IF(I18="OPEN","OPEN",IF(I18&gt;(INT(0.5+100*POWER(10,IF(96*(LOG(I18)-INT(LOG(I18)))-ROUND(96*(LOG(I18)-INT(LOG(I18))),0)&lt;0,ROUND(96*(LOG(I18)-INT(LOG(I18))),0)-1,ROUND(96*(LOG(I18)-INT(LOG(I18))),0))/96))*POWER(10,INT(LOG(I18))-2)+INT(0.5+100*POWER(10,(IF(96*(LOG(I18)-INT(LOG(I18)))-ROUND(96*(LOG(I18)-INT(LOG(I18))),0)&lt;0,ROUND(96*(LOG(I18)-INT(LOG(I18))),0)-1,ROUND(96*(LOG(I18)-INT(LOG(I18))),0))+1)/96))*POWER(10,INT(LOG(I18))-2))/2,INT(0.5+100*POWER(10,(IF(96*(LOG(I18)-INT(LOG(I18)))-ROUND(96*(LOG(I18)-INT(LOG(I18))),0)&lt;0,ROUND(96*(LOG(I18)-INT(LOG(I18))),0)-1,ROUND(96*(LOG(I18)-INT(LOG(I18))),0))+1)/96))*POWER(10,INT(LOG(I18))-2),INT(0.5+100*POWER(10,IF(96*(LOG(I18)-INT(LOG(I18)))-ROUND(96*(LOG(I18)-INT(LOG(I18))),0)&lt;0,ROUND(96*(LOG(I18)-INT(LOG(I18))),0)-1,ROUND(96*(LOG(I18)-INT(LOG(I18))),0))/96))*POWER(10,INT(LOG(I18))-2)))</f>
        <v>#NAME?</v>
      </c>
      <c r="K18" s="12" t="s">
        <v>113</v>
      </c>
    </row>
    <row r="19" spans="1:11" x14ac:dyDescent="0.25">
      <c r="A19">
        <v>5.6</v>
      </c>
      <c r="B19">
        <f t="shared" si="3"/>
        <v>0</v>
      </c>
      <c r="C19">
        <f t="shared" si="4"/>
        <v>0</v>
      </c>
      <c r="D19">
        <f t="shared" si="5"/>
        <v>0</v>
      </c>
      <c r="E19">
        <f t="shared" si="6"/>
        <v>0</v>
      </c>
    </row>
    <row r="20" spans="1:11" x14ac:dyDescent="0.25">
      <c r="A20">
        <v>6.8</v>
      </c>
      <c r="B20">
        <f t="shared" si="3"/>
        <v>0</v>
      </c>
      <c r="C20">
        <f t="shared" si="4"/>
        <v>0</v>
      </c>
      <c r="D20">
        <f t="shared" si="5"/>
        <v>0</v>
      </c>
      <c r="E20">
        <f t="shared" si="6"/>
        <v>0</v>
      </c>
      <c r="H20" s="59"/>
      <c r="J20" s="3"/>
    </row>
    <row r="21" spans="1:11" x14ac:dyDescent="0.25">
      <c r="A21">
        <v>8.1999999999999993</v>
      </c>
      <c r="B21">
        <f t="shared" si="3"/>
        <v>0</v>
      </c>
      <c r="C21">
        <f t="shared" si="4"/>
        <v>0</v>
      </c>
      <c r="D21">
        <f t="shared" si="5"/>
        <v>0</v>
      </c>
      <c r="E21">
        <f t="shared" si="6"/>
        <v>0</v>
      </c>
      <c r="J21" s="3">
        <f>IF(I21=0,0,IF(I21&gt;(INT(0.5+100*POWER(10,IF(96*(LOG(I21)-INT(LOG(I21)))-ROUND(96*(LOG(I21)-INT(LOG(I21))),0)&lt;0,ROUND(96*(LOG(I21)-INT(LOG(I21))),0)-1,ROUND(96*(LOG(I21)-INT(LOG(I21))),0))/96))*POWER(10,INT(LOG(I21))-2)+INT(0.5+100*POWER(10,(IF(96*(LOG(I21)-INT(LOG(I21)))-ROUND(96*(LOG(I21)-INT(LOG(I21))),0)&lt;0,ROUND(96*(LOG(I21)-INT(LOG(I21))),0)-1,ROUND(96*(LOG(I21)-INT(LOG(I21))),0))+1)/96))*POWER(10,INT(LOG(I21))-2))/2,INT(0.5+100*POWER(10,(IF(96*(LOG(I21)-INT(LOG(I21)))-ROUND(96*(LOG(I21)-INT(LOG(I21))),0)&lt;0,ROUND(96*(LOG(I21)-INT(LOG(I21))),0)-1,ROUND(96*(LOG(I21)-INT(LOG(I21))),0))+1)/96))*POWER(10,INT(LOG(I21))-2),INT(0.5+100*POWER(10,IF(96*(LOG(I21)-INT(LOG(I21)))-ROUND(96*(LOG(I21)-INT(LOG(I21))),0)&lt;0,ROUND(96*(LOG(I21)-INT(LOG(I21))),0)-1,ROUND(96*(LOG(I21)-INT(LOG(I21))),0))/96))*POWER(10,INT(LOG(I21))-2)))</f>
        <v>0</v>
      </c>
    </row>
    <row r="22" spans="1:11" ht="13.8" x14ac:dyDescent="0.3">
      <c r="A22">
        <v>10</v>
      </c>
      <c r="B22">
        <f t="shared" si="3"/>
        <v>0</v>
      </c>
      <c r="C22">
        <f t="shared" si="4"/>
        <v>0</v>
      </c>
      <c r="D22">
        <f t="shared" si="5"/>
        <v>0</v>
      </c>
      <c r="E22">
        <f t="shared" si="6"/>
        <v>0</v>
      </c>
      <c r="H22" s="59"/>
      <c r="J22" s="3"/>
      <c r="K22" s="12"/>
    </row>
    <row r="23" spans="1:11" ht="13.8" x14ac:dyDescent="0.3">
      <c r="A23">
        <v>12</v>
      </c>
      <c r="B23">
        <f t="shared" si="3"/>
        <v>0</v>
      </c>
      <c r="C23">
        <f t="shared" si="4"/>
        <v>0</v>
      </c>
      <c r="D23">
        <f t="shared" si="5"/>
        <v>0</v>
      </c>
      <c r="E23">
        <f t="shared" si="6"/>
        <v>0</v>
      </c>
      <c r="H23" t="s">
        <v>838</v>
      </c>
      <c r="I23">
        <f>'Calculations - Single'!H329</f>
        <v>-2232.3462414578589</v>
      </c>
      <c r="J23" s="3" t="e">
        <f t="shared" ref="J23:J25" si="8">IF(I23&gt;(INT(0.5+100*POWER(10,IF(96*(LOG(I23)-INT(LOG(I23)))-ROUND(96*(LOG(I23)-INT(LOG(I23))),0)&lt;0,ROUND(96*(LOG(I23)-INT(LOG(I23))),0)-1,ROUND(96*(LOG(I23)-INT(LOG(I23))),0))/96))*POWER(10,INT(LOG(I23))-2)+INT(0.5+100*POWER(10,(IF(96*(LOG(I23)-INT(LOG(I23)))-ROUND(96*(LOG(I23)-INT(LOG(I23))),0)&lt;0,ROUND(96*(LOG(I23)-INT(LOG(I23))),0)-1,ROUND(96*(LOG(I23)-INT(LOG(I23))),0))+1)/96))*POWER(10,INT(LOG(I23))-2))/2,INT(0.5+100*POWER(10,(IF(96*(LOG(I23)-INT(LOG(I23)))-ROUND(96*(LOG(I23)-INT(LOG(I23))),0)&lt;0,ROUND(96*(LOG(I23)-INT(LOG(I23))),0)-1,ROUND(96*(LOG(I23)-INT(LOG(I23))),0))+1)/96))*POWER(10,INT(LOG(I23))-2),INT(0.5+100*POWER(10,IF(96*(LOG(I23)-INT(LOG(I23)))-ROUND(96*(LOG(I23)-INT(LOG(I23))),0)&lt;0,ROUND(96*(LOG(I23)-INT(LOG(I23))),0)-1,ROUND(96*(LOG(I23)-INT(LOG(I23))),0))/96))*POWER(10,INT(LOG(I23))-2))</f>
        <v>#NUM!</v>
      </c>
      <c r="K23" s="12" t="s">
        <v>136</v>
      </c>
    </row>
    <row r="24" spans="1:11" x14ac:dyDescent="0.25">
      <c r="A24">
        <v>15</v>
      </c>
      <c r="B24">
        <f t="shared" si="3"/>
        <v>0</v>
      </c>
      <c r="C24">
        <f t="shared" si="4"/>
        <v>0</v>
      </c>
      <c r="D24">
        <f t="shared" si="5"/>
        <v>0</v>
      </c>
      <c r="E24">
        <f t="shared" si="6"/>
        <v>0</v>
      </c>
      <c r="H24" t="s">
        <v>849</v>
      </c>
      <c r="I24">
        <f>'Calculations - Dual'!H329</f>
        <v>-2232.3462414578589</v>
      </c>
      <c r="J24" s="3" t="e">
        <f t="shared" si="8"/>
        <v>#NUM!</v>
      </c>
    </row>
    <row r="25" spans="1:11" ht="13.8" x14ac:dyDescent="0.3">
      <c r="A25">
        <v>18</v>
      </c>
      <c r="B25">
        <f t="shared" si="3"/>
        <v>0</v>
      </c>
      <c r="C25">
        <f t="shared" si="4"/>
        <v>0</v>
      </c>
      <c r="D25">
        <f t="shared" si="5"/>
        <v>0</v>
      </c>
      <c r="E25">
        <f t="shared" si="6"/>
        <v>0</v>
      </c>
      <c r="H25" s="59" t="s">
        <v>848</v>
      </c>
      <c r="I25">
        <f>'Calculations - Dual'!O329</f>
        <v>-3639.4584139264989</v>
      </c>
      <c r="J25" s="3" t="e">
        <f t="shared" si="8"/>
        <v>#NUM!</v>
      </c>
      <c r="K25" s="12"/>
    </row>
    <row r="26" spans="1:11" x14ac:dyDescent="0.25">
      <c r="A26">
        <v>22</v>
      </c>
      <c r="B26">
        <f t="shared" si="3"/>
        <v>0</v>
      </c>
      <c r="C26">
        <f t="shared" si="4"/>
        <v>0</v>
      </c>
      <c r="D26">
        <f t="shared" si="5"/>
        <v>0</v>
      </c>
      <c r="E26">
        <f t="shared" si="6"/>
        <v>0</v>
      </c>
    </row>
    <row r="27" spans="1:11" x14ac:dyDescent="0.25">
      <c r="A27">
        <v>27</v>
      </c>
      <c r="B27">
        <f t="shared" si="3"/>
        <v>0</v>
      </c>
      <c r="C27">
        <f t="shared" si="4"/>
        <v>0</v>
      </c>
      <c r="D27">
        <f t="shared" si="5"/>
        <v>0</v>
      </c>
      <c r="E27">
        <f t="shared" si="6"/>
        <v>0</v>
      </c>
      <c r="H27" t="s">
        <v>859</v>
      </c>
      <c r="I27">
        <f>'Calculations - Single'!G327</f>
        <v>2.4499999999999995E-3</v>
      </c>
    </row>
    <row r="28" spans="1:11" ht="13.8" x14ac:dyDescent="0.3">
      <c r="A28">
        <v>33</v>
      </c>
      <c r="B28">
        <f t="shared" si="3"/>
        <v>0</v>
      </c>
      <c r="C28">
        <f t="shared" si="4"/>
        <v>0</v>
      </c>
      <c r="D28">
        <f t="shared" si="5"/>
        <v>0</v>
      </c>
      <c r="E28">
        <f t="shared" si="6"/>
        <v>0</v>
      </c>
      <c r="H28" s="59" t="s">
        <v>860</v>
      </c>
      <c r="I28">
        <f>'Calculations - Dual'!G327</f>
        <v>2.4499999999999995E-3</v>
      </c>
      <c r="K28" s="12"/>
    </row>
    <row r="29" spans="1:11" x14ac:dyDescent="0.25">
      <c r="A29">
        <v>39</v>
      </c>
      <c r="B29">
        <f t="shared" si="3"/>
        <v>0</v>
      </c>
      <c r="C29">
        <f t="shared" si="4"/>
        <v>0</v>
      </c>
      <c r="D29">
        <f t="shared" si="5"/>
        <v>0</v>
      </c>
      <c r="E29">
        <f t="shared" si="6"/>
        <v>0</v>
      </c>
      <c r="H29" s="59" t="s">
        <v>861</v>
      </c>
      <c r="I29">
        <f>'Calculations - Dual'!N327</f>
        <v>2.4499999999999995E-3</v>
      </c>
      <c r="K29" s="59"/>
    </row>
    <row r="30" spans="1:11" x14ac:dyDescent="0.25">
      <c r="A30">
        <v>47</v>
      </c>
      <c r="B30">
        <f t="shared" si="3"/>
        <v>0</v>
      </c>
      <c r="C30">
        <f t="shared" si="4"/>
        <v>0</v>
      </c>
      <c r="D30">
        <f t="shared" si="5"/>
        <v>0</v>
      </c>
      <c r="E30">
        <f t="shared" si="6"/>
        <v>0</v>
      </c>
      <c r="H30" s="4"/>
      <c r="K30" s="59"/>
    </row>
    <row r="31" spans="1:11" ht="13.8" x14ac:dyDescent="0.3">
      <c r="A31">
        <v>56</v>
      </c>
      <c r="B31">
        <f t="shared" si="3"/>
        <v>0</v>
      </c>
      <c r="C31">
        <f t="shared" si="4"/>
        <v>0</v>
      </c>
      <c r="D31">
        <f t="shared" si="5"/>
        <v>0</v>
      </c>
      <c r="E31">
        <f t="shared" si="6"/>
        <v>0</v>
      </c>
      <c r="H31" s="4">
        <f>Npri_sec2</f>
        <v>1.2450980392156863</v>
      </c>
      <c r="K31" s="12"/>
    </row>
    <row r="32" spans="1:11" x14ac:dyDescent="0.25">
      <c r="A32">
        <v>68</v>
      </c>
      <c r="B32">
        <f t="shared" si="3"/>
        <v>0</v>
      </c>
      <c r="C32">
        <f t="shared" si="4"/>
        <v>0</v>
      </c>
      <c r="D32">
        <f t="shared" si="5"/>
        <v>0</v>
      </c>
      <c r="E32">
        <f t="shared" si="6"/>
        <v>0</v>
      </c>
      <c r="H32" s="4"/>
      <c r="K32" s="59"/>
    </row>
    <row r="33" spans="1:8" x14ac:dyDescent="0.25">
      <c r="A33">
        <v>82</v>
      </c>
      <c r="B33">
        <f t="shared" si="3"/>
        <v>0</v>
      </c>
      <c r="C33">
        <f t="shared" si="4"/>
        <v>0</v>
      </c>
      <c r="D33">
        <f t="shared" si="5"/>
        <v>0</v>
      </c>
      <c r="E33">
        <f t="shared" si="6"/>
        <v>0</v>
      </c>
    </row>
    <row r="34" spans="1:8" x14ac:dyDescent="0.25">
      <c r="A34">
        <f>A22*10</f>
        <v>100</v>
      </c>
      <c r="B34">
        <f t="shared" si="3"/>
        <v>0</v>
      </c>
      <c r="C34">
        <f t="shared" si="4"/>
        <v>0</v>
      </c>
      <c r="D34">
        <f t="shared" si="5"/>
        <v>0</v>
      </c>
      <c r="E34">
        <f t="shared" si="6"/>
        <v>0</v>
      </c>
      <c r="H34" s="59"/>
    </row>
    <row r="35" spans="1:8" x14ac:dyDescent="0.25">
      <c r="A35">
        <f t="shared" ref="A35:A98" si="9">A23*10</f>
        <v>120</v>
      </c>
      <c r="B35">
        <f t="shared" si="3"/>
        <v>0</v>
      </c>
      <c r="C35">
        <f t="shared" si="4"/>
        <v>0</v>
      </c>
      <c r="D35">
        <f t="shared" si="5"/>
        <v>0</v>
      </c>
      <c r="E35">
        <f t="shared" si="6"/>
        <v>0</v>
      </c>
      <c r="H35" s="59"/>
    </row>
    <row r="36" spans="1:8" x14ac:dyDescent="0.25">
      <c r="A36">
        <f t="shared" si="9"/>
        <v>150</v>
      </c>
      <c r="B36">
        <f t="shared" si="3"/>
        <v>0</v>
      </c>
      <c r="C36">
        <f t="shared" si="4"/>
        <v>0</v>
      </c>
      <c r="D36">
        <f t="shared" si="5"/>
        <v>0</v>
      </c>
      <c r="E36">
        <f t="shared" si="6"/>
        <v>0</v>
      </c>
    </row>
    <row r="37" spans="1:8" x14ac:dyDescent="0.25">
      <c r="A37">
        <f t="shared" si="9"/>
        <v>180</v>
      </c>
      <c r="B37">
        <f t="shared" si="3"/>
        <v>0</v>
      </c>
      <c r="C37">
        <f t="shared" si="4"/>
        <v>0</v>
      </c>
      <c r="D37">
        <f t="shared" si="5"/>
        <v>0</v>
      </c>
      <c r="E37">
        <f t="shared" si="6"/>
        <v>0</v>
      </c>
    </row>
    <row r="38" spans="1:8" x14ac:dyDescent="0.25">
      <c r="A38">
        <f t="shared" si="9"/>
        <v>220</v>
      </c>
      <c r="B38">
        <f t="shared" si="3"/>
        <v>0</v>
      </c>
      <c r="C38">
        <f t="shared" si="4"/>
        <v>0</v>
      </c>
      <c r="D38">
        <f t="shared" si="5"/>
        <v>0</v>
      </c>
      <c r="E38">
        <f t="shared" ref="E38:E69" si="10">IF(IF((E$3*10^12-$A39)*(E$3*10^12-$A38)*-1&lt;0,0,1)*IF(ABS(E$3*10^12-$A39)&gt;(E$3*10^12-$A38),$A38,$A39)=E39,0,IF((E$3*10^12-$A39)*(E$3*10^12-$A38)*-1&lt;0,0,1)*IF(ABS(E$3*10^12-$A39)&gt;(E$3*10^12-$A38),$A38,$A39))</f>
        <v>0</v>
      </c>
    </row>
    <row r="39" spans="1:8" x14ac:dyDescent="0.25">
      <c r="A39">
        <f t="shared" si="9"/>
        <v>270</v>
      </c>
      <c r="B39">
        <f t="shared" si="3"/>
        <v>0</v>
      </c>
      <c r="C39">
        <f t="shared" si="4"/>
        <v>0</v>
      </c>
      <c r="D39">
        <f t="shared" si="5"/>
        <v>0</v>
      </c>
      <c r="E39">
        <f t="shared" si="10"/>
        <v>0</v>
      </c>
    </row>
    <row r="40" spans="1:8" x14ac:dyDescent="0.25">
      <c r="A40">
        <f t="shared" si="9"/>
        <v>330</v>
      </c>
      <c r="B40">
        <f t="shared" si="3"/>
        <v>0</v>
      </c>
      <c r="C40">
        <f t="shared" si="4"/>
        <v>0</v>
      </c>
      <c r="D40">
        <f t="shared" si="5"/>
        <v>0</v>
      </c>
      <c r="E40">
        <f t="shared" si="10"/>
        <v>0</v>
      </c>
    </row>
    <row r="41" spans="1:8" x14ac:dyDescent="0.25">
      <c r="A41">
        <f t="shared" si="9"/>
        <v>390</v>
      </c>
      <c r="B41">
        <f t="shared" si="3"/>
        <v>0</v>
      </c>
      <c r="C41">
        <f t="shared" si="4"/>
        <v>0</v>
      </c>
      <c r="D41">
        <f t="shared" si="5"/>
        <v>0</v>
      </c>
      <c r="E41">
        <f t="shared" si="10"/>
        <v>0</v>
      </c>
    </row>
    <row r="42" spans="1:8" x14ac:dyDescent="0.25">
      <c r="A42">
        <f t="shared" si="9"/>
        <v>470</v>
      </c>
      <c r="B42">
        <f t="shared" si="3"/>
        <v>0</v>
      </c>
      <c r="C42">
        <f t="shared" si="4"/>
        <v>0</v>
      </c>
      <c r="D42">
        <f t="shared" si="5"/>
        <v>0</v>
      </c>
      <c r="E42">
        <f t="shared" si="10"/>
        <v>0</v>
      </c>
    </row>
    <row r="43" spans="1:8" x14ac:dyDescent="0.25">
      <c r="A43">
        <f t="shared" si="9"/>
        <v>560</v>
      </c>
      <c r="B43">
        <f t="shared" si="3"/>
        <v>0</v>
      </c>
      <c r="C43">
        <f t="shared" si="4"/>
        <v>0</v>
      </c>
      <c r="D43">
        <f t="shared" si="5"/>
        <v>0</v>
      </c>
      <c r="E43">
        <f t="shared" si="10"/>
        <v>0</v>
      </c>
    </row>
    <row r="44" spans="1:8" x14ac:dyDescent="0.25">
      <c r="A44">
        <f t="shared" si="9"/>
        <v>680</v>
      </c>
      <c r="B44">
        <f t="shared" si="3"/>
        <v>0</v>
      </c>
      <c r="C44">
        <f t="shared" si="4"/>
        <v>0</v>
      </c>
      <c r="D44">
        <f t="shared" si="5"/>
        <v>0</v>
      </c>
      <c r="E44">
        <f t="shared" si="10"/>
        <v>0</v>
      </c>
    </row>
    <row r="45" spans="1:8" x14ac:dyDescent="0.25">
      <c r="A45">
        <f>A33*10</f>
        <v>820</v>
      </c>
      <c r="B45">
        <f t="shared" si="3"/>
        <v>0</v>
      </c>
      <c r="C45">
        <f t="shared" si="4"/>
        <v>0</v>
      </c>
      <c r="D45">
        <f t="shared" si="5"/>
        <v>0</v>
      </c>
      <c r="E45">
        <f t="shared" si="10"/>
        <v>0</v>
      </c>
    </row>
    <row r="46" spans="1:8" x14ac:dyDescent="0.25">
      <c r="A46">
        <f t="shared" si="9"/>
        <v>1000</v>
      </c>
      <c r="B46">
        <f t="shared" si="3"/>
        <v>0</v>
      </c>
      <c r="C46">
        <f t="shared" si="4"/>
        <v>0</v>
      </c>
      <c r="D46">
        <f t="shared" si="5"/>
        <v>0</v>
      </c>
      <c r="E46">
        <f t="shared" si="10"/>
        <v>0</v>
      </c>
    </row>
    <row r="47" spans="1:8" x14ac:dyDescent="0.25">
      <c r="A47">
        <f t="shared" si="9"/>
        <v>1200</v>
      </c>
      <c r="B47">
        <f t="shared" si="3"/>
        <v>0</v>
      </c>
      <c r="C47">
        <f t="shared" si="4"/>
        <v>0</v>
      </c>
      <c r="D47">
        <f t="shared" si="5"/>
        <v>0</v>
      </c>
      <c r="E47">
        <f t="shared" si="10"/>
        <v>0</v>
      </c>
    </row>
    <row r="48" spans="1:8" x14ac:dyDescent="0.25">
      <c r="A48">
        <f t="shared" si="9"/>
        <v>1500</v>
      </c>
      <c r="B48">
        <f t="shared" si="3"/>
        <v>0</v>
      </c>
      <c r="C48">
        <f t="shared" si="4"/>
        <v>0</v>
      </c>
      <c r="D48">
        <f t="shared" si="5"/>
        <v>0</v>
      </c>
      <c r="E48">
        <f t="shared" si="10"/>
        <v>0</v>
      </c>
    </row>
    <row r="49" spans="1:5" x14ac:dyDescent="0.25">
      <c r="A49">
        <f t="shared" si="9"/>
        <v>1800</v>
      </c>
      <c r="B49">
        <f t="shared" si="3"/>
        <v>0</v>
      </c>
      <c r="C49">
        <f t="shared" si="4"/>
        <v>0</v>
      </c>
      <c r="D49">
        <f t="shared" si="5"/>
        <v>0</v>
      </c>
      <c r="E49">
        <f t="shared" si="10"/>
        <v>0</v>
      </c>
    </row>
    <row r="50" spans="1:5" x14ac:dyDescent="0.25">
      <c r="A50">
        <f t="shared" si="9"/>
        <v>2200</v>
      </c>
      <c r="B50">
        <f t="shared" si="3"/>
        <v>0</v>
      </c>
      <c r="C50">
        <f t="shared" si="4"/>
        <v>0</v>
      </c>
      <c r="D50">
        <f t="shared" si="5"/>
        <v>0</v>
      </c>
      <c r="E50">
        <f t="shared" si="10"/>
        <v>0</v>
      </c>
    </row>
    <row r="51" spans="1:5" x14ac:dyDescent="0.25">
      <c r="A51">
        <f t="shared" si="9"/>
        <v>2700</v>
      </c>
      <c r="B51">
        <f t="shared" si="3"/>
        <v>0</v>
      </c>
      <c r="C51">
        <f t="shared" si="4"/>
        <v>0</v>
      </c>
      <c r="D51">
        <f t="shared" si="5"/>
        <v>0</v>
      </c>
      <c r="E51">
        <f t="shared" si="10"/>
        <v>0</v>
      </c>
    </row>
    <row r="52" spans="1:5" x14ac:dyDescent="0.25">
      <c r="A52">
        <f t="shared" si="9"/>
        <v>3300</v>
      </c>
      <c r="B52">
        <f t="shared" si="3"/>
        <v>0</v>
      </c>
      <c r="C52">
        <f t="shared" si="4"/>
        <v>0</v>
      </c>
      <c r="D52">
        <f t="shared" si="5"/>
        <v>0</v>
      </c>
      <c r="E52">
        <f t="shared" si="10"/>
        <v>0</v>
      </c>
    </row>
    <row r="53" spans="1:5" x14ac:dyDescent="0.25">
      <c r="A53">
        <f t="shared" si="9"/>
        <v>3900</v>
      </c>
      <c r="B53">
        <f t="shared" si="3"/>
        <v>0</v>
      </c>
      <c r="C53">
        <f t="shared" si="4"/>
        <v>0</v>
      </c>
      <c r="D53">
        <f t="shared" si="5"/>
        <v>0</v>
      </c>
      <c r="E53">
        <f t="shared" si="10"/>
        <v>0</v>
      </c>
    </row>
    <row r="54" spans="1:5" x14ac:dyDescent="0.25">
      <c r="A54">
        <f t="shared" si="9"/>
        <v>4700</v>
      </c>
      <c r="B54">
        <f t="shared" si="3"/>
        <v>0</v>
      </c>
      <c r="C54">
        <f t="shared" si="4"/>
        <v>0</v>
      </c>
      <c r="D54">
        <f t="shared" si="5"/>
        <v>0</v>
      </c>
      <c r="E54">
        <f t="shared" si="10"/>
        <v>0</v>
      </c>
    </row>
    <row r="55" spans="1:5" x14ac:dyDescent="0.25">
      <c r="A55">
        <f t="shared" si="9"/>
        <v>5600</v>
      </c>
      <c r="B55">
        <f t="shared" si="3"/>
        <v>0</v>
      </c>
      <c r="C55">
        <f t="shared" si="4"/>
        <v>0</v>
      </c>
      <c r="D55">
        <f t="shared" si="5"/>
        <v>0</v>
      </c>
      <c r="E55">
        <f t="shared" si="10"/>
        <v>0</v>
      </c>
    </row>
    <row r="56" spans="1:5" x14ac:dyDescent="0.25">
      <c r="A56">
        <f t="shared" si="9"/>
        <v>6800</v>
      </c>
      <c r="B56">
        <f t="shared" si="3"/>
        <v>0</v>
      </c>
      <c r="C56">
        <f t="shared" si="4"/>
        <v>0</v>
      </c>
      <c r="D56">
        <f t="shared" si="5"/>
        <v>0</v>
      </c>
      <c r="E56">
        <f t="shared" si="10"/>
        <v>0</v>
      </c>
    </row>
    <row r="57" spans="1:5" x14ac:dyDescent="0.25">
      <c r="A57">
        <f t="shared" si="9"/>
        <v>8200</v>
      </c>
      <c r="B57">
        <f t="shared" si="3"/>
        <v>0</v>
      </c>
      <c r="C57">
        <f t="shared" si="4"/>
        <v>0</v>
      </c>
      <c r="D57">
        <f t="shared" si="5"/>
        <v>0</v>
      </c>
      <c r="E57">
        <f t="shared" si="10"/>
        <v>0</v>
      </c>
    </row>
    <row r="58" spans="1:5" x14ac:dyDescent="0.25">
      <c r="A58">
        <f t="shared" si="9"/>
        <v>10000</v>
      </c>
      <c r="B58">
        <f t="shared" si="3"/>
        <v>0</v>
      </c>
      <c r="C58">
        <f t="shared" si="4"/>
        <v>0</v>
      </c>
      <c r="D58">
        <f t="shared" si="5"/>
        <v>0</v>
      </c>
      <c r="E58">
        <f t="shared" si="10"/>
        <v>0</v>
      </c>
    </row>
    <row r="59" spans="1:5" x14ac:dyDescent="0.25">
      <c r="A59">
        <f t="shared" si="9"/>
        <v>12000</v>
      </c>
      <c r="B59">
        <f t="shared" si="3"/>
        <v>0</v>
      </c>
      <c r="C59">
        <f t="shared" si="4"/>
        <v>0</v>
      </c>
      <c r="D59">
        <f t="shared" si="5"/>
        <v>0</v>
      </c>
      <c r="E59">
        <f t="shared" si="10"/>
        <v>0</v>
      </c>
    </row>
    <row r="60" spans="1:5" x14ac:dyDescent="0.25">
      <c r="A60">
        <f t="shared" si="9"/>
        <v>15000</v>
      </c>
      <c r="B60">
        <f t="shared" si="3"/>
        <v>0</v>
      </c>
      <c r="C60">
        <f t="shared" si="4"/>
        <v>0</v>
      </c>
      <c r="D60">
        <f t="shared" si="5"/>
        <v>0</v>
      </c>
      <c r="E60">
        <f t="shared" si="10"/>
        <v>0</v>
      </c>
    </row>
    <row r="61" spans="1:5" x14ac:dyDescent="0.25">
      <c r="A61">
        <f t="shared" si="9"/>
        <v>18000</v>
      </c>
      <c r="B61">
        <f t="shared" si="3"/>
        <v>0</v>
      </c>
      <c r="C61">
        <f t="shared" si="4"/>
        <v>0</v>
      </c>
      <c r="D61">
        <f t="shared" si="5"/>
        <v>0</v>
      </c>
      <c r="E61">
        <f t="shared" si="10"/>
        <v>0</v>
      </c>
    </row>
    <row r="62" spans="1:5" x14ac:dyDescent="0.25">
      <c r="A62">
        <f t="shared" si="9"/>
        <v>22000</v>
      </c>
      <c r="B62">
        <f t="shared" si="3"/>
        <v>0</v>
      </c>
      <c r="C62">
        <f t="shared" si="4"/>
        <v>0</v>
      </c>
      <c r="D62">
        <f t="shared" si="5"/>
        <v>0</v>
      </c>
      <c r="E62">
        <f t="shared" si="10"/>
        <v>0</v>
      </c>
    </row>
    <row r="63" spans="1:5" x14ac:dyDescent="0.25">
      <c r="A63">
        <f t="shared" si="9"/>
        <v>27000</v>
      </c>
      <c r="B63">
        <f t="shared" si="3"/>
        <v>0</v>
      </c>
      <c r="C63">
        <f t="shared" si="4"/>
        <v>0</v>
      </c>
      <c r="D63">
        <f t="shared" si="5"/>
        <v>0</v>
      </c>
      <c r="E63">
        <f t="shared" si="10"/>
        <v>0</v>
      </c>
    </row>
    <row r="64" spans="1:5" x14ac:dyDescent="0.25">
      <c r="A64">
        <f t="shared" si="9"/>
        <v>33000</v>
      </c>
      <c r="B64">
        <f t="shared" si="3"/>
        <v>0</v>
      </c>
      <c r="C64">
        <f t="shared" si="4"/>
        <v>0</v>
      </c>
      <c r="D64">
        <f t="shared" si="5"/>
        <v>0</v>
      </c>
      <c r="E64">
        <f t="shared" si="10"/>
        <v>0</v>
      </c>
    </row>
    <row r="65" spans="1:5" x14ac:dyDescent="0.25">
      <c r="A65">
        <f t="shared" si="9"/>
        <v>39000</v>
      </c>
      <c r="B65">
        <f t="shared" si="3"/>
        <v>0</v>
      </c>
      <c r="C65">
        <f t="shared" si="4"/>
        <v>0</v>
      </c>
      <c r="D65">
        <f t="shared" si="5"/>
        <v>0</v>
      </c>
      <c r="E65">
        <f t="shared" si="10"/>
        <v>0</v>
      </c>
    </row>
    <row r="66" spans="1:5" x14ac:dyDescent="0.25">
      <c r="A66">
        <f t="shared" si="9"/>
        <v>47000</v>
      </c>
      <c r="B66">
        <f t="shared" si="3"/>
        <v>0</v>
      </c>
      <c r="C66">
        <f t="shared" si="4"/>
        <v>0</v>
      </c>
      <c r="D66">
        <f t="shared" si="5"/>
        <v>0</v>
      </c>
      <c r="E66">
        <f t="shared" si="10"/>
        <v>0</v>
      </c>
    </row>
    <row r="67" spans="1:5" x14ac:dyDescent="0.25">
      <c r="A67">
        <f t="shared" si="9"/>
        <v>56000</v>
      </c>
      <c r="B67">
        <f t="shared" si="3"/>
        <v>0</v>
      </c>
      <c r="C67">
        <f t="shared" si="4"/>
        <v>0</v>
      </c>
      <c r="D67">
        <f t="shared" si="5"/>
        <v>0</v>
      </c>
      <c r="E67">
        <f t="shared" si="10"/>
        <v>0</v>
      </c>
    </row>
    <row r="68" spans="1:5" x14ac:dyDescent="0.25">
      <c r="A68">
        <f t="shared" si="9"/>
        <v>68000</v>
      </c>
      <c r="B68">
        <f t="shared" si="3"/>
        <v>0</v>
      </c>
      <c r="C68">
        <f t="shared" si="4"/>
        <v>0</v>
      </c>
      <c r="D68">
        <f t="shared" si="5"/>
        <v>0</v>
      </c>
      <c r="E68">
        <f t="shared" si="10"/>
        <v>0</v>
      </c>
    </row>
    <row r="69" spans="1:5" x14ac:dyDescent="0.25">
      <c r="A69">
        <f t="shared" si="9"/>
        <v>82000</v>
      </c>
      <c r="B69">
        <f t="shared" si="3"/>
        <v>0</v>
      </c>
      <c r="C69">
        <f t="shared" si="4"/>
        <v>0</v>
      </c>
      <c r="D69">
        <f t="shared" si="5"/>
        <v>0</v>
      </c>
      <c r="E69">
        <f t="shared" si="10"/>
        <v>0</v>
      </c>
    </row>
    <row r="70" spans="1:5" x14ac:dyDescent="0.25">
      <c r="A70">
        <f t="shared" si="9"/>
        <v>100000</v>
      </c>
      <c r="B70">
        <f t="shared" si="3"/>
        <v>100000</v>
      </c>
      <c r="C70">
        <f t="shared" ref="C70:D70" si="11">IF(IF((C$3*10^12-$A71)*(C$3*10^12-$A70)*-1&lt;0,0,1)*IF(ABS(C$3*10^12-$A71)&gt;(C$3*10^12-$A70),$A70,$A71)=C71,0,IF((C$3*10^12-$A71)*(C$3*10^12-$A70)*-1&lt;0,0,1)*IF(ABS(C$3*10^12-$A71)&gt;(C$3*10^12-$A70),$A70,$A71))</f>
        <v>0</v>
      </c>
      <c r="D70">
        <f t="shared" si="11"/>
        <v>0</v>
      </c>
      <c r="E70">
        <f t="shared" ref="E70:E101" si="12">IF(IF((E$3*10^12-$A71)*(E$3*10^12-$A70)*-1&lt;0,0,1)*IF(ABS(E$3*10^12-$A71)&gt;(E$3*10^12-$A70),$A70,$A71)=E71,0,IF((E$3*10^12-$A71)*(E$3*10^12-$A70)*-1&lt;0,0,1)*IF(ABS(E$3*10^12-$A71)&gt;(E$3*10^12-$A70),$A70,$A71))</f>
        <v>0</v>
      </c>
    </row>
    <row r="71" spans="1:5" x14ac:dyDescent="0.25">
      <c r="A71">
        <f t="shared" si="9"/>
        <v>120000</v>
      </c>
      <c r="B71">
        <f t="shared" ref="B71:B134" si="13">IF(IF((B$3*10^12-$A72)*(B$3*10^12-$A71)*-1&lt;0,0,1)*IF(ABS(B$3*10^12-$A72)&gt;(B$3*10^12-$A71),$A71,$A72)=B72,0,IF((B$3*10^12-$A72)*(B$3*10^12-$A71)*-1&lt;0,0,1)*IF(ABS(B$3*10^12-$A72)&gt;(B$3*10^12-$A71),$A71,$A72))</f>
        <v>0</v>
      </c>
      <c r="C71">
        <f t="shared" ref="C71:C133" si="14">IF(IF((C$3*10^12-$A72)*(C$3*10^12-$A71)*-1&lt;0,0,1)*IF(ABS(C$3*10^12-$A72)&gt;(C$3*10^12-$A71),$A71,$A72)=C72,0,IF((C$3*10^12-$A72)*(C$3*10^12-$A71)*-1&lt;0,0,1)*IF(ABS(C$3*10^12-$A72)&gt;(C$3*10^12-$A71),$A71,$A72))</f>
        <v>0</v>
      </c>
      <c r="D71">
        <f t="shared" ref="D71:D102" si="15">IF(IF((D$3*10^12-$A72)*(D$3*10^12-$A71)*-1&lt;0,0,1)*IF(ABS(D$3*10^12-$A72)&gt;(D$3*10^12-$A71),$A71,$A72)=D72,0,IF((D$3*10^12-$A72)*(D$3*10^12-$A71)*-1&lt;0,0,1)*IF(ABS(D$3*10^12-$A72)&gt;(D$3*10^12-$A71),$A71,$A72))</f>
        <v>0</v>
      </c>
      <c r="E71">
        <f t="shared" si="12"/>
        <v>0</v>
      </c>
    </row>
    <row r="72" spans="1:5" x14ac:dyDescent="0.25">
      <c r="A72">
        <f t="shared" si="9"/>
        <v>150000</v>
      </c>
      <c r="B72">
        <f t="shared" si="13"/>
        <v>0</v>
      </c>
      <c r="C72">
        <f t="shared" si="14"/>
        <v>0</v>
      </c>
      <c r="D72">
        <f t="shared" si="15"/>
        <v>0</v>
      </c>
      <c r="E72">
        <f t="shared" si="12"/>
        <v>0</v>
      </c>
    </row>
    <row r="73" spans="1:5" x14ac:dyDescent="0.25">
      <c r="A73">
        <f t="shared" si="9"/>
        <v>180000</v>
      </c>
      <c r="B73">
        <f t="shared" si="13"/>
        <v>0</v>
      </c>
      <c r="C73">
        <f t="shared" si="14"/>
        <v>0</v>
      </c>
      <c r="D73">
        <f t="shared" si="15"/>
        <v>0</v>
      </c>
      <c r="E73">
        <f t="shared" si="12"/>
        <v>0</v>
      </c>
    </row>
    <row r="74" spans="1:5" x14ac:dyDescent="0.25">
      <c r="A74">
        <f t="shared" si="9"/>
        <v>220000</v>
      </c>
      <c r="B74">
        <f t="shared" si="13"/>
        <v>0</v>
      </c>
      <c r="C74">
        <f t="shared" si="14"/>
        <v>0</v>
      </c>
      <c r="D74">
        <f t="shared" si="15"/>
        <v>0</v>
      </c>
      <c r="E74">
        <f t="shared" si="12"/>
        <v>0</v>
      </c>
    </row>
    <row r="75" spans="1:5" x14ac:dyDescent="0.25">
      <c r="A75">
        <f t="shared" si="9"/>
        <v>270000</v>
      </c>
      <c r="B75">
        <f t="shared" si="13"/>
        <v>0</v>
      </c>
      <c r="C75">
        <f t="shared" si="14"/>
        <v>0</v>
      </c>
      <c r="D75">
        <f t="shared" si="15"/>
        <v>0</v>
      </c>
      <c r="E75">
        <f t="shared" si="12"/>
        <v>0</v>
      </c>
    </row>
    <row r="76" spans="1:5" x14ac:dyDescent="0.25">
      <c r="A76">
        <f t="shared" si="9"/>
        <v>330000</v>
      </c>
      <c r="B76">
        <f t="shared" si="13"/>
        <v>0</v>
      </c>
      <c r="C76">
        <f t="shared" si="14"/>
        <v>0</v>
      </c>
      <c r="D76">
        <f t="shared" si="15"/>
        <v>0</v>
      </c>
      <c r="E76">
        <f t="shared" si="12"/>
        <v>0</v>
      </c>
    </row>
    <row r="77" spans="1:5" x14ac:dyDescent="0.25">
      <c r="A77">
        <f t="shared" si="9"/>
        <v>390000</v>
      </c>
      <c r="B77">
        <f t="shared" si="13"/>
        <v>0</v>
      </c>
      <c r="C77">
        <f t="shared" si="14"/>
        <v>0</v>
      </c>
      <c r="D77">
        <f t="shared" si="15"/>
        <v>0</v>
      </c>
      <c r="E77">
        <f t="shared" si="12"/>
        <v>0</v>
      </c>
    </row>
    <row r="78" spans="1:5" x14ac:dyDescent="0.25">
      <c r="A78">
        <f t="shared" si="9"/>
        <v>470000</v>
      </c>
      <c r="B78">
        <f t="shared" si="13"/>
        <v>0</v>
      </c>
      <c r="C78">
        <f t="shared" si="14"/>
        <v>0</v>
      </c>
      <c r="D78">
        <f t="shared" si="15"/>
        <v>0</v>
      </c>
      <c r="E78">
        <f t="shared" si="12"/>
        <v>0</v>
      </c>
    </row>
    <row r="79" spans="1:5" x14ac:dyDescent="0.25">
      <c r="A79">
        <f t="shared" si="9"/>
        <v>560000</v>
      </c>
      <c r="B79">
        <f t="shared" si="13"/>
        <v>0</v>
      </c>
      <c r="C79">
        <f t="shared" si="14"/>
        <v>0</v>
      </c>
      <c r="D79">
        <f t="shared" si="15"/>
        <v>0</v>
      </c>
      <c r="E79">
        <f t="shared" si="12"/>
        <v>0</v>
      </c>
    </row>
    <row r="80" spans="1:5" x14ac:dyDescent="0.25">
      <c r="A80">
        <f t="shared" si="9"/>
        <v>680000</v>
      </c>
      <c r="B80">
        <f t="shared" si="13"/>
        <v>0</v>
      </c>
      <c r="C80">
        <f t="shared" si="14"/>
        <v>0</v>
      </c>
      <c r="D80">
        <f t="shared" si="15"/>
        <v>0</v>
      </c>
      <c r="E80">
        <f t="shared" si="12"/>
        <v>0</v>
      </c>
    </row>
    <row r="81" spans="1:5" x14ac:dyDescent="0.25">
      <c r="A81">
        <f t="shared" si="9"/>
        <v>820000</v>
      </c>
      <c r="B81">
        <f t="shared" si="13"/>
        <v>0</v>
      </c>
      <c r="C81">
        <f t="shared" si="14"/>
        <v>0</v>
      </c>
      <c r="D81">
        <f t="shared" si="15"/>
        <v>0</v>
      </c>
      <c r="E81">
        <f t="shared" si="12"/>
        <v>0</v>
      </c>
    </row>
    <row r="82" spans="1:5" x14ac:dyDescent="0.25">
      <c r="A82">
        <f t="shared" si="9"/>
        <v>1000000</v>
      </c>
      <c r="B82">
        <f t="shared" si="13"/>
        <v>0</v>
      </c>
      <c r="C82">
        <f t="shared" si="14"/>
        <v>0</v>
      </c>
      <c r="D82">
        <f t="shared" si="15"/>
        <v>0</v>
      </c>
      <c r="E82">
        <f t="shared" si="12"/>
        <v>0</v>
      </c>
    </row>
    <row r="83" spans="1:5" x14ac:dyDescent="0.25">
      <c r="A83">
        <f t="shared" si="9"/>
        <v>1200000</v>
      </c>
      <c r="B83">
        <f t="shared" si="13"/>
        <v>0</v>
      </c>
      <c r="C83">
        <f t="shared" si="14"/>
        <v>0</v>
      </c>
      <c r="D83">
        <f t="shared" si="15"/>
        <v>0</v>
      </c>
      <c r="E83">
        <f t="shared" si="12"/>
        <v>0</v>
      </c>
    </row>
    <row r="84" spans="1:5" x14ac:dyDescent="0.25">
      <c r="A84">
        <f t="shared" si="9"/>
        <v>1500000</v>
      </c>
      <c r="B84">
        <f t="shared" si="13"/>
        <v>0</v>
      </c>
      <c r="C84">
        <f t="shared" si="14"/>
        <v>0</v>
      </c>
      <c r="D84">
        <f t="shared" si="15"/>
        <v>0</v>
      </c>
      <c r="E84">
        <f t="shared" si="12"/>
        <v>0</v>
      </c>
    </row>
    <row r="85" spans="1:5" x14ac:dyDescent="0.25">
      <c r="A85">
        <f t="shared" si="9"/>
        <v>1800000</v>
      </c>
      <c r="B85">
        <f t="shared" si="13"/>
        <v>0</v>
      </c>
      <c r="C85">
        <f t="shared" si="14"/>
        <v>0</v>
      </c>
      <c r="D85">
        <f t="shared" si="15"/>
        <v>0</v>
      </c>
      <c r="E85">
        <f t="shared" si="12"/>
        <v>0</v>
      </c>
    </row>
    <row r="86" spans="1:5" x14ac:dyDescent="0.25">
      <c r="A86">
        <f t="shared" si="9"/>
        <v>2200000</v>
      </c>
      <c r="B86">
        <f t="shared" si="13"/>
        <v>0</v>
      </c>
      <c r="C86">
        <f t="shared" si="14"/>
        <v>0</v>
      </c>
      <c r="D86">
        <f t="shared" si="15"/>
        <v>0</v>
      </c>
      <c r="E86">
        <f t="shared" si="12"/>
        <v>0</v>
      </c>
    </row>
    <row r="87" spans="1:5" x14ac:dyDescent="0.25">
      <c r="A87">
        <f t="shared" si="9"/>
        <v>2700000</v>
      </c>
      <c r="B87">
        <f t="shared" si="13"/>
        <v>0</v>
      </c>
      <c r="C87">
        <f t="shared" si="14"/>
        <v>0</v>
      </c>
      <c r="D87">
        <f t="shared" si="15"/>
        <v>0</v>
      </c>
      <c r="E87">
        <f t="shared" si="12"/>
        <v>0</v>
      </c>
    </row>
    <row r="88" spans="1:5" x14ac:dyDescent="0.25">
      <c r="A88">
        <f t="shared" si="9"/>
        <v>3300000</v>
      </c>
      <c r="B88">
        <f t="shared" si="13"/>
        <v>0</v>
      </c>
      <c r="C88">
        <f t="shared" si="14"/>
        <v>0</v>
      </c>
      <c r="D88">
        <f t="shared" si="15"/>
        <v>0</v>
      </c>
      <c r="E88">
        <f t="shared" si="12"/>
        <v>0</v>
      </c>
    </row>
    <row r="89" spans="1:5" x14ac:dyDescent="0.25">
      <c r="A89">
        <f t="shared" si="9"/>
        <v>3900000</v>
      </c>
      <c r="B89">
        <f t="shared" si="13"/>
        <v>0</v>
      </c>
      <c r="C89">
        <f t="shared" si="14"/>
        <v>0</v>
      </c>
      <c r="D89">
        <f t="shared" si="15"/>
        <v>0</v>
      </c>
      <c r="E89">
        <f t="shared" si="12"/>
        <v>0</v>
      </c>
    </row>
    <row r="90" spans="1:5" x14ac:dyDescent="0.25">
      <c r="A90">
        <f t="shared" si="9"/>
        <v>4700000</v>
      </c>
      <c r="B90">
        <f t="shared" si="13"/>
        <v>0</v>
      </c>
      <c r="C90">
        <f t="shared" si="14"/>
        <v>0</v>
      </c>
      <c r="D90">
        <f t="shared" si="15"/>
        <v>0</v>
      </c>
      <c r="E90">
        <f t="shared" si="12"/>
        <v>0</v>
      </c>
    </row>
    <row r="91" spans="1:5" x14ac:dyDescent="0.25">
      <c r="A91">
        <f t="shared" si="9"/>
        <v>5600000</v>
      </c>
      <c r="B91">
        <f t="shared" si="13"/>
        <v>0</v>
      </c>
      <c r="C91">
        <f t="shared" si="14"/>
        <v>0</v>
      </c>
      <c r="D91">
        <f t="shared" si="15"/>
        <v>0</v>
      </c>
      <c r="E91">
        <f t="shared" si="12"/>
        <v>0</v>
      </c>
    </row>
    <row r="92" spans="1:5" x14ac:dyDescent="0.25">
      <c r="A92">
        <f t="shared" si="9"/>
        <v>6800000</v>
      </c>
      <c r="B92">
        <f t="shared" si="13"/>
        <v>0</v>
      </c>
      <c r="C92">
        <f t="shared" si="14"/>
        <v>0</v>
      </c>
      <c r="D92">
        <f t="shared" si="15"/>
        <v>0</v>
      </c>
      <c r="E92">
        <f t="shared" si="12"/>
        <v>0</v>
      </c>
    </row>
    <row r="93" spans="1:5" x14ac:dyDescent="0.25">
      <c r="A93">
        <f t="shared" si="9"/>
        <v>8200000</v>
      </c>
      <c r="B93">
        <f t="shared" si="13"/>
        <v>0</v>
      </c>
      <c r="C93">
        <f t="shared" si="14"/>
        <v>0</v>
      </c>
      <c r="D93">
        <f t="shared" si="15"/>
        <v>0</v>
      </c>
      <c r="E93">
        <f t="shared" si="12"/>
        <v>0</v>
      </c>
    </row>
    <row r="94" spans="1:5" x14ac:dyDescent="0.25">
      <c r="A94">
        <f t="shared" si="9"/>
        <v>10000000</v>
      </c>
      <c r="B94">
        <f t="shared" si="13"/>
        <v>0</v>
      </c>
      <c r="C94">
        <f t="shared" si="14"/>
        <v>0</v>
      </c>
      <c r="D94">
        <f t="shared" si="15"/>
        <v>0</v>
      </c>
      <c r="E94">
        <f t="shared" si="12"/>
        <v>0</v>
      </c>
    </row>
    <row r="95" spans="1:5" x14ac:dyDescent="0.25">
      <c r="A95">
        <f t="shared" si="9"/>
        <v>12000000</v>
      </c>
      <c r="B95">
        <f t="shared" si="13"/>
        <v>0</v>
      </c>
      <c r="C95">
        <f t="shared" si="14"/>
        <v>0</v>
      </c>
      <c r="D95">
        <f t="shared" si="15"/>
        <v>0</v>
      </c>
      <c r="E95">
        <f t="shared" si="12"/>
        <v>0</v>
      </c>
    </row>
    <row r="96" spans="1:5" x14ac:dyDescent="0.25">
      <c r="A96">
        <f t="shared" si="9"/>
        <v>15000000</v>
      </c>
      <c r="B96">
        <f t="shared" si="13"/>
        <v>0</v>
      </c>
      <c r="C96">
        <f t="shared" si="14"/>
        <v>0</v>
      </c>
      <c r="D96">
        <f t="shared" si="15"/>
        <v>0</v>
      </c>
      <c r="E96">
        <f t="shared" si="12"/>
        <v>0</v>
      </c>
    </row>
    <row r="97" spans="1:5" x14ac:dyDescent="0.25">
      <c r="A97">
        <f t="shared" si="9"/>
        <v>18000000</v>
      </c>
      <c r="B97">
        <f t="shared" si="13"/>
        <v>0</v>
      </c>
      <c r="C97">
        <f t="shared" si="14"/>
        <v>0</v>
      </c>
      <c r="D97">
        <f t="shared" si="15"/>
        <v>0</v>
      </c>
      <c r="E97">
        <f t="shared" si="12"/>
        <v>0</v>
      </c>
    </row>
    <row r="98" spans="1:5" x14ac:dyDescent="0.25">
      <c r="A98">
        <f t="shared" si="9"/>
        <v>22000000</v>
      </c>
      <c r="B98">
        <f t="shared" si="13"/>
        <v>0</v>
      </c>
      <c r="C98">
        <f t="shared" si="14"/>
        <v>0</v>
      </c>
      <c r="D98">
        <f t="shared" si="15"/>
        <v>0</v>
      </c>
      <c r="E98">
        <f t="shared" si="12"/>
        <v>0</v>
      </c>
    </row>
    <row r="99" spans="1:5" x14ac:dyDescent="0.25">
      <c r="A99">
        <f t="shared" ref="A99:A159" si="16">A87*10</f>
        <v>27000000</v>
      </c>
      <c r="B99">
        <f t="shared" si="13"/>
        <v>0</v>
      </c>
      <c r="C99">
        <f t="shared" si="14"/>
        <v>0</v>
      </c>
      <c r="D99">
        <f t="shared" si="15"/>
        <v>0</v>
      </c>
      <c r="E99">
        <f t="shared" si="12"/>
        <v>0</v>
      </c>
    </row>
    <row r="100" spans="1:5" x14ac:dyDescent="0.25">
      <c r="A100">
        <f t="shared" si="16"/>
        <v>33000000</v>
      </c>
      <c r="B100">
        <f t="shared" si="13"/>
        <v>0</v>
      </c>
      <c r="C100">
        <f t="shared" si="14"/>
        <v>0</v>
      </c>
      <c r="D100">
        <f t="shared" si="15"/>
        <v>0</v>
      </c>
      <c r="E100">
        <f t="shared" si="12"/>
        <v>0</v>
      </c>
    </row>
    <row r="101" spans="1:5" x14ac:dyDescent="0.25">
      <c r="A101">
        <f t="shared" si="16"/>
        <v>39000000</v>
      </c>
      <c r="B101">
        <f t="shared" si="13"/>
        <v>0</v>
      </c>
      <c r="C101">
        <f t="shared" si="14"/>
        <v>0</v>
      </c>
      <c r="D101">
        <f t="shared" si="15"/>
        <v>0</v>
      </c>
      <c r="E101">
        <f t="shared" si="12"/>
        <v>0</v>
      </c>
    </row>
    <row r="102" spans="1:5" x14ac:dyDescent="0.25">
      <c r="A102">
        <f t="shared" si="16"/>
        <v>47000000</v>
      </c>
      <c r="B102">
        <f t="shared" si="13"/>
        <v>0</v>
      </c>
      <c r="C102">
        <f t="shared" si="14"/>
        <v>0</v>
      </c>
      <c r="D102">
        <f t="shared" si="15"/>
        <v>0</v>
      </c>
      <c r="E102">
        <f t="shared" ref="E102:E133" si="17">IF(IF((E$3*10^12-$A103)*(E$3*10^12-$A102)*-1&lt;0,0,1)*IF(ABS(E$3*10^12-$A103)&gt;(E$3*10^12-$A102),$A102,$A103)=E103,0,IF((E$3*10^12-$A103)*(E$3*10^12-$A102)*-1&lt;0,0,1)*IF(ABS(E$3*10^12-$A103)&gt;(E$3*10^12-$A102),$A102,$A103))</f>
        <v>0</v>
      </c>
    </row>
    <row r="103" spans="1:5" x14ac:dyDescent="0.25">
      <c r="A103">
        <f t="shared" si="16"/>
        <v>56000000</v>
      </c>
      <c r="B103">
        <f t="shared" si="13"/>
        <v>0</v>
      </c>
      <c r="C103">
        <f t="shared" si="14"/>
        <v>0</v>
      </c>
      <c r="D103">
        <f t="shared" ref="D103:D134" si="18">IF(IF((D$3*10^12-$A104)*(D$3*10^12-$A103)*-1&lt;0,0,1)*IF(ABS(D$3*10^12-$A104)&gt;(D$3*10^12-$A103),$A103,$A104)=D104,0,IF((D$3*10^12-$A104)*(D$3*10^12-$A103)*-1&lt;0,0,1)*IF(ABS(D$3*10^12-$A104)&gt;(D$3*10^12-$A103),$A103,$A104))</f>
        <v>0</v>
      </c>
      <c r="E103">
        <f t="shared" si="17"/>
        <v>0</v>
      </c>
    </row>
    <row r="104" spans="1:5" x14ac:dyDescent="0.25">
      <c r="A104">
        <f t="shared" si="16"/>
        <v>68000000</v>
      </c>
      <c r="B104">
        <f t="shared" si="13"/>
        <v>0</v>
      </c>
      <c r="C104">
        <f t="shared" si="14"/>
        <v>0</v>
      </c>
      <c r="D104">
        <f t="shared" si="18"/>
        <v>0</v>
      </c>
      <c r="E104">
        <f t="shared" si="17"/>
        <v>0</v>
      </c>
    </row>
    <row r="105" spans="1:5" x14ac:dyDescent="0.25">
      <c r="A105">
        <f t="shared" si="16"/>
        <v>82000000</v>
      </c>
      <c r="B105">
        <f t="shared" si="13"/>
        <v>0</v>
      </c>
      <c r="C105">
        <f t="shared" si="14"/>
        <v>0</v>
      </c>
      <c r="D105">
        <f t="shared" si="18"/>
        <v>0</v>
      </c>
      <c r="E105">
        <f t="shared" si="17"/>
        <v>0</v>
      </c>
    </row>
    <row r="106" spans="1:5" x14ac:dyDescent="0.25">
      <c r="A106">
        <f t="shared" si="16"/>
        <v>100000000</v>
      </c>
      <c r="B106">
        <f t="shared" si="13"/>
        <v>0</v>
      </c>
      <c r="C106">
        <f t="shared" si="14"/>
        <v>0</v>
      </c>
      <c r="D106">
        <f t="shared" si="18"/>
        <v>0</v>
      </c>
      <c r="E106">
        <f t="shared" si="17"/>
        <v>0</v>
      </c>
    </row>
    <row r="107" spans="1:5" x14ac:dyDescent="0.25">
      <c r="A107">
        <f t="shared" si="16"/>
        <v>120000000</v>
      </c>
      <c r="B107">
        <f t="shared" si="13"/>
        <v>0</v>
      </c>
      <c r="C107">
        <f t="shared" si="14"/>
        <v>0</v>
      </c>
      <c r="D107">
        <f t="shared" si="18"/>
        <v>0</v>
      </c>
      <c r="E107">
        <f t="shared" si="17"/>
        <v>0</v>
      </c>
    </row>
    <row r="108" spans="1:5" x14ac:dyDescent="0.25">
      <c r="A108">
        <f t="shared" si="16"/>
        <v>150000000</v>
      </c>
      <c r="B108">
        <f t="shared" si="13"/>
        <v>0</v>
      </c>
      <c r="C108">
        <f t="shared" si="14"/>
        <v>0</v>
      </c>
      <c r="D108">
        <f t="shared" si="18"/>
        <v>0</v>
      </c>
      <c r="E108">
        <f t="shared" si="17"/>
        <v>0</v>
      </c>
    </row>
    <row r="109" spans="1:5" x14ac:dyDescent="0.25">
      <c r="A109">
        <f t="shared" si="16"/>
        <v>180000000</v>
      </c>
      <c r="B109">
        <f t="shared" si="13"/>
        <v>0</v>
      </c>
      <c r="C109">
        <f t="shared" si="14"/>
        <v>0</v>
      </c>
      <c r="D109">
        <f t="shared" si="18"/>
        <v>0</v>
      </c>
      <c r="E109">
        <f t="shared" si="17"/>
        <v>0</v>
      </c>
    </row>
    <row r="110" spans="1:5" x14ac:dyDescent="0.25">
      <c r="A110">
        <f t="shared" si="16"/>
        <v>220000000</v>
      </c>
      <c r="B110">
        <f t="shared" si="13"/>
        <v>0</v>
      </c>
      <c r="C110">
        <f t="shared" si="14"/>
        <v>0</v>
      </c>
      <c r="D110">
        <f t="shared" si="18"/>
        <v>0</v>
      </c>
      <c r="E110">
        <f t="shared" si="17"/>
        <v>0</v>
      </c>
    </row>
    <row r="111" spans="1:5" x14ac:dyDescent="0.25">
      <c r="A111">
        <f t="shared" si="16"/>
        <v>270000000</v>
      </c>
      <c r="B111">
        <f t="shared" si="13"/>
        <v>0</v>
      </c>
      <c r="C111">
        <f t="shared" si="14"/>
        <v>0</v>
      </c>
      <c r="D111">
        <f t="shared" si="18"/>
        <v>0</v>
      </c>
      <c r="E111">
        <f t="shared" si="17"/>
        <v>0</v>
      </c>
    </row>
    <row r="112" spans="1:5" x14ac:dyDescent="0.25">
      <c r="A112">
        <f t="shared" si="16"/>
        <v>330000000</v>
      </c>
      <c r="B112">
        <f t="shared" si="13"/>
        <v>0</v>
      </c>
      <c r="C112">
        <f t="shared" si="14"/>
        <v>0</v>
      </c>
      <c r="D112">
        <f t="shared" si="18"/>
        <v>0</v>
      </c>
      <c r="E112">
        <f t="shared" si="17"/>
        <v>0</v>
      </c>
    </row>
    <row r="113" spans="1:5" x14ac:dyDescent="0.25">
      <c r="A113">
        <f t="shared" si="16"/>
        <v>390000000</v>
      </c>
      <c r="B113">
        <f t="shared" si="13"/>
        <v>0</v>
      </c>
      <c r="C113">
        <f t="shared" si="14"/>
        <v>0</v>
      </c>
      <c r="D113">
        <f t="shared" si="18"/>
        <v>0</v>
      </c>
      <c r="E113">
        <f t="shared" si="17"/>
        <v>0</v>
      </c>
    </row>
    <row r="114" spans="1:5" x14ac:dyDescent="0.25">
      <c r="A114">
        <f t="shared" si="16"/>
        <v>470000000</v>
      </c>
      <c r="B114">
        <f t="shared" si="13"/>
        <v>0</v>
      </c>
      <c r="C114">
        <f t="shared" si="14"/>
        <v>0</v>
      </c>
      <c r="D114">
        <f t="shared" si="18"/>
        <v>0</v>
      </c>
      <c r="E114">
        <f t="shared" si="17"/>
        <v>0</v>
      </c>
    </row>
    <row r="115" spans="1:5" x14ac:dyDescent="0.25">
      <c r="A115">
        <f t="shared" si="16"/>
        <v>560000000</v>
      </c>
      <c r="B115">
        <f t="shared" si="13"/>
        <v>0</v>
      </c>
      <c r="C115">
        <f t="shared" si="14"/>
        <v>0</v>
      </c>
      <c r="D115">
        <f t="shared" si="18"/>
        <v>0</v>
      </c>
      <c r="E115">
        <f t="shared" si="17"/>
        <v>0</v>
      </c>
    </row>
    <row r="116" spans="1:5" x14ac:dyDescent="0.25">
      <c r="A116">
        <f t="shared" si="16"/>
        <v>680000000</v>
      </c>
      <c r="B116">
        <f t="shared" si="13"/>
        <v>0</v>
      </c>
      <c r="C116">
        <f t="shared" si="14"/>
        <v>0</v>
      </c>
      <c r="D116">
        <f t="shared" si="18"/>
        <v>0</v>
      </c>
      <c r="E116">
        <f t="shared" si="17"/>
        <v>0</v>
      </c>
    </row>
    <row r="117" spans="1:5" x14ac:dyDescent="0.25">
      <c r="A117">
        <f t="shared" si="16"/>
        <v>820000000</v>
      </c>
      <c r="B117">
        <f t="shared" si="13"/>
        <v>0</v>
      </c>
      <c r="C117">
        <f t="shared" si="14"/>
        <v>0</v>
      </c>
      <c r="D117">
        <f t="shared" si="18"/>
        <v>0</v>
      </c>
      <c r="E117">
        <f t="shared" si="17"/>
        <v>0</v>
      </c>
    </row>
    <row r="118" spans="1:5" x14ac:dyDescent="0.25">
      <c r="A118">
        <f t="shared" si="16"/>
        <v>1000000000</v>
      </c>
      <c r="B118">
        <f t="shared" si="13"/>
        <v>0</v>
      </c>
      <c r="C118">
        <f t="shared" si="14"/>
        <v>0</v>
      </c>
      <c r="D118">
        <f t="shared" si="18"/>
        <v>0</v>
      </c>
      <c r="E118">
        <f t="shared" si="17"/>
        <v>0</v>
      </c>
    </row>
    <row r="119" spans="1:5" x14ac:dyDescent="0.25">
      <c r="A119">
        <f t="shared" si="16"/>
        <v>1200000000</v>
      </c>
      <c r="B119">
        <f t="shared" si="13"/>
        <v>0</v>
      </c>
      <c r="C119">
        <f t="shared" si="14"/>
        <v>0</v>
      </c>
      <c r="D119">
        <f t="shared" si="18"/>
        <v>0</v>
      </c>
      <c r="E119">
        <f t="shared" si="17"/>
        <v>0</v>
      </c>
    </row>
    <row r="120" spans="1:5" x14ac:dyDescent="0.25">
      <c r="A120">
        <f t="shared" si="16"/>
        <v>1500000000</v>
      </c>
      <c r="B120">
        <f t="shared" si="13"/>
        <v>0</v>
      </c>
      <c r="C120">
        <f t="shared" si="14"/>
        <v>0</v>
      </c>
      <c r="D120">
        <f t="shared" si="18"/>
        <v>0</v>
      </c>
      <c r="E120">
        <f t="shared" si="17"/>
        <v>0</v>
      </c>
    </row>
    <row r="121" spans="1:5" x14ac:dyDescent="0.25">
      <c r="A121">
        <f t="shared" si="16"/>
        <v>1800000000</v>
      </c>
      <c r="B121">
        <f t="shared" si="13"/>
        <v>0</v>
      </c>
      <c r="C121">
        <f t="shared" si="14"/>
        <v>0</v>
      </c>
      <c r="D121">
        <f t="shared" si="18"/>
        <v>0</v>
      </c>
      <c r="E121">
        <f t="shared" si="17"/>
        <v>0</v>
      </c>
    </row>
    <row r="122" spans="1:5" x14ac:dyDescent="0.25">
      <c r="A122">
        <f t="shared" si="16"/>
        <v>2200000000</v>
      </c>
      <c r="B122">
        <f t="shared" si="13"/>
        <v>0</v>
      </c>
      <c r="C122">
        <f t="shared" si="14"/>
        <v>0</v>
      </c>
      <c r="D122">
        <f t="shared" si="18"/>
        <v>0</v>
      </c>
      <c r="E122">
        <f t="shared" si="17"/>
        <v>0</v>
      </c>
    </row>
    <row r="123" spans="1:5" x14ac:dyDescent="0.25">
      <c r="A123">
        <f t="shared" si="16"/>
        <v>2700000000</v>
      </c>
      <c r="B123">
        <f t="shared" si="13"/>
        <v>0</v>
      </c>
      <c r="C123">
        <f t="shared" si="14"/>
        <v>0</v>
      </c>
      <c r="D123">
        <f t="shared" si="18"/>
        <v>0</v>
      </c>
      <c r="E123">
        <f t="shared" si="17"/>
        <v>0</v>
      </c>
    </row>
    <row r="124" spans="1:5" x14ac:dyDescent="0.25">
      <c r="A124">
        <f t="shared" si="16"/>
        <v>3300000000</v>
      </c>
      <c r="B124">
        <f t="shared" si="13"/>
        <v>0</v>
      </c>
      <c r="C124">
        <f t="shared" si="14"/>
        <v>0</v>
      </c>
      <c r="D124">
        <f t="shared" si="18"/>
        <v>0</v>
      </c>
      <c r="E124">
        <f t="shared" si="17"/>
        <v>0</v>
      </c>
    </row>
    <row r="125" spans="1:5" x14ac:dyDescent="0.25">
      <c r="A125">
        <f t="shared" si="16"/>
        <v>3900000000</v>
      </c>
      <c r="B125">
        <f t="shared" si="13"/>
        <v>0</v>
      </c>
      <c r="C125">
        <f t="shared" si="14"/>
        <v>0</v>
      </c>
      <c r="D125">
        <f t="shared" si="18"/>
        <v>0</v>
      </c>
      <c r="E125">
        <f t="shared" si="17"/>
        <v>0</v>
      </c>
    </row>
    <row r="126" spans="1:5" x14ac:dyDescent="0.25">
      <c r="A126">
        <f t="shared" si="16"/>
        <v>4700000000</v>
      </c>
      <c r="B126">
        <f t="shared" si="13"/>
        <v>0</v>
      </c>
      <c r="C126">
        <f t="shared" si="14"/>
        <v>0</v>
      </c>
      <c r="D126">
        <f t="shared" si="18"/>
        <v>0</v>
      </c>
      <c r="E126">
        <f t="shared" si="17"/>
        <v>0</v>
      </c>
    </row>
    <row r="127" spans="1:5" x14ac:dyDescent="0.25">
      <c r="A127">
        <f t="shared" si="16"/>
        <v>5600000000</v>
      </c>
      <c r="B127">
        <f t="shared" si="13"/>
        <v>0</v>
      </c>
      <c r="C127">
        <f t="shared" si="14"/>
        <v>0</v>
      </c>
      <c r="D127">
        <f t="shared" si="18"/>
        <v>0</v>
      </c>
      <c r="E127">
        <f t="shared" si="17"/>
        <v>0</v>
      </c>
    </row>
    <row r="128" spans="1:5" x14ac:dyDescent="0.25">
      <c r="A128">
        <f t="shared" si="16"/>
        <v>6800000000</v>
      </c>
      <c r="B128">
        <f t="shared" si="13"/>
        <v>0</v>
      </c>
      <c r="C128">
        <f t="shared" si="14"/>
        <v>0</v>
      </c>
      <c r="D128">
        <f t="shared" si="18"/>
        <v>0</v>
      </c>
      <c r="E128">
        <f t="shared" si="17"/>
        <v>0</v>
      </c>
    </row>
    <row r="129" spans="1:5" x14ac:dyDescent="0.25">
      <c r="A129">
        <f t="shared" si="16"/>
        <v>8200000000</v>
      </c>
      <c r="B129">
        <f t="shared" si="13"/>
        <v>0</v>
      </c>
      <c r="C129">
        <f t="shared" si="14"/>
        <v>0</v>
      </c>
      <c r="D129">
        <f t="shared" si="18"/>
        <v>0</v>
      </c>
      <c r="E129">
        <f t="shared" si="17"/>
        <v>0</v>
      </c>
    </row>
    <row r="130" spans="1:5" x14ac:dyDescent="0.25">
      <c r="A130">
        <f t="shared" si="16"/>
        <v>10000000000</v>
      </c>
      <c r="B130">
        <f t="shared" si="13"/>
        <v>0</v>
      </c>
      <c r="C130">
        <f t="shared" si="14"/>
        <v>0</v>
      </c>
      <c r="D130">
        <f t="shared" si="18"/>
        <v>0</v>
      </c>
      <c r="E130">
        <f t="shared" si="17"/>
        <v>0</v>
      </c>
    </row>
    <row r="131" spans="1:5" x14ac:dyDescent="0.25">
      <c r="A131">
        <f t="shared" si="16"/>
        <v>12000000000</v>
      </c>
      <c r="B131">
        <f t="shared" si="13"/>
        <v>0</v>
      </c>
      <c r="C131">
        <f t="shared" si="14"/>
        <v>0</v>
      </c>
      <c r="D131">
        <f t="shared" si="18"/>
        <v>0</v>
      </c>
      <c r="E131">
        <f t="shared" si="17"/>
        <v>0</v>
      </c>
    </row>
    <row r="132" spans="1:5" x14ac:dyDescent="0.25">
      <c r="A132">
        <f t="shared" si="16"/>
        <v>15000000000</v>
      </c>
      <c r="B132">
        <f t="shared" si="13"/>
        <v>0</v>
      </c>
      <c r="C132">
        <f t="shared" si="14"/>
        <v>0</v>
      </c>
      <c r="D132">
        <f t="shared" si="18"/>
        <v>0</v>
      </c>
      <c r="E132">
        <f t="shared" si="17"/>
        <v>0</v>
      </c>
    </row>
    <row r="133" spans="1:5" x14ac:dyDescent="0.25">
      <c r="A133">
        <f t="shared" si="16"/>
        <v>18000000000</v>
      </c>
      <c r="B133">
        <f t="shared" si="13"/>
        <v>0</v>
      </c>
      <c r="C133">
        <f t="shared" si="14"/>
        <v>0</v>
      </c>
      <c r="D133">
        <f t="shared" si="18"/>
        <v>0</v>
      </c>
      <c r="E133">
        <f t="shared" si="17"/>
        <v>0</v>
      </c>
    </row>
    <row r="134" spans="1:5" x14ac:dyDescent="0.25">
      <c r="A134">
        <f t="shared" si="16"/>
        <v>22000000000</v>
      </c>
      <c r="B134">
        <f t="shared" si="13"/>
        <v>0</v>
      </c>
      <c r="C134">
        <f t="shared" ref="C134:D159" si="19">IF(IF((C$3*10^12-$A135)*(C$3*10^12-$A134)*-1&lt;0,0,1)*IF(ABS(C$3*10^12-$A135)&gt;(C$3*10^12-$A134),$A134,$A135)=C135,0,IF((C$3*10^12-$A135)*(C$3*10^12-$A134)*-1&lt;0,0,1)*IF(ABS(C$3*10^12-$A135)&gt;(C$3*10^12-$A134),$A134,$A135))</f>
        <v>0</v>
      </c>
      <c r="D134">
        <f t="shared" si="18"/>
        <v>0</v>
      </c>
      <c r="E134">
        <f t="shared" ref="E134:E159" si="20">IF(IF((E$3*10^12-$A135)*(E$3*10^12-$A134)*-1&lt;0,0,1)*IF(ABS(E$3*10^12-$A135)&gt;(E$3*10^12-$A134),$A134,$A135)=E135,0,IF((E$3*10^12-$A135)*(E$3*10^12-$A134)*-1&lt;0,0,1)*IF(ABS(E$3*10^12-$A135)&gt;(E$3*10^12-$A134),$A134,$A135))</f>
        <v>0</v>
      </c>
    </row>
    <row r="135" spans="1:5" x14ac:dyDescent="0.25">
      <c r="A135">
        <f t="shared" si="16"/>
        <v>27000000000</v>
      </c>
      <c r="B135">
        <f t="shared" ref="B135:B159" si="21">IF(IF((B$3*10^12-$A136)*(B$3*10^12-$A135)*-1&lt;0,0,1)*IF(ABS(B$3*10^12-$A136)&gt;(B$3*10^12-$A135),$A135,$A136)=B136,0,IF((B$3*10^12-$A136)*(B$3*10^12-$A135)*-1&lt;0,0,1)*IF(ABS(B$3*10^12-$A136)&gt;(B$3*10^12-$A135),$A135,$A136))</f>
        <v>0</v>
      </c>
      <c r="C135">
        <f t="shared" si="19"/>
        <v>0</v>
      </c>
      <c r="D135">
        <f t="shared" si="19"/>
        <v>0</v>
      </c>
      <c r="E135">
        <f t="shared" si="20"/>
        <v>0</v>
      </c>
    </row>
    <row r="136" spans="1:5" x14ac:dyDescent="0.25">
      <c r="A136">
        <f t="shared" si="16"/>
        <v>33000000000</v>
      </c>
      <c r="B136">
        <f t="shared" si="21"/>
        <v>0</v>
      </c>
      <c r="C136">
        <f t="shared" si="19"/>
        <v>0</v>
      </c>
      <c r="D136">
        <f t="shared" si="19"/>
        <v>0</v>
      </c>
      <c r="E136">
        <f t="shared" si="20"/>
        <v>0</v>
      </c>
    </row>
    <row r="137" spans="1:5" x14ac:dyDescent="0.25">
      <c r="A137">
        <f t="shared" si="16"/>
        <v>39000000000</v>
      </c>
      <c r="B137">
        <f t="shared" si="21"/>
        <v>0</v>
      </c>
      <c r="C137">
        <f t="shared" si="19"/>
        <v>0</v>
      </c>
      <c r="D137">
        <f t="shared" si="19"/>
        <v>0</v>
      </c>
      <c r="E137">
        <f t="shared" si="20"/>
        <v>0</v>
      </c>
    </row>
    <row r="138" spans="1:5" x14ac:dyDescent="0.25">
      <c r="A138">
        <f t="shared" si="16"/>
        <v>47000000000</v>
      </c>
      <c r="B138">
        <f t="shared" si="21"/>
        <v>0</v>
      </c>
      <c r="C138">
        <f t="shared" si="19"/>
        <v>0</v>
      </c>
      <c r="D138">
        <f t="shared" si="19"/>
        <v>0</v>
      </c>
      <c r="E138">
        <f t="shared" si="20"/>
        <v>0</v>
      </c>
    </row>
    <row r="139" spans="1:5" x14ac:dyDescent="0.25">
      <c r="A139">
        <f t="shared" si="16"/>
        <v>56000000000</v>
      </c>
      <c r="B139">
        <f t="shared" si="21"/>
        <v>0</v>
      </c>
      <c r="C139">
        <f t="shared" si="19"/>
        <v>0</v>
      </c>
      <c r="D139">
        <f t="shared" si="19"/>
        <v>0</v>
      </c>
      <c r="E139">
        <f t="shared" si="20"/>
        <v>0</v>
      </c>
    </row>
    <row r="140" spans="1:5" x14ac:dyDescent="0.25">
      <c r="A140">
        <f t="shared" si="16"/>
        <v>68000000000</v>
      </c>
      <c r="B140">
        <f t="shared" si="21"/>
        <v>0</v>
      </c>
      <c r="C140">
        <f t="shared" si="19"/>
        <v>0</v>
      </c>
      <c r="D140">
        <f t="shared" si="19"/>
        <v>0</v>
      </c>
      <c r="E140">
        <f t="shared" si="20"/>
        <v>0</v>
      </c>
    </row>
    <row r="141" spans="1:5" x14ac:dyDescent="0.25">
      <c r="A141">
        <f t="shared" si="16"/>
        <v>82000000000</v>
      </c>
      <c r="B141">
        <f t="shared" si="21"/>
        <v>0</v>
      </c>
      <c r="C141">
        <f t="shared" si="19"/>
        <v>0</v>
      </c>
      <c r="D141">
        <f t="shared" si="19"/>
        <v>0</v>
      </c>
      <c r="E141">
        <f t="shared" si="20"/>
        <v>0</v>
      </c>
    </row>
    <row r="142" spans="1:5" x14ac:dyDescent="0.25">
      <c r="A142">
        <f t="shared" si="16"/>
        <v>100000000000</v>
      </c>
      <c r="B142">
        <f t="shared" si="21"/>
        <v>0</v>
      </c>
      <c r="C142">
        <f t="shared" si="19"/>
        <v>0</v>
      </c>
      <c r="D142">
        <f t="shared" si="19"/>
        <v>0</v>
      </c>
      <c r="E142">
        <f t="shared" si="20"/>
        <v>0</v>
      </c>
    </row>
    <row r="143" spans="1:5" x14ac:dyDescent="0.25">
      <c r="A143">
        <f t="shared" si="16"/>
        <v>120000000000</v>
      </c>
      <c r="B143">
        <f t="shared" si="21"/>
        <v>0</v>
      </c>
      <c r="C143">
        <f t="shared" si="19"/>
        <v>0</v>
      </c>
      <c r="D143">
        <f t="shared" si="19"/>
        <v>0</v>
      </c>
      <c r="E143">
        <f t="shared" si="20"/>
        <v>0</v>
      </c>
    </row>
    <row r="144" spans="1:5" x14ac:dyDescent="0.25">
      <c r="A144">
        <f t="shared" si="16"/>
        <v>150000000000</v>
      </c>
      <c r="B144">
        <f t="shared" si="21"/>
        <v>0</v>
      </c>
      <c r="C144">
        <f t="shared" si="19"/>
        <v>0</v>
      </c>
      <c r="D144">
        <f t="shared" si="19"/>
        <v>0</v>
      </c>
      <c r="E144">
        <f t="shared" si="20"/>
        <v>0</v>
      </c>
    </row>
    <row r="145" spans="1:5" x14ac:dyDescent="0.25">
      <c r="A145">
        <f t="shared" si="16"/>
        <v>180000000000</v>
      </c>
      <c r="B145">
        <f t="shared" si="21"/>
        <v>0</v>
      </c>
      <c r="C145">
        <f t="shared" si="19"/>
        <v>0</v>
      </c>
      <c r="D145">
        <f t="shared" si="19"/>
        <v>0</v>
      </c>
      <c r="E145">
        <f t="shared" si="20"/>
        <v>0</v>
      </c>
    </row>
    <row r="146" spans="1:5" x14ac:dyDescent="0.25">
      <c r="A146">
        <f t="shared" si="16"/>
        <v>220000000000</v>
      </c>
      <c r="B146">
        <f t="shared" si="21"/>
        <v>0</v>
      </c>
      <c r="C146">
        <f t="shared" si="19"/>
        <v>0</v>
      </c>
      <c r="D146">
        <f t="shared" si="19"/>
        <v>0</v>
      </c>
      <c r="E146">
        <f t="shared" si="20"/>
        <v>0</v>
      </c>
    </row>
    <row r="147" spans="1:5" x14ac:dyDescent="0.25">
      <c r="A147">
        <f t="shared" si="16"/>
        <v>270000000000</v>
      </c>
      <c r="B147">
        <f t="shared" si="21"/>
        <v>0</v>
      </c>
      <c r="C147">
        <f t="shared" si="19"/>
        <v>0</v>
      </c>
      <c r="D147">
        <f t="shared" si="19"/>
        <v>0</v>
      </c>
      <c r="E147">
        <f t="shared" si="20"/>
        <v>0</v>
      </c>
    </row>
    <row r="148" spans="1:5" x14ac:dyDescent="0.25">
      <c r="A148">
        <f t="shared" si="16"/>
        <v>330000000000</v>
      </c>
      <c r="B148">
        <f t="shared" si="21"/>
        <v>0</v>
      </c>
      <c r="C148">
        <f t="shared" si="19"/>
        <v>0</v>
      </c>
      <c r="D148">
        <f t="shared" si="19"/>
        <v>0</v>
      </c>
      <c r="E148">
        <f t="shared" si="20"/>
        <v>0</v>
      </c>
    </row>
    <row r="149" spans="1:5" x14ac:dyDescent="0.25">
      <c r="A149">
        <f t="shared" si="16"/>
        <v>390000000000</v>
      </c>
      <c r="B149">
        <f t="shared" si="21"/>
        <v>0</v>
      </c>
      <c r="C149">
        <f t="shared" si="19"/>
        <v>0</v>
      </c>
      <c r="D149">
        <f t="shared" si="19"/>
        <v>0</v>
      </c>
      <c r="E149">
        <f t="shared" si="20"/>
        <v>0</v>
      </c>
    </row>
    <row r="150" spans="1:5" x14ac:dyDescent="0.25">
      <c r="A150">
        <f t="shared" si="16"/>
        <v>470000000000</v>
      </c>
      <c r="B150">
        <f t="shared" si="21"/>
        <v>0</v>
      </c>
      <c r="C150">
        <f t="shared" si="19"/>
        <v>0</v>
      </c>
      <c r="D150">
        <f t="shared" si="19"/>
        <v>0</v>
      </c>
      <c r="E150">
        <f t="shared" si="20"/>
        <v>0</v>
      </c>
    </row>
    <row r="151" spans="1:5" x14ac:dyDescent="0.25">
      <c r="A151">
        <f t="shared" si="16"/>
        <v>560000000000</v>
      </c>
      <c r="B151">
        <f t="shared" si="21"/>
        <v>0</v>
      </c>
      <c r="C151">
        <f t="shared" si="19"/>
        <v>0</v>
      </c>
      <c r="D151">
        <f t="shared" si="19"/>
        <v>0</v>
      </c>
      <c r="E151">
        <f t="shared" si="20"/>
        <v>0</v>
      </c>
    </row>
    <row r="152" spans="1:5" x14ac:dyDescent="0.25">
      <c r="A152">
        <f t="shared" si="16"/>
        <v>680000000000</v>
      </c>
      <c r="B152">
        <f t="shared" si="21"/>
        <v>0</v>
      </c>
      <c r="C152">
        <f t="shared" si="19"/>
        <v>0</v>
      </c>
      <c r="D152">
        <f t="shared" si="19"/>
        <v>0</v>
      </c>
      <c r="E152">
        <f t="shared" si="20"/>
        <v>0</v>
      </c>
    </row>
    <row r="153" spans="1:5" x14ac:dyDescent="0.25">
      <c r="A153">
        <f t="shared" si="16"/>
        <v>820000000000</v>
      </c>
      <c r="B153">
        <f t="shared" si="21"/>
        <v>0</v>
      </c>
      <c r="C153">
        <f t="shared" si="19"/>
        <v>0</v>
      </c>
      <c r="D153">
        <f t="shared" si="19"/>
        <v>0</v>
      </c>
      <c r="E153">
        <f t="shared" si="20"/>
        <v>0</v>
      </c>
    </row>
    <row r="154" spans="1:5" x14ac:dyDescent="0.25">
      <c r="A154">
        <f t="shared" si="16"/>
        <v>1000000000000</v>
      </c>
      <c r="B154">
        <f t="shared" si="21"/>
        <v>0</v>
      </c>
      <c r="C154">
        <f t="shared" si="19"/>
        <v>0</v>
      </c>
      <c r="D154">
        <f t="shared" si="19"/>
        <v>0</v>
      </c>
      <c r="E154">
        <f t="shared" si="20"/>
        <v>0</v>
      </c>
    </row>
    <row r="155" spans="1:5" x14ac:dyDescent="0.25">
      <c r="A155">
        <f t="shared" si="16"/>
        <v>1200000000000</v>
      </c>
      <c r="B155">
        <f t="shared" si="21"/>
        <v>0</v>
      </c>
      <c r="C155">
        <f t="shared" si="19"/>
        <v>0</v>
      </c>
      <c r="D155">
        <f t="shared" si="19"/>
        <v>0</v>
      </c>
      <c r="E155">
        <f t="shared" si="20"/>
        <v>0</v>
      </c>
    </row>
    <row r="156" spans="1:5" x14ac:dyDescent="0.25">
      <c r="A156">
        <f t="shared" si="16"/>
        <v>1500000000000</v>
      </c>
      <c r="B156">
        <f t="shared" si="21"/>
        <v>0</v>
      </c>
      <c r="C156">
        <f t="shared" si="19"/>
        <v>0</v>
      </c>
      <c r="D156">
        <f t="shared" si="19"/>
        <v>0</v>
      </c>
      <c r="E156">
        <f t="shared" si="20"/>
        <v>0</v>
      </c>
    </row>
    <row r="157" spans="1:5" x14ac:dyDescent="0.25">
      <c r="A157">
        <f t="shared" si="16"/>
        <v>1800000000000</v>
      </c>
      <c r="B157">
        <f t="shared" si="21"/>
        <v>0</v>
      </c>
      <c r="C157">
        <f t="shared" si="19"/>
        <v>0</v>
      </c>
      <c r="D157">
        <f t="shared" si="19"/>
        <v>0</v>
      </c>
      <c r="E157">
        <f t="shared" si="20"/>
        <v>0</v>
      </c>
    </row>
    <row r="158" spans="1:5" x14ac:dyDescent="0.25">
      <c r="A158">
        <f t="shared" si="16"/>
        <v>2200000000000</v>
      </c>
      <c r="B158">
        <f t="shared" si="21"/>
        <v>0</v>
      </c>
      <c r="C158">
        <f t="shared" si="19"/>
        <v>0</v>
      </c>
      <c r="D158">
        <f t="shared" si="19"/>
        <v>0</v>
      </c>
      <c r="E158">
        <f t="shared" si="20"/>
        <v>0</v>
      </c>
    </row>
    <row r="159" spans="1:5" x14ac:dyDescent="0.25">
      <c r="A159" s="10">
        <f t="shared" si="16"/>
        <v>2700000000000</v>
      </c>
      <c r="B159">
        <f t="shared" si="21"/>
        <v>2700000000000</v>
      </c>
      <c r="C159">
        <f t="shared" si="19"/>
        <v>0</v>
      </c>
      <c r="D159">
        <f t="shared" si="19"/>
        <v>0</v>
      </c>
      <c r="E159">
        <f t="shared" si="20"/>
        <v>2700000000000</v>
      </c>
    </row>
  </sheetData>
  <sheetProtection algorithmName="SHA-512" hashValue="nxn/g3jr+CcxXjjtGC2w9QiSZZ+oY583y5MklWduaLQg7SO3Au4IW+w1sYyn+hSqeBt1fNjpn0diym8vCKvXUw==" saltValue="/AHogwTYZOK7V88alwi9gA==" spinCount="100000" sheet="1" objects="1" scenarios="1"/>
  <phoneticPr fontId="6"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FF0000"/>
  </sheetPr>
  <dimension ref="A1:U55"/>
  <sheetViews>
    <sheetView zoomScale="72" zoomScaleNormal="70" workbookViewId="0">
      <selection activeCell="Q30" sqref="Q30"/>
    </sheetView>
  </sheetViews>
  <sheetFormatPr defaultRowHeight="13.2" x14ac:dyDescent="0.25"/>
  <cols>
    <col min="1" max="1" width="9.5546875" style="92" customWidth="1"/>
    <col min="2" max="2" width="11.44140625" style="92" customWidth="1"/>
    <col min="3" max="3" width="13.44140625" style="92" customWidth="1"/>
    <col min="4" max="4" width="20.33203125" style="92" customWidth="1"/>
    <col min="5" max="5" width="17.33203125" style="92" customWidth="1"/>
    <col min="6" max="6" width="13.5546875" style="92" customWidth="1"/>
    <col min="7" max="7" width="16.33203125" style="92" customWidth="1"/>
    <col min="8" max="8" width="18.33203125" style="92" customWidth="1"/>
    <col min="9" max="9" width="10.6640625" style="92" customWidth="1"/>
    <col min="10" max="10" width="15.6640625" style="92" customWidth="1"/>
    <col min="11" max="11" width="11.6640625" style="401" customWidth="1"/>
    <col min="12" max="12" width="7.6640625" style="400" customWidth="1"/>
    <col min="13" max="13" width="11.6640625" style="92" customWidth="1"/>
    <col min="14" max="254" width="9.33203125" style="92"/>
    <col min="255" max="255" width="8.6640625" style="92" bestFit="1" customWidth="1"/>
    <col min="256" max="256" width="13.33203125" style="92" customWidth="1"/>
    <col min="257" max="257" width="16.33203125" style="92" bestFit="1" customWidth="1"/>
    <col min="258" max="258" width="23.5546875" style="92" customWidth="1"/>
    <col min="259" max="259" width="17.33203125" style="92" customWidth="1"/>
    <col min="260" max="260" width="20.5546875" style="92" bestFit="1" customWidth="1"/>
    <col min="261" max="261" width="17.33203125" style="92" customWidth="1"/>
    <col min="262" max="262" width="21.6640625" style="92" bestFit="1" customWidth="1"/>
    <col min="263" max="263" width="17.33203125" style="92" bestFit="1" customWidth="1"/>
    <col min="264" max="264" width="18.33203125" style="92" bestFit="1" customWidth="1"/>
    <col min="265" max="265" width="26.44140625" style="92" customWidth="1"/>
    <col min="266" max="510" width="9.33203125" style="92"/>
    <col min="511" max="511" width="8.6640625" style="92" bestFit="1" customWidth="1"/>
    <col min="512" max="512" width="13.33203125" style="92" customWidth="1"/>
    <col min="513" max="513" width="16.33203125" style="92" bestFit="1" customWidth="1"/>
    <col min="514" max="514" width="23.5546875" style="92" customWidth="1"/>
    <col min="515" max="515" width="17.33203125" style="92" customWidth="1"/>
    <col min="516" max="516" width="20.5546875" style="92" bestFit="1" customWidth="1"/>
    <col min="517" max="517" width="17.33203125" style="92" customWidth="1"/>
    <col min="518" max="518" width="21.6640625" style="92" bestFit="1" customWidth="1"/>
    <col min="519" max="519" width="17.33203125" style="92" bestFit="1" customWidth="1"/>
    <col min="520" max="520" width="18.33203125" style="92" bestFit="1" customWidth="1"/>
    <col min="521" max="521" width="26.44140625" style="92" customWidth="1"/>
    <col min="522" max="766" width="9.33203125" style="92"/>
    <col min="767" max="767" width="8.6640625" style="92" bestFit="1" customWidth="1"/>
    <col min="768" max="768" width="13.33203125" style="92" customWidth="1"/>
    <col min="769" max="769" width="16.33203125" style="92" bestFit="1" customWidth="1"/>
    <col min="770" max="770" width="23.5546875" style="92" customWidth="1"/>
    <col min="771" max="771" width="17.33203125" style="92" customWidth="1"/>
    <col min="772" max="772" width="20.5546875" style="92" bestFit="1" customWidth="1"/>
    <col min="773" max="773" width="17.33203125" style="92" customWidth="1"/>
    <col min="774" max="774" width="21.6640625" style="92" bestFit="1" customWidth="1"/>
    <col min="775" max="775" width="17.33203125" style="92" bestFit="1" customWidth="1"/>
    <col min="776" max="776" width="18.33203125" style="92" bestFit="1" customWidth="1"/>
    <col min="777" max="777" width="26.44140625" style="92" customWidth="1"/>
    <col min="778" max="1022" width="9.33203125" style="92"/>
    <col min="1023" max="1023" width="8.6640625" style="92" bestFit="1" customWidth="1"/>
    <col min="1024" max="1024" width="13.33203125" style="92" customWidth="1"/>
    <col min="1025" max="1025" width="16.33203125" style="92" bestFit="1" customWidth="1"/>
    <col min="1026" max="1026" width="23.5546875" style="92" customWidth="1"/>
    <col min="1027" max="1027" width="17.33203125" style="92" customWidth="1"/>
    <col min="1028" max="1028" width="20.5546875" style="92" bestFit="1" customWidth="1"/>
    <col min="1029" max="1029" width="17.33203125" style="92" customWidth="1"/>
    <col min="1030" max="1030" width="21.6640625" style="92" bestFit="1" customWidth="1"/>
    <col min="1031" max="1031" width="17.33203125" style="92" bestFit="1" customWidth="1"/>
    <col min="1032" max="1032" width="18.33203125" style="92" bestFit="1" customWidth="1"/>
    <col min="1033" max="1033" width="26.44140625" style="92" customWidth="1"/>
    <col min="1034" max="1278" width="9.33203125" style="92"/>
    <col min="1279" max="1279" width="8.6640625" style="92" bestFit="1" customWidth="1"/>
    <col min="1280" max="1280" width="13.33203125" style="92" customWidth="1"/>
    <col min="1281" max="1281" width="16.33203125" style="92" bestFit="1" customWidth="1"/>
    <col min="1282" max="1282" width="23.5546875" style="92" customWidth="1"/>
    <col min="1283" max="1283" width="17.33203125" style="92" customWidth="1"/>
    <col min="1284" max="1284" width="20.5546875" style="92" bestFit="1" customWidth="1"/>
    <col min="1285" max="1285" width="17.33203125" style="92" customWidth="1"/>
    <col min="1286" max="1286" width="21.6640625" style="92" bestFit="1" customWidth="1"/>
    <col min="1287" max="1287" width="17.33203125" style="92" bestFit="1" customWidth="1"/>
    <col min="1288" max="1288" width="18.33203125" style="92" bestFit="1" customWidth="1"/>
    <col min="1289" max="1289" width="26.44140625" style="92" customWidth="1"/>
    <col min="1290" max="1534" width="9.33203125" style="92"/>
    <col min="1535" max="1535" width="8.6640625" style="92" bestFit="1" customWidth="1"/>
    <col min="1536" max="1536" width="13.33203125" style="92" customWidth="1"/>
    <col min="1537" max="1537" width="16.33203125" style="92" bestFit="1" customWidth="1"/>
    <col min="1538" max="1538" width="23.5546875" style="92" customWidth="1"/>
    <col min="1539" max="1539" width="17.33203125" style="92" customWidth="1"/>
    <col min="1540" max="1540" width="20.5546875" style="92" bestFit="1" customWidth="1"/>
    <col min="1541" max="1541" width="17.33203125" style="92" customWidth="1"/>
    <col min="1542" max="1542" width="21.6640625" style="92" bestFit="1" customWidth="1"/>
    <col min="1543" max="1543" width="17.33203125" style="92" bestFit="1" customWidth="1"/>
    <col min="1544" max="1544" width="18.33203125" style="92" bestFit="1" customWidth="1"/>
    <col min="1545" max="1545" width="26.44140625" style="92" customWidth="1"/>
    <col min="1546" max="1790" width="9.33203125" style="92"/>
    <col min="1791" max="1791" width="8.6640625" style="92" bestFit="1" customWidth="1"/>
    <col min="1792" max="1792" width="13.33203125" style="92" customWidth="1"/>
    <col min="1793" max="1793" width="16.33203125" style="92" bestFit="1" customWidth="1"/>
    <col min="1794" max="1794" width="23.5546875" style="92" customWidth="1"/>
    <col min="1795" max="1795" width="17.33203125" style="92" customWidth="1"/>
    <col min="1796" max="1796" width="20.5546875" style="92" bestFit="1" customWidth="1"/>
    <col min="1797" max="1797" width="17.33203125" style="92" customWidth="1"/>
    <col min="1798" max="1798" width="21.6640625" style="92" bestFit="1" customWidth="1"/>
    <col min="1799" max="1799" width="17.33203125" style="92" bestFit="1" customWidth="1"/>
    <col min="1800" max="1800" width="18.33203125" style="92" bestFit="1" customWidth="1"/>
    <col min="1801" max="1801" width="26.44140625" style="92" customWidth="1"/>
    <col min="1802" max="2046" width="9.33203125" style="92"/>
    <col min="2047" max="2047" width="8.6640625" style="92" bestFit="1" customWidth="1"/>
    <col min="2048" max="2048" width="13.33203125" style="92" customWidth="1"/>
    <col min="2049" max="2049" width="16.33203125" style="92" bestFit="1" customWidth="1"/>
    <col min="2050" max="2050" width="23.5546875" style="92" customWidth="1"/>
    <col min="2051" max="2051" width="17.33203125" style="92" customWidth="1"/>
    <col min="2052" max="2052" width="20.5546875" style="92" bestFit="1" customWidth="1"/>
    <col min="2053" max="2053" width="17.33203125" style="92" customWidth="1"/>
    <col min="2054" max="2054" width="21.6640625" style="92" bestFit="1" customWidth="1"/>
    <col min="2055" max="2055" width="17.33203125" style="92" bestFit="1" customWidth="1"/>
    <col min="2056" max="2056" width="18.33203125" style="92" bestFit="1" customWidth="1"/>
    <col min="2057" max="2057" width="26.44140625" style="92" customWidth="1"/>
    <col min="2058" max="2302" width="9.33203125" style="92"/>
    <col min="2303" max="2303" width="8.6640625" style="92" bestFit="1" customWidth="1"/>
    <col min="2304" max="2304" width="13.33203125" style="92" customWidth="1"/>
    <col min="2305" max="2305" width="16.33203125" style="92" bestFit="1" customWidth="1"/>
    <col min="2306" max="2306" width="23.5546875" style="92" customWidth="1"/>
    <col min="2307" max="2307" width="17.33203125" style="92" customWidth="1"/>
    <col min="2308" max="2308" width="20.5546875" style="92" bestFit="1" customWidth="1"/>
    <col min="2309" max="2309" width="17.33203125" style="92" customWidth="1"/>
    <col min="2310" max="2310" width="21.6640625" style="92" bestFit="1" customWidth="1"/>
    <col min="2311" max="2311" width="17.33203125" style="92" bestFit="1" customWidth="1"/>
    <col min="2312" max="2312" width="18.33203125" style="92" bestFit="1" customWidth="1"/>
    <col min="2313" max="2313" width="26.44140625" style="92" customWidth="1"/>
    <col min="2314" max="2558" width="9.33203125" style="92"/>
    <col min="2559" max="2559" width="8.6640625" style="92" bestFit="1" customWidth="1"/>
    <col min="2560" max="2560" width="13.33203125" style="92" customWidth="1"/>
    <col min="2561" max="2561" width="16.33203125" style="92" bestFit="1" customWidth="1"/>
    <col min="2562" max="2562" width="23.5546875" style="92" customWidth="1"/>
    <col min="2563" max="2563" width="17.33203125" style="92" customWidth="1"/>
    <col min="2564" max="2564" width="20.5546875" style="92" bestFit="1" customWidth="1"/>
    <col min="2565" max="2565" width="17.33203125" style="92" customWidth="1"/>
    <col min="2566" max="2566" width="21.6640625" style="92" bestFit="1" customWidth="1"/>
    <col min="2567" max="2567" width="17.33203125" style="92" bestFit="1" customWidth="1"/>
    <col min="2568" max="2568" width="18.33203125" style="92" bestFit="1" customWidth="1"/>
    <col min="2569" max="2569" width="26.44140625" style="92" customWidth="1"/>
    <col min="2570" max="2814" width="9.33203125" style="92"/>
    <col min="2815" max="2815" width="8.6640625" style="92" bestFit="1" customWidth="1"/>
    <col min="2816" max="2816" width="13.33203125" style="92" customWidth="1"/>
    <col min="2817" max="2817" width="16.33203125" style="92" bestFit="1" customWidth="1"/>
    <col min="2818" max="2818" width="23.5546875" style="92" customWidth="1"/>
    <col min="2819" max="2819" width="17.33203125" style="92" customWidth="1"/>
    <col min="2820" max="2820" width="20.5546875" style="92" bestFit="1" customWidth="1"/>
    <col min="2821" max="2821" width="17.33203125" style="92" customWidth="1"/>
    <col min="2822" max="2822" width="21.6640625" style="92" bestFit="1" customWidth="1"/>
    <col min="2823" max="2823" width="17.33203125" style="92" bestFit="1" customWidth="1"/>
    <col min="2824" max="2824" width="18.33203125" style="92" bestFit="1" customWidth="1"/>
    <col min="2825" max="2825" width="26.44140625" style="92" customWidth="1"/>
    <col min="2826" max="3070" width="9.33203125" style="92"/>
    <col min="3071" max="3071" width="8.6640625" style="92" bestFit="1" customWidth="1"/>
    <col min="3072" max="3072" width="13.33203125" style="92" customWidth="1"/>
    <col min="3073" max="3073" width="16.33203125" style="92" bestFit="1" customWidth="1"/>
    <col min="3074" max="3074" width="23.5546875" style="92" customWidth="1"/>
    <col min="3075" max="3075" width="17.33203125" style="92" customWidth="1"/>
    <col min="3076" max="3076" width="20.5546875" style="92" bestFit="1" customWidth="1"/>
    <col min="3077" max="3077" width="17.33203125" style="92" customWidth="1"/>
    <col min="3078" max="3078" width="21.6640625" style="92" bestFit="1" customWidth="1"/>
    <col min="3079" max="3079" width="17.33203125" style="92" bestFit="1" customWidth="1"/>
    <col min="3080" max="3080" width="18.33203125" style="92" bestFit="1" customWidth="1"/>
    <col min="3081" max="3081" width="26.44140625" style="92" customWidth="1"/>
    <col min="3082" max="3326" width="9.33203125" style="92"/>
    <col min="3327" max="3327" width="8.6640625" style="92" bestFit="1" customWidth="1"/>
    <col min="3328" max="3328" width="13.33203125" style="92" customWidth="1"/>
    <col min="3329" max="3329" width="16.33203125" style="92" bestFit="1" customWidth="1"/>
    <col min="3330" max="3330" width="23.5546875" style="92" customWidth="1"/>
    <col min="3331" max="3331" width="17.33203125" style="92" customWidth="1"/>
    <col min="3332" max="3332" width="20.5546875" style="92" bestFit="1" customWidth="1"/>
    <col min="3333" max="3333" width="17.33203125" style="92" customWidth="1"/>
    <col min="3334" max="3334" width="21.6640625" style="92" bestFit="1" customWidth="1"/>
    <col min="3335" max="3335" width="17.33203125" style="92" bestFit="1" customWidth="1"/>
    <col min="3336" max="3336" width="18.33203125" style="92" bestFit="1" customWidth="1"/>
    <col min="3337" max="3337" width="26.44140625" style="92" customWidth="1"/>
    <col min="3338" max="3582" width="9.33203125" style="92"/>
    <col min="3583" max="3583" width="8.6640625" style="92" bestFit="1" customWidth="1"/>
    <col min="3584" max="3584" width="13.33203125" style="92" customWidth="1"/>
    <col min="3585" max="3585" width="16.33203125" style="92" bestFit="1" customWidth="1"/>
    <col min="3586" max="3586" width="23.5546875" style="92" customWidth="1"/>
    <col min="3587" max="3587" width="17.33203125" style="92" customWidth="1"/>
    <col min="3588" max="3588" width="20.5546875" style="92" bestFit="1" customWidth="1"/>
    <col min="3589" max="3589" width="17.33203125" style="92" customWidth="1"/>
    <col min="3590" max="3590" width="21.6640625" style="92" bestFit="1" customWidth="1"/>
    <col min="3591" max="3591" width="17.33203125" style="92" bestFit="1" customWidth="1"/>
    <col min="3592" max="3592" width="18.33203125" style="92" bestFit="1" customWidth="1"/>
    <col min="3593" max="3593" width="26.44140625" style="92" customWidth="1"/>
    <col min="3594" max="3838" width="9.33203125" style="92"/>
    <col min="3839" max="3839" width="8.6640625" style="92" bestFit="1" customWidth="1"/>
    <col min="3840" max="3840" width="13.33203125" style="92" customWidth="1"/>
    <col min="3841" max="3841" width="16.33203125" style="92" bestFit="1" customWidth="1"/>
    <col min="3842" max="3842" width="23.5546875" style="92" customWidth="1"/>
    <col min="3843" max="3843" width="17.33203125" style="92" customWidth="1"/>
    <col min="3844" max="3844" width="20.5546875" style="92" bestFit="1" customWidth="1"/>
    <col min="3845" max="3845" width="17.33203125" style="92" customWidth="1"/>
    <col min="3846" max="3846" width="21.6640625" style="92" bestFit="1" customWidth="1"/>
    <col min="3847" max="3847" width="17.33203125" style="92" bestFit="1" customWidth="1"/>
    <col min="3848" max="3848" width="18.33203125" style="92" bestFit="1" customWidth="1"/>
    <col min="3849" max="3849" width="26.44140625" style="92" customWidth="1"/>
    <col min="3850" max="4094" width="9.33203125" style="92"/>
    <col min="4095" max="4095" width="8.6640625" style="92" bestFit="1" customWidth="1"/>
    <col min="4096" max="4096" width="13.33203125" style="92" customWidth="1"/>
    <col min="4097" max="4097" width="16.33203125" style="92" bestFit="1" customWidth="1"/>
    <col min="4098" max="4098" width="23.5546875" style="92" customWidth="1"/>
    <col min="4099" max="4099" width="17.33203125" style="92" customWidth="1"/>
    <col min="4100" max="4100" width="20.5546875" style="92" bestFit="1" customWidth="1"/>
    <col min="4101" max="4101" width="17.33203125" style="92" customWidth="1"/>
    <col min="4102" max="4102" width="21.6640625" style="92" bestFit="1" customWidth="1"/>
    <col min="4103" max="4103" width="17.33203125" style="92" bestFit="1" customWidth="1"/>
    <col min="4104" max="4104" width="18.33203125" style="92" bestFit="1" customWidth="1"/>
    <col min="4105" max="4105" width="26.44140625" style="92" customWidth="1"/>
    <col min="4106" max="4350" width="9.33203125" style="92"/>
    <col min="4351" max="4351" width="8.6640625" style="92" bestFit="1" customWidth="1"/>
    <col min="4352" max="4352" width="13.33203125" style="92" customWidth="1"/>
    <col min="4353" max="4353" width="16.33203125" style="92" bestFit="1" customWidth="1"/>
    <col min="4354" max="4354" width="23.5546875" style="92" customWidth="1"/>
    <col min="4355" max="4355" width="17.33203125" style="92" customWidth="1"/>
    <col min="4356" max="4356" width="20.5546875" style="92" bestFit="1" customWidth="1"/>
    <col min="4357" max="4357" width="17.33203125" style="92" customWidth="1"/>
    <col min="4358" max="4358" width="21.6640625" style="92" bestFit="1" customWidth="1"/>
    <col min="4359" max="4359" width="17.33203125" style="92" bestFit="1" customWidth="1"/>
    <col min="4360" max="4360" width="18.33203125" style="92" bestFit="1" customWidth="1"/>
    <col min="4361" max="4361" width="26.44140625" style="92" customWidth="1"/>
    <col min="4362" max="4606" width="9.33203125" style="92"/>
    <col min="4607" max="4607" width="8.6640625" style="92" bestFit="1" customWidth="1"/>
    <col min="4608" max="4608" width="13.33203125" style="92" customWidth="1"/>
    <col min="4609" max="4609" width="16.33203125" style="92" bestFit="1" customWidth="1"/>
    <col min="4610" max="4610" width="23.5546875" style="92" customWidth="1"/>
    <col min="4611" max="4611" width="17.33203125" style="92" customWidth="1"/>
    <col min="4612" max="4612" width="20.5546875" style="92" bestFit="1" customWidth="1"/>
    <col min="4613" max="4613" width="17.33203125" style="92" customWidth="1"/>
    <col min="4614" max="4614" width="21.6640625" style="92" bestFit="1" customWidth="1"/>
    <col min="4615" max="4615" width="17.33203125" style="92" bestFit="1" customWidth="1"/>
    <col min="4616" max="4616" width="18.33203125" style="92" bestFit="1" customWidth="1"/>
    <col min="4617" max="4617" width="26.44140625" style="92" customWidth="1"/>
    <col min="4618" max="4862" width="9.33203125" style="92"/>
    <col min="4863" max="4863" width="8.6640625" style="92" bestFit="1" customWidth="1"/>
    <col min="4864" max="4864" width="13.33203125" style="92" customWidth="1"/>
    <col min="4865" max="4865" width="16.33203125" style="92" bestFit="1" customWidth="1"/>
    <col min="4866" max="4866" width="23.5546875" style="92" customWidth="1"/>
    <col min="4867" max="4867" width="17.33203125" style="92" customWidth="1"/>
    <col min="4868" max="4868" width="20.5546875" style="92" bestFit="1" customWidth="1"/>
    <col min="4869" max="4869" width="17.33203125" style="92" customWidth="1"/>
    <col min="4870" max="4870" width="21.6640625" style="92" bestFit="1" customWidth="1"/>
    <col min="4871" max="4871" width="17.33203125" style="92" bestFit="1" customWidth="1"/>
    <col min="4872" max="4872" width="18.33203125" style="92" bestFit="1" customWidth="1"/>
    <col min="4873" max="4873" width="26.44140625" style="92" customWidth="1"/>
    <col min="4874" max="5118" width="9.33203125" style="92"/>
    <col min="5119" max="5119" width="8.6640625" style="92" bestFit="1" customWidth="1"/>
    <col min="5120" max="5120" width="13.33203125" style="92" customWidth="1"/>
    <col min="5121" max="5121" width="16.33203125" style="92" bestFit="1" customWidth="1"/>
    <col min="5122" max="5122" width="23.5546875" style="92" customWidth="1"/>
    <col min="5123" max="5123" width="17.33203125" style="92" customWidth="1"/>
    <col min="5124" max="5124" width="20.5546875" style="92" bestFit="1" customWidth="1"/>
    <col min="5125" max="5125" width="17.33203125" style="92" customWidth="1"/>
    <col min="5126" max="5126" width="21.6640625" style="92" bestFit="1" customWidth="1"/>
    <col min="5127" max="5127" width="17.33203125" style="92" bestFit="1" customWidth="1"/>
    <col min="5128" max="5128" width="18.33203125" style="92" bestFit="1" customWidth="1"/>
    <col min="5129" max="5129" width="26.44140625" style="92" customWidth="1"/>
    <col min="5130" max="5374" width="9.33203125" style="92"/>
    <col min="5375" max="5375" width="8.6640625" style="92" bestFit="1" customWidth="1"/>
    <col min="5376" max="5376" width="13.33203125" style="92" customWidth="1"/>
    <col min="5377" max="5377" width="16.33203125" style="92" bestFit="1" customWidth="1"/>
    <col min="5378" max="5378" width="23.5546875" style="92" customWidth="1"/>
    <col min="5379" max="5379" width="17.33203125" style="92" customWidth="1"/>
    <col min="5380" max="5380" width="20.5546875" style="92" bestFit="1" customWidth="1"/>
    <col min="5381" max="5381" width="17.33203125" style="92" customWidth="1"/>
    <col min="5382" max="5382" width="21.6640625" style="92" bestFit="1" customWidth="1"/>
    <col min="5383" max="5383" width="17.33203125" style="92" bestFit="1" customWidth="1"/>
    <col min="5384" max="5384" width="18.33203125" style="92" bestFit="1" customWidth="1"/>
    <col min="5385" max="5385" width="26.44140625" style="92" customWidth="1"/>
    <col min="5386" max="5630" width="9.33203125" style="92"/>
    <col min="5631" max="5631" width="8.6640625" style="92" bestFit="1" customWidth="1"/>
    <col min="5632" max="5632" width="13.33203125" style="92" customWidth="1"/>
    <col min="5633" max="5633" width="16.33203125" style="92" bestFit="1" customWidth="1"/>
    <col min="5634" max="5634" width="23.5546875" style="92" customWidth="1"/>
    <col min="5635" max="5635" width="17.33203125" style="92" customWidth="1"/>
    <col min="5636" max="5636" width="20.5546875" style="92" bestFit="1" customWidth="1"/>
    <col min="5637" max="5637" width="17.33203125" style="92" customWidth="1"/>
    <col min="5638" max="5638" width="21.6640625" style="92" bestFit="1" customWidth="1"/>
    <col min="5639" max="5639" width="17.33203125" style="92" bestFit="1" customWidth="1"/>
    <col min="5640" max="5640" width="18.33203125" style="92" bestFit="1" customWidth="1"/>
    <col min="5641" max="5641" width="26.44140625" style="92" customWidth="1"/>
    <col min="5642" max="5886" width="9.33203125" style="92"/>
    <col min="5887" max="5887" width="8.6640625" style="92" bestFit="1" customWidth="1"/>
    <col min="5888" max="5888" width="13.33203125" style="92" customWidth="1"/>
    <col min="5889" max="5889" width="16.33203125" style="92" bestFit="1" customWidth="1"/>
    <col min="5890" max="5890" width="23.5546875" style="92" customWidth="1"/>
    <col min="5891" max="5891" width="17.33203125" style="92" customWidth="1"/>
    <col min="5892" max="5892" width="20.5546875" style="92" bestFit="1" customWidth="1"/>
    <col min="5893" max="5893" width="17.33203125" style="92" customWidth="1"/>
    <col min="5894" max="5894" width="21.6640625" style="92" bestFit="1" customWidth="1"/>
    <col min="5895" max="5895" width="17.33203125" style="92" bestFit="1" customWidth="1"/>
    <col min="5896" max="5896" width="18.33203125" style="92" bestFit="1" customWidth="1"/>
    <col min="5897" max="5897" width="26.44140625" style="92" customWidth="1"/>
    <col min="5898" max="6142" width="9.33203125" style="92"/>
    <col min="6143" max="6143" width="8.6640625" style="92" bestFit="1" customWidth="1"/>
    <col min="6144" max="6144" width="13.33203125" style="92" customWidth="1"/>
    <col min="6145" max="6145" width="16.33203125" style="92" bestFit="1" customWidth="1"/>
    <col min="6146" max="6146" width="23.5546875" style="92" customWidth="1"/>
    <col min="6147" max="6147" width="17.33203125" style="92" customWidth="1"/>
    <col min="6148" max="6148" width="20.5546875" style="92" bestFit="1" customWidth="1"/>
    <col min="6149" max="6149" width="17.33203125" style="92" customWidth="1"/>
    <col min="6150" max="6150" width="21.6640625" style="92" bestFit="1" customWidth="1"/>
    <col min="6151" max="6151" width="17.33203125" style="92" bestFit="1" customWidth="1"/>
    <col min="6152" max="6152" width="18.33203125" style="92" bestFit="1" customWidth="1"/>
    <col min="6153" max="6153" width="26.44140625" style="92" customWidth="1"/>
    <col min="6154" max="6398" width="9.33203125" style="92"/>
    <col min="6399" max="6399" width="8.6640625" style="92" bestFit="1" customWidth="1"/>
    <col min="6400" max="6400" width="13.33203125" style="92" customWidth="1"/>
    <col min="6401" max="6401" width="16.33203125" style="92" bestFit="1" customWidth="1"/>
    <col min="6402" max="6402" width="23.5546875" style="92" customWidth="1"/>
    <col min="6403" max="6403" width="17.33203125" style="92" customWidth="1"/>
    <col min="6404" max="6404" width="20.5546875" style="92" bestFit="1" customWidth="1"/>
    <col min="6405" max="6405" width="17.33203125" style="92" customWidth="1"/>
    <col min="6406" max="6406" width="21.6640625" style="92" bestFit="1" customWidth="1"/>
    <col min="6407" max="6407" width="17.33203125" style="92" bestFit="1" customWidth="1"/>
    <col min="6408" max="6408" width="18.33203125" style="92" bestFit="1" customWidth="1"/>
    <col min="6409" max="6409" width="26.44140625" style="92" customWidth="1"/>
    <col min="6410" max="6654" width="9.33203125" style="92"/>
    <col min="6655" max="6655" width="8.6640625" style="92" bestFit="1" customWidth="1"/>
    <col min="6656" max="6656" width="13.33203125" style="92" customWidth="1"/>
    <col min="6657" max="6657" width="16.33203125" style="92" bestFit="1" customWidth="1"/>
    <col min="6658" max="6658" width="23.5546875" style="92" customWidth="1"/>
    <col min="6659" max="6659" width="17.33203125" style="92" customWidth="1"/>
    <col min="6660" max="6660" width="20.5546875" style="92" bestFit="1" customWidth="1"/>
    <col min="6661" max="6661" width="17.33203125" style="92" customWidth="1"/>
    <col min="6662" max="6662" width="21.6640625" style="92" bestFit="1" customWidth="1"/>
    <col min="6663" max="6663" width="17.33203125" style="92" bestFit="1" customWidth="1"/>
    <col min="6664" max="6664" width="18.33203125" style="92" bestFit="1" customWidth="1"/>
    <col min="6665" max="6665" width="26.44140625" style="92" customWidth="1"/>
    <col min="6666" max="6910" width="9.33203125" style="92"/>
    <col min="6911" max="6911" width="8.6640625" style="92" bestFit="1" customWidth="1"/>
    <col min="6912" max="6912" width="13.33203125" style="92" customWidth="1"/>
    <col min="6913" max="6913" width="16.33203125" style="92" bestFit="1" customWidth="1"/>
    <col min="6914" max="6914" width="23.5546875" style="92" customWidth="1"/>
    <col min="6915" max="6915" width="17.33203125" style="92" customWidth="1"/>
    <col min="6916" max="6916" width="20.5546875" style="92" bestFit="1" customWidth="1"/>
    <col min="6917" max="6917" width="17.33203125" style="92" customWidth="1"/>
    <col min="6918" max="6918" width="21.6640625" style="92" bestFit="1" customWidth="1"/>
    <col min="6919" max="6919" width="17.33203125" style="92" bestFit="1" customWidth="1"/>
    <col min="6920" max="6920" width="18.33203125" style="92" bestFit="1" customWidth="1"/>
    <col min="6921" max="6921" width="26.44140625" style="92" customWidth="1"/>
    <col min="6922" max="7166" width="9.33203125" style="92"/>
    <col min="7167" max="7167" width="8.6640625" style="92" bestFit="1" customWidth="1"/>
    <col min="7168" max="7168" width="13.33203125" style="92" customWidth="1"/>
    <col min="7169" max="7169" width="16.33203125" style="92" bestFit="1" customWidth="1"/>
    <col min="7170" max="7170" width="23.5546875" style="92" customWidth="1"/>
    <col min="7171" max="7171" width="17.33203125" style="92" customWidth="1"/>
    <col min="7172" max="7172" width="20.5546875" style="92" bestFit="1" customWidth="1"/>
    <col min="7173" max="7173" width="17.33203125" style="92" customWidth="1"/>
    <col min="7174" max="7174" width="21.6640625" style="92" bestFit="1" customWidth="1"/>
    <col min="7175" max="7175" width="17.33203125" style="92" bestFit="1" customWidth="1"/>
    <col min="7176" max="7176" width="18.33203125" style="92" bestFit="1" customWidth="1"/>
    <col min="7177" max="7177" width="26.44140625" style="92" customWidth="1"/>
    <col min="7178" max="7422" width="9.33203125" style="92"/>
    <col min="7423" max="7423" width="8.6640625" style="92" bestFit="1" customWidth="1"/>
    <col min="7424" max="7424" width="13.33203125" style="92" customWidth="1"/>
    <col min="7425" max="7425" width="16.33203125" style="92" bestFit="1" customWidth="1"/>
    <col min="7426" max="7426" width="23.5546875" style="92" customWidth="1"/>
    <col min="7427" max="7427" width="17.33203125" style="92" customWidth="1"/>
    <col min="7428" max="7428" width="20.5546875" style="92" bestFit="1" customWidth="1"/>
    <col min="7429" max="7429" width="17.33203125" style="92" customWidth="1"/>
    <col min="7430" max="7430" width="21.6640625" style="92" bestFit="1" customWidth="1"/>
    <col min="7431" max="7431" width="17.33203125" style="92" bestFit="1" customWidth="1"/>
    <col min="7432" max="7432" width="18.33203125" style="92" bestFit="1" customWidth="1"/>
    <col min="7433" max="7433" width="26.44140625" style="92" customWidth="1"/>
    <col min="7434" max="7678" width="9.33203125" style="92"/>
    <col min="7679" max="7679" width="8.6640625" style="92" bestFit="1" customWidth="1"/>
    <col min="7680" max="7680" width="13.33203125" style="92" customWidth="1"/>
    <col min="7681" max="7681" width="16.33203125" style="92" bestFit="1" customWidth="1"/>
    <col min="7682" max="7682" width="23.5546875" style="92" customWidth="1"/>
    <col min="7683" max="7683" width="17.33203125" style="92" customWidth="1"/>
    <col min="7684" max="7684" width="20.5546875" style="92" bestFit="1" customWidth="1"/>
    <col min="7685" max="7685" width="17.33203125" style="92" customWidth="1"/>
    <col min="7686" max="7686" width="21.6640625" style="92" bestFit="1" customWidth="1"/>
    <col min="7687" max="7687" width="17.33203125" style="92" bestFit="1" customWidth="1"/>
    <col min="7688" max="7688" width="18.33203125" style="92" bestFit="1" customWidth="1"/>
    <col min="7689" max="7689" width="26.44140625" style="92" customWidth="1"/>
    <col min="7690" max="7934" width="9.33203125" style="92"/>
    <col min="7935" max="7935" width="8.6640625" style="92" bestFit="1" customWidth="1"/>
    <col min="7936" max="7936" width="13.33203125" style="92" customWidth="1"/>
    <col min="7937" max="7937" width="16.33203125" style="92" bestFit="1" customWidth="1"/>
    <col min="7938" max="7938" width="23.5546875" style="92" customWidth="1"/>
    <col min="7939" max="7939" width="17.33203125" style="92" customWidth="1"/>
    <col min="7940" max="7940" width="20.5546875" style="92" bestFit="1" customWidth="1"/>
    <col min="7941" max="7941" width="17.33203125" style="92" customWidth="1"/>
    <col min="7942" max="7942" width="21.6640625" style="92" bestFit="1" customWidth="1"/>
    <col min="7943" max="7943" width="17.33203125" style="92" bestFit="1" customWidth="1"/>
    <col min="7944" max="7944" width="18.33203125" style="92" bestFit="1" customWidth="1"/>
    <col min="7945" max="7945" width="26.44140625" style="92" customWidth="1"/>
    <col min="7946" max="8190" width="9.33203125" style="92"/>
    <col min="8191" max="8191" width="8.6640625" style="92" bestFit="1" customWidth="1"/>
    <col min="8192" max="8192" width="13.33203125" style="92" customWidth="1"/>
    <col min="8193" max="8193" width="16.33203125" style="92" bestFit="1" customWidth="1"/>
    <col min="8194" max="8194" width="23.5546875" style="92" customWidth="1"/>
    <col min="8195" max="8195" width="17.33203125" style="92" customWidth="1"/>
    <col min="8196" max="8196" width="20.5546875" style="92" bestFit="1" customWidth="1"/>
    <col min="8197" max="8197" width="17.33203125" style="92" customWidth="1"/>
    <col min="8198" max="8198" width="21.6640625" style="92" bestFit="1" customWidth="1"/>
    <col min="8199" max="8199" width="17.33203125" style="92" bestFit="1" customWidth="1"/>
    <col min="8200" max="8200" width="18.33203125" style="92" bestFit="1" customWidth="1"/>
    <col min="8201" max="8201" width="26.44140625" style="92" customWidth="1"/>
    <col min="8202" max="8446" width="9.33203125" style="92"/>
    <col min="8447" max="8447" width="8.6640625" style="92" bestFit="1" customWidth="1"/>
    <col min="8448" max="8448" width="13.33203125" style="92" customWidth="1"/>
    <col min="8449" max="8449" width="16.33203125" style="92" bestFit="1" customWidth="1"/>
    <col min="8450" max="8450" width="23.5546875" style="92" customWidth="1"/>
    <col min="8451" max="8451" width="17.33203125" style="92" customWidth="1"/>
    <col min="8452" max="8452" width="20.5546875" style="92" bestFit="1" customWidth="1"/>
    <col min="8453" max="8453" width="17.33203125" style="92" customWidth="1"/>
    <col min="8454" max="8454" width="21.6640625" style="92" bestFit="1" customWidth="1"/>
    <col min="8455" max="8455" width="17.33203125" style="92" bestFit="1" customWidth="1"/>
    <col min="8456" max="8456" width="18.33203125" style="92" bestFit="1" customWidth="1"/>
    <col min="8457" max="8457" width="26.44140625" style="92" customWidth="1"/>
    <col min="8458" max="8702" width="9.33203125" style="92"/>
    <col min="8703" max="8703" width="8.6640625" style="92" bestFit="1" customWidth="1"/>
    <col min="8704" max="8704" width="13.33203125" style="92" customWidth="1"/>
    <col min="8705" max="8705" width="16.33203125" style="92" bestFit="1" customWidth="1"/>
    <col min="8706" max="8706" width="23.5546875" style="92" customWidth="1"/>
    <col min="8707" max="8707" width="17.33203125" style="92" customWidth="1"/>
    <col min="8708" max="8708" width="20.5546875" style="92" bestFit="1" customWidth="1"/>
    <col min="8709" max="8709" width="17.33203125" style="92" customWidth="1"/>
    <col min="8710" max="8710" width="21.6640625" style="92" bestFit="1" customWidth="1"/>
    <col min="8711" max="8711" width="17.33203125" style="92" bestFit="1" customWidth="1"/>
    <col min="8712" max="8712" width="18.33203125" style="92" bestFit="1" customWidth="1"/>
    <col min="8713" max="8713" width="26.44140625" style="92" customWidth="1"/>
    <col min="8714" max="8958" width="9.33203125" style="92"/>
    <col min="8959" max="8959" width="8.6640625" style="92" bestFit="1" customWidth="1"/>
    <col min="8960" max="8960" width="13.33203125" style="92" customWidth="1"/>
    <col min="8961" max="8961" width="16.33203125" style="92" bestFit="1" customWidth="1"/>
    <col min="8962" max="8962" width="23.5546875" style="92" customWidth="1"/>
    <col min="8963" max="8963" width="17.33203125" style="92" customWidth="1"/>
    <col min="8964" max="8964" width="20.5546875" style="92" bestFit="1" customWidth="1"/>
    <col min="8965" max="8965" width="17.33203125" style="92" customWidth="1"/>
    <col min="8966" max="8966" width="21.6640625" style="92" bestFit="1" customWidth="1"/>
    <col min="8967" max="8967" width="17.33203125" style="92" bestFit="1" customWidth="1"/>
    <col min="8968" max="8968" width="18.33203125" style="92" bestFit="1" customWidth="1"/>
    <col min="8969" max="8969" width="26.44140625" style="92" customWidth="1"/>
    <col min="8970" max="9214" width="9.33203125" style="92"/>
    <col min="9215" max="9215" width="8.6640625" style="92" bestFit="1" customWidth="1"/>
    <col min="9216" max="9216" width="13.33203125" style="92" customWidth="1"/>
    <col min="9217" max="9217" width="16.33203125" style="92" bestFit="1" customWidth="1"/>
    <col min="9218" max="9218" width="23.5546875" style="92" customWidth="1"/>
    <col min="9219" max="9219" width="17.33203125" style="92" customWidth="1"/>
    <col min="9220" max="9220" width="20.5546875" style="92" bestFit="1" customWidth="1"/>
    <col min="9221" max="9221" width="17.33203125" style="92" customWidth="1"/>
    <col min="9222" max="9222" width="21.6640625" style="92" bestFit="1" customWidth="1"/>
    <col min="9223" max="9223" width="17.33203125" style="92" bestFit="1" customWidth="1"/>
    <col min="9224" max="9224" width="18.33203125" style="92" bestFit="1" customWidth="1"/>
    <col min="9225" max="9225" width="26.44140625" style="92" customWidth="1"/>
    <col min="9226" max="9470" width="9.33203125" style="92"/>
    <col min="9471" max="9471" width="8.6640625" style="92" bestFit="1" customWidth="1"/>
    <col min="9472" max="9472" width="13.33203125" style="92" customWidth="1"/>
    <col min="9473" max="9473" width="16.33203125" style="92" bestFit="1" customWidth="1"/>
    <col min="9474" max="9474" width="23.5546875" style="92" customWidth="1"/>
    <col min="9475" max="9475" width="17.33203125" style="92" customWidth="1"/>
    <col min="9476" max="9476" width="20.5546875" style="92" bestFit="1" customWidth="1"/>
    <col min="9477" max="9477" width="17.33203125" style="92" customWidth="1"/>
    <col min="9478" max="9478" width="21.6640625" style="92" bestFit="1" customWidth="1"/>
    <col min="9479" max="9479" width="17.33203125" style="92" bestFit="1" customWidth="1"/>
    <col min="9480" max="9480" width="18.33203125" style="92" bestFit="1" customWidth="1"/>
    <col min="9481" max="9481" width="26.44140625" style="92" customWidth="1"/>
    <col min="9482" max="9726" width="9.33203125" style="92"/>
    <col min="9727" max="9727" width="8.6640625" style="92" bestFit="1" customWidth="1"/>
    <col min="9728" max="9728" width="13.33203125" style="92" customWidth="1"/>
    <col min="9729" max="9729" width="16.33203125" style="92" bestFit="1" customWidth="1"/>
    <col min="9730" max="9730" width="23.5546875" style="92" customWidth="1"/>
    <col min="9731" max="9731" width="17.33203125" style="92" customWidth="1"/>
    <col min="9732" max="9732" width="20.5546875" style="92" bestFit="1" customWidth="1"/>
    <col min="9733" max="9733" width="17.33203125" style="92" customWidth="1"/>
    <col min="9734" max="9734" width="21.6640625" style="92" bestFit="1" customWidth="1"/>
    <col min="9735" max="9735" width="17.33203125" style="92" bestFit="1" customWidth="1"/>
    <col min="9736" max="9736" width="18.33203125" style="92" bestFit="1" customWidth="1"/>
    <col min="9737" max="9737" width="26.44140625" style="92" customWidth="1"/>
    <col min="9738" max="9982" width="9.33203125" style="92"/>
    <col min="9983" max="9983" width="8.6640625" style="92" bestFit="1" customWidth="1"/>
    <col min="9984" max="9984" width="13.33203125" style="92" customWidth="1"/>
    <col min="9985" max="9985" width="16.33203125" style="92" bestFit="1" customWidth="1"/>
    <col min="9986" max="9986" width="23.5546875" style="92" customWidth="1"/>
    <col min="9987" max="9987" width="17.33203125" style="92" customWidth="1"/>
    <col min="9988" max="9988" width="20.5546875" style="92" bestFit="1" customWidth="1"/>
    <col min="9989" max="9989" width="17.33203125" style="92" customWidth="1"/>
    <col min="9990" max="9990" width="21.6640625" style="92" bestFit="1" customWidth="1"/>
    <col min="9991" max="9991" width="17.33203125" style="92" bestFit="1" customWidth="1"/>
    <col min="9992" max="9992" width="18.33203125" style="92" bestFit="1" customWidth="1"/>
    <col min="9993" max="9993" width="26.44140625" style="92" customWidth="1"/>
    <col min="9994" max="10238" width="9.33203125" style="92"/>
    <col min="10239" max="10239" width="8.6640625" style="92" bestFit="1" customWidth="1"/>
    <col min="10240" max="10240" width="13.33203125" style="92" customWidth="1"/>
    <col min="10241" max="10241" width="16.33203125" style="92" bestFit="1" customWidth="1"/>
    <col min="10242" max="10242" width="23.5546875" style="92" customWidth="1"/>
    <col min="10243" max="10243" width="17.33203125" style="92" customWidth="1"/>
    <col min="10244" max="10244" width="20.5546875" style="92" bestFit="1" customWidth="1"/>
    <col min="10245" max="10245" width="17.33203125" style="92" customWidth="1"/>
    <col min="10246" max="10246" width="21.6640625" style="92" bestFit="1" customWidth="1"/>
    <col min="10247" max="10247" width="17.33203125" style="92" bestFit="1" customWidth="1"/>
    <col min="10248" max="10248" width="18.33203125" style="92" bestFit="1" customWidth="1"/>
    <col min="10249" max="10249" width="26.44140625" style="92" customWidth="1"/>
    <col min="10250" max="10494" width="9.33203125" style="92"/>
    <col min="10495" max="10495" width="8.6640625" style="92" bestFit="1" customWidth="1"/>
    <col min="10496" max="10496" width="13.33203125" style="92" customWidth="1"/>
    <col min="10497" max="10497" width="16.33203125" style="92" bestFit="1" customWidth="1"/>
    <col min="10498" max="10498" width="23.5546875" style="92" customWidth="1"/>
    <col min="10499" max="10499" width="17.33203125" style="92" customWidth="1"/>
    <col min="10500" max="10500" width="20.5546875" style="92" bestFit="1" customWidth="1"/>
    <col min="10501" max="10501" width="17.33203125" style="92" customWidth="1"/>
    <col min="10502" max="10502" width="21.6640625" style="92" bestFit="1" customWidth="1"/>
    <col min="10503" max="10503" width="17.33203125" style="92" bestFit="1" customWidth="1"/>
    <col min="10504" max="10504" width="18.33203125" style="92" bestFit="1" customWidth="1"/>
    <col min="10505" max="10505" width="26.44140625" style="92" customWidth="1"/>
    <col min="10506" max="10750" width="9.33203125" style="92"/>
    <col min="10751" max="10751" width="8.6640625" style="92" bestFit="1" customWidth="1"/>
    <col min="10752" max="10752" width="13.33203125" style="92" customWidth="1"/>
    <col min="10753" max="10753" width="16.33203125" style="92" bestFit="1" customWidth="1"/>
    <col min="10754" max="10754" width="23.5546875" style="92" customWidth="1"/>
    <col min="10755" max="10755" width="17.33203125" style="92" customWidth="1"/>
    <col min="10756" max="10756" width="20.5546875" style="92" bestFit="1" customWidth="1"/>
    <col min="10757" max="10757" width="17.33203125" style="92" customWidth="1"/>
    <col min="10758" max="10758" width="21.6640625" style="92" bestFit="1" customWidth="1"/>
    <col min="10759" max="10759" width="17.33203125" style="92" bestFit="1" customWidth="1"/>
    <col min="10760" max="10760" width="18.33203125" style="92" bestFit="1" customWidth="1"/>
    <col min="10761" max="10761" width="26.44140625" style="92" customWidth="1"/>
    <col min="10762" max="11006" width="9.33203125" style="92"/>
    <col min="11007" max="11007" width="8.6640625" style="92" bestFit="1" customWidth="1"/>
    <col min="11008" max="11008" width="13.33203125" style="92" customWidth="1"/>
    <col min="11009" max="11009" width="16.33203125" style="92" bestFit="1" customWidth="1"/>
    <col min="11010" max="11010" width="23.5546875" style="92" customWidth="1"/>
    <col min="11011" max="11011" width="17.33203125" style="92" customWidth="1"/>
    <col min="11012" max="11012" width="20.5546875" style="92" bestFit="1" customWidth="1"/>
    <col min="11013" max="11013" width="17.33203125" style="92" customWidth="1"/>
    <col min="11014" max="11014" width="21.6640625" style="92" bestFit="1" customWidth="1"/>
    <col min="11015" max="11015" width="17.33203125" style="92" bestFit="1" customWidth="1"/>
    <col min="11016" max="11016" width="18.33203125" style="92" bestFit="1" customWidth="1"/>
    <col min="11017" max="11017" width="26.44140625" style="92" customWidth="1"/>
    <col min="11018" max="11262" width="9.33203125" style="92"/>
    <col min="11263" max="11263" width="8.6640625" style="92" bestFit="1" customWidth="1"/>
    <col min="11264" max="11264" width="13.33203125" style="92" customWidth="1"/>
    <col min="11265" max="11265" width="16.33203125" style="92" bestFit="1" customWidth="1"/>
    <col min="11266" max="11266" width="23.5546875" style="92" customWidth="1"/>
    <col min="11267" max="11267" width="17.33203125" style="92" customWidth="1"/>
    <col min="11268" max="11268" width="20.5546875" style="92" bestFit="1" customWidth="1"/>
    <col min="11269" max="11269" width="17.33203125" style="92" customWidth="1"/>
    <col min="11270" max="11270" width="21.6640625" style="92" bestFit="1" customWidth="1"/>
    <col min="11271" max="11271" width="17.33203125" style="92" bestFit="1" customWidth="1"/>
    <col min="11272" max="11272" width="18.33203125" style="92" bestFit="1" customWidth="1"/>
    <col min="11273" max="11273" width="26.44140625" style="92" customWidth="1"/>
    <col min="11274" max="11518" width="9.33203125" style="92"/>
    <col min="11519" max="11519" width="8.6640625" style="92" bestFit="1" customWidth="1"/>
    <col min="11520" max="11520" width="13.33203125" style="92" customWidth="1"/>
    <col min="11521" max="11521" width="16.33203125" style="92" bestFit="1" customWidth="1"/>
    <col min="11522" max="11522" width="23.5546875" style="92" customWidth="1"/>
    <col min="11523" max="11523" width="17.33203125" style="92" customWidth="1"/>
    <col min="11524" max="11524" width="20.5546875" style="92" bestFit="1" customWidth="1"/>
    <col min="11525" max="11525" width="17.33203125" style="92" customWidth="1"/>
    <col min="11526" max="11526" width="21.6640625" style="92" bestFit="1" customWidth="1"/>
    <col min="11527" max="11527" width="17.33203125" style="92" bestFit="1" customWidth="1"/>
    <col min="11528" max="11528" width="18.33203125" style="92" bestFit="1" customWidth="1"/>
    <col min="11529" max="11529" width="26.44140625" style="92" customWidth="1"/>
    <col min="11530" max="11774" width="9.33203125" style="92"/>
    <col min="11775" max="11775" width="8.6640625" style="92" bestFit="1" customWidth="1"/>
    <col min="11776" max="11776" width="13.33203125" style="92" customWidth="1"/>
    <col min="11777" max="11777" width="16.33203125" style="92" bestFit="1" customWidth="1"/>
    <col min="11778" max="11778" width="23.5546875" style="92" customWidth="1"/>
    <col min="11779" max="11779" width="17.33203125" style="92" customWidth="1"/>
    <col min="11780" max="11780" width="20.5546875" style="92" bestFit="1" customWidth="1"/>
    <col min="11781" max="11781" width="17.33203125" style="92" customWidth="1"/>
    <col min="11782" max="11782" width="21.6640625" style="92" bestFit="1" customWidth="1"/>
    <col min="11783" max="11783" width="17.33203125" style="92" bestFit="1" customWidth="1"/>
    <col min="11784" max="11784" width="18.33203125" style="92" bestFit="1" customWidth="1"/>
    <col min="11785" max="11785" width="26.44140625" style="92" customWidth="1"/>
    <col min="11786" max="12030" width="9.33203125" style="92"/>
    <col min="12031" max="12031" width="8.6640625" style="92" bestFit="1" customWidth="1"/>
    <col min="12032" max="12032" width="13.33203125" style="92" customWidth="1"/>
    <col min="12033" max="12033" width="16.33203125" style="92" bestFit="1" customWidth="1"/>
    <col min="12034" max="12034" width="23.5546875" style="92" customWidth="1"/>
    <col min="12035" max="12035" width="17.33203125" style="92" customWidth="1"/>
    <col min="12036" max="12036" width="20.5546875" style="92" bestFit="1" customWidth="1"/>
    <col min="12037" max="12037" width="17.33203125" style="92" customWidth="1"/>
    <col min="12038" max="12038" width="21.6640625" style="92" bestFit="1" customWidth="1"/>
    <col min="12039" max="12039" width="17.33203125" style="92" bestFit="1" customWidth="1"/>
    <col min="12040" max="12040" width="18.33203125" style="92" bestFit="1" customWidth="1"/>
    <col min="12041" max="12041" width="26.44140625" style="92" customWidth="1"/>
    <col min="12042" max="12286" width="9.33203125" style="92"/>
    <col min="12287" max="12287" width="8.6640625" style="92" bestFit="1" customWidth="1"/>
    <col min="12288" max="12288" width="13.33203125" style="92" customWidth="1"/>
    <col min="12289" max="12289" width="16.33203125" style="92" bestFit="1" customWidth="1"/>
    <col min="12290" max="12290" width="23.5546875" style="92" customWidth="1"/>
    <col min="12291" max="12291" width="17.33203125" style="92" customWidth="1"/>
    <col min="12292" max="12292" width="20.5546875" style="92" bestFit="1" customWidth="1"/>
    <col min="12293" max="12293" width="17.33203125" style="92" customWidth="1"/>
    <col min="12294" max="12294" width="21.6640625" style="92" bestFit="1" customWidth="1"/>
    <col min="12295" max="12295" width="17.33203125" style="92" bestFit="1" customWidth="1"/>
    <col min="12296" max="12296" width="18.33203125" style="92" bestFit="1" customWidth="1"/>
    <col min="12297" max="12297" width="26.44140625" style="92" customWidth="1"/>
    <col min="12298" max="12542" width="9.33203125" style="92"/>
    <col min="12543" max="12543" width="8.6640625" style="92" bestFit="1" customWidth="1"/>
    <col min="12544" max="12544" width="13.33203125" style="92" customWidth="1"/>
    <col min="12545" max="12545" width="16.33203125" style="92" bestFit="1" customWidth="1"/>
    <col min="12546" max="12546" width="23.5546875" style="92" customWidth="1"/>
    <col min="12547" max="12547" width="17.33203125" style="92" customWidth="1"/>
    <col min="12548" max="12548" width="20.5546875" style="92" bestFit="1" customWidth="1"/>
    <col min="12549" max="12549" width="17.33203125" style="92" customWidth="1"/>
    <col min="12550" max="12550" width="21.6640625" style="92" bestFit="1" customWidth="1"/>
    <col min="12551" max="12551" width="17.33203125" style="92" bestFit="1" customWidth="1"/>
    <col min="12552" max="12552" width="18.33203125" style="92" bestFit="1" customWidth="1"/>
    <col min="12553" max="12553" width="26.44140625" style="92" customWidth="1"/>
    <col min="12554" max="12798" width="9.33203125" style="92"/>
    <col min="12799" max="12799" width="8.6640625" style="92" bestFit="1" customWidth="1"/>
    <col min="12800" max="12800" width="13.33203125" style="92" customWidth="1"/>
    <col min="12801" max="12801" width="16.33203125" style="92" bestFit="1" customWidth="1"/>
    <col min="12802" max="12802" width="23.5546875" style="92" customWidth="1"/>
    <col min="12803" max="12803" width="17.33203125" style="92" customWidth="1"/>
    <col min="12804" max="12804" width="20.5546875" style="92" bestFit="1" customWidth="1"/>
    <col min="12805" max="12805" width="17.33203125" style="92" customWidth="1"/>
    <col min="12806" max="12806" width="21.6640625" style="92" bestFit="1" customWidth="1"/>
    <col min="12807" max="12807" width="17.33203125" style="92" bestFit="1" customWidth="1"/>
    <col min="12808" max="12808" width="18.33203125" style="92" bestFit="1" customWidth="1"/>
    <col min="12809" max="12809" width="26.44140625" style="92" customWidth="1"/>
    <col min="12810" max="13054" width="9.33203125" style="92"/>
    <col min="13055" max="13055" width="8.6640625" style="92" bestFit="1" customWidth="1"/>
    <col min="13056" max="13056" width="13.33203125" style="92" customWidth="1"/>
    <col min="13057" max="13057" width="16.33203125" style="92" bestFit="1" customWidth="1"/>
    <col min="13058" max="13058" width="23.5546875" style="92" customWidth="1"/>
    <col min="13059" max="13059" width="17.33203125" style="92" customWidth="1"/>
    <col min="13060" max="13060" width="20.5546875" style="92" bestFit="1" customWidth="1"/>
    <col min="13061" max="13061" width="17.33203125" style="92" customWidth="1"/>
    <col min="13062" max="13062" width="21.6640625" style="92" bestFit="1" customWidth="1"/>
    <col min="13063" max="13063" width="17.33203125" style="92" bestFit="1" customWidth="1"/>
    <col min="13064" max="13064" width="18.33203125" style="92" bestFit="1" customWidth="1"/>
    <col min="13065" max="13065" width="26.44140625" style="92" customWidth="1"/>
    <col min="13066" max="13310" width="9.33203125" style="92"/>
    <col min="13311" max="13311" width="8.6640625" style="92" bestFit="1" customWidth="1"/>
    <col min="13312" max="13312" width="13.33203125" style="92" customWidth="1"/>
    <col min="13313" max="13313" width="16.33203125" style="92" bestFit="1" customWidth="1"/>
    <col min="13314" max="13314" width="23.5546875" style="92" customWidth="1"/>
    <col min="13315" max="13315" width="17.33203125" style="92" customWidth="1"/>
    <col min="13316" max="13316" width="20.5546875" style="92" bestFit="1" customWidth="1"/>
    <col min="13317" max="13317" width="17.33203125" style="92" customWidth="1"/>
    <col min="13318" max="13318" width="21.6640625" style="92" bestFit="1" customWidth="1"/>
    <col min="13319" max="13319" width="17.33203125" style="92" bestFit="1" customWidth="1"/>
    <col min="13320" max="13320" width="18.33203125" style="92" bestFit="1" customWidth="1"/>
    <col min="13321" max="13321" width="26.44140625" style="92" customWidth="1"/>
    <col min="13322" max="13566" width="9.33203125" style="92"/>
    <col min="13567" max="13567" width="8.6640625" style="92" bestFit="1" customWidth="1"/>
    <col min="13568" max="13568" width="13.33203125" style="92" customWidth="1"/>
    <col min="13569" max="13569" width="16.33203125" style="92" bestFit="1" customWidth="1"/>
    <col min="13570" max="13570" width="23.5546875" style="92" customWidth="1"/>
    <col min="13571" max="13571" width="17.33203125" style="92" customWidth="1"/>
    <col min="13572" max="13572" width="20.5546875" style="92" bestFit="1" customWidth="1"/>
    <col min="13573" max="13573" width="17.33203125" style="92" customWidth="1"/>
    <col min="13574" max="13574" width="21.6640625" style="92" bestFit="1" customWidth="1"/>
    <col min="13575" max="13575" width="17.33203125" style="92" bestFit="1" customWidth="1"/>
    <col min="13576" max="13576" width="18.33203125" style="92" bestFit="1" customWidth="1"/>
    <col min="13577" max="13577" width="26.44140625" style="92" customWidth="1"/>
    <col min="13578" max="13822" width="9.33203125" style="92"/>
    <col min="13823" max="13823" width="8.6640625" style="92" bestFit="1" customWidth="1"/>
    <col min="13824" max="13824" width="13.33203125" style="92" customWidth="1"/>
    <col min="13825" max="13825" width="16.33203125" style="92" bestFit="1" customWidth="1"/>
    <col min="13826" max="13826" width="23.5546875" style="92" customWidth="1"/>
    <col min="13827" max="13827" width="17.33203125" style="92" customWidth="1"/>
    <col min="13828" max="13828" width="20.5546875" style="92" bestFit="1" customWidth="1"/>
    <col min="13829" max="13829" width="17.33203125" style="92" customWidth="1"/>
    <col min="13830" max="13830" width="21.6640625" style="92" bestFit="1" customWidth="1"/>
    <col min="13831" max="13831" width="17.33203125" style="92" bestFit="1" customWidth="1"/>
    <col min="13832" max="13832" width="18.33203125" style="92" bestFit="1" customWidth="1"/>
    <col min="13833" max="13833" width="26.44140625" style="92" customWidth="1"/>
    <col min="13834" max="14078" width="9.33203125" style="92"/>
    <col min="14079" max="14079" width="8.6640625" style="92" bestFit="1" customWidth="1"/>
    <col min="14080" max="14080" width="13.33203125" style="92" customWidth="1"/>
    <col min="14081" max="14081" width="16.33203125" style="92" bestFit="1" customWidth="1"/>
    <col min="14082" max="14082" width="23.5546875" style="92" customWidth="1"/>
    <col min="14083" max="14083" width="17.33203125" style="92" customWidth="1"/>
    <col min="14084" max="14084" width="20.5546875" style="92" bestFit="1" customWidth="1"/>
    <col min="14085" max="14085" width="17.33203125" style="92" customWidth="1"/>
    <col min="14086" max="14086" width="21.6640625" style="92" bestFit="1" customWidth="1"/>
    <col min="14087" max="14087" width="17.33203125" style="92" bestFit="1" customWidth="1"/>
    <col min="14088" max="14088" width="18.33203125" style="92" bestFit="1" customWidth="1"/>
    <col min="14089" max="14089" width="26.44140625" style="92" customWidth="1"/>
    <col min="14090" max="14334" width="9.33203125" style="92"/>
    <col min="14335" max="14335" width="8.6640625" style="92" bestFit="1" customWidth="1"/>
    <col min="14336" max="14336" width="13.33203125" style="92" customWidth="1"/>
    <col min="14337" max="14337" width="16.33203125" style="92" bestFit="1" customWidth="1"/>
    <col min="14338" max="14338" width="23.5546875" style="92" customWidth="1"/>
    <col min="14339" max="14339" width="17.33203125" style="92" customWidth="1"/>
    <col min="14340" max="14340" width="20.5546875" style="92" bestFit="1" customWidth="1"/>
    <col min="14341" max="14341" width="17.33203125" style="92" customWidth="1"/>
    <col min="14342" max="14342" width="21.6640625" style="92" bestFit="1" customWidth="1"/>
    <col min="14343" max="14343" width="17.33203125" style="92" bestFit="1" customWidth="1"/>
    <col min="14344" max="14344" width="18.33203125" style="92" bestFit="1" customWidth="1"/>
    <col min="14345" max="14345" width="26.44140625" style="92" customWidth="1"/>
    <col min="14346" max="14590" width="9.33203125" style="92"/>
    <col min="14591" max="14591" width="8.6640625" style="92" bestFit="1" customWidth="1"/>
    <col min="14592" max="14592" width="13.33203125" style="92" customWidth="1"/>
    <col min="14593" max="14593" width="16.33203125" style="92" bestFit="1" customWidth="1"/>
    <col min="14594" max="14594" width="23.5546875" style="92" customWidth="1"/>
    <col min="14595" max="14595" width="17.33203125" style="92" customWidth="1"/>
    <col min="14596" max="14596" width="20.5546875" style="92" bestFit="1" customWidth="1"/>
    <col min="14597" max="14597" width="17.33203125" style="92" customWidth="1"/>
    <col min="14598" max="14598" width="21.6640625" style="92" bestFit="1" customWidth="1"/>
    <col min="14599" max="14599" width="17.33203125" style="92" bestFit="1" customWidth="1"/>
    <col min="14600" max="14600" width="18.33203125" style="92" bestFit="1" customWidth="1"/>
    <col min="14601" max="14601" width="26.44140625" style="92" customWidth="1"/>
    <col min="14602" max="14846" width="9.33203125" style="92"/>
    <col min="14847" max="14847" width="8.6640625" style="92" bestFit="1" customWidth="1"/>
    <col min="14848" max="14848" width="13.33203125" style="92" customWidth="1"/>
    <col min="14849" max="14849" width="16.33203125" style="92" bestFit="1" customWidth="1"/>
    <col min="14850" max="14850" width="23.5546875" style="92" customWidth="1"/>
    <col min="14851" max="14851" width="17.33203125" style="92" customWidth="1"/>
    <col min="14852" max="14852" width="20.5546875" style="92" bestFit="1" customWidth="1"/>
    <col min="14853" max="14853" width="17.33203125" style="92" customWidth="1"/>
    <col min="14854" max="14854" width="21.6640625" style="92" bestFit="1" customWidth="1"/>
    <col min="14855" max="14855" width="17.33203125" style="92" bestFit="1" customWidth="1"/>
    <col min="14856" max="14856" width="18.33203125" style="92" bestFit="1" customWidth="1"/>
    <col min="14857" max="14857" width="26.44140625" style="92" customWidth="1"/>
    <col min="14858" max="15102" width="9.33203125" style="92"/>
    <col min="15103" max="15103" width="8.6640625" style="92" bestFit="1" customWidth="1"/>
    <col min="15104" max="15104" width="13.33203125" style="92" customWidth="1"/>
    <col min="15105" max="15105" width="16.33203125" style="92" bestFit="1" customWidth="1"/>
    <col min="15106" max="15106" width="23.5546875" style="92" customWidth="1"/>
    <col min="15107" max="15107" width="17.33203125" style="92" customWidth="1"/>
    <col min="15108" max="15108" width="20.5546875" style="92" bestFit="1" customWidth="1"/>
    <col min="15109" max="15109" width="17.33203125" style="92" customWidth="1"/>
    <col min="15110" max="15110" width="21.6640625" style="92" bestFit="1" customWidth="1"/>
    <col min="15111" max="15111" width="17.33203125" style="92" bestFit="1" customWidth="1"/>
    <col min="15112" max="15112" width="18.33203125" style="92" bestFit="1" customWidth="1"/>
    <col min="15113" max="15113" width="26.44140625" style="92" customWidth="1"/>
    <col min="15114" max="15358" width="9.33203125" style="92"/>
    <col min="15359" max="15359" width="8.6640625" style="92" bestFit="1" customWidth="1"/>
    <col min="15360" max="15360" width="13.33203125" style="92" customWidth="1"/>
    <col min="15361" max="15361" width="16.33203125" style="92" bestFit="1" customWidth="1"/>
    <col min="15362" max="15362" width="23.5546875" style="92" customWidth="1"/>
    <col min="15363" max="15363" width="17.33203125" style="92" customWidth="1"/>
    <col min="15364" max="15364" width="20.5546875" style="92" bestFit="1" customWidth="1"/>
    <col min="15365" max="15365" width="17.33203125" style="92" customWidth="1"/>
    <col min="15366" max="15366" width="21.6640625" style="92" bestFit="1" customWidth="1"/>
    <col min="15367" max="15367" width="17.33203125" style="92" bestFit="1" customWidth="1"/>
    <col min="15368" max="15368" width="18.33203125" style="92" bestFit="1" customWidth="1"/>
    <col min="15369" max="15369" width="26.44140625" style="92" customWidth="1"/>
    <col min="15370" max="15614" width="9.33203125" style="92"/>
    <col min="15615" max="15615" width="8.6640625" style="92" bestFit="1" customWidth="1"/>
    <col min="15616" max="15616" width="13.33203125" style="92" customWidth="1"/>
    <col min="15617" max="15617" width="16.33203125" style="92" bestFit="1" customWidth="1"/>
    <col min="15618" max="15618" width="23.5546875" style="92" customWidth="1"/>
    <col min="15619" max="15619" width="17.33203125" style="92" customWidth="1"/>
    <col min="15620" max="15620" width="20.5546875" style="92" bestFit="1" customWidth="1"/>
    <col min="15621" max="15621" width="17.33203125" style="92" customWidth="1"/>
    <col min="15622" max="15622" width="21.6640625" style="92" bestFit="1" customWidth="1"/>
    <col min="15623" max="15623" width="17.33203125" style="92" bestFit="1" customWidth="1"/>
    <col min="15624" max="15624" width="18.33203125" style="92" bestFit="1" customWidth="1"/>
    <col min="15625" max="15625" width="26.44140625" style="92" customWidth="1"/>
    <col min="15626" max="15870" width="9.33203125" style="92"/>
    <col min="15871" max="15871" width="8.6640625" style="92" bestFit="1" customWidth="1"/>
    <col min="15872" max="15872" width="13.33203125" style="92" customWidth="1"/>
    <col min="15873" max="15873" width="16.33203125" style="92" bestFit="1" customWidth="1"/>
    <col min="15874" max="15874" width="23.5546875" style="92" customWidth="1"/>
    <col min="15875" max="15875" width="17.33203125" style="92" customWidth="1"/>
    <col min="15876" max="15876" width="20.5546875" style="92" bestFit="1" customWidth="1"/>
    <col min="15877" max="15877" width="17.33203125" style="92" customWidth="1"/>
    <col min="15878" max="15878" width="21.6640625" style="92" bestFit="1" customWidth="1"/>
    <col min="15879" max="15879" width="17.33203125" style="92" bestFit="1" customWidth="1"/>
    <col min="15880" max="15880" width="18.33203125" style="92" bestFit="1" customWidth="1"/>
    <col min="15881" max="15881" width="26.44140625" style="92" customWidth="1"/>
    <col min="15882" max="16126" width="9.33203125" style="92"/>
    <col min="16127" max="16127" width="8.6640625" style="92" bestFit="1" customWidth="1"/>
    <col min="16128" max="16128" width="13.33203125" style="92" customWidth="1"/>
    <col min="16129" max="16129" width="16.33203125" style="92" bestFit="1" customWidth="1"/>
    <col min="16130" max="16130" width="23.5546875" style="92" customWidth="1"/>
    <col min="16131" max="16131" width="17.33203125" style="92" customWidth="1"/>
    <col min="16132" max="16132" width="20.5546875" style="92" bestFit="1" customWidth="1"/>
    <col min="16133" max="16133" width="17.33203125" style="92" customWidth="1"/>
    <col min="16134" max="16134" width="21.6640625" style="92" bestFit="1" customWidth="1"/>
    <col min="16135" max="16135" width="17.33203125" style="92" bestFit="1" customWidth="1"/>
    <col min="16136" max="16136" width="18.33203125" style="92" bestFit="1" customWidth="1"/>
    <col min="16137" max="16137" width="26.44140625" style="92" customWidth="1"/>
    <col min="16138" max="16384" width="9.33203125" style="92"/>
  </cols>
  <sheetData>
    <row r="1" spans="11:12" s="110" customFormat="1" x14ac:dyDescent="0.25">
      <c r="K1" s="409"/>
      <c r="L1" s="408"/>
    </row>
    <row r="2" spans="11:12" s="110" customFormat="1" x14ac:dyDescent="0.25">
      <c r="K2" s="409"/>
      <c r="L2" s="408"/>
    </row>
    <row r="3" spans="11:12" s="110" customFormat="1" x14ac:dyDescent="0.25">
      <c r="K3" s="409"/>
      <c r="L3" s="408"/>
    </row>
    <row r="4" spans="11:12" s="110" customFormat="1" x14ac:dyDescent="0.25">
      <c r="K4" s="409"/>
      <c r="L4" s="408"/>
    </row>
    <row r="5" spans="11:12" s="110" customFormat="1" x14ac:dyDescent="0.25">
      <c r="K5" s="409"/>
      <c r="L5" s="408"/>
    </row>
    <row r="6" spans="11:12" s="110" customFormat="1" x14ac:dyDescent="0.25">
      <c r="K6" s="409"/>
      <c r="L6" s="408"/>
    </row>
    <row r="7" spans="11:12" s="110" customFormat="1" x14ac:dyDescent="0.25">
      <c r="K7" s="409"/>
      <c r="L7" s="408"/>
    </row>
    <row r="8" spans="11:12" s="110" customFormat="1" x14ac:dyDescent="0.25">
      <c r="K8" s="409"/>
      <c r="L8" s="408"/>
    </row>
    <row r="9" spans="11:12" s="110" customFormat="1" x14ac:dyDescent="0.25">
      <c r="K9" s="409"/>
      <c r="L9" s="408"/>
    </row>
    <row r="10" spans="11:12" s="110" customFormat="1" x14ac:dyDescent="0.25">
      <c r="K10" s="409"/>
      <c r="L10" s="408"/>
    </row>
    <row r="11" spans="11:12" s="110" customFormat="1" x14ac:dyDescent="0.25">
      <c r="K11" s="409"/>
      <c r="L11" s="408"/>
    </row>
    <row r="12" spans="11:12" s="110" customFormat="1" x14ac:dyDescent="0.25">
      <c r="K12" s="409"/>
      <c r="L12" s="408"/>
    </row>
    <row r="13" spans="11:12" s="110" customFormat="1" x14ac:dyDescent="0.25">
      <c r="K13" s="409"/>
      <c r="L13" s="408"/>
    </row>
    <row r="14" spans="11:12" s="110" customFormat="1" x14ac:dyDescent="0.25">
      <c r="K14" s="409"/>
      <c r="L14" s="408"/>
    </row>
    <row r="15" spans="11:12" s="110" customFormat="1" x14ac:dyDescent="0.25">
      <c r="K15" s="409"/>
      <c r="L15" s="408"/>
    </row>
    <row r="16" spans="11:12" s="110" customFormat="1" x14ac:dyDescent="0.25">
      <c r="K16" s="409"/>
      <c r="L16" s="408"/>
    </row>
    <row r="17" spans="1:21" s="110" customFormat="1" x14ac:dyDescent="0.25">
      <c r="K17" s="409"/>
      <c r="L17" s="408"/>
    </row>
    <row r="18" spans="1:21" s="110" customFormat="1" x14ac:dyDescent="0.25">
      <c r="K18" s="409"/>
      <c r="L18" s="408"/>
    </row>
    <row r="19" spans="1:21" s="110" customFormat="1" x14ac:dyDescent="0.25">
      <c r="K19" s="409"/>
      <c r="L19" s="408"/>
    </row>
    <row r="20" spans="1:21" s="110" customFormat="1" x14ac:dyDescent="0.25">
      <c r="K20" s="409"/>
      <c r="L20" s="408"/>
    </row>
    <row r="21" spans="1:21" s="110" customFormat="1" x14ac:dyDescent="0.25">
      <c r="K21" s="409"/>
      <c r="L21" s="408"/>
    </row>
    <row r="22" spans="1:21" s="110" customFormat="1" x14ac:dyDescent="0.25">
      <c r="K22" s="409"/>
      <c r="L22" s="408"/>
    </row>
    <row r="23" spans="1:21" s="110" customFormat="1" x14ac:dyDescent="0.25">
      <c r="K23" s="409"/>
      <c r="L23" s="408"/>
    </row>
    <row r="24" spans="1:21" s="110" customFormat="1" x14ac:dyDescent="0.25">
      <c r="K24" s="409"/>
      <c r="L24" s="408"/>
    </row>
    <row r="25" spans="1:21" s="110" customFormat="1" x14ac:dyDescent="0.25">
      <c r="K25" s="409"/>
      <c r="L25" s="408"/>
      <c r="O25" s="636"/>
      <c r="P25" s="636"/>
      <c r="Q25" s="636"/>
      <c r="R25" s="636"/>
      <c r="S25" s="636"/>
      <c r="T25" s="636"/>
      <c r="U25" s="636"/>
    </row>
    <row r="26" spans="1:21" s="110" customFormat="1" x14ac:dyDescent="0.25">
      <c r="K26" s="409"/>
      <c r="L26" s="408"/>
      <c r="O26" s="636"/>
      <c r="P26" s="636"/>
      <c r="Q26" s="636"/>
      <c r="R26" s="636"/>
      <c r="S26" s="636"/>
      <c r="T26" s="636"/>
      <c r="U26" s="636"/>
    </row>
    <row r="27" spans="1:21" s="110" customFormat="1" x14ac:dyDescent="0.25">
      <c r="K27" s="409"/>
      <c r="L27" s="408"/>
      <c r="O27" s="636"/>
      <c r="P27" s="636"/>
      <c r="Q27" s="636"/>
      <c r="R27" s="636"/>
      <c r="S27" s="636"/>
      <c r="T27" s="636"/>
      <c r="U27" s="636"/>
    </row>
    <row r="28" spans="1:21" s="110" customFormat="1" ht="24.75" customHeight="1" x14ac:dyDescent="0.3">
      <c r="A28" s="431" t="str">
        <f>CHOOSE(MODE, 'Variable Mgmt'!K7,'Variable Mgmt'!K8)</f>
        <v>SINGLE Output PSR Flyback Converter, VIN = 20 V, VOUT = 20 V, IOUT = 0.1 A</v>
      </c>
      <c r="K28" s="408"/>
      <c r="L28" s="408"/>
      <c r="O28" s="636"/>
      <c r="P28" s="636"/>
      <c r="Q28" s="636"/>
      <c r="R28" s="636"/>
      <c r="S28" s="636"/>
      <c r="T28" s="636"/>
      <c r="U28" s="636"/>
    </row>
    <row r="29" spans="1:21" ht="24.75" customHeight="1" thickBot="1" x14ac:dyDescent="0.3">
      <c r="A29" s="93" t="str">
        <f>CHOOSE(VARIANT,"LM5180 High Efficiency PSR Flyback Converter BOM","LM5181 High Efficiency PSR Flyback Converter BOM","LM25180 High Efficiency PSR Flyback Converter BOM","LM25183 High Efficiency PSR Flyback Converter BOM","LM25184 High Efficiency PSR Flyback Converter BOM")</f>
        <v>LM5181 High Efficiency PSR Flyback Converter BOM</v>
      </c>
      <c r="O29" s="637"/>
      <c r="P29" s="637"/>
      <c r="Q29" s="637"/>
      <c r="R29" s="637"/>
      <c r="S29" s="637"/>
      <c r="T29" s="637"/>
      <c r="U29" s="637"/>
    </row>
    <row r="30" spans="1:21" ht="18" customHeight="1" x14ac:dyDescent="0.25">
      <c r="A30" s="177" t="s">
        <v>123</v>
      </c>
      <c r="B30" s="178" t="s">
        <v>122</v>
      </c>
      <c r="C30" s="178" t="s">
        <v>6</v>
      </c>
      <c r="D30" s="682" t="s">
        <v>41</v>
      </c>
      <c r="E30" s="683"/>
      <c r="F30" s="684"/>
      <c r="G30" s="178" t="s">
        <v>116</v>
      </c>
      <c r="H30" s="178" t="s">
        <v>67</v>
      </c>
      <c r="I30" s="426" t="s">
        <v>117</v>
      </c>
      <c r="J30" s="427" t="s">
        <v>347</v>
      </c>
      <c r="K30" s="428" t="s">
        <v>356</v>
      </c>
      <c r="L30" s="402"/>
      <c r="N30" s="95"/>
      <c r="O30" s="637"/>
      <c r="P30" s="637"/>
      <c r="Q30" s="638"/>
      <c r="R30" s="637"/>
      <c r="S30" s="637"/>
      <c r="T30" s="637"/>
      <c r="U30" s="637"/>
    </row>
    <row r="31" spans="1:21" s="95" customFormat="1" ht="17.100000000000001" customHeight="1" x14ac:dyDescent="0.25">
      <c r="A31" s="94">
        <f>ROUNDUP('LM(2)518x PSR flyback converter'!E18/10,0)</f>
        <v>1</v>
      </c>
      <c r="B31" s="106" t="s">
        <v>120</v>
      </c>
      <c r="C31" s="109">
        <f>Cin</f>
        <v>10</v>
      </c>
      <c r="D31" s="680" t="str">
        <f>IF(VIN_max&gt;35, "Capacitor, Ceramic, "&amp;'Variable Mgmt'!B226&amp;", 100V, X7R, 10%", "Capacitor, Ceramic, "&amp;'Variable Mgmt'!B226&amp;", 50V, X7R, 10%")</f>
        <v>Capacitor, Ceramic, 10µF, 50V, X7R, 10%</v>
      </c>
      <c r="E31" s="681"/>
      <c r="F31" s="681"/>
      <c r="G31" s="107"/>
      <c r="H31" s="108" t="s">
        <v>118</v>
      </c>
      <c r="I31" s="413" t="s">
        <v>118</v>
      </c>
      <c r="J31" s="422" t="str">
        <f>CHOOSE(Q31,'Variable Mgmt'!T64,'Variable Mgmt'!T65,'Variable Mgmt'!T66,'Variable Mgmt'!T67,'Variable Mgmt'!T68)</f>
        <v>3.2 x 2.5</v>
      </c>
      <c r="K31" s="420">
        <f>CHOOSE(Q31,'Variable Mgmt'!U64,'Variable Mgmt'!U65,'Variable Mgmt'!U66,'Variable Mgmt'!U67,'Variable Mgmt'!U68)</f>
        <v>8</v>
      </c>
      <c r="L31" s="425"/>
      <c r="O31" s="639"/>
      <c r="P31" s="641"/>
      <c r="Q31" s="642">
        <v>5</v>
      </c>
      <c r="R31" s="639"/>
      <c r="S31" s="639"/>
      <c r="T31" s="639"/>
      <c r="U31" s="639"/>
    </row>
    <row r="32" spans="1:21" s="95" customFormat="1" ht="17.100000000000001" customHeight="1" x14ac:dyDescent="0.25">
      <c r="A32" s="94">
        <v>1</v>
      </c>
      <c r="B32" s="106" t="s">
        <v>121</v>
      </c>
      <c r="C32" s="109">
        <f>Cout</f>
        <v>10</v>
      </c>
      <c r="D32" s="696" t="str">
        <f>CHOOSE(Cout_Voltage_Rating, "Capacitor, Ceramic, "&amp;'Variable Mgmt'!B221&amp;", 6.3V, X7R, 10%", "Capacitor, Ceramic, "&amp;'Variable Mgmt'!B221&amp;", 10V, X7R, 10%", "Capacitor, Ceramic, "&amp;'Variable Mgmt'!B221&amp;", 16V, X7R, 10%", "Capacitor, Ceramic, "&amp;'Variable Mgmt'!B221&amp;", 25V, X7R, 10%",  "Capacitor, Ceramic, "&amp;'Variable Mgmt'!B221&amp;", 50V, X7R, 10%")</f>
        <v>Capacitor, Ceramic, 10µF, 25V, X7R, 10%</v>
      </c>
      <c r="E32" s="697"/>
      <c r="F32" s="697"/>
      <c r="G32" s="107"/>
      <c r="H32" s="108" t="s">
        <v>118</v>
      </c>
      <c r="I32" s="413" t="s">
        <v>118</v>
      </c>
      <c r="J32" s="422" t="str">
        <f>CHOOSE(Q32,'Variable Mgmt'!T64,'Variable Mgmt'!T65,'Variable Mgmt'!T66,'Variable Mgmt'!T67,'Variable Mgmt'!T68)</f>
        <v>3.2 x 2.5</v>
      </c>
      <c r="K32" s="420">
        <f>CHOOSE(Q32,'Variable Mgmt'!U64,'Variable Mgmt'!U65,'Variable Mgmt'!U66,'Variable Mgmt'!U67,'Variable Mgmt'!U68)</f>
        <v>8</v>
      </c>
      <c r="L32" s="425"/>
      <c r="O32" s="639"/>
      <c r="P32" s="641"/>
      <c r="Q32" s="643">
        <v>5</v>
      </c>
      <c r="R32" s="639"/>
      <c r="S32" s="639"/>
      <c r="T32" s="639"/>
      <c r="U32" s="639"/>
    </row>
    <row r="33" spans="1:21" s="95" customFormat="1" ht="17.100000000000001" customHeight="1" x14ac:dyDescent="0.25">
      <c r="A33" s="94" t="str">
        <f>CHOOSE(MODE, "-", "1")</f>
        <v>-</v>
      </c>
      <c r="B33" s="106" t="s">
        <v>637</v>
      </c>
      <c r="C33" s="109" t="str">
        <f>CHOOSE(MODE, "-", Cout2)</f>
        <v>-</v>
      </c>
      <c r="D33" s="519" t="str">
        <f>CHOOSE(MODE, "-", CHOOSE(Cout_Voltage_Rating, "Capacitor, Ceramic, "&amp;'Variable Mgmt'!F221&amp;", 6.3V, X7R, 10%", "Capacitor, Ceramic, "&amp;'Variable Mgmt'!F221&amp;", 10V, X7R, 10%", "Capacitor, Ceramic, "&amp;'Variable Mgmt'!F221&amp;", 16V, X7R, 10%", "Capacitor, Ceramic, "&amp;'Variable Mgmt'!F221&amp;", 25V, X7R, 10%",  "Capacitor, Ceramic, "&amp;'Variable Mgmt'!F221&amp;", 50V, X7R, 10%"))</f>
        <v>-</v>
      </c>
      <c r="E33" s="520"/>
      <c r="F33" s="520"/>
      <c r="G33" s="107"/>
      <c r="H33" s="108" t="str">
        <f>CHOOSE(MODE, "-", "Std")</f>
        <v>-</v>
      </c>
      <c r="I33" s="413" t="str">
        <f>CHOOSE(MODE, "-", "Std")</f>
        <v>-</v>
      </c>
      <c r="J33" s="422" t="str">
        <f>CHOOSE(MODE, "-", CHOOSE(Q33,'Variable Mgmt'!T64,'Variable Mgmt'!T65,'Variable Mgmt'!T66,'Variable Mgmt'!T67,'Variable Mgmt'!T68))</f>
        <v>-</v>
      </c>
      <c r="K33" s="420" t="str">
        <f>CHOOSE(MODE, "-", CHOOSE(Q33,'Variable Mgmt'!U64,'Variable Mgmt'!U65,'Variable Mgmt'!U66,'Variable Mgmt'!U67,'Variable Mgmt'!U68))</f>
        <v>-</v>
      </c>
      <c r="L33" s="425"/>
      <c r="O33" s="639"/>
      <c r="P33" s="641"/>
      <c r="Q33" s="643">
        <v>5</v>
      </c>
      <c r="R33" s="639"/>
      <c r="S33" s="639"/>
      <c r="T33" s="639"/>
      <c r="U33" s="639"/>
    </row>
    <row r="34" spans="1:21" s="95" customFormat="1" ht="17.100000000000001" customHeight="1" x14ac:dyDescent="0.25">
      <c r="A34" s="96" t="str">
        <f>CHOOSE(MODE_SS, "1", "-", "1")</f>
        <v>-</v>
      </c>
      <c r="B34" s="97" t="str">
        <f>CHOOSE(MODE_SS, "Css", "-")</f>
        <v>-</v>
      </c>
      <c r="C34" s="543" t="str">
        <f>CHOOSE(MODE_SS, 'Standard Value Calculator'!B4*1000000000&amp;"nF", "-", "100k")</f>
        <v>-</v>
      </c>
      <c r="D34" s="698" t="str">
        <f>CHOOSE(MODE_SS, "Capacitor, Ceramic, "&amp;'Standard Value Calculator'!B4*1000000000&amp;"nF"&amp;", 16V, X7R, 10%", "-")</f>
        <v>-</v>
      </c>
      <c r="E34" s="699"/>
      <c r="F34" s="699"/>
      <c r="G34" s="99" t="s">
        <v>119</v>
      </c>
      <c r="H34" s="100" t="str">
        <f>CHOOSE(MODE_SS, "Std", "-")</f>
        <v>-</v>
      </c>
      <c r="I34" s="414" t="str">
        <f>CHOOSE(MODE_SS, "Std", "-")</f>
        <v>-</v>
      </c>
      <c r="J34" s="422" t="str">
        <f>CHOOSE(MODE_SS,CHOOSE(Q34,'Variable Mgmt'!T64,'Variable Mgmt'!T65,'Variable Mgmt'!T66),"-",CHOOSE(Q34,'Variable Mgmt'!T64,'Variable Mgmt'!T65,'Variable Mgmt'!T66))</f>
        <v>-</v>
      </c>
      <c r="K34" s="420" t="str">
        <f>CHOOSE(MODE_SS, CHOOSE(Q34,'Variable Mgmt'!U64,'Variable Mgmt'!U65,'Variable Mgmt'!U66), "-", CHOOSE(Q34,'Variable Mgmt'!U64,'Variable Mgmt'!U65,'Variable Mgmt'!U66))</f>
        <v>-</v>
      </c>
      <c r="L34" s="425"/>
      <c r="O34" s="639"/>
      <c r="P34" s="641"/>
      <c r="Q34" s="643">
        <v>1</v>
      </c>
      <c r="R34" s="639"/>
      <c r="S34" s="639"/>
      <c r="T34" s="639"/>
      <c r="U34" s="639"/>
    </row>
    <row r="35" spans="1:21" s="95" customFormat="1" ht="17.100000000000001" customHeight="1" x14ac:dyDescent="0.25">
      <c r="A35" s="101">
        <v>1</v>
      </c>
      <c r="B35" s="102" t="s">
        <v>639</v>
      </c>
      <c r="C35" s="103" t="s">
        <v>193</v>
      </c>
      <c r="D35" s="689" t="str">
        <f>"Rectifying Diode, Schottky"</f>
        <v>Rectifying Diode, Schottky</v>
      </c>
      <c r="E35" s="690"/>
      <c r="F35" s="690"/>
      <c r="G35" s="104" t="e">
        <f>CHOOSE(SHORT_ILIM, "-", "0603")</f>
        <v>#NAME?</v>
      </c>
      <c r="H35" s="105" t="s">
        <v>118</v>
      </c>
      <c r="I35" s="415" t="s">
        <v>118</v>
      </c>
      <c r="J35" s="537" t="str">
        <f>CHOOSE(Q35,'Variable Mgmt'!Y73,'Variable Mgmt'!Y74,'Variable Mgmt'!Y75,'Variable Mgmt'!Y76,'Variable Mgmt'!Y77)</f>
        <v>5.0 x 2.5</v>
      </c>
      <c r="K35" s="538">
        <f>CHOOSE(Q35,'Variable Mgmt'!Z73,'Variable Mgmt'!Z74,'Variable Mgmt'!Z75,'Variable Mgmt'!Z76,'Variable Mgmt'!Z77)</f>
        <v>12.5</v>
      </c>
      <c r="L35" s="425"/>
      <c r="O35" s="639"/>
      <c r="P35" s="641"/>
      <c r="Q35" s="643">
        <v>4</v>
      </c>
      <c r="R35" s="639"/>
      <c r="S35" s="639"/>
      <c r="T35" s="639"/>
      <c r="U35" s="639"/>
    </row>
    <row r="36" spans="1:21" s="95" customFormat="1" ht="17.100000000000001" customHeight="1" x14ac:dyDescent="0.25">
      <c r="A36" s="101" t="str">
        <f>CHOOSE(MODE, "-", "1")</f>
        <v>-</v>
      </c>
      <c r="B36" s="102" t="s">
        <v>638</v>
      </c>
      <c r="C36" s="103" t="str">
        <f>CHOOSE(MODE, "-", "Diode")</f>
        <v>-</v>
      </c>
      <c r="D36" s="687" t="str">
        <f>CHOOSE(MODE, "-", "Rectifying Diode, Schottky")</f>
        <v>-</v>
      </c>
      <c r="E36" s="688"/>
      <c r="F36" s="688"/>
      <c r="G36" s="104" t="s">
        <v>119</v>
      </c>
      <c r="H36" s="105" t="str">
        <f>CHOOSE(MODE, "-", "Std")</f>
        <v>-</v>
      </c>
      <c r="I36" s="415" t="str">
        <f>CHOOSE(MODE, "-", "Std")</f>
        <v>-</v>
      </c>
      <c r="J36" s="537" t="str">
        <f>CHOOSE(MODE, "-", CHOOSE(Q36,'Variable Mgmt'!Y73,'Variable Mgmt'!Y74,'Variable Mgmt'!Y75,'Variable Mgmt'!Y76))</f>
        <v>-</v>
      </c>
      <c r="K36" s="538" t="str">
        <f>CHOOSE(MODE, "-", CHOOSE(Q36,'Variable Mgmt'!Z73,'Variable Mgmt'!Z74,'Variable Mgmt'!Z75,'Variable Mgmt'!Z76))</f>
        <v>-</v>
      </c>
      <c r="L36" s="425"/>
      <c r="O36" s="639"/>
      <c r="P36" s="641"/>
      <c r="Q36" s="643">
        <v>3</v>
      </c>
      <c r="R36" s="639"/>
      <c r="S36" s="639"/>
      <c r="T36" s="639"/>
      <c r="U36" s="639"/>
    </row>
    <row r="37" spans="1:21" s="95" customFormat="1" ht="17.100000000000001" customHeight="1" x14ac:dyDescent="0.25">
      <c r="A37" s="101">
        <v>1</v>
      </c>
      <c r="B37" s="102" t="s">
        <v>640</v>
      </c>
      <c r="C37" s="103" t="str">
        <f>"Diode"</f>
        <v>Diode</v>
      </c>
      <c r="D37" s="541" t="str">
        <f>"Clamp Circuit Diode, Fast Recovery"</f>
        <v>Clamp Circuit Diode, Fast Recovery</v>
      </c>
      <c r="E37" s="542"/>
      <c r="F37" s="542"/>
      <c r="G37" s="104"/>
      <c r="H37" s="105" t="s">
        <v>118</v>
      </c>
      <c r="I37" s="415" t="s">
        <v>118</v>
      </c>
      <c r="J37" s="537" t="str">
        <f>CHOOSE(Q37,'Variable Mgmt'!Y73,'Variable Mgmt'!Y74,'Variable Mgmt'!Y75,'Variable Mgmt'!Y76)</f>
        <v>3.6 x 1.8</v>
      </c>
      <c r="K37" s="538">
        <f>CHOOSE(Q37,'Variable Mgmt'!Z73,'Variable Mgmt'!Z74,'Variable Mgmt'!Z75,'Variable Mgmt'!Z76)</f>
        <v>6.5</v>
      </c>
      <c r="L37" s="425"/>
      <c r="O37" s="639"/>
      <c r="P37" s="641"/>
      <c r="Q37" s="643">
        <v>3</v>
      </c>
      <c r="R37" s="639"/>
      <c r="S37" s="639"/>
      <c r="T37" s="639"/>
      <c r="U37" s="639"/>
    </row>
    <row r="38" spans="1:21" s="95" customFormat="1" ht="17.100000000000001" customHeight="1" x14ac:dyDescent="0.25">
      <c r="A38" s="101">
        <v>1</v>
      </c>
      <c r="B38" s="102" t="s">
        <v>636</v>
      </c>
      <c r="C38" s="103" t="str">
        <f>Vout*Nps*1.3&amp;"V"</f>
        <v>26V</v>
      </c>
      <c r="D38" s="687" t="str">
        <f>"Clamp Circuit Diode, Zener, "&amp;ROUND(Vout*Nps*13,0)/10&amp;"V"</f>
        <v>Clamp Circuit Diode, Zener, 26V</v>
      </c>
      <c r="E38" s="688"/>
      <c r="F38" s="688"/>
      <c r="G38" s="104" t="s">
        <v>119</v>
      </c>
      <c r="H38" s="105" t="s">
        <v>118</v>
      </c>
      <c r="I38" s="415" t="s">
        <v>118</v>
      </c>
      <c r="J38" s="537" t="str">
        <f>CHOOSE(Q38,'Variable Mgmt'!Y73,'Variable Mgmt'!Y74,'Variable Mgmt'!Y75,'Variable Mgmt'!Y76,'Variable Mgmt'!Y77)</f>
        <v>3.6 x 1.8</v>
      </c>
      <c r="K38" s="538">
        <f>CHOOSE(Q38,'Variable Mgmt'!Z73,'Variable Mgmt'!Z74,'Variable Mgmt'!Z75,'Variable Mgmt'!Z76)</f>
        <v>6.5</v>
      </c>
      <c r="L38" s="425"/>
      <c r="O38" s="639"/>
      <c r="P38" s="641"/>
      <c r="Q38" s="643">
        <v>3</v>
      </c>
      <c r="R38" s="639"/>
      <c r="S38" s="639"/>
      <c r="T38" s="639"/>
      <c r="U38" s="639"/>
    </row>
    <row r="39" spans="1:21" s="95" customFormat="1" ht="17.100000000000001" customHeight="1" x14ac:dyDescent="0.25">
      <c r="A39" s="101">
        <v>1</v>
      </c>
      <c r="B39" s="102" t="s">
        <v>648</v>
      </c>
      <c r="C39" s="103" t="str">
        <f>Vout*1.1&amp;"V"</f>
        <v>22V</v>
      </c>
      <c r="D39" s="541" t="str">
        <f>"Output Clamp Diode, Zener, "&amp;(ROUND(Vout*11.25,0)/10)&amp;"V"</f>
        <v>Output Clamp Diode, Zener, 22.5V</v>
      </c>
      <c r="E39" s="542"/>
      <c r="F39" s="542"/>
      <c r="G39" s="104"/>
      <c r="H39" s="105" t="s">
        <v>118</v>
      </c>
      <c r="I39" s="415" t="s">
        <v>118</v>
      </c>
      <c r="J39" s="537" t="str">
        <f>CHOOSE(Q39,'Variable Mgmt'!Y73,'Variable Mgmt'!Y74,'Variable Mgmt'!Y75,'Variable Mgmt'!Y76,'Variable Mgmt'!Y77)</f>
        <v>1.6 x 0.8</v>
      </c>
      <c r="K39" s="538">
        <f>CHOOSE(Q39,'Variable Mgmt'!Z73,'Variable Mgmt'!Z74,'Variable Mgmt'!Z75,'Variable Mgmt'!Z76)</f>
        <v>1.3</v>
      </c>
      <c r="L39" s="425"/>
      <c r="O39" s="639"/>
      <c r="P39" s="641"/>
      <c r="Q39" s="643">
        <v>1</v>
      </c>
      <c r="R39" s="639"/>
      <c r="S39" s="639"/>
      <c r="T39" s="639"/>
      <c r="U39" s="639"/>
    </row>
    <row r="40" spans="1:21" s="95" customFormat="1" ht="17.100000000000001" customHeight="1" x14ac:dyDescent="0.25">
      <c r="A40" s="96">
        <v>1</v>
      </c>
      <c r="B40" s="97" t="s">
        <v>641</v>
      </c>
      <c r="C40" s="98">
        <v>12.1</v>
      </c>
      <c r="D40" s="685">
        <f t="shared" ref="D40" si="0">C40</f>
        <v>12.1</v>
      </c>
      <c r="E40" s="686"/>
      <c r="F40" s="686"/>
      <c r="G40" s="99" t="s">
        <v>119</v>
      </c>
      <c r="H40" s="100" t="s">
        <v>118</v>
      </c>
      <c r="I40" s="414" t="s">
        <v>118</v>
      </c>
      <c r="J40" s="422" t="str">
        <f>CHOOSE(Q40,'Variable Mgmt'!T64,'Variable Mgmt'!T65,'Variable Mgmt'!T66)</f>
        <v>1.0 x 0.5</v>
      </c>
      <c r="K40" s="420">
        <f>CHOOSE(Q40,'Variable Mgmt'!U64,'Variable Mgmt'!U65,'Variable Mgmt'!U66,'Variable Mgmt'!U67,'Variable Mgmt'!U68)</f>
        <v>0.5</v>
      </c>
      <c r="L40" s="425"/>
      <c r="O40" s="639"/>
      <c r="P40" s="641"/>
      <c r="Q40" s="643">
        <v>1</v>
      </c>
      <c r="R40" s="639"/>
      <c r="S40" s="639"/>
      <c r="T40" s="639"/>
      <c r="U40" s="639"/>
    </row>
    <row r="41" spans="1:21" s="95" customFormat="1" ht="17.100000000000001" customHeight="1" x14ac:dyDescent="0.25">
      <c r="A41" s="96">
        <v>1</v>
      </c>
      <c r="B41" s="97" t="s">
        <v>536</v>
      </c>
      <c r="C41" s="98">
        <f>Rfb/1000</f>
        <v>203.2</v>
      </c>
      <c r="D41" s="685">
        <f>C41</f>
        <v>203.2</v>
      </c>
      <c r="E41" s="686"/>
      <c r="F41" s="686"/>
      <c r="G41" s="99" t="s">
        <v>119</v>
      </c>
      <c r="H41" s="100" t="s">
        <v>118</v>
      </c>
      <c r="I41" s="414" t="s">
        <v>118</v>
      </c>
      <c r="J41" s="422" t="str">
        <f>CHOOSE(Q41,'Variable Mgmt'!T64,'Variable Mgmt'!T65,'Variable Mgmt'!T66)</f>
        <v>1.0 x 0.5</v>
      </c>
      <c r="K41" s="420">
        <f>CHOOSE(Q41,'Variable Mgmt'!U64,'Variable Mgmt'!U65,'Variable Mgmt'!U66,'Variable Mgmt'!U67,'Variable Mgmt'!U68)</f>
        <v>0.5</v>
      </c>
      <c r="L41" s="425"/>
      <c r="O41" s="639"/>
      <c r="P41" s="641"/>
      <c r="Q41" s="643">
        <v>1</v>
      </c>
      <c r="R41" s="639"/>
      <c r="S41" s="639"/>
      <c r="T41" s="639"/>
      <c r="U41" s="639"/>
    </row>
    <row r="42" spans="1:21" s="95" customFormat="1" ht="17.100000000000001" customHeight="1" x14ac:dyDescent="0.25">
      <c r="A42" s="96" t="str">
        <f>CHOOSE(MODE_UVLO, "1", "-")</f>
        <v>-</v>
      </c>
      <c r="B42" s="97" t="s">
        <v>126</v>
      </c>
      <c r="C42" s="396" t="str">
        <f>CHOOSE(MODE_UVLO, 'Variable Mgmt'!H245, "-")</f>
        <v>-</v>
      </c>
      <c r="D42" s="694" t="str">
        <f>CHOOSE(MODE_UVLO, "Resistor, Chip, "&amp;'Variable Mgmt'!C245&amp;", 1/16W, 1%", "-")</f>
        <v>-</v>
      </c>
      <c r="E42" s="695"/>
      <c r="F42" s="695"/>
      <c r="G42" s="99" t="s">
        <v>119</v>
      </c>
      <c r="H42" s="100" t="str">
        <f t="shared" ref="H42:I43" si="1">CHOOSE(MODE_UVLO, "Std", "-")</f>
        <v>-</v>
      </c>
      <c r="I42" s="414" t="str">
        <f t="shared" si="1"/>
        <v>-</v>
      </c>
      <c r="J42" s="422" t="str">
        <f>CHOOSE(MODE_UVLO, CHOOSE(Q42,'Variable Mgmt'!T64,'Variable Mgmt'!T65,'Variable Mgmt'!T66), "-")</f>
        <v>-</v>
      </c>
      <c r="K42" s="420" t="str">
        <f>CHOOSE(MODE_UVLO, CHOOSE(Q42,'Variable Mgmt'!U64,'Variable Mgmt'!U65,'Variable Mgmt'!U66,'Variable Mgmt'!U67,'Variable Mgmt'!U68),"-")</f>
        <v>-</v>
      </c>
      <c r="L42" s="425"/>
      <c r="O42" s="639"/>
      <c r="P42" s="641"/>
      <c r="Q42" s="643">
        <v>1</v>
      </c>
      <c r="R42" s="639"/>
      <c r="S42" s="639"/>
      <c r="T42" s="639"/>
      <c r="U42" s="639"/>
    </row>
    <row r="43" spans="1:21" s="95" customFormat="1" ht="17.100000000000001" customHeight="1" x14ac:dyDescent="0.25">
      <c r="A43" s="96" t="str">
        <f>CHOOSE(MODE_UVLO, "1", "-")</f>
        <v>-</v>
      </c>
      <c r="B43" s="97" t="s">
        <v>127</v>
      </c>
      <c r="C43" s="396" t="str">
        <f>CHOOSE(MODE_UVLO, 'Variable Mgmt'!H246, "-")</f>
        <v>-</v>
      </c>
      <c r="D43" s="694" t="str">
        <f>CHOOSE(MODE_UVLO, "Resistor, Chip, "&amp;'Variable Mgmt'!C246&amp;", 1/16W, 1%", "-")</f>
        <v>-</v>
      </c>
      <c r="E43" s="695"/>
      <c r="F43" s="695"/>
      <c r="G43" s="99" t="s">
        <v>119</v>
      </c>
      <c r="H43" s="100" t="str">
        <f t="shared" si="1"/>
        <v>-</v>
      </c>
      <c r="I43" s="414" t="str">
        <f t="shared" si="1"/>
        <v>-</v>
      </c>
      <c r="J43" s="422" t="str">
        <f>CHOOSE(MODE_UVLO, CHOOSE(Q43,'Variable Mgmt'!T64,'Variable Mgmt'!T65,'Variable Mgmt'!T66), "-")</f>
        <v>-</v>
      </c>
      <c r="K43" s="420" t="str">
        <f>CHOOSE(MODE_UVLO, CHOOSE(Q43,'Variable Mgmt'!U64,'Variable Mgmt'!U65,'Variable Mgmt'!U66,'Variable Mgmt'!U67,'Variable Mgmt'!U68),"-")</f>
        <v>-</v>
      </c>
      <c r="L43" s="425"/>
      <c r="O43" s="639"/>
      <c r="P43" s="641"/>
      <c r="Q43" s="643">
        <v>1</v>
      </c>
      <c r="R43" s="639"/>
      <c r="S43" s="639"/>
      <c r="T43" s="639"/>
      <c r="U43" s="639"/>
    </row>
    <row r="44" spans="1:21" s="95" customFormat="1" ht="17.100000000000001" customHeight="1" x14ac:dyDescent="0.25">
      <c r="A44" s="96" t="str">
        <f>CHOOSE(MODE_TC, "1", "-")</f>
        <v>1</v>
      </c>
      <c r="B44" s="97" t="s">
        <v>527</v>
      </c>
      <c r="C44" s="98">
        <f>CHOOSE(MODE_TC, RTC, "-")</f>
        <v>402</v>
      </c>
      <c r="D44" s="685" t="str">
        <f>CHOOSE(MODE_TC, "Resistor, Chip, "&amp;'Variable Mgmt'!B241&amp;", 1/16W, 1%", "-")</f>
        <v>Resistor, Chip, 402kΩ, 1/16W, 1%</v>
      </c>
      <c r="E44" s="686"/>
      <c r="F44" s="686"/>
      <c r="G44" s="99" t="s">
        <v>119</v>
      </c>
      <c r="H44" s="100" t="str">
        <f>CHOOSE(MODE_TC, "Std", "-")</f>
        <v>Std</v>
      </c>
      <c r="I44" s="414" t="str">
        <f>CHOOSE(MODE_TC, "Std", "-")</f>
        <v>Std</v>
      </c>
      <c r="J44" s="422" t="str">
        <f>CHOOSE(MODE_TC, CHOOSE(Q44,'Variable Mgmt'!T64,'Variable Mgmt'!T385,'Variable Mgmt'!T66), "-")</f>
        <v>1.0 x 0.5</v>
      </c>
      <c r="K44" s="420">
        <f>CHOOSE(MODE_TC, CHOOSE(Q44,'Variable Mgmt'!U64,'Variable Mgmt'!U65,'Variable Mgmt'!U66,'Variable Mgmt'!U67,'Variable Mgmt'!U68),"-")</f>
        <v>0.5</v>
      </c>
      <c r="L44" s="425"/>
      <c r="O44" s="639"/>
      <c r="P44" s="641"/>
      <c r="Q44" s="643">
        <v>1</v>
      </c>
      <c r="R44" s="639"/>
      <c r="S44" s="639"/>
      <c r="T44" s="639"/>
      <c r="U44" s="639"/>
    </row>
    <row r="45" spans="1:21" s="540" customFormat="1" ht="16.5" customHeight="1" x14ac:dyDescent="0.25">
      <c r="A45" s="101">
        <v>1</v>
      </c>
      <c r="B45" s="102" t="s">
        <v>535</v>
      </c>
      <c r="C45" s="536">
        <f>'LM(2)518x PSR flyback converter'!L7</f>
        <v>60</v>
      </c>
      <c r="D45" s="691" t="str">
        <f>"Transformer, "&amp;L*1000000&amp;"µH, "&amp;'Variable Mgmt'!W52&amp;", "&amp;Rdcr_pri*1000&amp;"mΩ Pri DCR, "&amp;Isat&amp;"A Isat"</f>
        <v>Transformer, 60µH, 1 : 1, 1000mΩ Pri DCR, 1A Isat</v>
      </c>
      <c r="E45" s="692"/>
      <c r="F45" s="693"/>
      <c r="G45" s="105" t="s">
        <v>125</v>
      </c>
      <c r="H45" s="105" t="s">
        <v>124</v>
      </c>
      <c r="I45" s="415" t="s">
        <v>124</v>
      </c>
      <c r="J45" s="537" t="str">
        <f>CHOOSE(Q45,'Variable Mgmt'!T73,'Variable Mgmt'!T74,'Variable Mgmt'!T75,'Variable Mgmt'!T76,'Variable Mgmt'!T77,'Variable Mgmt'!T78,'Variable Mgmt'!T79)</f>
        <v>10 x 10</v>
      </c>
      <c r="K45" s="544">
        <f>CHOOSE(Q45,'Variable Mgmt'!U73,'Variable Mgmt'!U74,'Variable Mgmt'!U75,'Variable Mgmt'!U76,'Variable Mgmt'!U77,'Variable Mgmt'!U78,'Variable Mgmt'!U79)</f>
        <v>100</v>
      </c>
      <c r="L45" s="539"/>
      <c r="O45" s="640"/>
      <c r="P45" s="644"/>
      <c r="Q45" s="645">
        <v>5</v>
      </c>
      <c r="R45" s="640"/>
      <c r="S45" s="640"/>
      <c r="T45" s="640"/>
      <c r="U45" s="640"/>
    </row>
    <row r="46" spans="1:21" ht="17.100000000000001" customHeight="1" x14ac:dyDescent="0.25">
      <c r="A46" s="399">
        <v>1</v>
      </c>
      <c r="B46" s="404" t="s">
        <v>128</v>
      </c>
      <c r="C46" s="424" t="str">
        <f>CHOOSE(VARIANT, "LM5180", "LM5181", "LM25180", "LM25183", "LM25184")</f>
        <v>LM5181</v>
      </c>
      <c r="D46" s="405" t="str">
        <f>CHOOSE(VARIANT, "IC, LM5180, PSR Flyback Converter, 4.5V–65V Input", "IC, LM5181, PSR Flyback Converter, 4.5V–65V Input", "IC, LM25180, PSR Flyback Converter, 4.5V–42V Input", "IC, LM25183, PSR Flyback Converter, 4.5V–42V Input", "IC, LM25184, PSR Flyback Converter, 4.5V–42V Input")</f>
        <v>IC, LM5181, PSR Flyback Converter, 4.5V–65V Input</v>
      </c>
      <c r="E46" s="406"/>
      <c r="F46" s="407"/>
      <c r="G46" s="403" t="s">
        <v>534</v>
      </c>
      <c r="H46" s="403" t="str">
        <f>CHOOSE(VARIANT, "LM5180NGUR", "LM5181NGUR", "LM25180NGUR", "LM25183NGUR", "LM25184NGUR")</f>
        <v>LM5181NGUR</v>
      </c>
      <c r="I46" s="405" t="s">
        <v>357</v>
      </c>
      <c r="J46" s="423" t="s">
        <v>355</v>
      </c>
      <c r="K46" s="421">
        <v>16</v>
      </c>
      <c r="L46" s="402"/>
      <c r="M46" s="402"/>
      <c r="N46" s="95"/>
      <c r="Q46" s="432"/>
    </row>
    <row r="47" spans="1:21" ht="17.100000000000001" customHeight="1" x14ac:dyDescent="0.25">
      <c r="J47" s="95"/>
      <c r="K47" s="412"/>
      <c r="L47" s="402"/>
      <c r="M47" s="402"/>
      <c r="N47" s="95"/>
    </row>
    <row r="48" spans="1:21" ht="17.25" customHeight="1" x14ac:dyDescent="0.3">
      <c r="H48" s="679" t="s">
        <v>359</v>
      </c>
      <c r="I48" s="679"/>
      <c r="J48" s="679"/>
      <c r="K48" s="429">
        <f>SUM(K31:K46)*1.25</f>
        <v>200.375</v>
      </c>
      <c r="L48" s="433" t="s">
        <v>360</v>
      </c>
      <c r="M48" s="430">
        <f>K48/25.4/25.4</f>
        <v>0.31058187116374236</v>
      </c>
      <c r="N48" s="433" t="s">
        <v>358</v>
      </c>
    </row>
    <row r="49" spans="1:14" ht="17.100000000000001" customHeight="1" x14ac:dyDescent="0.25">
      <c r="J49" s="416"/>
      <c r="K49" s="417"/>
      <c r="L49" s="418"/>
      <c r="M49" s="419"/>
      <c r="N49" s="418"/>
    </row>
    <row r="50" spans="1:14" ht="20.25" customHeight="1" x14ac:dyDescent="0.25">
      <c r="A50" s="411" t="s">
        <v>137</v>
      </c>
    </row>
    <row r="51" spans="1:14" x14ac:dyDescent="0.25">
      <c r="A51" s="92" t="s">
        <v>819</v>
      </c>
    </row>
    <row r="52" spans="1:14" x14ac:dyDescent="0.25">
      <c r="A52" s="92" t="s">
        <v>820</v>
      </c>
      <c r="K52" s="410"/>
    </row>
    <row r="53" spans="1:14" x14ac:dyDescent="0.25">
      <c r="A53" s="92" t="s">
        <v>821</v>
      </c>
    </row>
    <row r="54" spans="1:14" x14ac:dyDescent="0.25">
      <c r="A54" s="92" t="s">
        <v>822</v>
      </c>
    </row>
    <row r="55" spans="1:14" x14ac:dyDescent="0.25">
      <c r="A55" s="92" t="s">
        <v>823</v>
      </c>
    </row>
  </sheetData>
  <sheetProtection algorithmName="SHA-512" hashValue="v9ijPpD0+8RxQRLGFMUnvYr/fKjX2PzaNe4Ky+z3byoSIN/7Nhyv3zXyiZ9WNM2RnpDljda9xwVxGUagU3HW/w==" saltValue="2pJ8OLZg68/w5qa4Uyqj2w==" spinCount="100000" sheet="1" objects="1" scenarios="1" selectLockedCells="1" selectUnlockedCells="1"/>
  <mergeCells count="14">
    <mergeCell ref="H48:J48"/>
    <mergeCell ref="D31:F31"/>
    <mergeCell ref="D30:F30"/>
    <mergeCell ref="D40:F40"/>
    <mergeCell ref="D41:F41"/>
    <mergeCell ref="D38:F38"/>
    <mergeCell ref="D36:F36"/>
    <mergeCell ref="D35:F35"/>
    <mergeCell ref="D45:F45"/>
    <mergeCell ref="D42:F42"/>
    <mergeCell ref="D43:F43"/>
    <mergeCell ref="D44:F44"/>
    <mergeCell ref="D32:F32"/>
    <mergeCell ref="D34:F34"/>
  </mergeCells>
  <printOptions horizontalCentered="1"/>
  <pageMargins left="0.23" right="0.23" top="0.7" bottom="0.61" header="0.3" footer="0.5"/>
  <pageSetup scale="84" fitToHeight="2" orientation="landscape" r:id="rId1"/>
  <headerFooter alignWithMargins="0"/>
  <rowBreaks count="1" manualBreakCount="1">
    <brk id="27" max="9" man="1"/>
  </rowBreaks>
  <ignoredErrors>
    <ignoredError sqref="G34 G36 G38 G42:G43 G40" numberStoredAsText="1"/>
    <ignoredError sqref="J36:K3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74505" r:id="rId4" name="Drop Down 713">
              <controlPr defaultSize="0" autoLine="0" autoPict="0">
                <anchor moveWithCells="1">
                  <from>
                    <xdr:col>6</xdr:col>
                    <xdr:colOff>0</xdr:colOff>
                    <xdr:row>30</xdr:row>
                    <xdr:rowOff>22860</xdr:rowOff>
                  </from>
                  <to>
                    <xdr:col>6</xdr:col>
                    <xdr:colOff>876300</xdr:colOff>
                    <xdr:row>31</xdr:row>
                    <xdr:rowOff>0</xdr:rowOff>
                  </to>
                </anchor>
              </controlPr>
            </control>
          </mc:Choice>
        </mc:AlternateContent>
        <mc:AlternateContent xmlns:mc="http://schemas.openxmlformats.org/markup-compatibility/2006">
          <mc:Choice Requires="x14">
            <control shapeId="674508" r:id="rId5" name="Drop Down 716">
              <controlPr defaultSize="0" autoLine="0" autoPict="0">
                <anchor moveWithCells="1">
                  <from>
                    <xdr:col>6</xdr:col>
                    <xdr:colOff>0</xdr:colOff>
                    <xdr:row>31</xdr:row>
                    <xdr:rowOff>22860</xdr:rowOff>
                  </from>
                  <to>
                    <xdr:col>6</xdr:col>
                    <xdr:colOff>876300</xdr:colOff>
                    <xdr:row>32</xdr:row>
                    <xdr:rowOff>0</xdr:rowOff>
                  </to>
                </anchor>
              </controlPr>
            </control>
          </mc:Choice>
        </mc:AlternateContent>
        <mc:AlternateContent xmlns:mc="http://schemas.openxmlformats.org/markup-compatibility/2006">
          <mc:Choice Requires="x14">
            <control shapeId="674527" r:id="rId6" name="Drop Down 735">
              <controlPr defaultSize="0" autoLine="0" autoPict="0">
                <anchor moveWithCells="1">
                  <from>
                    <xdr:col>6</xdr:col>
                    <xdr:colOff>0</xdr:colOff>
                    <xdr:row>35</xdr:row>
                    <xdr:rowOff>22860</xdr:rowOff>
                  </from>
                  <to>
                    <xdr:col>6</xdr:col>
                    <xdr:colOff>876300</xdr:colOff>
                    <xdr:row>36</xdr:row>
                    <xdr:rowOff>0</xdr:rowOff>
                  </to>
                </anchor>
              </controlPr>
            </control>
          </mc:Choice>
        </mc:AlternateContent>
        <mc:AlternateContent xmlns:mc="http://schemas.openxmlformats.org/markup-compatibility/2006">
          <mc:Choice Requires="x14">
            <control shapeId="674534" r:id="rId7" name="Drop Down 742">
              <controlPr defaultSize="0" autoLine="0" autoPict="0">
                <anchor moveWithCells="1">
                  <from>
                    <xdr:col>6</xdr:col>
                    <xdr:colOff>0</xdr:colOff>
                    <xdr:row>40</xdr:row>
                    <xdr:rowOff>22860</xdr:rowOff>
                  </from>
                  <to>
                    <xdr:col>6</xdr:col>
                    <xdr:colOff>876300</xdr:colOff>
                    <xdr:row>41</xdr:row>
                    <xdr:rowOff>0</xdr:rowOff>
                  </to>
                </anchor>
              </controlPr>
            </control>
          </mc:Choice>
        </mc:AlternateContent>
        <mc:AlternateContent xmlns:mc="http://schemas.openxmlformats.org/markup-compatibility/2006">
          <mc:Choice Requires="x14">
            <control shapeId="674536" r:id="rId8" name="Drop Down 744">
              <controlPr defaultSize="0" autoLine="0" autoPict="0">
                <anchor moveWithCells="1">
                  <from>
                    <xdr:col>6</xdr:col>
                    <xdr:colOff>0</xdr:colOff>
                    <xdr:row>37</xdr:row>
                    <xdr:rowOff>22860</xdr:rowOff>
                  </from>
                  <to>
                    <xdr:col>6</xdr:col>
                    <xdr:colOff>876300</xdr:colOff>
                    <xdr:row>38</xdr:row>
                    <xdr:rowOff>0</xdr:rowOff>
                  </to>
                </anchor>
              </controlPr>
            </control>
          </mc:Choice>
        </mc:AlternateContent>
        <mc:AlternateContent xmlns:mc="http://schemas.openxmlformats.org/markup-compatibility/2006">
          <mc:Choice Requires="x14">
            <control shapeId="674539" r:id="rId9" name="Drop Down 747">
              <controlPr defaultSize="0" autoLine="0" autoPict="0">
                <anchor moveWithCells="1">
                  <from>
                    <xdr:col>6</xdr:col>
                    <xdr:colOff>0</xdr:colOff>
                    <xdr:row>36</xdr:row>
                    <xdr:rowOff>22860</xdr:rowOff>
                  </from>
                  <to>
                    <xdr:col>6</xdr:col>
                    <xdr:colOff>876300</xdr:colOff>
                    <xdr:row>37</xdr:row>
                    <xdr:rowOff>0</xdr:rowOff>
                  </to>
                </anchor>
              </controlPr>
            </control>
          </mc:Choice>
        </mc:AlternateContent>
        <mc:AlternateContent xmlns:mc="http://schemas.openxmlformats.org/markup-compatibility/2006">
          <mc:Choice Requires="x14">
            <control shapeId="674540" r:id="rId10" name="Drop Down 748">
              <controlPr defaultSize="0" autoLine="0" autoPict="0">
                <anchor moveWithCells="1">
                  <from>
                    <xdr:col>6</xdr:col>
                    <xdr:colOff>0</xdr:colOff>
                    <xdr:row>39</xdr:row>
                    <xdr:rowOff>22860</xdr:rowOff>
                  </from>
                  <to>
                    <xdr:col>6</xdr:col>
                    <xdr:colOff>876300</xdr:colOff>
                    <xdr:row>40</xdr:row>
                    <xdr:rowOff>0</xdr:rowOff>
                  </to>
                </anchor>
              </controlPr>
            </control>
          </mc:Choice>
        </mc:AlternateContent>
        <mc:AlternateContent xmlns:mc="http://schemas.openxmlformats.org/markup-compatibility/2006">
          <mc:Choice Requires="x14">
            <control shapeId="674541" r:id="rId11" name="Drop Down 749">
              <controlPr defaultSize="0" autoLine="0" autoPict="0">
                <anchor moveWithCells="1">
                  <from>
                    <xdr:col>6</xdr:col>
                    <xdr:colOff>0</xdr:colOff>
                    <xdr:row>41</xdr:row>
                    <xdr:rowOff>22860</xdr:rowOff>
                  </from>
                  <to>
                    <xdr:col>6</xdr:col>
                    <xdr:colOff>876300</xdr:colOff>
                    <xdr:row>42</xdr:row>
                    <xdr:rowOff>0</xdr:rowOff>
                  </to>
                </anchor>
              </controlPr>
            </control>
          </mc:Choice>
        </mc:AlternateContent>
        <mc:AlternateContent xmlns:mc="http://schemas.openxmlformats.org/markup-compatibility/2006">
          <mc:Choice Requires="x14">
            <control shapeId="674542" r:id="rId12" name="Drop Down 750">
              <controlPr defaultSize="0" autoLine="0" autoPict="0">
                <anchor moveWithCells="1">
                  <from>
                    <xdr:col>6</xdr:col>
                    <xdr:colOff>0</xdr:colOff>
                    <xdr:row>42</xdr:row>
                    <xdr:rowOff>22860</xdr:rowOff>
                  </from>
                  <to>
                    <xdr:col>6</xdr:col>
                    <xdr:colOff>876300</xdr:colOff>
                    <xdr:row>43</xdr:row>
                    <xdr:rowOff>0</xdr:rowOff>
                  </to>
                </anchor>
              </controlPr>
            </control>
          </mc:Choice>
        </mc:AlternateContent>
        <mc:AlternateContent xmlns:mc="http://schemas.openxmlformats.org/markup-compatibility/2006">
          <mc:Choice Requires="x14">
            <control shapeId="674543" r:id="rId13" name="Drop Down 751">
              <controlPr defaultSize="0" autoLine="0" autoPict="0">
                <anchor moveWithCells="1">
                  <from>
                    <xdr:col>6</xdr:col>
                    <xdr:colOff>0</xdr:colOff>
                    <xdr:row>43</xdr:row>
                    <xdr:rowOff>22860</xdr:rowOff>
                  </from>
                  <to>
                    <xdr:col>6</xdr:col>
                    <xdr:colOff>876300</xdr:colOff>
                    <xdr:row>44</xdr:row>
                    <xdr:rowOff>0</xdr:rowOff>
                  </to>
                </anchor>
              </controlPr>
            </control>
          </mc:Choice>
        </mc:AlternateContent>
        <mc:AlternateContent xmlns:mc="http://schemas.openxmlformats.org/markup-compatibility/2006">
          <mc:Choice Requires="x14">
            <control shapeId="674544" r:id="rId14" name="Drop Down 752">
              <controlPr defaultSize="0" autoLine="0" autoPict="0">
                <anchor moveWithCells="1">
                  <from>
                    <xdr:col>6</xdr:col>
                    <xdr:colOff>0</xdr:colOff>
                    <xdr:row>34</xdr:row>
                    <xdr:rowOff>22860</xdr:rowOff>
                  </from>
                  <to>
                    <xdr:col>6</xdr:col>
                    <xdr:colOff>876300</xdr:colOff>
                    <xdr:row>35</xdr:row>
                    <xdr:rowOff>0</xdr:rowOff>
                  </to>
                </anchor>
              </controlPr>
            </control>
          </mc:Choice>
        </mc:AlternateContent>
        <mc:AlternateContent xmlns:mc="http://schemas.openxmlformats.org/markup-compatibility/2006">
          <mc:Choice Requires="x14">
            <control shapeId="674632" r:id="rId15" name="Drop Down 840">
              <controlPr defaultSize="0" autoLine="0" autoPict="0">
                <anchor moveWithCells="1">
                  <from>
                    <xdr:col>6</xdr:col>
                    <xdr:colOff>0</xdr:colOff>
                    <xdr:row>44</xdr:row>
                    <xdr:rowOff>22860</xdr:rowOff>
                  </from>
                  <to>
                    <xdr:col>6</xdr:col>
                    <xdr:colOff>876300</xdr:colOff>
                    <xdr:row>45</xdr:row>
                    <xdr:rowOff>0</xdr:rowOff>
                  </to>
                </anchor>
              </controlPr>
            </control>
          </mc:Choice>
        </mc:AlternateContent>
        <mc:AlternateContent xmlns:mc="http://schemas.openxmlformats.org/markup-compatibility/2006">
          <mc:Choice Requires="x14">
            <control shapeId="674633" r:id="rId16" name="Drop Down 841">
              <controlPr defaultSize="0" autoLine="0" autoPict="0">
                <anchor moveWithCells="1">
                  <from>
                    <xdr:col>6</xdr:col>
                    <xdr:colOff>0</xdr:colOff>
                    <xdr:row>33</xdr:row>
                    <xdr:rowOff>22860</xdr:rowOff>
                  </from>
                  <to>
                    <xdr:col>6</xdr:col>
                    <xdr:colOff>876300</xdr:colOff>
                    <xdr:row>34</xdr:row>
                    <xdr:rowOff>0</xdr:rowOff>
                  </to>
                </anchor>
              </controlPr>
            </control>
          </mc:Choice>
        </mc:AlternateContent>
        <mc:AlternateContent xmlns:mc="http://schemas.openxmlformats.org/markup-compatibility/2006">
          <mc:Choice Requires="x14">
            <control shapeId="706019" r:id="rId17" name="Drop Down 1507">
              <controlPr defaultSize="0" autoLine="0" autoPict="0">
                <anchor moveWithCells="1">
                  <from>
                    <xdr:col>5</xdr:col>
                    <xdr:colOff>899160</xdr:colOff>
                    <xdr:row>32</xdr:row>
                    <xdr:rowOff>22860</xdr:rowOff>
                  </from>
                  <to>
                    <xdr:col>6</xdr:col>
                    <xdr:colOff>868680</xdr:colOff>
                    <xdr:row>33</xdr:row>
                    <xdr:rowOff>0</xdr:rowOff>
                  </to>
                </anchor>
              </controlPr>
            </control>
          </mc:Choice>
        </mc:AlternateContent>
        <mc:AlternateContent xmlns:mc="http://schemas.openxmlformats.org/markup-compatibility/2006">
          <mc:Choice Requires="x14">
            <control shapeId="706028" r:id="rId18" name="Drop Down 1516">
              <controlPr defaultSize="0" autoLine="0" autoPict="0">
                <anchor moveWithCells="1">
                  <from>
                    <xdr:col>6</xdr:col>
                    <xdr:colOff>0</xdr:colOff>
                    <xdr:row>38</xdr:row>
                    <xdr:rowOff>22860</xdr:rowOff>
                  </from>
                  <to>
                    <xdr:col>6</xdr:col>
                    <xdr:colOff>876300</xdr:colOff>
                    <xdr:row>39</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 id="{8521D621-BE3D-4AAE-900E-18DA0D0FAC8E}">
            <xm:f>'Variable Mgmt'!$B$60=TRUE</xm:f>
            <x14:dxf>
              <font>
                <color rgb="FFFFFF99"/>
              </font>
            </x14:dxf>
          </x14:cfRule>
          <xm:sqref>B33</xm:sqref>
        </x14:conditionalFormatting>
        <x14:conditionalFormatting xmlns:xm="http://schemas.microsoft.com/office/excel/2006/main">
          <x14:cfRule type="expression" priority="2" id="{4B8E3D35-A815-4471-905F-8419AAA9FC23}">
            <xm:f>'Variable Mgmt'!$B$60=TRUE</xm:f>
            <x14:dxf>
              <font>
                <color theme="0"/>
              </font>
            </x14:dxf>
          </x14:cfRule>
          <xm:sqref>B36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rgb="FF7030A0"/>
    <pageSetUpPr fitToPage="1"/>
  </sheetPr>
  <dimension ref="A1:Y6"/>
  <sheetViews>
    <sheetView zoomScale="74" zoomScaleNormal="100" workbookViewId="0">
      <selection sqref="A1:Q1"/>
    </sheetView>
  </sheetViews>
  <sheetFormatPr defaultColWidth="9.33203125" defaultRowHeight="13.2" x14ac:dyDescent="0.25"/>
  <cols>
    <col min="1" max="13" width="9.33203125" style="65"/>
    <col min="14" max="14" width="11.6640625" style="65" customWidth="1"/>
    <col min="15" max="16" width="9.33203125" style="65"/>
    <col min="17" max="17" width="15.6640625" style="65" customWidth="1"/>
    <col min="18" max="16384" width="9.33203125" style="65"/>
  </cols>
  <sheetData>
    <row r="1" spans="1:25" s="58" customFormat="1" ht="47.25" customHeight="1" x14ac:dyDescent="0.3">
      <c r="A1" s="700" t="s">
        <v>817</v>
      </c>
      <c r="B1" s="701"/>
      <c r="C1" s="701"/>
      <c r="D1" s="701"/>
      <c r="E1" s="701"/>
      <c r="F1" s="701"/>
      <c r="G1" s="701"/>
      <c r="H1" s="701"/>
      <c r="I1" s="701"/>
      <c r="J1" s="701"/>
      <c r="K1" s="701"/>
      <c r="L1" s="701"/>
      <c r="M1" s="701"/>
      <c r="N1" s="701"/>
      <c r="O1" s="701"/>
      <c r="P1" s="701"/>
      <c r="Q1" s="701"/>
    </row>
    <row r="6" spans="1:25" ht="20.399999999999999" x14ac:dyDescent="0.35">
      <c r="B6" s="66" t="s">
        <v>683</v>
      </c>
      <c r="N6" s="66" t="s">
        <v>680</v>
      </c>
      <c r="Y6" s="66" t="s">
        <v>818</v>
      </c>
    </row>
  </sheetData>
  <sheetProtection algorithmName="SHA-512" hashValue="+zQ9Vgedot+b7Isc1yUfPCEtgcVtb/0fEbyjoJ8umwy5yFOq+SHSz7HUsstP27LUrgPO8eV6/2k8Egu6UH6ulg==" saltValue="dUPS5K/pPpb4agGIRFC1EA==" spinCount="100000" sheet="1" objects="1" scenarios="1" selectLockedCells="1"/>
  <mergeCells count="1">
    <mergeCell ref="A1:Q1"/>
  </mergeCells>
  <pageMargins left="0.19" right="0.2" top="0.75" bottom="0.75" header="0.3" footer="0.3"/>
  <pageSetup scale="3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0000FF"/>
  </sheetPr>
  <dimension ref="A1:Z283"/>
  <sheetViews>
    <sheetView zoomScale="55" zoomScaleNormal="55" workbookViewId="0">
      <pane ySplit="5" topLeftCell="A30" activePane="bottomLeft" state="frozenSplit"/>
      <selection pane="bottomLeft" activeCell="U54" sqref="U54"/>
    </sheetView>
  </sheetViews>
  <sheetFormatPr defaultRowHeight="13.2" x14ac:dyDescent="0.25"/>
  <cols>
    <col min="1" max="1" width="40.44140625" customWidth="1"/>
    <col min="2" max="2" width="11.6640625" customWidth="1"/>
    <col min="3" max="3" width="9.44140625" style="3" customWidth="1"/>
    <col min="4" max="4" width="10.33203125" customWidth="1"/>
    <col min="5" max="5" width="11.5546875" customWidth="1"/>
    <col min="6" max="6" width="14.6640625" customWidth="1"/>
    <col min="7" max="7" width="12.44140625" bestFit="1" customWidth="1"/>
    <col min="8" max="8" width="20.33203125" customWidth="1"/>
    <col min="9" max="9" width="14.44140625" customWidth="1"/>
    <col min="10" max="10" width="12.44140625" bestFit="1" customWidth="1"/>
    <col min="11" max="11" width="12" customWidth="1"/>
    <col min="12" max="12" width="8.6640625" customWidth="1"/>
    <col min="13" max="13" width="7" customWidth="1"/>
    <col min="14" max="14" width="9.33203125" customWidth="1"/>
    <col min="16" max="16" width="11.6640625" customWidth="1"/>
    <col min="17" max="17" width="11" customWidth="1"/>
    <col min="18" max="18" width="13.6640625" customWidth="1"/>
    <col min="19" max="19" width="5.44140625" customWidth="1"/>
    <col min="20" max="20" width="16.33203125" customWidth="1"/>
    <col min="22" max="22" width="9.6640625" customWidth="1"/>
    <col min="23" max="23" width="11.33203125" customWidth="1"/>
    <col min="24" max="24" width="5.6640625" customWidth="1"/>
    <col min="26" max="26" width="7.6640625" customWidth="1"/>
  </cols>
  <sheetData>
    <row r="1" spans="1:18" ht="30.75" customHeight="1" x14ac:dyDescent="0.5">
      <c r="A1" s="703" t="s">
        <v>171</v>
      </c>
      <c r="B1" s="703"/>
      <c r="C1" s="703"/>
      <c r="D1" s="703"/>
      <c r="E1" s="703"/>
      <c r="F1" s="703"/>
      <c r="G1" s="703"/>
      <c r="H1" s="703"/>
      <c r="I1" s="703"/>
    </row>
    <row r="2" spans="1:18" ht="12" customHeight="1" x14ac:dyDescent="0.25">
      <c r="A2" s="14"/>
      <c r="B2" s="14" t="s">
        <v>81</v>
      </c>
      <c r="C2" s="15"/>
      <c r="E2" s="14"/>
      <c r="F2" s="14"/>
      <c r="G2" s="14"/>
      <c r="H2" s="14"/>
      <c r="I2" s="14"/>
    </row>
    <row r="3" spans="1:18" ht="11.25" customHeight="1" x14ac:dyDescent="0.25">
      <c r="A3" s="14"/>
      <c r="B3" s="14" t="s">
        <v>100</v>
      </c>
      <c r="C3" s="16"/>
      <c r="E3" s="14"/>
      <c r="F3" s="14"/>
      <c r="G3" s="14"/>
      <c r="H3" s="14"/>
      <c r="I3" s="14"/>
    </row>
    <row r="4" spans="1:18" ht="11.25" customHeight="1" x14ac:dyDescent="0.25">
      <c r="A4" s="14"/>
      <c r="B4" s="14" t="s">
        <v>82</v>
      </c>
      <c r="C4" s="17"/>
      <c r="E4" s="14"/>
      <c r="F4" s="14"/>
      <c r="G4" s="14"/>
      <c r="H4" s="14"/>
      <c r="I4" s="14"/>
    </row>
    <row r="5" spans="1:18" x14ac:dyDescent="0.25">
      <c r="A5" s="3" t="s">
        <v>19</v>
      </c>
      <c r="B5" s="3" t="s">
        <v>6</v>
      </c>
      <c r="C5" s="3" t="s">
        <v>7</v>
      </c>
      <c r="E5" s="702" t="s">
        <v>9</v>
      </c>
      <c r="F5" s="702"/>
      <c r="G5" s="702"/>
      <c r="H5" s="702"/>
      <c r="I5" s="3" t="s">
        <v>173</v>
      </c>
    </row>
    <row r="6" spans="1:18" ht="16.2" thickBot="1" x14ac:dyDescent="0.35">
      <c r="A6" s="39" t="s">
        <v>61</v>
      </c>
      <c r="B6" s="3"/>
      <c r="D6" s="3"/>
      <c r="E6" s="14"/>
      <c r="F6" s="14"/>
      <c r="G6" s="14"/>
      <c r="H6" s="14"/>
      <c r="I6" s="3"/>
    </row>
    <row r="7" spans="1:18" x14ac:dyDescent="0.25">
      <c r="A7" s="88" t="s">
        <v>145</v>
      </c>
      <c r="B7" s="7">
        <f>'LM(2)518x PSR flyback converter'!E6</f>
        <v>9</v>
      </c>
      <c r="C7" s="26" t="s">
        <v>0</v>
      </c>
      <c r="D7" s="61" t="s">
        <v>146</v>
      </c>
      <c r="E7" s="26"/>
      <c r="F7" s="26"/>
      <c r="G7" s="26"/>
      <c r="H7" s="26"/>
      <c r="I7" s="27">
        <v>1</v>
      </c>
      <c r="K7" t="str">
        <f>'Variable Mgmt'!B59&amp;" Output PSR Flyback Converter, "&amp;"VIN = "&amp;Vin&amp;" V, VOUT = "&amp;Vout&amp;" V, IOUT = "&amp;Iout&amp;" A"</f>
        <v>SINGLE Output PSR Flyback Converter, VIN = 20 V, VOUT = 20 V, IOUT = 0.1 A</v>
      </c>
    </row>
    <row r="8" spans="1:18" x14ac:dyDescent="0.25">
      <c r="A8" s="89" t="s">
        <v>143</v>
      </c>
      <c r="B8" s="8">
        <f>'LM(2)518x PSR flyback converter'!E7</f>
        <v>20</v>
      </c>
      <c r="C8" t="s">
        <v>0</v>
      </c>
      <c r="D8" t="s">
        <v>10</v>
      </c>
      <c r="F8" s="141"/>
      <c r="H8" s="59"/>
      <c r="I8" s="20"/>
      <c r="K8" t="str">
        <f>'Variable Mgmt'!B59&amp;" Output PSR Flyback Converter, "&amp;"VIN = "&amp;Vin&amp;" V, VOUT1 = "&amp;Vout&amp;" V, IOUT1 = "&amp;Iout&amp;" A"&amp;", VOUT2 = "&amp;Vout2_actual&amp;" V, IOUT2 = "&amp;Iout2_actual&amp;" A"</f>
        <v>SINGLE Output PSR Flyback Converter, VIN = 20 V, VOUT1 = 20 V, IOUT1 = 0.1 A, VOUT2 = -16 V, IOUT2 = -0.1 A</v>
      </c>
    </row>
    <row r="9" spans="1:18" x14ac:dyDescent="0.25">
      <c r="A9" s="89" t="s">
        <v>144</v>
      </c>
      <c r="B9" s="8">
        <f>'LM(2)518x PSR flyback converter'!E8</f>
        <v>21</v>
      </c>
      <c r="C9" t="s">
        <v>0</v>
      </c>
      <c r="D9" s="59" t="s">
        <v>147</v>
      </c>
      <c r="F9" s="141"/>
      <c r="I9" s="20"/>
    </row>
    <row r="10" spans="1:18" x14ac:dyDescent="0.25">
      <c r="A10" s="89"/>
      <c r="B10" s="180"/>
      <c r="C10"/>
      <c r="D10" s="59"/>
      <c r="I10" s="20"/>
      <c r="P10" s="135" t="s">
        <v>790</v>
      </c>
      <c r="Q10" s="141">
        <v>1</v>
      </c>
    </row>
    <row r="11" spans="1:18" x14ac:dyDescent="0.25">
      <c r="A11" s="19" t="s">
        <v>4</v>
      </c>
      <c r="B11" s="8">
        <f>'LM(2)518x PSR flyback converter'!E10</f>
        <v>20</v>
      </c>
      <c r="C11" t="s">
        <v>0</v>
      </c>
      <c r="D11" s="59" t="s">
        <v>576</v>
      </c>
      <c r="G11">
        <f>(Vout+Vfwd1)*Nps</f>
        <v>20.32</v>
      </c>
      <c r="I11" s="20">
        <v>1</v>
      </c>
      <c r="P11" s="135" t="s">
        <v>801</v>
      </c>
      <c r="Q11" s="141">
        <v>2</v>
      </c>
    </row>
    <row r="12" spans="1:18" x14ac:dyDescent="0.25">
      <c r="A12" s="19" t="s">
        <v>5</v>
      </c>
      <c r="B12" s="8">
        <f>'LM(2)518x PSR flyback converter'!E11</f>
        <v>0.1</v>
      </c>
      <c r="C12" s="59" t="s">
        <v>1</v>
      </c>
      <c r="D12" s="59" t="s">
        <v>663</v>
      </c>
      <c r="I12" s="20">
        <v>1</v>
      </c>
      <c r="L12" s="59"/>
      <c r="P12" s="135" t="s">
        <v>791</v>
      </c>
      <c r="Q12" s="141">
        <v>3</v>
      </c>
    </row>
    <row r="13" spans="1:18" x14ac:dyDescent="0.25">
      <c r="A13" s="89" t="s">
        <v>168</v>
      </c>
      <c r="B13" s="134">
        <f>Vout/Iout</f>
        <v>200</v>
      </c>
      <c r="C13" s="91" t="s">
        <v>45</v>
      </c>
      <c r="D13" s="59" t="s">
        <v>169</v>
      </c>
      <c r="I13" s="20"/>
      <c r="P13" s="135" t="s">
        <v>802</v>
      </c>
      <c r="Q13" s="141">
        <v>4</v>
      </c>
    </row>
    <row r="14" spans="1:18" x14ac:dyDescent="0.25">
      <c r="A14" s="89" t="s">
        <v>152</v>
      </c>
      <c r="B14" s="134">
        <f>Vout*Iout</f>
        <v>2</v>
      </c>
      <c r="C14" t="s">
        <v>45</v>
      </c>
      <c r="D14" s="59" t="s">
        <v>158</v>
      </c>
      <c r="I14" s="20"/>
      <c r="L14" s="59"/>
      <c r="P14" s="135" t="s">
        <v>803</v>
      </c>
      <c r="Q14" s="141">
        <v>5</v>
      </c>
    </row>
    <row r="15" spans="1:18" x14ac:dyDescent="0.25">
      <c r="B15" s="5"/>
      <c r="C15"/>
      <c r="D15" s="59"/>
      <c r="I15" s="20"/>
      <c r="L15" s="59"/>
      <c r="O15" s="319" t="s">
        <v>789</v>
      </c>
      <c r="P15" s="138" t="str">
        <f>CHOOSE(VARIANT, "LM5180", "LM5181", "LM25180", "LM25183", "LM25184")</f>
        <v>LM5181</v>
      </c>
      <c r="Q15" s="319">
        <v>2</v>
      </c>
      <c r="R15" s="5"/>
    </row>
    <row r="16" spans="1:18" x14ac:dyDescent="0.25">
      <c r="A16" s="89" t="s">
        <v>621</v>
      </c>
      <c r="B16" s="500">
        <f>ABS('LM(2)518x PSR flyback converter'!E12)</f>
        <v>16</v>
      </c>
      <c r="C16" t="s">
        <v>0</v>
      </c>
      <c r="D16" s="59" t="s">
        <v>578</v>
      </c>
      <c r="I16" s="20"/>
      <c r="L16" s="59"/>
      <c r="O16" s="319" t="s">
        <v>792</v>
      </c>
      <c r="P16" s="138">
        <f>CHOOSE(VARIANT, 65, 65, 42, 42, 42)</f>
        <v>65</v>
      </c>
      <c r="Q16" t="s">
        <v>0</v>
      </c>
    </row>
    <row r="17" spans="1:23" x14ac:dyDescent="0.25">
      <c r="A17" s="89" t="s">
        <v>622</v>
      </c>
      <c r="B17" s="534">
        <f>'LM(2)518x PSR flyback converter'!E12</f>
        <v>-16</v>
      </c>
      <c r="C17" t="s">
        <v>0</v>
      </c>
      <c r="D17" s="59"/>
      <c r="I17" s="20"/>
      <c r="L17" s="59"/>
      <c r="O17" s="384" t="s">
        <v>851</v>
      </c>
      <c r="P17">
        <f>CHOOSE(VARIANT, 100, 100, 70, 70, 70)</f>
        <v>100</v>
      </c>
      <c r="Q17" s="59" t="s">
        <v>0</v>
      </c>
    </row>
    <row r="18" spans="1:23" x14ac:dyDescent="0.25">
      <c r="A18" s="89" t="s">
        <v>508</v>
      </c>
      <c r="B18" s="500">
        <f>ABS('LM(2)518x PSR flyback converter'!E13)</f>
        <v>0.1</v>
      </c>
      <c r="C18" s="59" t="s">
        <v>1</v>
      </c>
      <c r="D18" s="59" t="s">
        <v>577</v>
      </c>
      <c r="I18" s="20"/>
      <c r="L18" s="59"/>
    </row>
    <row r="19" spans="1:23" x14ac:dyDescent="0.25">
      <c r="A19" s="59" t="s">
        <v>662</v>
      </c>
      <c r="B19">
        <f>Iout2*SIGN(Vout2_actual)</f>
        <v>-0.1</v>
      </c>
      <c r="C19" s="59" t="s">
        <v>1</v>
      </c>
      <c r="I19" s="20"/>
      <c r="L19" s="59"/>
      <c r="P19" s="3" t="s">
        <v>784</v>
      </c>
    </row>
    <row r="20" spans="1:23" x14ac:dyDescent="0.25">
      <c r="A20" s="89" t="s">
        <v>509</v>
      </c>
      <c r="B20" s="134">
        <f>ABS(Vout2/Iout2)</f>
        <v>160</v>
      </c>
      <c r="C20" s="91" t="s">
        <v>45</v>
      </c>
      <c r="D20" s="59" t="s">
        <v>511</v>
      </c>
      <c r="I20" s="20"/>
      <c r="K20" s="59" t="s">
        <v>542</v>
      </c>
      <c r="L20" s="59" t="s">
        <v>543</v>
      </c>
      <c r="P20" s="3" t="s">
        <v>783</v>
      </c>
      <c r="Q20">
        <v>1</v>
      </c>
    </row>
    <row r="21" spans="1:23" x14ac:dyDescent="0.25">
      <c r="A21" s="89" t="s">
        <v>510</v>
      </c>
      <c r="B21" s="134">
        <f>ABS(Vout2*Iout2)</f>
        <v>1.6</v>
      </c>
      <c r="C21" t="s">
        <v>45</v>
      </c>
      <c r="D21" s="59" t="s">
        <v>512</v>
      </c>
      <c r="I21" s="20"/>
      <c r="K21">
        <v>5</v>
      </c>
      <c r="L21" s="59">
        <v>-5</v>
      </c>
      <c r="P21" s="3" t="s">
        <v>782</v>
      </c>
      <c r="Q21">
        <v>2</v>
      </c>
    </row>
    <row r="22" spans="1:23" x14ac:dyDescent="0.25">
      <c r="A22" s="89" t="s">
        <v>513</v>
      </c>
      <c r="B22" s="134">
        <f>CHOOSE(MODE, Pout, Pout + Pout2)</f>
        <v>2</v>
      </c>
      <c r="C22" t="s">
        <v>45</v>
      </c>
      <c r="D22" s="59" t="s">
        <v>514</v>
      </c>
      <c r="I22" s="20"/>
      <c r="K22">
        <v>0.2</v>
      </c>
      <c r="L22" s="59">
        <v>0.2</v>
      </c>
      <c r="Q22" s="3">
        <v>2</v>
      </c>
    </row>
    <row r="23" spans="1:23" x14ac:dyDescent="0.25">
      <c r="A23" s="89"/>
      <c r="B23" s="5"/>
      <c r="C23"/>
      <c r="D23" s="59"/>
      <c r="I23" s="20"/>
      <c r="L23" s="59"/>
    </row>
    <row r="24" spans="1:23" x14ac:dyDescent="0.25">
      <c r="A24" s="29" t="str">
        <f>CHOOSE(MODE, "Turns Ratio, PRI : SEC", "Turns Ratio, PRI : SEC1")</f>
        <v>Turns Ratio, PRI : SEC</v>
      </c>
      <c r="B24" s="90" t="str">
        <f>Nps</f>
        <v>1</v>
      </c>
      <c r="C24"/>
      <c r="D24" s="59" t="str">
        <f>CHOOSE(MODE, "TR primary-secondary (single output) = Np/Ns", "TR primary-secondary1 (dual output) = Np/Nsec1")</f>
        <v>TR primary-secondary (single output) = Np/Ns</v>
      </c>
      <c r="I24" s="20"/>
      <c r="L24" s="59"/>
    </row>
    <row r="25" spans="1:23" x14ac:dyDescent="0.25">
      <c r="A25" s="29" t="s">
        <v>590</v>
      </c>
      <c r="B25" s="153">
        <f>Npri_sec2</f>
        <v>1.2450980392156863</v>
      </c>
      <c r="D25" s="59" t="s">
        <v>591</v>
      </c>
      <c r="I25" s="20"/>
      <c r="L25" s="59"/>
    </row>
    <row r="26" spans="1:23" x14ac:dyDescent="0.25">
      <c r="A26" s="29" t="s">
        <v>603</v>
      </c>
      <c r="B26" s="533">
        <f>Nsec1sec2</f>
        <v>0.80314960629921262</v>
      </c>
      <c r="D26" s="59" t="s">
        <v>592</v>
      </c>
      <c r="I26" s="20"/>
      <c r="L26" s="59"/>
      <c r="R26" s="138" t="s">
        <v>396</v>
      </c>
      <c r="V26" s="138" t="s">
        <v>396</v>
      </c>
    </row>
    <row r="27" spans="1:23" x14ac:dyDescent="0.25">
      <c r="I27" s="20"/>
      <c r="K27" s="138" t="s">
        <v>541</v>
      </c>
      <c r="R27" s="138" t="s">
        <v>585</v>
      </c>
      <c r="V27" s="138" t="s">
        <v>586</v>
      </c>
    </row>
    <row r="28" spans="1:23" x14ac:dyDescent="0.25">
      <c r="A28" s="59" t="s">
        <v>623</v>
      </c>
      <c r="B28" s="147">
        <f>Vout+VIN_max/Nps</f>
        <v>41</v>
      </c>
      <c r="C28" s="59" t="s">
        <v>0</v>
      </c>
      <c r="I28" s="20"/>
      <c r="K28" s="59" t="s">
        <v>538</v>
      </c>
      <c r="L28">
        <v>1</v>
      </c>
      <c r="R28" t="str">
        <f>"5 : 1"</f>
        <v>5 : 1</v>
      </c>
      <c r="S28">
        <v>1</v>
      </c>
      <c r="V28" t="str">
        <f>"5 : 1"</f>
        <v>5 : 1</v>
      </c>
      <c r="W28">
        <v>1</v>
      </c>
    </row>
    <row r="29" spans="1:23" x14ac:dyDescent="0.25">
      <c r="I29" s="20"/>
      <c r="K29" s="59" t="s">
        <v>539</v>
      </c>
      <c r="L29">
        <v>2</v>
      </c>
      <c r="R29" t="str">
        <f>"4 : 1"</f>
        <v>4 : 1</v>
      </c>
      <c r="S29">
        <v>2</v>
      </c>
      <c r="V29" t="str">
        <f>"4 : 1"</f>
        <v>4 : 1</v>
      </c>
      <c r="W29">
        <v>2</v>
      </c>
    </row>
    <row r="30" spans="1:23" x14ac:dyDescent="0.25">
      <c r="A30" s="89" t="s">
        <v>443</v>
      </c>
      <c r="B30" s="317">
        <f>1%*Vout*1000</f>
        <v>200</v>
      </c>
      <c r="C30" t="s">
        <v>149</v>
      </c>
      <c r="D30" s="59" t="s">
        <v>461</v>
      </c>
      <c r="I30" s="20"/>
      <c r="K30" s="59" t="s">
        <v>540</v>
      </c>
      <c r="L30">
        <v>3</v>
      </c>
      <c r="R30" t="str">
        <f>"3 : 1"</f>
        <v>3 : 1</v>
      </c>
      <c r="S30">
        <v>3</v>
      </c>
      <c r="V30" t="str">
        <f>"3 : 1"</f>
        <v>3 : 1</v>
      </c>
      <c r="W30">
        <v>3</v>
      </c>
    </row>
    <row r="31" spans="1:23" x14ac:dyDescent="0.25">
      <c r="A31" s="89"/>
      <c r="B31" s="317"/>
      <c r="C31"/>
      <c r="D31" s="59"/>
      <c r="I31" s="20"/>
      <c r="K31" s="59"/>
      <c r="R31" t="str">
        <f>"2.5 : 1"</f>
        <v>2.5 : 1</v>
      </c>
      <c r="S31">
        <v>4</v>
      </c>
      <c r="V31" t="str">
        <f>"2.5 : 1"</f>
        <v>2.5 : 1</v>
      </c>
      <c r="W31">
        <v>4</v>
      </c>
    </row>
    <row r="32" spans="1:23" x14ac:dyDescent="0.25">
      <c r="A32" s="89" t="s">
        <v>560</v>
      </c>
      <c r="B32" s="317">
        <f>1%*Vout2*1000</f>
        <v>160</v>
      </c>
      <c r="C32" t="s">
        <v>149</v>
      </c>
      <c r="D32" s="59" t="s">
        <v>559</v>
      </c>
      <c r="I32" s="20"/>
      <c r="Q32" s="453"/>
      <c r="R32" t="str">
        <f>"2 : 1"</f>
        <v>2 : 1</v>
      </c>
      <c r="S32">
        <v>5</v>
      </c>
      <c r="V32" t="str">
        <f>"2 : 1"</f>
        <v>2 : 1</v>
      </c>
      <c r="W32">
        <v>5</v>
      </c>
    </row>
    <row r="33" spans="1:23" x14ac:dyDescent="0.25">
      <c r="A33" s="59"/>
      <c r="B33" s="317"/>
      <c r="C33"/>
      <c r="D33" s="59"/>
      <c r="I33" s="20"/>
      <c r="Q33" s="453"/>
      <c r="R33" t="str">
        <f>"1.8 : 1"</f>
        <v>1.8 : 1</v>
      </c>
      <c r="S33">
        <v>6</v>
      </c>
      <c r="V33" t="str">
        <f>"1.8 : 1"</f>
        <v>1.8 : 1</v>
      </c>
      <c r="W33">
        <v>6</v>
      </c>
    </row>
    <row r="34" spans="1:23" x14ac:dyDescent="0.25">
      <c r="I34" s="20"/>
      <c r="R34" t="str">
        <f>"1.5 : 1"</f>
        <v>1.5 : 1</v>
      </c>
      <c r="S34">
        <v>7</v>
      </c>
      <c r="V34" t="str">
        <f>"1.5 : 1"</f>
        <v>1.5 : 1</v>
      </c>
      <c r="W34">
        <v>7</v>
      </c>
    </row>
    <row r="35" spans="1:23" x14ac:dyDescent="0.25">
      <c r="I35" s="20"/>
      <c r="R35" s="671" t="s">
        <v>856</v>
      </c>
      <c r="S35">
        <v>8</v>
      </c>
      <c r="V35" s="671" t="s">
        <v>856</v>
      </c>
      <c r="W35">
        <v>8</v>
      </c>
    </row>
    <row r="36" spans="1:23" x14ac:dyDescent="0.25">
      <c r="A36" s="89" t="s">
        <v>47</v>
      </c>
      <c r="B36" s="535">
        <v>0.9</v>
      </c>
      <c r="C36"/>
      <c r="D36" s="59" t="s">
        <v>175</v>
      </c>
      <c r="I36" s="20"/>
      <c r="R36" t="str">
        <f>"1 : 1"</f>
        <v>1 : 1</v>
      </c>
      <c r="S36">
        <v>9</v>
      </c>
      <c r="V36" t="str">
        <f>"1 : 1"</f>
        <v>1 : 1</v>
      </c>
      <c r="W36">
        <v>9</v>
      </c>
    </row>
    <row r="37" spans="1:23" x14ac:dyDescent="0.25">
      <c r="A37" s="89"/>
      <c r="B37" s="535"/>
      <c r="C37"/>
      <c r="D37" s="59"/>
      <c r="I37" s="20"/>
      <c r="R37" s="671" t="s">
        <v>857</v>
      </c>
      <c r="S37">
        <v>10</v>
      </c>
      <c r="V37" s="671" t="s">
        <v>857</v>
      </c>
      <c r="W37">
        <v>10</v>
      </c>
    </row>
    <row r="38" spans="1:23" x14ac:dyDescent="0.25">
      <c r="A38" s="89" t="s">
        <v>156</v>
      </c>
      <c r="B38" s="362">
        <f>Pout/Efficiency</f>
        <v>2.2222222222222223</v>
      </c>
      <c r="C38" t="s">
        <v>45</v>
      </c>
      <c r="D38" s="59" t="s">
        <v>462</v>
      </c>
      <c r="I38" s="20"/>
      <c r="R38" t="str">
        <f>"1 : 1.5"</f>
        <v>1 : 1.5</v>
      </c>
      <c r="S38">
        <v>11</v>
      </c>
      <c r="V38" t="str">
        <f>"1 : 1.5"</f>
        <v>1 : 1.5</v>
      </c>
      <c r="W38">
        <v>11</v>
      </c>
    </row>
    <row r="39" spans="1:23" x14ac:dyDescent="0.25">
      <c r="A39" s="89"/>
      <c r="B39" s="362"/>
      <c r="C39"/>
      <c r="D39" s="59"/>
      <c r="I39" s="20"/>
      <c r="R39" t="str">
        <f>"1 : 1.8"</f>
        <v>1 : 1.8</v>
      </c>
      <c r="S39">
        <v>12</v>
      </c>
      <c r="V39" t="str">
        <f>"1 : 1.8"</f>
        <v>1 : 1.8</v>
      </c>
      <c r="W39">
        <v>12</v>
      </c>
    </row>
    <row r="40" spans="1:23" x14ac:dyDescent="0.25">
      <c r="A40" s="89" t="s">
        <v>153</v>
      </c>
      <c r="B40" s="143">
        <f>Pin/VIN_min</f>
        <v>0.24691358024691359</v>
      </c>
      <c r="C40" t="s">
        <v>1</v>
      </c>
      <c r="D40" s="59"/>
      <c r="I40" s="20"/>
      <c r="R40" t="str">
        <f>"1 : 2"</f>
        <v>1 : 2</v>
      </c>
      <c r="S40">
        <v>13</v>
      </c>
      <c r="V40" t="str">
        <f>"1 : 2"</f>
        <v>1 : 2</v>
      </c>
      <c r="W40">
        <v>13</v>
      </c>
    </row>
    <row r="41" spans="1:23" x14ac:dyDescent="0.25">
      <c r="A41" s="89"/>
      <c r="B41" s="143"/>
      <c r="C41"/>
      <c r="D41" s="59"/>
      <c r="I41" s="20"/>
      <c r="R41" t="str">
        <f>"1 : 2.5"</f>
        <v>1 : 2.5</v>
      </c>
      <c r="S41">
        <v>14</v>
      </c>
      <c r="V41" t="str">
        <f>"1 : 2.5"</f>
        <v>1 : 2.5</v>
      </c>
      <c r="W41">
        <v>14</v>
      </c>
    </row>
    <row r="42" spans="1:23" x14ac:dyDescent="0.25">
      <c r="A42" s="89" t="s">
        <v>154</v>
      </c>
      <c r="B42" s="143">
        <f>Pin/VIN_nom</f>
        <v>0.11111111111111112</v>
      </c>
      <c r="C42" t="s">
        <v>1</v>
      </c>
      <c r="D42" s="59" t="s">
        <v>159</v>
      </c>
      <c r="I42" s="20">
        <v>1</v>
      </c>
      <c r="K42" s="59"/>
      <c r="R42" t="str">
        <f>"1 : 3"</f>
        <v>1 : 3</v>
      </c>
      <c r="S42">
        <v>15</v>
      </c>
      <c r="V42" t="str">
        <f>"1 : 3"</f>
        <v>1 : 3</v>
      </c>
      <c r="W42">
        <v>15</v>
      </c>
    </row>
    <row r="43" spans="1:23" x14ac:dyDescent="0.25">
      <c r="A43" s="89" t="s">
        <v>155</v>
      </c>
      <c r="B43" s="143">
        <f>Pin/VIN_max</f>
        <v>0.10582010582010583</v>
      </c>
      <c r="C43" t="s">
        <v>1</v>
      </c>
      <c r="D43" s="59"/>
      <c r="I43" s="20"/>
      <c r="R43" t="str">
        <f>"1 : 4"</f>
        <v>1 : 4</v>
      </c>
      <c r="S43">
        <v>16</v>
      </c>
      <c r="V43" t="str">
        <f>"1 : 4"</f>
        <v>1 : 4</v>
      </c>
      <c r="W43">
        <v>16</v>
      </c>
    </row>
    <row r="44" spans="1:23" x14ac:dyDescent="0.25">
      <c r="A44" s="89"/>
      <c r="B44" s="143"/>
      <c r="C44"/>
      <c r="D44" s="59"/>
      <c r="I44" s="20"/>
      <c r="R44" t="str">
        <f>"1 : 5"</f>
        <v>1 : 5</v>
      </c>
      <c r="S44">
        <v>17</v>
      </c>
      <c r="V44" t="str">
        <f>"1 : 5"</f>
        <v>1 : 5</v>
      </c>
      <c r="W44">
        <v>17</v>
      </c>
    </row>
    <row r="45" spans="1:23" x14ac:dyDescent="0.25">
      <c r="A45" s="89" t="s">
        <v>620</v>
      </c>
      <c r="B45" s="5">
        <f>CHOOSE(MODE, 'Calculations - Single'!N110, 'Calculations - Dual'!O110+'Calculations - Dual'!P110)</f>
        <v>2.1177466575716233</v>
      </c>
      <c r="C45" s="59" t="s">
        <v>45</v>
      </c>
      <c r="D45" s="59" t="b">
        <f>B45&lt;Pout_total</f>
        <v>0</v>
      </c>
      <c r="I45" s="20"/>
      <c r="Q45" s="490" t="s">
        <v>395</v>
      </c>
      <c r="R45" s="319" t="str">
        <f>CHOOSE(Turns_Ratio, "5 : 1", "4 : 1", "3 : 1", "2.5 : 1", "2 : 1", "1.8 : 1", "1.5 : 1", "1.2 : 1", "1 : 1", "1 : 1.2", "1 : 1.5", "1 : 1.8", "1 : 2",  "1 : 2.5","1 : 3", "1 : 4", "1 : 5")</f>
        <v>1 : 1</v>
      </c>
      <c r="S45" s="3">
        <v>9</v>
      </c>
      <c r="U45" s="490" t="s">
        <v>584</v>
      </c>
      <c r="V45" s="162" t="str">
        <f>CHOOSE(Turns_Ratio2, "5 : 1", "4 : 1", "3 : 1", "2.5 : 1", "2 : 1", "1.8 : 1","1.5 : 1", "1.2 : 1", "1 : 1", "1 : 1.2", "1 : 1.5", "1 : 2",  "1 : 2.5","1 : 3", "1 : 4", "1 : 5")</f>
        <v>1 : 1</v>
      </c>
      <c r="W45" s="3">
        <v>9</v>
      </c>
    </row>
    <row r="46" spans="1:23" x14ac:dyDescent="0.25">
      <c r="A46" s="89" t="s">
        <v>807</v>
      </c>
      <c r="B46" s="153">
        <f>CHOOSE(MODE, 'Calculations - Single'!N111, 'Calculations - Dual'!O111+'Calculations - Dual'!P111)/Vout</f>
        <v>0.10588733287858117</v>
      </c>
      <c r="C46" s="59" t="s">
        <v>1</v>
      </c>
      <c r="D46" s="59"/>
      <c r="I46" s="20"/>
      <c r="Q46" s="490"/>
      <c r="R46" s="319"/>
      <c r="S46" s="3"/>
      <c r="U46" s="490"/>
      <c r="V46" s="162"/>
      <c r="W46" s="3"/>
    </row>
    <row r="47" spans="1:23" x14ac:dyDescent="0.25">
      <c r="A47" s="89" t="s">
        <v>435</v>
      </c>
      <c r="B47" s="111">
        <v>350000</v>
      </c>
      <c r="C47" s="59" t="s">
        <v>8</v>
      </c>
      <c r="D47" s="59" t="s">
        <v>579</v>
      </c>
      <c r="I47" s="20"/>
    </row>
    <row r="48" spans="1:23" x14ac:dyDescent="0.25">
      <c r="A48" s="21" t="s">
        <v>18</v>
      </c>
      <c r="B48" s="22">
        <v>1.21</v>
      </c>
      <c r="C48" t="s">
        <v>0</v>
      </c>
      <c r="D48" s="59" t="s">
        <v>580</v>
      </c>
      <c r="I48" s="20"/>
      <c r="Q48" s="59" t="s">
        <v>454</v>
      </c>
      <c r="R48" s="319" t="str">
        <f>CHOOSE(Turns_Ratio, "5", "4 ", "3", "2.5", "2", "1.8", "1.5", "1.2", "1", "0.833",  "0.667", "0.556", "0.5", "0.4", "0.33", "0.25", "0.2")</f>
        <v>1</v>
      </c>
    </row>
    <row r="49" spans="1:23" x14ac:dyDescent="0.25">
      <c r="A49" s="89" t="s">
        <v>393</v>
      </c>
      <c r="B49" s="144">
        <f>'LM(2)518x PSR flyback converter'!E28*1000</f>
        <v>203200</v>
      </c>
      <c r="C49" s="91" t="s">
        <v>45</v>
      </c>
      <c r="D49" s="59" t="s">
        <v>581</v>
      </c>
      <c r="I49" s="20"/>
      <c r="Q49" s="59" t="s">
        <v>503</v>
      </c>
      <c r="R49" s="319" t="str">
        <f>CHOOSE(Turns_Ratio, "5", "4 ", "3", "2.5", "2", "1.8", "1.5", "1.2", "1", "0.833",  "0.667","0.556", "0.5", "0.4", "0.333", "0.25", "0.2")</f>
        <v>1</v>
      </c>
      <c r="V49" s="59" t="s">
        <v>588</v>
      </c>
      <c r="W49" s="138" t="str">
        <f>CHOOSE(Turns_Ratio, "1", "1", "1", "1", "1", "1", "1", "1", "1", "1.2", "1.5", "1.8",  "2", "2.5", "3", "4", "5")</f>
        <v>1</v>
      </c>
    </row>
    <row r="50" spans="1:23" x14ac:dyDescent="0.25">
      <c r="A50" s="89" t="s">
        <v>786</v>
      </c>
      <c r="B50" s="317">
        <f>VIN_max+Nps*(Vout+Vfwd2)</f>
        <v>41.4</v>
      </c>
      <c r="C50" s="59" t="s">
        <v>0</v>
      </c>
      <c r="D50" s="59" t="b">
        <f>B50&gt;F50</f>
        <v>0</v>
      </c>
      <c r="F50">
        <f>CHOOSE(VARIANT, 90, 90, 60, 60, 60)</f>
        <v>90</v>
      </c>
      <c r="I50" s="20"/>
      <c r="K50" s="59" t="s">
        <v>397</v>
      </c>
      <c r="Q50" s="59" t="s">
        <v>587</v>
      </c>
      <c r="R50" s="546">
        <f>ABS((Vout2+Vfwd1)/(Vout+Vfwd1))</f>
        <v>0.80314960629921262</v>
      </c>
      <c r="V50" s="59" t="s">
        <v>587</v>
      </c>
      <c r="W50" s="532">
        <f>Nsec1sec2</f>
        <v>0.80314960629921262</v>
      </c>
    </row>
    <row r="51" spans="1:23" ht="15.6" x14ac:dyDescent="0.35">
      <c r="A51" s="89" t="s">
        <v>394</v>
      </c>
      <c r="B51" s="153">
        <v>0.1</v>
      </c>
      <c r="C51" s="59" t="s">
        <v>45</v>
      </c>
      <c r="D51" s="59" t="s">
        <v>582</v>
      </c>
      <c r="F51" s="162" t="s">
        <v>583</v>
      </c>
      <c r="I51" s="20"/>
      <c r="Q51" s="330" t="s">
        <v>504</v>
      </c>
      <c r="R51" s="530">
        <f>Nps/Nsec1sec2</f>
        <v>1.2450980392156863</v>
      </c>
      <c r="V51" s="3"/>
      <c r="W51" s="531">
        <f>W49*W50</f>
        <v>0.80314960629921262</v>
      </c>
    </row>
    <row r="52" spans="1:23" ht="13.8" thickBot="1" x14ac:dyDescent="0.3">
      <c r="A52" s="23"/>
      <c r="B52" s="24"/>
      <c r="C52" s="62"/>
      <c r="D52" s="24"/>
      <c r="E52" s="24"/>
      <c r="F52" s="24"/>
      <c r="G52" s="24"/>
      <c r="H52" s="24"/>
      <c r="I52" s="25"/>
      <c r="K52" s="384" t="str">
        <f>"SCH_"&amp;B59&amp;"_"&amp;F64&amp;"_"&amp;I64&amp;"_"&amp;F58</f>
        <v>SCH_SINGLE_UVLOint_SSint_TCyes</v>
      </c>
      <c r="R52" s="60">
        <f>ROUND(Nsec1sec2,1)</f>
        <v>0.8</v>
      </c>
      <c r="V52" s="138" t="s">
        <v>589</v>
      </c>
      <c r="W52" s="320" t="str">
        <f>CHOOSE(MODE, R45, R45&amp;" : "&amp;ROUND(W51,2))</f>
        <v>1 : 1</v>
      </c>
    </row>
    <row r="54" spans="1:23" ht="16.2" thickBot="1" x14ac:dyDescent="0.35">
      <c r="A54" s="39" t="s">
        <v>570</v>
      </c>
    </row>
    <row r="55" spans="1:23" ht="15.6" x14ac:dyDescent="0.3">
      <c r="A55" s="324"/>
      <c r="B55" s="325"/>
      <c r="C55" s="326"/>
      <c r="D55" s="325"/>
      <c r="E55" s="325"/>
      <c r="F55" s="325"/>
      <c r="G55" s="325"/>
      <c r="H55" s="325"/>
      <c r="I55" s="378"/>
      <c r="J55" s="378"/>
      <c r="K55" s="378"/>
      <c r="L55" s="378"/>
      <c r="M55" s="378"/>
      <c r="N55" s="378"/>
      <c r="O55" s="19"/>
    </row>
    <row r="56" spans="1:23" x14ac:dyDescent="0.25">
      <c r="A56" s="138" t="s">
        <v>363</v>
      </c>
      <c r="B56" s="59" t="s">
        <v>364</v>
      </c>
      <c r="C56" s="379">
        <v>1</v>
      </c>
      <c r="E56" s="138" t="s">
        <v>381</v>
      </c>
      <c r="F56" s="59" t="s">
        <v>366</v>
      </c>
      <c r="G56" s="141" t="b">
        <v>1</v>
      </c>
      <c r="I56" s="135" t="s">
        <v>301</v>
      </c>
      <c r="J56" s="141">
        <v>1</v>
      </c>
      <c r="K56" t="str">
        <f>B59&amp;", "&amp;F58&amp;", "&amp;I58&amp;", "&amp;F64&amp;", "&amp;I64</f>
        <v>SINGLE, TCyes, IlimRes, UVLOint, SSint</v>
      </c>
      <c r="O56" s="19"/>
      <c r="Q56" s="135" t="s">
        <v>334</v>
      </c>
      <c r="R56" s="3" t="s">
        <v>329</v>
      </c>
      <c r="S56" s="60">
        <v>1</v>
      </c>
    </row>
    <row r="57" spans="1:23" x14ac:dyDescent="0.25">
      <c r="A57" s="321"/>
      <c r="B57" s="59" t="s">
        <v>365</v>
      </c>
      <c r="C57" s="379">
        <v>2</v>
      </c>
      <c r="E57" s="11"/>
      <c r="F57" s="59" t="s">
        <v>367</v>
      </c>
      <c r="G57" s="141" t="b">
        <v>0</v>
      </c>
      <c r="I57" s="135" t="s">
        <v>302</v>
      </c>
      <c r="J57" s="141">
        <v>2</v>
      </c>
      <c r="K57" t="str">
        <f>C59&amp;", "&amp;G58&amp;", "&amp;J58&amp;", "&amp;G64&amp;", "&amp;J64</f>
        <v>1, 1, 2, 2, 2</v>
      </c>
      <c r="O57" s="19"/>
      <c r="Q57" s="135" t="s">
        <v>336</v>
      </c>
      <c r="R57" s="3" t="s">
        <v>330</v>
      </c>
      <c r="S57" s="60">
        <v>2</v>
      </c>
    </row>
    <row r="58" spans="1:23" x14ac:dyDescent="0.25">
      <c r="B58" s="59" t="s">
        <v>517</v>
      </c>
      <c r="C58" s="141">
        <v>3</v>
      </c>
      <c r="E58" s="383" t="s">
        <v>382</v>
      </c>
      <c r="F58" s="323" t="str">
        <f>CHOOSE(G58, "TCyes", "TCno")</f>
        <v>TCyes</v>
      </c>
      <c r="G58" s="319">
        <v>1</v>
      </c>
      <c r="H58" s="383" t="s">
        <v>300</v>
      </c>
      <c r="I58" s="323" t="str">
        <f>CHOOSE(J58, "IlimGND", "IlimRes")</f>
        <v>IlimRes</v>
      </c>
      <c r="J58" s="319">
        <f>IF(C64=4, 1, 2)</f>
        <v>2</v>
      </c>
      <c r="K58" t="str">
        <f>C59&amp;G58&amp;J58&amp;G64&amp;J64</f>
        <v>11222</v>
      </c>
      <c r="O58" s="19"/>
      <c r="Q58" s="135" t="s">
        <v>337</v>
      </c>
      <c r="R58" s="3" t="s">
        <v>331</v>
      </c>
      <c r="S58" s="60">
        <v>3</v>
      </c>
    </row>
    <row r="59" spans="1:23" x14ac:dyDescent="0.25">
      <c r="A59" s="381" t="s">
        <v>285</v>
      </c>
      <c r="B59" s="380" t="str">
        <f>CHOOSE(C59,"SINGLE", IF(Vout2_actual&gt;0, "DUAL", "BIPOLAR"))</f>
        <v>SINGLE</v>
      </c>
      <c r="C59" s="322">
        <v>1</v>
      </c>
      <c r="G59" s="60">
        <f>TC</f>
        <v>1</v>
      </c>
      <c r="I59" s="319"/>
      <c r="O59" s="19"/>
      <c r="Q59" s="135" t="s">
        <v>335</v>
      </c>
      <c r="R59" s="3" t="s">
        <v>332</v>
      </c>
      <c r="S59" s="60">
        <v>4</v>
      </c>
    </row>
    <row r="60" spans="1:23" x14ac:dyDescent="0.25">
      <c r="A60" s="321"/>
      <c r="B60" s="3" t="b">
        <f>CHOOSE(C59, TRUE, FALSE)</f>
        <v>1</v>
      </c>
      <c r="C60" s="60" t="str">
        <f>CHOOSE(C59,"1", IF(Vout2&gt;0, "2", "3"))</f>
        <v>1</v>
      </c>
      <c r="O60" s="19"/>
      <c r="Q60" s="135" t="s">
        <v>339</v>
      </c>
      <c r="R60" s="3" t="s">
        <v>338</v>
      </c>
      <c r="S60" s="60">
        <v>5</v>
      </c>
    </row>
    <row r="61" spans="1:23" x14ac:dyDescent="0.25">
      <c r="O61" s="19"/>
      <c r="Q61" s="383" t="s">
        <v>333</v>
      </c>
      <c r="R61" s="162" t="str">
        <f>CHOOSE(S61,"6.3V","10V","16V","25V","50V")</f>
        <v>25V</v>
      </c>
      <c r="S61" s="319">
        <f>IF(Vout&lt;=5, 1, IF(Vout&lt;=8, 2, IF(Vout&lt;=12, 3, IF(Vout&lt;=20, 4, 5))))</f>
        <v>4</v>
      </c>
    </row>
    <row r="62" spans="1:23" x14ac:dyDescent="0.25">
      <c r="A62" s="327" t="s">
        <v>188</v>
      </c>
      <c r="B62" s="59" t="s">
        <v>366</v>
      </c>
      <c r="C62" s="379">
        <v>1</v>
      </c>
      <c r="E62" s="138" t="s">
        <v>319</v>
      </c>
      <c r="F62" s="330" t="s">
        <v>547</v>
      </c>
      <c r="G62" s="141">
        <v>1</v>
      </c>
      <c r="H62" s="138" t="s">
        <v>296</v>
      </c>
      <c r="I62" s="59" t="s">
        <v>547</v>
      </c>
      <c r="J62" s="141">
        <v>1</v>
      </c>
      <c r="L62" s="135" t="s">
        <v>317</v>
      </c>
      <c r="M62" s="141">
        <v>1</v>
      </c>
      <c r="O62" s="19"/>
    </row>
    <row r="63" spans="1:23" x14ac:dyDescent="0.25">
      <c r="A63" s="328"/>
      <c r="B63" s="59" t="s">
        <v>367</v>
      </c>
      <c r="C63" s="379">
        <v>2</v>
      </c>
      <c r="F63" s="330" t="s">
        <v>548</v>
      </c>
      <c r="G63" s="141">
        <v>2</v>
      </c>
      <c r="H63" s="11"/>
      <c r="I63" s="59" t="s">
        <v>664</v>
      </c>
      <c r="J63" s="141">
        <v>2</v>
      </c>
      <c r="L63" s="135" t="s">
        <v>318</v>
      </c>
      <c r="M63" s="141">
        <v>2</v>
      </c>
      <c r="O63" s="19"/>
      <c r="R63" s="3" t="s">
        <v>645</v>
      </c>
      <c r="S63" s="3"/>
      <c r="T63" s="3" t="s">
        <v>116</v>
      </c>
      <c r="U63" s="3" t="s">
        <v>646</v>
      </c>
    </row>
    <row r="64" spans="1:23" x14ac:dyDescent="0.25">
      <c r="A64" s="382" t="s">
        <v>286</v>
      </c>
      <c r="B64" s="380" t="str">
        <f>CHOOSE(C64, "YES", "NO")</f>
        <v>YES</v>
      </c>
      <c r="C64" s="322">
        <v>1</v>
      </c>
      <c r="E64" s="383" t="s">
        <v>305</v>
      </c>
      <c r="F64" s="323" t="str">
        <f>CHOOSE(G64, "UVLOadj", "UVLOint")</f>
        <v>UVLOint</v>
      </c>
      <c r="G64" s="319">
        <v>2</v>
      </c>
      <c r="H64" s="383" t="s">
        <v>287</v>
      </c>
      <c r="I64" s="323" t="str">
        <f>CHOOSE(J64, "SSadj", "SSint")</f>
        <v>SSint</v>
      </c>
      <c r="J64" s="319">
        <v>2</v>
      </c>
      <c r="L64" s="320" t="s">
        <v>298</v>
      </c>
      <c r="M64" s="319">
        <v>1</v>
      </c>
      <c r="O64" s="19"/>
      <c r="R64" s="398" t="s">
        <v>342</v>
      </c>
      <c r="S64" s="60">
        <v>1</v>
      </c>
      <c r="T64" s="59" t="s">
        <v>348</v>
      </c>
      <c r="U64" s="147">
        <v>0.5</v>
      </c>
    </row>
    <row r="65" spans="1:26" ht="13.8" thickBot="1" x14ac:dyDescent="0.3">
      <c r="A65" s="23"/>
      <c r="B65" s="24"/>
      <c r="C65" s="140"/>
      <c r="D65" s="24"/>
      <c r="E65" s="24"/>
      <c r="F65" s="24"/>
      <c r="G65" s="24"/>
      <c r="H65" s="24"/>
      <c r="I65" s="24"/>
      <c r="J65" s="24"/>
      <c r="K65" s="24"/>
      <c r="L65" s="24"/>
      <c r="M65" s="24"/>
      <c r="N65" s="24"/>
      <c r="O65" s="19"/>
      <c r="R65" s="398" t="s">
        <v>119</v>
      </c>
      <c r="S65" s="60">
        <v>2</v>
      </c>
      <c r="T65" s="59" t="s">
        <v>352</v>
      </c>
      <c r="U65" s="147">
        <v>1.3</v>
      </c>
    </row>
    <row r="66" spans="1:26" x14ac:dyDescent="0.25">
      <c r="B66" t="b">
        <f>(CONFIG="2")</f>
        <v>0</v>
      </c>
      <c r="C66" s="3" t="str">
        <f>CONFIG</f>
        <v>1</v>
      </c>
      <c r="R66" s="398" t="s">
        <v>343</v>
      </c>
      <c r="S66" s="60">
        <v>3</v>
      </c>
      <c r="T66" s="59" t="s">
        <v>353</v>
      </c>
      <c r="U66" s="147">
        <v>2.5</v>
      </c>
    </row>
    <row r="67" spans="1:26" ht="16.2" thickBot="1" x14ac:dyDescent="0.35">
      <c r="A67" s="39" t="s">
        <v>571</v>
      </c>
      <c r="B67" s="3"/>
      <c r="R67" s="398" t="s">
        <v>344</v>
      </c>
      <c r="S67" s="60">
        <v>4</v>
      </c>
      <c r="T67" s="59" t="s">
        <v>351</v>
      </c>
      <c r="U67" s="147">
        <v>5.0999999999999996</v>
      </c>
    </row>
    <row r="68" spans="1:26" x14ac:dyDescent="0.25">
      <c r="A68" s="88"/>
      <c r="B68" s="516"/>
      <c r="C68" s="517"/>
      <c r="D68" s="133"/>
      <c r="E68" s="61"/>
      <c r="F68" s="26"/>
      <c r="G68" s="26"/>
      <c r="H68" s="26"/>
      <c r="I68" s="27">
        <v>1</v>
      </c>
      <c r="R68" s="398" t="s">
        <v>345</v>
      </c>
      <c r="S68" s="60">
        <v>5</v>
      </c>
      <c r="T68" s="59" t="s">
        <v>354</v>
      </c>
      <c r="U68" s="147">
        <v>8</v>
      </c>
    </row>
    <row r="69" spans="1:26" x14ac:dyDescent="0.25">
      <c r="A69" s="89" t="s">
        <v>150</v>
      </c>
      <c r="B69" s="142">
        <f>Nps*(Vout+Vfwd2)/(VIN_min+Nps*(Vout+Vfwd2))</f>
        <v>0.69387755102040816</v>
      </c>
      <c r="C69"/>
      <c r="D69" t="b">
        <f>B69&gt;0.75</f>
        <v>0</v>
      </c>
      <c r="E69" s="59"/>
      <c r="I69" s="20">
        <v>1</v>
      </c>
      <c r="Q69" s="383" t="s">
        <v>346</v>
      </c>
      <c r="R69" s="162" t="str">
        <f>CHOOSE(S69,"0402","0603","0805","1206","1210")</f>
        <v>1210</v>
      </c>
      <c r="S69" s="319">
        <v>5</v>
      </c>
      <c r="T69" s="162" t="str">
        <f>CHOOSE(S69,T64,T65, T66,T67,T68)</f>
        <v>3.2 x 2.5</v>
      </c>
    </row>
    <row r="70" spans="1:26" x14ac:dyDescent="0.25">
      <c r="A70" s="89" t="s">
        <v>157</v>
      </c>
      <c r="B70" s="142">
        <f>Nps*(Vout+Vfwd1)/(VIN_nom+Nps*(Vout+Vfwd1))</f>
        <v>0.50396825396825395</v>
      </c>
      <c r="C70"/>
      <c r="I70" s="20"/>
    </row>
    <row r="71" spans="1:26" x14ac:dyDescent="0.25">
      <c r="A71" s="89" t="s">
        <v>151</v>
      </c>
      <c r="B71" s="142">
        <f>Nps*(Vout+Vfwd1)/(VIN_max+Nps*(Vout+Vfwd1))</f>
        <v>0.49177153920619554</v>
      </c>
      <c r="C71"/>
      <c r="E71" s="59"/>
      <c r="I71" s="20"/>
    </row>
    <row r="72" spans="1:26" x14ac:dyDescent="0.25">
      <c r="A72" s="59"/>
      <c r="C72"/>
      <c r="E72" s="59"/>
      <c r="I72" s="20"/>
      <c r="R72" s="3" t="s">
        <v>645</v>
      </c>
      <c r="S72" s="3"/>
      <c r="T72" s="3" t="s">
        <v>116</v>
      </c>
      <c r="U72" s="3" t="s">
        <v>646</v>
      </c>
      <c r="W72" s="3" t="s">
        <v>645</v>
      </c>
      <c r="X72" s="3"/>
      <c r="Y72" s="3" t="s">
        <v>116</v>
      </c>
      <c r="Z72" s="3" t="s">
        <v>646</v>
      </c>
    </row>
    <row r="73" spans="1:26" x14ac:dyDescent="0.25">
      <c r="A73" s="89"/>
      <c r="B73" s="551"/>
      <c r="C73" s="59"/>
      <c r="D73" s="59"/>
      <c r="I73" s="20"/>
      <c r="R73" s="59" t="s">
        <v>349</v>
      </c>
      <c r="S73" s="60">
        <v>1</v>
      </c>
      <c r="T73" s="330" t="s">
        <v>634</v>
      </c>
      <c r="U73" s="147">
        <v>36</v>
      </c>
      <c r="W73" s="59" t="s">
        <v>652</v>
      </c>
      <c r="X73" s="60">
        <v>1</v>
      </c>
      <c r="Y73" s="59" t="s">
        <v>352</v>
      </c>
      <c r="Z73">
        <v>1.3</v>
      </c>
    </row>
    <row r="74" spans="1:26" x14ac:dyDescent="0.25">
      <c r="A74" s="89"/>
      <c r="B74" s="551"/>
      <c r="C74"/>
      <c r="D74" s="59"/>
      <c r="I74" s="20"/>
      <c r="R74" s="59" t="s">
        <v>350</v>
      </c>
      <c r="S74" s="60">
        <v>2</v>
      </c>
      <c r="T74" s="330" t="s">
        <v>633</v>
      </c>
      <c r="U74" s="147">
        <v>49</v>
      </c>
      <c r="W74" s="59" t="s">
        <v>642</v>
      </c>
      <c r="X74" s="60">
        <v>2</v>
      </c>
      <c r="Y74" s="59" t="s">
        <v>651</v>
      </c>
      <c r="Z74">
        <v>3.2</v>
      </c>
    </row>
    <row r="75" spans="1:26" x14ac:dyDescent="0.25">
      <c r="A75" s="89"/>
      <c r="B75" s="551"/>
      <c r="C75" s="59"/>
      <c r="D75" s="59"/>
      <c r="I75" s="20"/>
      <c r="R75" s="59" t="s">
        <v>624</v>
      </c>
      <c r="S75" s="60">
        <v>3</v>
      </c>
      <c r="T75" s="330" t="s">
        <v>632</v>
      </c>
      <c r="U75" s="147">
        <v>64</v>
      </c>
      <c r="W75" s="59" t="s">
        <v>643</v>
      </c>
      <c r="X75" s="60">
        <v>3</v>
      </c>
      <c r="Y75" s="59" t="s">
        <v>650</v>
      </c>
      <c r="Z75">
        <v>6.5</v>
      </c>
    </row>
    <row r="76" spans="1:26" x14ac:dyDescent="0.25">
      <c r="A76" s="59"/>
      <c r="C76"/>
      <c r="I76" s="20">
        <v>1</v>
      </c>
      <c r="R76" s="59" t="s">
        <v>625</v>
      </c>
      <c r="S76" s="60">
        <v>4</v>
      </c>
      <c r="T76" s="330" t="s">
        <v>631</v>
      </c>
      <c r="U76" s="147">
        <v>81</v>
      </c>
      <c r="W76" s="59" t="s">
        <v>644</v>
      </c>
      <c r="X76" s="60">
        <v>4</v>
      </c>
      <c r="Y76" s="59" t="s">
        <v>649</v>
      </c>
      <c r="Z76">
        <v>12.5</v>
      </c>
    </row>
    <row r="77" spans="1:26" x14ac:dyDescent="0.25">
      <c r="A77" s="59"/>
      <c r="B77" s="13"/>
      <c r="C77" s="59"/>
      <c r="D77" s="59"/>
      <c r="E77" s="59"/>
      <c r="I77" s="20"/>
      <c r="R77" s="59" t="s">
        <v>626</v>
      </c>
      <c r="S77" s="60">
        <v>5</v>
      </c>
      <c r="T77" s="330" t="s">
        <v>630</v>
      </c>
      <c r="U77" s="147">
        <v>100</v>
      </c>
      <c r="W77" s="59" t="s">
        <v>813</v>
      </c>
      <c r="X77" s="60">
        <v>5</v>
      </c>
      <c r="Y77" s="59" t="s">
        <v>814</v>
      </c>
      <c r="Z77">
        <v>16.5</v>
      </c>
    </row>
    <row r="78" spans="1:26" x14ac:dyDescent="0.25">
      <c r="A78" s="59"/>
      <c r="B78" s="13"/>
      <c r="C78"/>
      <c r="D78" s="59">
        <f>Isw_min</f>
        <v>0.15</v>
      </c>
      <c r="E78" s="59"/>
      <c r="I78" s="20"/>
      <c r="R78" s="59" t="s">
        <v>627</v>
      </c>
      <c r="S78" s="60">
        <v>6</v>
      </c>
      <c r="T78" s="330" t="s">
        <v>629</v>
      </c>
      <c r="U78" s="147">
        <v>120</v>
      </c>
      <c r="W78" s="383" t="s">
        <v>647</v>
      </c>
    </row>
    <row r="79" spans="1:26" x14ac:dyDescent="0.25">
      <c r="A79" s="59"/>
      <c r="B79" s="13"/>
      <c r="C79" s="59"/>
      <c r="D79" s="59"/>
      <c r="E79" s="59"/>
      <c r="I79" s="20"/>
      <c r="R79" s="59" t="s">
        <v>628</v>
      </c>
      <c r="S79" s="60">
        <v>7</v>
      </c>
      <c r="T79" s="330" t="s">
        <v>635</v>
      </c>
      <c r="U79" s="147">
        <v>143</v>
      </c>
    </row>
    <row r="80" spans="1:26" ht="15.6" x14ac:dyDescent="0.35">
      <c r="A80" s="59"/>
      <c r="C80" s="59"/>
      <c r="E80" s="59"/>
      <c r="I80" s="20"/>
      <c r="K80" s="59" t="s">
        <v>321</v>
      </c>
      <c r="Q80" s="383" t="s">
        <v>460</v>
      </c>
    </row>
    <row r="81" spans="1:9" x14ac:dyDescent="0.25">
      <c r="A81" s="89" t="s">
        <v>695</v>
      </c>
      <c r="B81" s="34">
        <f>'LM(2)518x PSR flyback converter'!L7/1000000</f>
        <v>6.0000000000000002E-5</v>
      </c>
      <c r="C81" t="s">
        <v>11</v>
      </c>
      <c r="D81" s="59" t="s">
        <v>459</v>
      </c>
      <c r="I81" s="20"/>
    </row>
    <row r="82" spans="1:9" x14ac:dyDescent="0.25">
      <c r="A82" s="89" t="s">
        <v>677</v>
      </c>
      <c r="B82" s="111">
        <f>'LM(2)518x PSR flyback converter'!L11</f>
        <v>1000</v>
      </c>
      <c r="C82" t="s">
        <v>678</v>
      </c>
      <c r="D82" s="59"/>
      <c r="I82" s="20"/>
    </row>
    <row r="83" spans="1:9" x14ac:dyDescent="0.25">
      <c r="A83" s="89" t="s">
        <v>392</v>
      </c>
      <c r="B83" s="8">
        <f>'LM(2)518x PSR flyback converter'!L8/1000</f>
        <v>1</v>
      </c>
      <c r="C83" s="91" t="s">
        <v>45</v>
      </c>
      <c r="D83" s="59" t="s">
        <v>457</v>
      </c>
      <c r="I83" s="20"/>
    </row>
    <row r="84" spans="1:9" x14ac:dyDescent="0.25">
      <c r="A84" s="89" t="s">
        <v>455</v>
      </c>
      <c r="B84" s="8">
        <f>'LM(2)518x PSR flyback converter'!L9/1000</f>
        <v>1</v>
      </c>
      <c r="C84" s="91" t="s">
        <v>45</v>
      </c>
      <c r="D84" s="59" t="s">
        <v>458</v>
      </c>
      <c r="I84" s="20">
        <v>2</v>
      </c>
    </row>
    <row r="85" spans="1:9" x14ac:dyDescent="0.25">
      <c r="A85" s="89" t="s">
        <v>456</v>
      </c>
      <c r="B85" s="8">
        <f>'LM(2)518x PSR flyback converter'!L10/1000</f>
        <v>0.05</v>
      </c>
      <c r="C85" s="91" t="s">
        <v>45</v>
      </c>
      <c r="D85" s="59" t="s">
        <v>553</v>
      </c>
      <c r="E85" s="59"/>
      <c r="I85" s="20">
        <v>1</v>
      </c>
    </row>
    <row r="86" spans="1:9" x14ac:dyDescent="0.25">
      <c r="A86" s="89"/>
      <c r="C86"/>
      <c r="I86" s="20"/>
    </row>
    <row r="87" spans="1:9" ht="15.75" customHeight="1" x14ac:dyDescent="0.25">
      <c r="A87" s="59" t="s">
        <v>552</v>
      </c>
      <c r="B87" s="169">
        <v>100</v>
      </c>
      <c r="C87" s="59" t="s">
        <v>102</v>
      </c>
      <c r="D87" s="59"/>
      <c r="I87" s="20"/>
    </row>
    <row r="88" spans="1:9" x14ac:dyDescent="0.25">
      <c r="A88" s="89" t="s">
        <v>549</v>
      </c>
      <c r="B88" s="163">
        <f>Rdcr_pri*(1+0.0039*(B87-25))</f>
        <v>1.2925</v>
      </c>
      <c r="C88" s="91" t="s">
        <v>45</v>
      </c>
      <c r="I88" s="20"/>
    </row>
    <row r="89" spans="1:9" x14ac:dyDescent="0.25">
      <c r="A89" s="89" t="s">
        <v>550</v>
      </c>
      <c r="B89" s="163">
        <f>Rdcr_sec*(1+0.0039*(B87-25))</f>
        <v>1.2925</v>
      </c>
      <c r="C89" s="91" t="s">
        <v>45</v>
      </c>
      <c r="I89" s="20"/>
    </row>
    <row r="90" spans="1:9" x14ac:dyDescent="0.25">
      <c r="A90" s="89" t="s">
        <v>551</v>
      </c>
      <c r="B90" s="163">
        <f>Rdcr_sec2*(1+0.0039*(B87-25))</f>
        <v>6.4625000000000002E-2</v>
      </c>
      <c r="C90" s="91" t="s">
        <v>45</v>
      </c>
      <c r="I90" s="20"/>
    </row>
    <row r="91" spans="1:9" x14ac:dyDescent="0.25">
      <c r="A91" s="59" t="s">
        <v>805</v>
      </c>
      <c r="B91">
        <f>CHOOSE(VARIANT, 450, 375, 450, 375, 425)</f>
        <v>375</v>
      </c>
      <c r="C91" s="3" t="s">
        <v>32</v>
      </c>
      <c r="I91" s="20"/>
    </row>
    <row r="92" spans="1:9" x14ac:dyDescent="0.25">
      <c r="A92" t="s">
        <v>676</v>
      </c>
      <c r="B92" s="628">
        <f>(Vout+Vfwd1)*Nps*toff_max*0.000000001/Isw_min*1000000</f>
        <v>50.800000000000011</v>
      </c>
      <c r="C92" s="3" t="s">
        <v>806</v>
      </c>
      <c r="I92" s="20"/>
    </row>
    <row r="93" spans="1:9" ht="13.8" thickBot="1" x14ac:dyDescent="0.3">
      <c r="A93" s="146" t="s">
        <v>815</v>
      </c>
      <c r="B93" s="140">
        <f>CHOOSE(VARIANT, 2, 1, 2, 3, 5)</f>
        <v>1</v>
      </c>
      <c r="C93" s="62" t="s">
        <v>1</v>
      </c>
      <c r="D93" s="24"/>
      <c r="E93" s="24"/>
      <c r="F93" s="24"/>
      <c r="G93" s="24"/>
      <c r="H93" s="24"/>
      <c r="I93" s="25"/>
    </row>
    <row r="94" spans="1:9" x14ac:dyDescent="0.25">
      <c r="A94" s="3"/>
      <c r="B94" s="2"/>
      <c r="C94" s="2"/>
    </row>
    <row r="96" spans="1:9" ht="16.2" thickBot="1" x14ac:dyDescent="0.35">
      <c r="A96" s="39" t="s">
        <v>572</v>
      </c>
      <c r="D96" s="3"/>
    </row>
    <row r="97" spans="1:12" x14ac:dyDescent="0.25">
      <c r="A97" s="88" t="s">
        <v>164</v>
      </c>
      <c r="B97" s="361"/>
      <c r="C97" s="145" t="s">
        <v>1</v>
      </c>
      <c r="D97" s="61" t="s">
        <v>163</v>
      </c>
      <c r="E97" s="26"/>
      <c r="F97" s="26"/>
      <c r="G97" s="26"/>
      <c r="H97" s="26"/>
      <c r="I97" s="27"/>
      <c r="L97" s="5"/>
    </row>
    <row r="98" spans="1:12" x14ac:dyDescent="0.25">
      <c r="A98" s="89" t="s">
        <v>165</v>
      </c>
      <c r="B98" s="362"/>
      <c r="C98" s="59" t="s">
        <v>1</v>
      </c>
      <c r="E98" s="59"/>
      <c r="I98" s="20"/>
      <c r="L98" s="5"/>
    </row>
    <row r="99" spans="1:12" x14ac:dyDescent="0.25">
      <c r="A99" s="89" t="s">
        <v>166</v>
      </c>
      <c r="B99" s="362"/>
      <c r="C99" s="59" t="s">
        <v>1</v>
      </c>
      <c r="E99" s="59"/>
      <c r="I99" s="20"/>
      <c r="L99" s="5"/>
    </row>
    <row r="100" spans="1:12" x14ac:dyDescent="0.25">
      <c r="A100" s="89"/>
      <c r="B100" s="147"/>
      <c r="C100" s="59"/>
      <c r="E100" s="59"/>
      <c r="I100" s="20"/>
      <c r="L100" s="5"/>
    </row>
    <row r="101" spans="1:12" x14ac:dyDescent="0.25">
      <c r="A101" s="89" t="s">
        <v>174</v>
      </c>
      <c r="B101" s="479">
        <f>Vout_ripple</f>
        <v>200</v>
      </c>
      <c r="C101" s="59" t="s">
        <v>149</v>
      </c>
      <c r="D101" s="59" t="s">
        <v>608</v>
      </c>
      <c r="I101" s="20"/>
      <c r="L101" s="5"/>
    </row>
    <row r="102" spans="1:12" x14ac:dyDescent="0.25">
      <c r="A102" s="434" t="s">
        <v>12</v>
      </c>
      <c r="B102" s="492">
        <f>MAX(4.7, CHOOSE(MODE, 'Calculations - Single'!BA212, 'Calculations - Dual'!AW105))</f>
        <v>4.7</v>
      </c>
      <c r="C102" s="9" t="s">
        <v>97</v>
      </c>
      <c r="D102" s="59" t="s">
        <v>607</v>
      </c>
      <c r="E102" s="59"/>
      <c r="I102" s="20"/>
    </row>
    <row r="103" spans="1:12" x14ac:dyDescent="0.25">
      <c r="A103" s="89" t="s">
        <v>14</v>
      </c>
      <c r="B103" s="515">
        <f>'LM(2)518x PSR flyback converter'!E22</f>
        <v>10</v>
      </c>
      <c r="C103" s="9" t="s">
        <v>97</v>
      </c>
      <c r="D103" s="59" t="s">
        <v>167</v>
      </c>
      <c r="I103" s="20"/>
    </row>
    <row r="104" spans="1:12" x14ac:dyDescent="0.25">
      <c r="A104" s="176" t="s">
        <v>181</v>
      </c>
      <c r="B104" s="480">
        <f>(Vripple1_spec-Iout*B106/Cout*1000)/Iout</f>
        <v>1860.887164674208</v>
      </c>
      <c r="C104" s="91" t="s">
        <v>258</v>
      </c>
      <c r="D104" s="59" t="s">
        <v>107</v>
      </c>
      <c r="I104" s="20"/>
    </row>
    <row r="105" spans="1:12" x14ac:dyDescent="0.25">
      <c r="A105" s="89" t="s">
        <v>54</v>
      </c>
      <c r="B105" s="171">
        <f>'LM(2)518x PSR flyback converter'!E23</f>
        <v>3</v>
      </c>
      <c r="C105" s="91" t="s">
        <v>258</v>
      </c>
      <c r="D105" s="59" t="s">
        <v>108</v>
      </c>
      <c r="I105" s="20"/>
    </row>
    <row r="106" spans="1:12" x14ac:dyDescent="0.25">
      <c r="A106" s="89" t="s">
        <v>445</v>
      </c>
      <c r="B106" s="170">
        <f>CHOOSE(MODE, 'Calculations - Single'!AT105, 'Calculations - Dual'!AR105)</f>
        <v>1.3911283532579211</v>
      </c>
      <c r="C106" s="9" t="s">
        <v>247</v>
      </c>
      <c r="D106" s="59"/>
      <c r="I106" s="20"/>
    </row>
    <row r="107" spans="1:12" x14ac:dyDescent="0.25">
      <c r="A107" s="29" t="s">
        <v>444</v>
      </c>
      <c r="B107" s="626">
        <f>'Calculations - Single'!BB105</f>
        <v>14.089536000000004</v>
      </c>
      <c r="C107" s="59" t="s">
        <v>450</v>
      </c>
      <c r="D107" s="59" t="s">
        <v>610</v>
      </c>
      <c r="H107" s="162" t="s">
        <v>575</v>
      </c>
      <c r="I107" s="20"/>
    </row>
    <row r="108" spans="1:12" x14ac:dyDescent="0.25">
      <c r="A108" s="29"/>
      <c r="B108" s="170"/>
      <c r="C108" s="59"/>
      <c r="D108" s="59"/>
      <c r="I108" s="20"/>
    </row>
    <row r="109" spans="1:12" x14ac:dyDescent="0.25">
      <c r="A109" s="29"/>
      <c r="B109" s="170"/>
      <c r="C109" s="59"/>
      <c r="D109" s="59"/>
      <c r="I109" s="20"/>
    </row>
    <row r="110" spans="1:12" ht="15.6" x14ac:dyDescent="0.3">
      <c r="A110" s="554" t="s">
        <v>573</v>
      </c>
      <c r="B110" s="170"/>
      <c r="C110" s="9"/>
      <c r="D110" s="59"/>
      <c r="I110" s="20"/>
    </row>
    <row r="111" spans="1:12" x14ac:dyDescent="0.25">
      <c r="A111" s="89" t="s">
        <v>554</v>
      </c>
      <c r="B111" s="479">
        <f>Vout_ripple2</f>
        <v>160</v>
      </c>
      <c r="C111" s="59" t="s">
        <v>149</v>
      </c>
      <c r="D111" s="59" t="s">
        <v>611</v>
      </c>
      <c r="I111" s="20"/>
    </row>
    <row r="112" spans="1:12" x14ac:dyDescent="0.25">
      <c r="A112" s="434" t="s">
        <v>556</v>
      </c>
      <c r="B112" s="170">
        <f>MAX(4.7, 'Calculations - Dual'!AY105)</f>
        <v>4.7</v>
      </c>
      <c r="C112" s="9" t="s">
        <v>97</v>
      </c>
      <c r="D112" s="59" t="s">
        <v>607</v>
      </c>
      <c r="I112" s="20"/>
    </row>
    <row r="113" spans="1:9" x14ac:dyDescent="0.25">
      <c r="A113" s="89" t="s">
        <v>555</v>
      </c>
      <c r="B113" s="515">
        <f>'LM(2)518x PSR flyback converter'!L22</f>
        <v>22</v>
      </c>
      <c r="C113" s="9" t="s">
        <v>97</v>
      </c>
      <c r="D113" s="59" t="s">
        <v>167</v>
      </c>
      <c r="I113" s="20"/>
    </row>
    <row r="114" spans="1:9" x14ac:dyDescent="0.25">
      <c r="A114" s="176" t="s">
        <v>557</v>
      </c>
      <c r="B114" s="480">
        <f>(Vout_ripple2-Iout2*B116/Cout2*1000)/Iout2</f>
        <v>1520.15363039512</v>
      </c>
      <c r="C114" s="91" t="s">
        <v>258</v>
      </c>
      <c r="D114" s="59" t="s">
        <v>107</v>
      </c>
      <c r="H114" s="162" t="s">
        <v>574</v>
      </c>
      <c r="I114" s="20"/>
    </row>
    <row r="115" spans="1:9" x14ac:dyDescent="0.25">
      <c r="A115" s="89" t="s">
        <v>558</v>
      </c>
      <c r="B115" s="171">
        <f>'LM(2)518x PSR flyback converter'!L23</f>
        <v>2</v>
      </c>
      <c r="C115" s="91" t="s">
        <v>258</v>
      </c>
      <c r="D115" s="59" t="s">
        <v>108</v>
      </c>
      <c r="I115" s="20"/>
    </row>
    <row r="116" spans="1:9" x14ac:dyDescent="0.25">
      <c r="A116" s="89" t="s">
        <v>445</v>
      </c>
      <c r="B116" s="170">
        <f>'Calculations - Dual'!AS105</f>
        <v>1.7566201313073599</v>
      </c>
      <c r="C116" s="9" t="s">
        <v>247</v>
      </c>
      <c r="D116" s="59"/>
      <c r="H116" s="162" t="s">
        <v>574</v>
      </c>
      <c r="I116" s="20"/>
    </row>
    <row r="117" spans="1:9" x14ac:dyDescent="0.25">
      <c r="A117" s="29" t="s">
        <v>444</v>
      </c>
      <c r="B117" s="513">
        <f>'Calculations - Dual'!AZ105</f>
        <v>5.2539377315845552</v>
      </c>
      <c r="C117" s="59" t="s">
        <v>450</v>
      </c>
      <c r="D117" s="59" t="s">
        <v>609</v>
      </c>
      <c r="I117" s="20"/>
    </row>
    <row r="118" spans="1:9" x14ac:dyDescent="0.25">
      <c r="A118" s="3"/>
      <c r="B118" s="170"/>
      <c r="C118" s="59"/>
      <c r="D118" s="59"/>
      <c r="I118" s="20"/>
    </row>
    <row r="119" spans="1:9" ht="13.8" thickBot="1" x14ac:dyDescent="0.3">
      <c r="A119" s="24"/>
      <c r="B119" s="24"/>
      <c r="C119" s="24"/>
      <c r="D119" s="24"/>
      <c r="E119" s="24"/>
      <c r="F119" s="24"/>
      <c r="G119" s="24"/>
      <c r="H119" s="24"/>
      <c r="I119" s="25"/>
    </row>
    <row r="121" spans="1:9" ht="13.8" thickBot="1" x14ac:dyDescent="0.3"/>
    <row r="122" spans="1:9" ht="15.6" x14ac:dyDescent="0.3">
      <c r="A122" s="45" t="s">
        <v>55</v>
      </c>
      <c r="B122" s="46"/>
      <c r="C122" s="148"/>
      <c r="D122" s="46"/>
      <c r="E122" s="46"/>
      <c r="F122" s="46"/>
      <c r="G122" s="46"/>
      <c r="H122" s="46"/>
      <c r="I122" s="47"/>
    </row>
    <row r="123" spans="1:9" x14ac:dyDescent="0.25">
      <c r="A123" s="482" t="s">
        <v>518</v>
      </c>
      <c r="B123" s="485">
        <f>0.05*VIN_nom</f>
        <v>1</v>
      </c>
      <c r="C123" s="59" t="s">
        <v>451</v>
      </c>
      <c r="D123" s="59" t="s">
        <v>446</v>
      </c>
      <c r="I123" s="49"/>
    </row>
    <row r="124" spans="1:9" x14ac:dyDescent="0.25">
      <c r="A124" s="48"/>
      <c r="C124"/>
      <c r="I124" s="49"/>
    </row>
    <row r="125" spans="1:9" x14ac:dyDescent="0.25">
      <c r="A125" s="50" t="s">
        <v>58</v>
      </c>
      <c r="B125" s="363"/>
      <c r="C125" s="9" t="s">
        <v>30</v>
      </c>
      <c r="I125" s="49"/>
    </row>
    <row r="126" spans="1:9" x14ac:dyDescent="0.25">
      <c r="A126" s="50" t="s">
        <v>98</v>
      </c>
      <c r="B126" s="165">
        <f>'Calculations - Single'!BC105</f>
        <v>0.16289050043165959</v>
      </c>
      <c r="C126" s="9" t="s">
        <v>97</v>
      </c>
      <c r="I126" s="49"/>
    </row>
    <row r="127" spans="1:9" x14ac:dyDescent="0.25">
      <c r="A127" s="176" t="s">
        <v>180</v>
      </c>
      <c r="B127" s="518">
        <f>MAX(2.2,Cinmin)</f>
        <v>2.2000000000000002</v>
      </c>
      <c r="C127" s="9" t="s">
        <v>97</v>
      </c>
      <c r="I127" s="49"/>
    </row>
    <row r="128" spans="1:9" x14ac:dyDescent="0.25">
      <c r="A128" s="50" t="s">
        <v>28</v>
      </c>
      <c r="B128" s="483">
        <f>'LM(2)518x PSR flyback converter'!E18</f>
        <v>10</v>
      </c>
      <c r="C128" s="9" t="s">
        <v>97</v>
      </c>
      <c r="D128" t="s">
        <v>60</v>
      </c>
      <c r="I128" s="49"/>
    </row>
    <row r="129" spans="1:9" x14ac:dyDescent="0.25">
      <c r="A129" s="50"/>
      <c r="B129" s="481"/>
      <c r="C129" s="43"/>
      <c r="I129" s="49"/>
    </row>
    <row r="130" spans="1:9" x14ac:dyDescent="0.25">
      <c r="A130" s="50" t="s">
        <v>99</v>
      </c>
      <c r="B130" s="362">
        <f>(Vinripple1-B133*B135/Cin)/B134</f>
        <v>2.1213950840403504</v>
      </c>
      <c r="C130" s="91" t="s">
        <v>45</v>
      </c>
      <c r="I130" s="49"/>
    </row>
    <row r="131" spans="1:9" x14ac:dyDescent="0.25">
      <c r="A131" s="50" t="s">
        <v>37</v>
      </c>
      <c r="B131" s="44">
        <f>'LM(2)518x PSR flyback converter'!E19/1000</f>
        <v>3.0000000000000001E-3</v>
      </c>
      <c r="C131" s="91" t="s">
        <v>45</v>
      </c>
      <c r="D131" s="59" t="s">
        <v>109</v>
      </c>
      <c r="I131" s="49"/>
    </row>
    <row r="132" spans="1:9" ht="13.8" x14ac:dyDescent="0.3">
      <c r="A132" s="176" t="s">
        <v>182</v>
      </c>
      <c r="B132" s="315">
        <f>'LM(2)518x PSR flyback converter'!E19</f>
        <v>3</v>
      </c>
      <c r="C132" s="12" t="s">
        <v>161</v>
      </c>
      <c r="D132" s="59"/>
      <c r="I132" s="49"/>
    </row>
    <row r="133" spans="1:9" x14ac:dyDescent="0.25">
      <c r="A133" s="176" t="s">
        <v>448</v>
      </c>
      <c r="B133" s="368">
        <f>Pout_total/VIN_nom/Efficiency</f>
        <v>0.11111111111111112</v>
      </c>
      <c r="C133" s="59" t="s">
        <v>1</v>
      </c>
      <c r="D133" s="59"/>
      <c r="I133" s="49"/>
    </row>
    <row r="134" spans="1:9" x14ac:dyDescent="0.25">
      <c r="A134" s="176" t="s">
        <v>452</v>
      </c>
      <c r="B134" s="368">
        <f>CHOOSE(MODE, 'Calculations - Single'!AJ105, 'Calculations - Dual'!$AI$105)</f>
        <v>0.46370945108597372</v>
      </c>
      <c r="C134" s="59" t="s">
        <v>1</v>
      </c>
      <c r="D134" s="59"/>
      <c r="I134" s="49"/>
    </row>
    <row r="135" spans="1:9" x14ac:dyDescent="0.25">
      <c r="A135" s="176" t="s">
        <v>449</v>
      </c>
      <c r="B135" s="368">
        <f>CHOOSE(MODE, 'Calculations - Single'!AU105, 'Calculations - Dual'!$AT$105)</f>
        <v>1.4660145038849361</v>
      </c>
      <c r="C135" s="9" t="s">
        <v>247</v>
      </c>
      <c r="D135" s="59"/>
      <c r="I135" s="49"/>
    </row>
    <row r="136" spans="1:9" x14ac:dyDescent="0.25">
      <c r="A136" s="176" t="s">
        <v>447</v>
      </c>
      <c r="B136" s="165">
        <f>CHOOSE(MODE, 'Calculations - Single'!BD105, 'Calculations - Dual'!$BB$105)</f>
        <v>16.622383376499293</v>
      </c>
      <c r="C136" s="9" t="s">
        <v>450</v>
      </c>
      <c r="D136" s="59" t="s">
        <v>453</v>
      </c>
      <c r="E136" s="484"/>
      <c r="F136" s="9"/>
      <c r="I136" s="49"/>
    </row>
    <row r="137" spans="1:9" ht="13.8" thickBot="1" x14ac:dyDescent="0.3">
      <c r="A137" s="51"/>
      <c r="B137" s="52"/>
      <c r="C137" s="52"/>
      <c r="D137" s="52"/>
      <c r="E137" s="53"/>
      <c r="F137" s="53"/>
      <c r="G137" s="53"/>
      <c r="H137" s="53"/>
      <c r="I137" s="54"/>
    </row>
    <row r="139" spans="1:9" ht="16.2" thickBot="1" x14ac:dyDescent="0.35">
      <c r="A139" s="39" t="s">
        <v>62</v>
      </c>
    </row>
    <row r="140" spans="1:9" x14ac:dyDescent="0.25">
      <c r="A140" s="40" t="s">
        <v>64</v>
      </c>
      <c r="B140" s="7">
        <f>'LM(2)518x PSR flyback converter'!E30/1000</f>
        <v>0.02</v>
      </c>
      <c r="C140" s="26" t="s">
        <v>51</v>
      </c>
      <c r="D140" s="61" t="s">
        <v>176</v>
      </c>
      <c r="E140" s="26"/>
      <c r="F140" s="26"/>
      <c r="G140" s="26"/>
      <c r="H140" s="26"/>
      <c r="I140" s="27"/>
    </row>
    <row r="141" spans="1:9" x14ac:dyDescent="0.25">
      <c r="A141" s="19" t="s">
        <v>65</v>
      </c>
      <c r="B141" s="173">
        <v>5.0000000000000004E-6</v>
      </c>
      <c r="C141" t="s">
        <v>1</v>
      </c>
      <c r="D141" s="59" t="s">
        <v>307</v>
      </c>
      <c r="I141" s="20"/>
    </row>
    <row r="142" spans="1:9" x14ac:dyDescent="0.25">
      <c r="A142" s="19" t="s">
        <v>66</v>
      </c>
      <c r="B142" s="173">
        <f>0.000005*Tss/1</f>
        <v>1.0000000000000001E-7</v>
      </c>
      <c r="C142" t="s">
        <v>13</v>
      </c>
      <c r="D142" s="59" t="s">
        <v>309</v>
      </c>
      <c r="I142" s="20"/>
    </row>
    <row r="143" spans="1:9" ht="13.8" thickBot="1" x14ac:dyDescent="0.3">
      <c r="A143" s="23" t="s">
        <v>72</v>
      </c>
      <c r="B143" s="174">
        <f>'Standard Value Calculator'!B4</f>
        <v>9.9999999999999995E-8</v>
      </c>
      <c r="C143" s="24" t="s">
        <v>13</v>
      </c>
      <c r="D143" s="62" t="s">
        <v>310</v>
      </c>
      <c r="E143" s="24"/>
      <c r="F143" s="24"/>
      <c r="G143" s="24"/>
      <c r="H143" s="24"/>
      <c r="I143" s="25"/>
    </row>
    <row r="145" spans="1:9" ht="16.2" thickBot="1" x14ac:dyDescent="0.35">
      <c r="A145" s="39" t="s">
        <v>569</v>
      </c>
    </row>
    <row r="146" spans="1:9" ht="12.75" customHeight="1" x14ac:dyDescent="0.25">
      <c r="A146" s="88"/>
      <c r="B146" s="41"/>
      <c r="C146" s="136"/>
      <c r="D146" s="61"/>
      <c r="E146" s="26"/>
      <c r="F146" s="26"/>
      <c r="G146" s="26"/>
      <c r="H146" s="26"/>
      <c r="I146" s="27"/>
    </row>
    <row r="147" spans="1:9" ht="12.75" customHeight="1" x14ac:dyDescent="0.25">
      <c r="A147" s="89" t="s">
        <v>111</v>
      </c>
      <c r="B147" s="166">
        <v>1.5</v>
      </c>
      <c r="C147" s="59" t="s">
        <v>0</v>
      </c>
      <c r="D147" s="59"/>
      <c r="I147" s="20"/>
    </row>
    <row r="148" spans="1:9" ht="12.75" customHeight="1" x14ac:dyDescent="0.25">
      <c r="A148" s="89" t="s">
        <v>112</v>
      </c>
      <c r="B148" s="166">
        <v>1.45</v>
      </c>
      <c r="C148" s="59" t="s">
        <v>0</v>
      </c>
      <c r="D148" s="59"/>
      <c r="I148" s="20"/>
    </row>
    <row r="149" spans="1:9" ht="12.75" customHeight="1" x14ac:dyDescent="0.25">
      <c r="A149" s="89" t="s">
        <v>148</v>
      </c>
      <c r="B149" s="11">
        <f>B147-B148</f>
        <v>5.0000000000000044E-2</v>
      </c>
      <c r="C149" s="59" t="s">
        <v>0</v>
      </c>
      <c r="D149" s="59"/>
      <c r="I149" s="20"/>
    </row>
    <row r="150" spans="1:9" ht="12.75" customHeight="1" x14ac:dyDescent="0.25">
      <c r="A150" s="89" t="s">
        <v>377</v>
      </c>
      <c r="B150">
        <v>0</v>
      </c>
      <c r="C150" s="59" t="s">
        <v>1</v>
      </c>
      <c r="D150" s="59"/>
      <c r="I150" s="20"/>
    </row>
    <row r="151" spans="1:9" ht="12.75" customHeight="1" x14ac:dyDescent="0.25">
      <c r="A151" s="89" t="s">
        <v>376</v>
      </c>
      <c r="B151" s="454">
        <v>5.0000000000000001E-3</v>
      </c>
      <c r="C151" s="59" t="s">
        <v>30</v>
      </c>
      <c r="D151" s="59"/>
      <c r="I151" s="20"/>
    </row>
    <row r="152" spans="1:9" ht="12.75" customHeight="1" x14ac:dyDescent="0.25">
      <c r="A152" s="89" t="s">
        <v>375</v>
      </c>
      <c r="B152" s="455">
        <f>Iuvlo2-Iuvlo1</f>
        <v>5.0000000000000001E-3</v>
      </c>
      <c r="C152" s="59" t="s">
        <v>30</v>
      </c>
      <c r="D152" s="59"/>
      <c r="I152" s="20"/>
    </row>
    <row r="153" spans="1:9" ht="12.75" customHeight="1" x14ac:dyDescent="0.25">
      <c r="A153" s="89"/>
      <c r="B153" s="11"/>
      <c r="C153" s="138"/>
      <c r="D153" s="59"/>
      <c r="I153" s="20"/>
    </row>
    <row r="154" spans="1:9" ht="12.75" customHeight="1" x14ac:dyDescent="0.35">
      <c r="A154" s="89" t="s">
        <v>110</v>
      </c>
      <c r="B154" s="164">
        <f>'LM(2)518x PSR flyback converter'!E36</f>
        <v>8</v>
      </c>
      <c r="C154" s="59" t="s">
        <v>0</v>
      </c>
      <c r="I154" s="20"/>
    </row>
    <row r="155" spans="1:9" ht="12.75" customHeight="1" x14ac:dyDescent="0.35">
      <c r="A155" s="89" t="s">
        <v>294</v>
      </c>
      <c r="B155" s="164">
        <f>'LM(2)518x PSR flyback converter'!E37</f>
        <v>7.5</v>
      </c>
      <c r="C155" s="59" t="s">
        <v>0</v>
      </c>
      <c r="I155" s="20"/>
    </row>
    <row r="156" spans="1:9" ht="12.75" customHeight="1" x14ac:dyDescent="0.25">
      <c r="A156" s="89"/>
      <c r="B156" s="11"/>
      <c r="C156" s="59"/>
      <c r="I156" s="20"/>
    </row>
    <row r="157" spans="1:9" ht="12.75" customHeight="1" x14ac:dyDescent="0.35">
      <c r="A157" s="89" t="s">
        <v>126</v>
      </c>
      <c r="B157" s="134">
        <f>(VINuvlo_off-VINuvlo_on*Vuvlo_off/Vuvlo_on)/(Iuvlo1*Vuvlo_off/Vuvlo_on-Iuvlo2)</f>
        <v>46.666666666666679</v>
      </c>
      <c r="C157" s="12" t="s">
        <v>113</v>
      </c>
      <c r="D157">
        <f>'Standard Value Calculator'!J16</f>
        <v>46.400000000000006</v>
      </c>
      <c r="E157" s="12" t="s">
        <v>113</v>
      </c>
      <c r="F157" s="11">
        <f>IF(Ruvlo1&lt;0,"N/A",D157)</f>
        <v>46.400000000000006</v>
      </c>
      <c r="G157" s="11" t="str">
        <f>IF(Ruvlo1&lt;0,"N/A",D157&amp;"kΩ")</f>
        <v>46.4kΩ</v>
      </c>
      <c r="I157" s="20"/>
    </row>
    <row r="158" spans="1:9" ht="12.75" customHeight="1" x14ac:dyDescent="0.35">
      <c r="A158" s="89" t="s">
        <v>127</v>
      </c>
      <c r="B158" s="167">
        <f>D157*Vuvlo_on/(VINuvlo_on-Vuvlo_on+Ruvlo1*Iuvlo1)</f>
        <v>10.707692307692309</v>
      </c>
      <c r="C158" s="12" t="s">
        <v>113</v>
      </c>
      <c r="D158">
        <f>'Standard Value Calculator'!J17</f>
        <v>10.700000000000001</v>
      </c>
      <c r="E158" s="12" t="s">
        <v>113</v>
      </c>
      <c r="F158" s="11">
        <f>IF(F157="N/A","N/A",D158)</f>
        <v>10.700000000000001</v>
      </c>
      <c r="G158" s="11" t="str">
        <f>IF(G157="N/A","N/A",D158&amp;"kΩ")</f>
        <v>10.7kΩ</v>
      </c>
      <c r="I158" s="20"/>
    </row>
    <row r="159" spans="1:9" ht="12.75" customHeight="1" x14ac:dyDescent="0.3">
      <c r="A159" s="89"/>
      <c r="B159" s="90"/>
      <c r="C159" s="12"/>
      <c r="D159" s="11"/>
      <c r="E159" s="12"/>
      <c r="F159" s="11"/>
      <c r="G159" s="11"/>
      <c r="I159" s="20"/>
    </row>
    <row r="160" spans="1:9" ht="12.75" customHeight="1" x14ac:dyDescent="0.35">
      <c r="A160" s="89" t="s">
        <v>114</v>
      </c>
      <c r="B160" s="514">
        <f>(D157+D158)/D158*Vuvlo_on</f>
        <v>8.0046728971962615</v>
      </c>
      <c r="C160" s="3" t="s">
        <v>0</v>
      </c>
      <c r="F160" s="12"/>
      <c r="I160" s="20"/>
    </row>
    <row r="161" spans="1:9" ht="12.75" customHeight="1" x14ac:dyDescent="0.35">
      <c r="A161" s="89" t="s">
        <v>115</v>
      </c>
      <c r="B161" s="514">
        <f>(D157+D158)/D158*Vuvlo_off-Iuvlo2*D157</f>
        <v>7.5058504672897195</v>
      </c>
      <c r="C161" s="3" t="s">
        <v>0</v>
      </c>
      <c r="F161" s="12"/>
      <c r="I161" s="20"/>
    </row>
    <row r="162" spans="1:9" ht="12.75" customHeight="1" thickBot="1" x14ac:dyDescent="0.3">
      <c r="A162" s="23"/>
      <c r="B162" s="32"/>
      <c r="C162" s="137"/>
      <c r="D162" s="24"/>
      <c r="E162" s="24"/>
      <c r="F162" s="24"/>
      <c r="G162" s="24"/>
      <c r="H162" s="24"/>
      <c r="I162" s="25"/>
    </row>
    <row r="163" spans="1:9" x14ac:dyDescent="0.25">
      <c r="B163" s="11"/>
      <c r="C163" s="138"/>
    </row>
    <row r="164" spans="1:9" ht="16.2" thickBot="1" x14ac:dyDescent="0.35">
      <c r="A164" s="39" t="s">
        <v>529</v>
      </c>
    </row>
    <row r="165" spans="1:9" x14ac:dyDescent="0.25">
      <c r="A165" s="155" t="s">
        <v>16</v>
      </c>
      <c r="B165" s="156">
        <v>3.1415926500000002</v>
      </c>
      <c r="C165" s="157"/>
      <c r="D165" s="158" t="s">
        <v>170</v>
      </c>
      <c r="E165" s="26"/>
      <c r="F165" s="26"/>
      <c r="G165" s="26"/>
      <c r="H165" s="26"/>
      <c r="I165" s="27"/>
    </row>
    <row r="166" spans="1:9" x14ac:dyDescent="0.25">
      <c r="A166" s="59" t="s">
        <v>185</v>
      </c>
      <c r="B166" s="179"/>
      <c r="C166" s="159" t="s">
        <v>184</v>
      </c>
      <c r="D166" s="161" t="s">
        <v>561</v>
      </c>
      <c r="I166" s="20"/>
    </row>
    <row r="167" spans="1:9" x14ac:dyDescent="0.25">
      <c r="A167" s="59" t="s">
        <v>186</v>
      </c>
      <c r="B167" s="179"/>
      <c r="C167" s="159" t="s">
        <v>184</v>
      </c>
      <c r="D167" s="161"/>
      <c r="I167" s="20"/>
    </row>
    <row r="168" spans="1:9" x14ac:dyDescent="0.25">
      <c r="C168"/>
      <c r="I168" s="20"/>
    </row>
    <row r="169" spans="1:9" ht="13.8" x14ac:dyDescent="0.3">
      <c r="A169" s="89" t="s">
        <v>393</v>
      </c>
      <c r="B169" s="149">
        <f>(Vout+Vfwd1)*Nps*10</f>
        <v>203.2</v>
      </c>
      <c r="C169" s="12" t="s">
        <v>113</v>
      </c>
      <c r="D169" s="59" t="s">
        <v>531</v>
      </c>
      <c r="I169" s="20">
        <v>1</v>
      </c>
    </row>
    <row r="170" spans="1:9" ht="13.8" x14ac:dyDescent="0.3">
      <c r="A170" s="29" t="s">
        <v>530</v>
      </c>
      <c r="B170" s="154">
        <f>Rfb/1000</f>
        <v>203.2</v>
      </c>
      <c r="C170" s="12" t="s">
        <v>113</v>
      </c>
      <c r="D170" s="59" t="s">
        <v>528</v>
      </c>
      <c r="I170" s="20"/>
    </row>
    <row r="171" spans="1:9" ht="13.8" x14ac:dyDescent="0.3">
      <c r="A171" s="89" t="s">
        <v>53</v>
      </c>
      <c r="B171" s="31">
        <f>'Standard Value Calculator'!J10/1000</f>
        <v>205</v>
      </c>
      <c r="C171" s="12" t="s">
        <v>113</v>
      </c>
      <c r="D171" s="59" t="s">
        <v>361</v>
      </c>
      <c r="I171" s="20"/>
    </row>
    <row r="172" spans="1:9" ht="13.8" x14ac:dyDescent="0.3">
      <c r="A172" s="59"/>
      <c r="C172" s="12"/>
      <c r="D172" s="59"/>
      <c r="I172" s="20"/>
    </row>
    <row r="173" spans="1:9" x14ac:dyDescent="0.25">
      <c r="A173" s="59" t="s">
        <v>532</v>
      </c>
      <c r="B173" s="465">
        <f>'LM(2)518x PSR flyback converter'!E33</f>
        <v>-1.5</v>
      </c>
      <c r="C173" s="59" t="s">
        <v>386</v>
      </c>
      <c r="D173" s="59"/>
      <c r="I173" s="20"/>
    </row>
    <row r="174" spans="1:9" ht="15.6" x14ac:dyDescent="0.35">
      <c r="A174" s="19" t="s">
        <v>527</v>
      </c>
      <c r="B174" s="317">
        <f>3*B170/Nps/ABS(Diode_TC)*1000</f>
        <v>406399.99999999994</v>
      </c>
      <c r="C174" s="12" t="s">
        <v>136</v>
      </c>
      <c r="D174" s="59"/>
      <c r="I174" s="20"/>
    </row>
    <row r="175" spans="1:9" ht="13.8" x14ac:dyDescent="0.3">
      <c r="A175" t="s">
        <v>533</v>
      </c>
      <c r="B175" s="147">
        <f>'Standard Value Calculator'!J9/1000</f>
        <v>402</v>
      </c>
      <c r="C175" s="12" t="s">
        <v>113</v>
      </c>
      <c r="D175" s="59"/>
      <c r="I175" s="20"/>
    </row>
    <row r="176" spans="1:9" ht="13.8" thickBot="1" x14ac:dyDescent="0.3">
      <c r="A176" s="160"/>
      <c r="B176" s="160"/>
      <c r="C176" s="33"/>
      <c r="D176" s="24"/>
      <c r="E176" s="33"/>
      <c r="F176" s="24"/>
      <c r="G176" s="24"/>
      <c r="H176" s="24"/>
      <c r="I176" s="25"/>
    </row>
    <row r="177" spans="1:9" x14ac:dyDescent="0.25">
      <c r="A177" s="2"/>
      <c r="B177" s="13"/>
      <c r="C177" s="13"/>
      <c r="E177" s="13"/>
    </row>
    <row r="178" spans="1:9" x14ac:dyDescent="0.25">
      <c r="A178" s="2"/>
      <c r="B178" s="13"/>
      <c r="C178" s="13"/>
      <c r="E178" s="13"/>
    </row>
    <row r="179" spans="1:9" ht="16.2" thickBot="1" x14ac:dyDescent="0.35">
      <c r="A179" s="42" t="s">
        <v>83</v>
      </c>
    </row>
    <row r="180" spans="1:9" x14ac:dyDescent="0.25">
      <c r="A180" s="40"/>
      <c r="B180" s="26"/>
      <c r="C180" s="139"/>
      <c r="D180" s="26"/>
      <c r="E180" s="26"/>
      <c r="F180" s="26"/>
      <c r="G180" s="26"/>
      <c r="H180" s="26"/>
      <c r="I180" s="27"/>
    </row>
    <row r="181" spans="1:9" x14ac:dyDescent="0.25">
      <c r="A181" s="29" t="s">
        <v>26</v>
      </c>
      <c r="I181" s="20"/>
    </row>
    <row r="182" spans="1:9" x14ac:dyDescent="0.25">
      <c r="A182" s="19" t="s">
        <v>36</v>
      </c>
      <c r="B182" s="111">
        <f>'LM(2)518x PSR flyback converter'!E45</f>
        <v>55</v>
      </c>
      <c r="C182" s="59" t="s">
        <v>102</v>
      </c>
      <c r="D182" t="s">
        <v>40</v>
      </c>
      <c r="I182" s="20"/>
    </row>
    <row r="183" spans="1:9" x14ac:dyDescent="0.25">
      <c r="A183" s="29" t="s">
        <v>29</v>
      </c>
      <c r="C183"/>
      <c r="I183" s="20"/>
    </row>
    <row r="184" spans="1:9" x14ac:dyDescent="0.25">
      <c r="A184" s="19" t="s">
        <v>35</v>
      </c>
      <c r="B184" s="22">
        <f>4000/1000000</f>
        <v>4.0000000000000001E-3</v>
      </c>
      <c r="C184" s="59" t="s">
        <v>138</v>
      </c>
      <c r="D184" s="59" t="s">
        <v>562</v>
      </c>
      <c r="I184" s="20"/>
    </row>
    <row r="185" spans="1:9" ht="15.6" x14ac:dyDescent="0.35">
      <c r="A185" s="89" t="s">
        <v>177</v>
      </c>
      <c r="B185" s="22">
        <v>20</v>
      </c>
      <c r="C185" s="59" t="s">
        <v>84</v>
      </c>
      <c r="D185" s="59" t="s">
        <v>563</v>
      </c>
      <c r="I185" s="20"/>
    </row>
    <row r="186" spans="1:9" x14ac:dyDescent="0.25">
      <c r="A186" s="19" t="s">
        <v>37</v>
      </c>
      <c r="B186" s="8">
        <f>RCinEsr</f>
        <v>3.0000000000000001E-3</v>
      </c>
      <c r="C186" s="91" t="s">
        <v>45</v>
      </c>
      <c r="D186" s="59" t="s">
        <v>178</v>
      </c>
      <c r="I186" s="20"/>
    </row>
    <row r="187" spans="1:9" x14ac:dyDescent="0.25">
      <c r="A187" s="19"/>
      <c r="B187" s="8"/>
      <c r="C187" s="91"/>
      <c r="D187" s="59"/>
      <c r="I187" s="20"/>
    </row>
    <row r="188" spans="1:9" x14ac:dyDescent="0.25">
      <c r="A188" s="28" t="s">
        <v>52</v>
      </c>
      <c r="C188"/>
      <c r="I188" s="20"/>
    </row>
    <row r="189" spans="1:9" x14ac:dyDescent="0.25">
      <c r="A189" s="89" t="s">
        <v>284</v>
      </c>
      <c r="B189" s="22">
        <f>Vdd</f>
        <v>5</v>
      </c>
      <c r="C189" t="s">
        <v>0</v>
      </c>
      <c r="D189" s="162"/>
      <c r="I189" s="20"/>
    </row>
    <row r="190" spans="1:9" x14ac:dyDescent="0.25">
      <c r="A190" s="19" t="s">
        <v>49</v>
      </c>
      <c r="B190" s="30">
        <f>IQ</f>
        <v>2.9E-4</v>
      </c>
      <c r="C190" t="s">
        <v>1</v>
      </c>
      <c r="D190" t="s">
        <v>50</v>
      </c>
      <c r="I190" s="20"/>
    </row>
    <row r="191" spans="1:9" x14ac:dyDescent="0.25">
      <c r="A191" s="19"/>
      <c r="C191"/>
      <c r="I191" s="20"/>
    </row>
    <row r="192" spans="1:9" x14ac:dyDescent="0.25">
      <c r="A192" s="29" t="s">
        <v>172</v>
      </c>
      <c r="B192" s="3" t="s">
        <v>6</v>
      </c>
      <c r="C192" s="3" t="s">
        <v>33</v>
      </c>
      <c r="I192" s="20"/>
    </row>
    <row r="193" spans="1:9" x14ac:dyDescent="0.25">
      <c r="A193" s="21" t="s">
        <v>44</v>
      </c>
      <c r="B193" s="4"/>
      <c r="C193" s="4" t="s">
        <v>45</v>
      </c>
      <c r="I193" s="20"/>
    </row>
    <row r="194" spans="1:9" x14ac:dyDescent="0.25">
      <c r="A194" s="21" t="s">
        <v>46</v>
      </c>
      <c r="B194" s="9">
        <v>0</v>
      </c>
      <c r="C194" s="59" t="s">
        <v>102</v>
      </c>
      <c r="I194" s="20"/>
    </row>
    <row r="195" spans="1:9" x14ac:dyDescent="0.25">
      <c r="A195" s="21" t="s">
        <v>87</v>
      </c>
      <c r="B195" s="9" t="e">
        <v>#NAME?</v>
      </c>
      <c r="C195" t="s">
        <v>1</v>
      </c>
      <c r="I195" s="20"/>
    </row>
    <row r="196" spans="1:9" x14ac:dyDescent="0.25">
      <c r="A196" s="21" t="s">
        <v>88</v>
      </c>
      <c r="B196" t="e">
        <v>#NAME?</v>
      </c>
      <c r="C196" t="s">
        <v>1</v>
      </c>
      <c r="I196" s="20"/>
    </row>
    <row r="197" spans="1:9" x14ac:dyDescent="0.25">
      <c r="A197" s="21" t="s">
        <v>89</v>
      </c>
      <c r="B197" t="e">
        <f>C197/Vin</f>
        <v>#NAME?</v>
      </c>
      <c r="C197" t="e">
        <v>#NAME?</v>
      </c>
      <c r="I197" s="20"/>
    </row>
    <row r="198" spans="1:9" x14ac:dyDescent="0.25">
      <c r="A198" s="21" t="s">
        <v>91</v>
      </c>
      <c r="B198" t="e">
        <f>SUM(B195:B197)</f>
        <v>#NAME?</v>
      </c>
      <c r="C198" t="s">
        <v>1</v>
      </c>
      <c r="I198" s="20"/>
    </row>
    <row r="199" spans="1:9" ht="13.8" thickBot="1" x14ac:dyDescent="0.3">
      <c r="A199" s="23"/>
      <c r="B199" s="24"/>
      <c r="C199" s="140"/>
      <c r="D199" s="24"/>
      <c r="E199" s="24"/>
      <c r="F199" s="24"/>
      <c r="G199" s="24"/>
      <c r="H199" s="24"/>
      <c r="I199" s="25"/>
    </row>
    <row r="200" spans="1:9" x14ac:dyDescent="0.25">
      <c r="A200" s="2"/>
      <c r="B200" s="2"/>
      <c r="C200" s="2"/>
    </row>
    <row r="201" spans="1:9" ht="21.75" customHeight="1" thickBot="1" x14ac:dyDescent="0.35">
      <c r="A201" s="39" t="s">
        <v>85</v>
      </c>
    </row>
    <row r="202" spans="1:9" x14ac:dyDescent="0.25">
      <c r="A202" s="40"/>
      <c r="B202" s="26"/>
      <c r="C202" s="139"/>
      <c r="D202" s="26"/>
      <c r="E202" s="26"/>
      <c r="F202" s="26"/>
      <c r="G202" s="26"/>
      <c r="H202" s="26"/>
      <c r="I202" s="27"/>
    </row>
    <row r="203" spans="1:9" x14ac:dyDescent="0.25">
      <c r="A203" s="19"/>
      <c r="B203" s="59"/>
      <c r="I203" s="20"/>
    </row>
    <row r="204" spans="1:9" x14ac:dyDescent="0.25">
      <c r="A204" s="19" t="str">
        <f>"RUV1 = "&amp;'LM(2)518x PSR flyback converter'!E38&amp;"MΩ"</f>
        <v>RUV1 = 46.4MΩ</v>
      </c>
      <c r="B204" t="str">
        <f>C245</f>
        <v/>
      </c>
      <c r="I204" s="20"/>
    </row>
    <row r="205" spans="1:9" x14ac:dyDescent="0.25">
      <c r="A205" s="19" t="str">
        <f>"RUV2 = "&amp;'LM(2)518x PSR flyback converter'!E39&amp;"kΩ"</f>
        <v>RUV2 = 10.7kΩ</v>
      </c>
      <c r="B205" t="str">
        <f>C246</f>
        <v/>
      </c>
      <c r="I205" s="20"/>
    </row>
    <row r="206" spans="1:9" x14ac:dyDescent="0.25">
      <c r="A206" s="19"/>
      <c r="I206" s="20"/>
    </row>
    <row r="207" spans="1:9" x14ac:dyDescent="0.25">
      <c r="A207" s="19" t="str">
        <f>"Lmag = "&amp;'LM(2)518x PSR flyback converter'!L7&amp;"µH"</f>
        <v>Lmag = 60µH</v>
      </c>
      <c r="B207" t="str">
        <f>'LM(2)518x PSR flyback converter'!L7&amp;"µH"</f>
        <v>60µH</v>
      </c>
      <c r="I207" s="20"/>
    </row>
    <row r="208" spans="1:9" x14ac:dyDescent="0.25">
      <c r="A208" s="19" t="str">
        <f>"Rdcr = "&amp;Rdcr_pri*1000&amp;"mΩ"</f>
        <v>Rdcr = 1000mΩ</v>
      </c>
      <c r="B208" t="str">
        <f>Rdcr_pri*1000&amp;"mΩ"</f>
        <v>1000mΩ</v>
      </c>
      <c r="I208" s="20"/>
    </row>
    <row r="209" spans="1:9" x14ac:dyDescent="0.25">
      <c r="A209" s="89" t="s">
        <v>391</v>
      </c>
      <c r="B209" t="str">
        <f>W52</f>
        <v>1 : 1</v>
      </c>
      <c r="I209" s="20"/>
    </row>
    <row r="210" spans="1:9" x14ac:dyDescent="0.25">
      <c r="A210" s="19"/>
      <c r="I210" s="20"/>
    </row>
    <row r="211" spans="1:9" x14ac:dyDescent="0.25">
      <c r="A211" s="19" t="str">
        <f>"Css = "&amp;ROUND(Css_u*1000000000,1)&amp;"nF"</f>
        <v>Css = 100nF</v>
      </c>
      <c r="B211" t="str">
        <f>ROUND(Css_u*1000000000,1)&amp;"nF"</f>
        <v>100nF</v>
      </c>
      <c r="I211" s="20"/>
    </row>
    <row r="212" spans="1:9" x14ac:dyDescent="0.25">
      <c r="A212" s="19"/>
      <c r="I212" s="20"/>
    </row>
    <row r="213" spans="1:9" x14ac:dyDescent="0.25">
      <c r="A213" s="19" t="s">
        <v>57</v>
      </c>
      <c r="B213" t="str">
        <f>VIN_nom&amp;"V"</f>
        <v>20V</v>
      </c>
      <c r="I213" s="20"/>
    </row>
    <row r="214" spans="1:9" x14ac:dyDescent="0.25">
      <c r="A214" s="89" t="s">
        <v>187</v>
      </c>
      <c r="B214" t="str">
        <f>VIN_min&amp;"V..."&amp;VIN_max&amp;"V"</f>
        <v>9V...21V</v>
      </c>
      <c r="I214" s="20"/>
    </row>
    <row r="215" spans="1:9" x14ac:dyDescent="0.25">
      <c r="A215" s="89"/>
      <c r="I215" s="20"/>
    </row>
    <row r="216" spans="1:9" x14ac:dyDescent="0.25">
      <c r="A216" s="19" t="str">
        <f>"VOUT = "&amp;'LM(2)518x PSR flyback converter'!E10&amp;"V"</f>
        <v>VOUT = 20V</v>
      </c>
      <c r="B216" t="str">
        <f>'LM(2)518x PSR flyback converter'!E10&amp;"V"</f>
        <v>20V</v>
      </c>
      <c r="D216">
        <f>MODE</f>
        <v>1</v>
      </c>
      <c r="I216" s="20"/>
    </row>
    <row r="217" spans="1:9" x14ac:dyDescent="0.25">
      <c r="A217" s="19" t="str">
        <f>"VOUT2 = "&amp;'LM(2)518x PSR flyback converter'!E12&amp;"V"</f>
        <v>VOUT2 = -16V</v>
      </c>
      <c r="B217" t="str">
        <f>IF(MODE_TOP="DUAL", 'LM(2)518x PSR flyback converter'!E12&amp;"V", "")</f>
        <v/>
      </c>
      <c r="D217" s="59" t="b">
        <f>MODE=2</f>
        <v>0</v>
      </c>
      <c r="I217" s="20"/>
    </row>
    <row r="218" spans="1:9" x14ac:dyDescent="0.25">
      <c r="A218" s="19" t="str">
        <f>"VOUT2 = "&amp;'LM(2)518x PSR flyback converter'!E12&amp;"V"</f>
        <v>VOUT2 = -16V</v>
      </c>
      <c r="B218" t="str">
        <f>IF(MODE_TOP="BIPOLAR", 'LM(2)518x PSR flyback converter'!E12&amp;"V", "")</f>
        <v/>
      </c>
      <c r="I218" s="20"/>
    </row>
    <row r="219" spans="1:9" x14ac:dyDescent="0.25">
      <c r="A219" s="19"/>
      <c r="I219" s="20"/>
    </row>
    <row r="220" spans="1:9" x14ac:dyDescent="0.25">
      <c r="A220" s="338" t="s">
        <v>521</v>
      </c>
      <c r="B220" s="59" t="str">
        <f>IF(MODE=1, "", "Co1")</f>
        <v/>
      </c>
      <c r="C220" s="59" t="str">
        <f>IF(MODE_TOP="DUAL", "Co2", "")</f>
        <v/>
      </c>
      <c r="D220" s="59" t="str">
        <f>IF(MODE_TOP="BIPOLAR", "Co2", "")</f>
        <v/>
      </c>
      <c r="F220" s="59" t="str">
        <f>MODE_TOP</f>
        <v>SINGLE</v>
      </c>
      <c r="I220" s="20"/>
    </row>
    <row r="221" spans="1:9" x14ac:dyDescent="0.25">
      <c r="A221" s="19" t="str">
        <f>"COUT = "&amp;'LM(2)518x PSR flyback converter'!$E$22&amp;"µF"</f>
        <v>COUT = 10µF</v>
      </c>
      <c r="B221" t="str">
        <f>'LM(2)518x PSR flyback converter'!$E$22&amp;"µF"</f>
        <v>10µF</v>
      </c>
      <c r="C221" t="str">
        <f>IF(MODE_TOP="DUAL", 'LM(2)518x PSR flyback converter'!$L$22&amp;"µF", "")</f>
        <v/>
      </c>
      <c r="D221" t="str">
        <f>IF(MODE_TOP="BIPOLAR", 'LM(2)518x PSR flyback converter'!$L$22&amp;"µF", "")</f>
        <v/>
      </c>
      <c r="F221" t="str">
        <f>'LM(2)518x PSR flyback converter'!$L$22&amp;"µF"</f>
        <v>22µF</v>
      </c>
      <c r="I221" s="20"/>
    </row>
    <row r="222" spans="1:9" x14ac:dyDescent="0.25">
      <c r="A222" s="89" t="s">
        <v>134</v>
      </c>
      <c r="B222" t="str">
        <f>"22µF"</f>
        <v>22µF</v>
      </c>
      <c r="I222" s="20"/>
    </row>
    <row r="223" spans="1:9" x14ac:dyDescent="0.25">
      <c r="A223" s="89" t="s">
        <v>135</v>
      </c>
      <c r="B223" s="60" t="str">
        <f>ROUNDUP(Cout/22,0)&amp;" x"</f>
        <v>1 x</v>
      </c>
      <c r="C223" s="141"/>
      <c r="I223" s="20"/>
    </row>
    <row r="224" spans="1:9" x14ac:dyDescent="0.25">
      <c r="A224" s="89"/>
      <c r="B224" s="60">
        <f>Cout</f>
        <v>10</v>
      </c>
      <c r="C224" s="141"/>
      <c r="I224" s="20"/>
    </row>
    <row r="225" spans="1:9" x14ac:dyDescent="0.25">
      <c r="A225" s="338" t="s">
        <v>522</v>
      </c>
      <c r="I225" s="20"/>
    </row>
    <row r="226" spans="1:9" x14ac:dyDescent="0.25">
      <c r="A226" s="19" t="s">
        <v>95</v>
      </c>
      <c r="B226" t="str">
        <f>Cin&amp;"µF"</f>
        <v>10µF</v>
      </c>
      <c r="I226" s="20"/>
    </row>
    <row r="227" spans="1:9" x14ac:dyDescent="0.25">
      <c r="A227" s="89" t="s">
        <v>133</v>
      </c>
      <c r="B227" t="str">
        <f>"4.7µF"</f>
        <v>4.7µF</v>
      </c>
      <c r="I227" s="20"/>
    </row>
    <row r="228" spans="1:9" x14ac:dyDescent="0.25">
      <c r="A228" s="89" t="s">
        <v>132</v>
      </c>
      <c r="B228" s="60" t="str">
        <f>ROUNDUP(Cin/4.7,0)&amp;" x"</f>
        <v>3 x</v>
      </c>
      <c r="C228" s="141"/>
      <c r="I228" s="20"/>
    </row>
    <row r="229" spans="1:9" x14ac:dyDescent="0.25">
      <c r="A229" s="89"/>
      <c r="B229" s="60"/>
      <c r="I229" s="20"/>
    </row>
    <row r="230" spans="1:9" ht="15.6" x14ac:dyDescent="0.35">
      <c r="A230" s="89" t="s">
        <v>523</v>
      </c>
      <c r="B230" s="502" t="s">
        <v>524</v>
      </c>
      <c r="C230" s="502" t="s">
        <v>564</v>
      </c>
      <c r="I230" s="20"/>
    </row>
    <row r="231" spans="1:9" x14ac:dyDescent="0.25">
      <c r="A231" s="89"/>
      <c r="B231" s="60"/>
      <c r="I231" s="20"/>
    </row>
    <row r="232" spans="1:9" x14ac:dyDescent="0.25">
      <c r="A232" s="338" t="s">
        <v>390</v>
      </c>
      <c r="B232" s="141" t="str">
        <f>IF(MODE_TC=1, "YES", "NO")</f>
        <v>YES</v>
      </c>
      <c r="I232" s="20"/>
    </row>
    <row r="233" spans="1:9" x14ac:dyDescent="0.25">
      <c r="A233" s="89" t="s">
        <v>299</v>
      </c>
      <c r="B233" s="141" t="str">
        <f>IF(MODE_TC=2, "YES", "NO")</f>
        <v>NO</v>
      </c>
      <c r="C233" s="330" t="str">
        <f>IF(MODE_TC=2, "R1", "")</f>
        <v/>
      </c>
      <c r="D233" s="330" t="str">
        <f>IF(MODE_TC=2, "R2", "")</f>
        <v/>
      </c>
      <c r="E233" s="330"/>
      <c r="I233" s="20"/>
    </row>
    <row r="234" spans="1:9" x14ac:dyDescent="0.25">
      <c r="A234" s="19" t="str">
        <f>"RFB = "&amp;'LM(2)518x PSR flyback converter'!E27&amp;"kΩ"</f>
        <v>RFB = 203.2kΩ</v>
      </c>
      <c r="B234" t="str">
        <f>IF(MODE_TC=1, "", 'LM(2)518x PSR flyback converter'!E27&amp;"kΩ")</f>
        <v/>
      </c>
      <c r="C234" s="59" t="str">
        <f>'LM(2)518x PSR flyback converter'!E27&amp;"kΩ"</f>
        <v>203.2kΩ</v>
      </c>
      <c r="I234" s="20"/>
    </row>
    <row r="235" spans="1:9" x14ac:dyDescent="0.25">
      <c r="A235" s="19" t="str">
        <f>"RFB2 = "&amp;IF(Vout=Vref,"OPEN",'LM(2)518x PSR flyback converter'!E28&amp;"kΩ")</f>
        <v>RFB2 = 203.2kΩ</v>
      </c>
      <c r="B235" t="str">
        <f>IF(MODE_TC=1, "", IF(Vout=Vref,"OPEN",Rfb2_u/1000&amp;"kΩ"))</f>
        <v/>
      </c>
      <c r="C235" s="59" t="str">
        <f>'LM(2)518x PSR flyback converter'!E28&amp;"kΩ"</f>
        <v>203.2kΩ</v>
      </c>
      <c r="I235" s="20"/>
    </row>
    <row r="236" spans="1:9" x14ac:dyDescent="0.25">
      <c r="A236" s="19"/>
      <c r="C236" s="59"/>
      <c r="I236" s="20"/>
    </row>
    <row r="237" spans="1:9" x14ac:dyDescent="0.25">
      <c r="A237" s="89" t="s">
        <v>303</v>
      </c>
      <c r="B237" s="3" t="str">
        <f>IF(MODE=1, "YES", "NO")</f>
        <v>YES</v>
      </c>
      <c r="C237" t="str">
        <f>IF(MODE=1,"Rt", "")</f>
        <v>Rt</v>
      </c>
      <c r="I237" s="20"/>
    </row>
    <row r="238" spans="1:9" x14ac:dyDescent="0.25">
      <c r="A238" s="89" t="s">
        <v>139</v>
      </c>
      <c r="B238" t="e">
        <f>IF(MODE=2, "", 'Standard Value Calculator'!J4/1000&amp;"kΩ")</f>
        <v>#NAME?</v>
      </c>
      <c r="I238" s="20"/>
    </row>
    <row r="239" spans="1:9" x14ac:dyDescent="0.25">
      <c r="A239" s="89"/>
      <c r="I239" s="20"/>
    </row>
    <row r="240" spans="1:9" x14ac:dyDescent="0.25">
      <c r="A240" s="338" t="s">
        <v>380</v>
      </c>
      <c r="B240" s="141" t="str">
        <f>IF(MODE=1, "YES", "NO")</f>
        <v>YES</v>
      </c>
      <c r="C240" s="59" t="str">
        <f>IF(TC=1,"Rtc", "")</f>
        <v>Rtc</v>
      </c>
      <c r="I240" s="20"/>
    </row>
    <row r="241" spans="1:9" x14ac:dyDescent="0.25">
      <c r="A241" s="456" t="str">
        <f>"RTC = "&amp;RTC&amp;"kΩ"</f>
        <v>RTC = 402kΩ</v>
      </c>
      <c r="B241" t="str">
        <f>IF(TC=1, RTC&amp;"kΩ", "")</f>
        <v>402kΩ</v>
      </c>
      <c r="C241" s="59" t="str">
        <f>CHOOSE(TC,"Rtc","")</f>
        <v>Rtc</v>
      </c>
      <c r="F241" s="5"/>
      <c r="I241" s="20"/>
    </row>
    <row r="242" spans="1:9" x14ac:dyDescent="0.25">
      <c r="A242" s="89" t="s">
        <v>383</v>
      </c>
      <c r="B242" s="60"/>
      <c r="C242"/>
      <c r="F242" s="5"/>
      <c r="I242" s="20"/>
    </row>
    <row r="243" spans="1:9" x14ac:dyDescent="0.25">
      <c r="A243" s="19"/>
      <c r="B243" s="60"/>
      <c r="C243" s="141"/>
      <c r="E243" s="91"/>
      <c r="I243" s="20"/>
    </row>
    <row r="244" spans="1:9" x14ac:dyDescent="0.25">
      <c r="A244" s="338" t="s">
        <v>306</v>
      </c>
      <c r="B244" s="141" t="str">
        <f>IF(MODE_UVLO=1, "YES", "NO")</f>
        <v>NO</v>
      </c>
      <c r="C244" s="330" t="str">
        <f>IF(MODE_UVLO=1, "Ruv1", "")</f>
        <v/>
      </c>
      <c r="D244" s="330" t="str">
        <f>IF(MODE_UVLO=1, "Ruv2", "")</f>
        <v/>
      </c>
      <c r="E244" s="330"/>
      <c r="F244" s="330" t="s">
        <v>6</v>
      </c>
      <c r="G244" s="330" t="s">
        <v>33</v>
      </c>
      <c r="H244" s="59" t="s">
        <v>340</v>
      </c>
      <c r="I244" s="20"/>
    </row>
    <row r="245" spans="1:9" x14ac:dyDescent="0.25">
      <c r="A245" s="19" t="str">
        <f>"RUV1 = "&amp;C245</f>
        <v xml:space="preserve">RUV1 = </v>
      </c>
      <c r="B245" t="str">
        <f>'LM(2)518x PSR flyback converter'!E38&amp;" kΩ"</f>
        <v>46.4 kΩ</v>
      </c>
      <c r="C245" s="330" t="str">
        <f>IF(MODE_UVLO=1,'LM(2)518x PSR flyback converter'!E38&amp;"kΩ", "")</f>
        <v/>
      </c>
      <c r="F245" t="str">
        <f>IF(MODE_UVLO=1,'LM(2)518x PSR flyback converter'!E38, "")</f>
        <v/>
      </c>
      <c r="G245" s="59" t="str">
        <f>IF(MODE_UVLO=1,"kΩ", "")</f>
        <v/>
      </c>
      <c r="H245" s="330" t="str">
        <f>IF(MODE_UVLO=1,'LM(2)518x PSR flyback converter'!E38&amp;"k", "")</f>
        <v/>
      </c>
      <c r="I245" s="20"/>
    </row>
    <row r="246" spans="1:9" x14ac:dyDescent="0.25">
      <c r="A246" s="19" t="str">
        <f>"RUV2 = "&amp;C246</f>
        <v xml:space="preserve">RUV2 = </v>
      </c>
      <c r="B246" t="str">
        <f>IF(D158&gt;=1000, D158/1000&amp;" MΩ", D158&amp;" kΩ")</f>
        <v>10.7 kΩ</v>
      </c>
      <c r="C246" s="330" t="str">
        <f>IF(MODE_UVLO=1, IF(D158&lt;1, D158*1000&amp;"Ω", IF(D158&lt;1000, D158&amp;"kΩ", D158/1000&amp;"MΩ")), "")</f>
        <v/>
      </c>
      <c r="F246" t="str">
        <f>IF(MODE_UVLO=1, IF(D158&lt;1, D158*1000, IF(D158&lt;1000, D158, D158/1000)), "")</f>
        <v/>
      </c>
      <c r="G246" s="59" t="str">
        <f>IF(MODE_UVLO=1, IF(D158&lt;1, "Ω", IF(D158&lt;1000,"kΩ", "MΩ")), "")</f>
        <v/>
      </c>
      <c r="H246" s="330" t="str">
        <f>IF(MODE_UVLO=1, IF(D158&lt;1, D158*1000, IF(D158&lt;1000, D158&amp;"k", D158/1000&amp;"M")), "")</f>
        <v/>
      </c>
      <c r="I246" s="20"/>
    </row>
    <row r="247" spans="1:9" x14ac:dyDescent="0.25">
      <c r="A247" s="19"/>
      <c r="C247" s="330"/>
      <c r="G247" s="59"/>
      <c r="H247" s="330"/>
      <c r="I247" s="20"/>
    </row>
    <row r="248" spans="1:9" x14ac:dyDescent="0.25">
      <c r="A248" s="338" t="s">
        <v>384</v>
      </c>
      <c r="C248" s="330"/>
      <c r="G248" s="59"/>
      <c r="H248" s="330"/>
      <c r="I248" s="20"/>
    </row>
    <row r="249" spans="1:9" x14ac:dyDescent="0.25">
      <c r="A249" s="19" t="str">
        <f>"RSET = "&amp;C249</f>
        <v>RSET = 12.1kΩ</v>
      </c>
      <c r="B249" s="59" t="s">
        <v>379</v>
      </c>
      <c r="C249" s="59" t="s">
        <v>544</v>
      </c>
      <c r="F249" t="str">
        <f>IF(MODE_UVLO=1, IF(D159&lt;1, D159*1000, IF(D159&lt;1000, D159, D159/1000)), "")</f>
        <v/>
      </c>
      <c r="G249" s="59" t="str">
        <f>IF(MODE_UVLO=1, IF(D159&lt;1, "Ω", IF(D159&lt;1000,"kΩ", "MΩ")), "")</f>
        <v/>
      </c>
      <c r="H249" s="330" t="str">
        <f>IF(MODE_UVLO=1, IF(D159&lt;1, D159*1000, IF(D159&lt;1000, D159&amp;"k", D159&amp;"M")), "")</f>
        <v/>
      </c>
      <c r="I249" s="20"/>
    </row>
    <row r="250" spans="1:9" x14ac:dyDescent="0.25">
      <c r="A250" s="19"/>
      <c r="B250" s="59"/>
      <c r="C250" s="59"/>
      <c r="G250" s="59"/>
      <c r="H250" s="330"/>
      <c r="I250" s="20"/>
    </row>
    <row r="251" spans="1:9" x14ac:dyDescent="0.25">
      <c r="A251" s="338" t="s">
        <v>385</v>
      </c>
      <c r="B251" s="60"/>
      <c r="C251" s="141"/>
      <c r="E251" s="91"/>
      <c r="I251" s="20"/>
    </row>
    <row r="252" spans="1:9" x14ac:dyDescent="0.25">
      <c r="A252" s="19" t="str">
        <f>"Css = "&amp;Css*1000000000&amp;"nF"</f>
        <v>Css = 100nF</v>
      </c>
      <c r="B252" t="str">
        <f>Css*1000000000&amp;"nF"</f>
        <v>100nF</v>
      </c>
      <c r="I252" s="20"/>
    </row>
    <row r="253" spans="1:9" x14ac:dyDescent="0.25">
      <c r="A253" s="19" t="s">
        <v>66</v>
      </c>
      <c r="B253" t="str">
        <f>CHOOSE(MODE_SS,'Standard Value Calculator'!B4*1000000000&amp;"nF","")</f>
        <v/>
      </c>
      <c r="C253" t="str">
        <f>CHOOSE(MODE_SS,"Css","")</f>
        <v/>
      </c>
      <c r="D253" s="339" t="str">
        <f>B253</f>
        <v/>
      </c>
      <c r="I253" s="20"/>
    </row>
    <row r="254" spans="1:9" x14ac:dyDescent="0.25">
      <c r="A254" s="19"/>
      <c r="C254" s="59" t="str">
        <f>C253</f>
        <v/>
      </c>
      <c r="D254" s="3"/>
      <c r="I254" s="20"/>
    </row>
    <row r="255" spans="1:9" x14ac:dyDescent="0.25">
      <c r="A255" s="19"/>
      <c r="C255" s="59"/>
      <c r="D255" s="3"/>
      <c r="I255" s="20"/>
    </row>
    <row r="256" spans="1:9" x14ac:dyDescent="0.25">
      <c r="A256" s="89" t="s">
        <v>653</v>
      </c>
      <c r="B256" s="59">
        <f>ROUND(Iout*2,1)</f>
        <v>0.2</v>
      </c>
      <c r="C256" s="59" t="s">
        <v>1</v>
      </c>
      <c r="I256" s="20"/>
    </row>
    <row r="257" spans="1:9" x14ac:dyDescent="0.25">
      <c r="A257" s="89" t="s">
        <v>654</v>
      </c>
      <c r="B257">
        <f>ROUND(VRRM_DIODE,0)</f>
        <v>41</v>
      </c>
      <c r="C257" s="59" t="s">
        <v>0</v>
      </c>
      <c r="I257" s="20"/>
    </row>
    <row r="258" spans="1:9" x14ac:dyDescent="0.25">
      <c r="I258" s="20"/>
    </row>
    <row r="259" spans="1:9" x14ac:dyDescent="0.25">
      <c r="A259" s="89"/>
      <c r="B259" s="60"/>
      <c r="C259"/>
      <c r="I259" s="20"/>
    </row>
    <row r="260" spans="1:9" x14ac:dyDescent="0.25">
      <c r="A260" s="89" t="s">
        <v>129</v>
      </c>
      <c r="B260" s="59" t="s">
        <v>311</v>
      </c>
      <c r="C260"/>
      <c r="I260" s="20"/>
    </row>
    <row r="261" spans="1:9" x14ac:dyDescent="0.25">
      <c r="A261" s="89"/>
      <c r="B261" s="59"/>
      <c r="C261"/>
      <c r="I261" s="20"/>
    </row>
    <row r="262" spans="1:9" x14ac:dyDescent="0.25">
      <c r="A262" s="89" t="s">
        <v>183</v>
      </c>
      <c r="B262" s="60" t="str">
        <f>CHOOSE(MODE, ROUND('Calculations - Single'!$CD$105,1)&amp;"%", ROUND('Calculations - Dual'!CF105,1)&amp;"%")</f>
        <v>88.1%</v>
      </c>
      <c r="C262"/>
      <c r="I262" s="20"/>
    </row>
    <row r="263" spans="1:9" x14ac:dyDescent="0.25">
      <c r="A263" s="89" t="s">
        <v>501</v>
      </c>
      <c r="B263" s="60" t="str">
        <f>ROUND('Calculations - Single'!$CD$55,1)&amp;"%"</f>
        <v>86%</v>
      </c>
      <c r="C263"/>
      <c r="I263" s="20"/>
    </row>
    <row r="264" spans="1:9" x14ac:dyDescent="0.25">
      <c r="A264" s="89" t="s">
        <v>308</v>
      </c>
      <c r="B264" s="60" t="str">
        <f>ROUND('Calculations - Single'!$CD$15,1)&amp;"%"</f>
        <v>75.7%</v>
      </c>
      <c r="C264" s="59" t="s">
        <v>313</v>
      </c>
      <c r="I264" s="20"/>
    </row>
    <row r="265" spans="1:9" x14ac:dyDescent="0.25">
      <c r="A265" s="89" t="s">
        <v>312</v>
      </c>
      <c r="B265" s="60" t="str">
        <f>ROUND(Parameters!BZ56,1)&amp;"%"</f>
        <v>0%</v>
      </c>
      <c r="C265" s="59" t="s">
        <v>314</v>
      </c>
      <c r="I265" s="20"/>
    </row>
    <row r="266" spans="1:9" x14ac:dyDescent="0.25">
      <c r="A266" s="19"/>
      <c r="I266" s="20"/>
    </row>
    <row r="267" spans="1:9" x14ac:dyDescent="0.25">
      <c r="A267" s="19"/>
      <c r="I267" s="20"/>
    </row>
    <row r="268" spans="1:9" x14ac:dyDescent="0.25">
      <c r="A268" s="19"/>
      <c r="I268" s="20"/>
    </row>
    <row r="269" spans="1:9" x14ac:dyDescent="0.25">
      <c r="A269" s="19" t="s">
        <v>80</v>
      </c>
      <c r="B269" t="str">
        <f>IF(C269="y","","|")</f>
        <v>|</v>
      </c>
      <c r="C269" s="3" t="s">
        <v>320</v>
      </c>
      <c r="I269" s="20"/>
    </row>
    <row r="270" spans="1:9" x14ac:dyDescent="0.25">
      <c r="A270" s="19"/>
      <c r="I270" s="20"/>
    </row>
    <row r="271" spans="1:9" x14ac:dyDescent="0.25">
      <c r="A271" s="434" t="s">
        <v>86</v>
      </c>
      <c r="B271" t="str">
        <f>'LM(2)518x PSR flyback converter'!$E$11&amp;"A"</f>
        <v>0.1A</v>
      </c>
      <c r="I271" s="20"/>
    </row>
    <row r="272" spans="1:9" x14ac:dyDescent="0.25">
      <c r="A272" s="434" t="s">
        <v>520</v>
      </c>
      <c r="B272" t="str">
        <f>IF(MODE_TOP="DUAL", 'LM(2)518x PSR flyback converter'!$E$13&amp;"A", "")</f>
        <v/>
      </c>
      <c r="D272" s="59">
        <f>MODE</f>
        <v>1</v>
      </c>
      <c r="I272" s="20"/>
    </row>
    <row r="273" spans="1:9" x14ac:dyDescent="0.25">
      <c r="A273" s="434" t="s">
        <v>519</v>
      </c>
      <c r="B273" t="str">
        <f>IF(MODE_TOP="BIPOLAR", Iout2_actual&amp;"A", "")</f>
        <v/>
      </c>
      <c r="I273" s="20"/>
    </row>
    <row r="274" spans="1:9" x14ac:dyDescent="0.25">
      <c r="A274" s="19"/>
      <c r="I274" s="20"/>
    </row>
    <row r="275" spans="1:9" x14ac:dyDescent="0.25">
      <c r="A275" s="89" t="s">
        <v>94</v>
      </c>
      <c r="B275">
        <v>1</v>
      </c>
      <c r="I275" s="20"/>
    </row>
    <row r="276" spans="1:9" x14ac:dyDescent="0.25">
      <c r="A276" s="89" t="s">
        <v>93</v>
      </c>
      <c r="B276">
        <v>2</v>
      </c>
      <c r="I276" s="20"/>
    </row>
    <row r="277" spans="1:9" x14ac:dyDescent="0.25">
      <c r="A277" s="89" t="s">
        <v>57</v>
      </c>
      <c r="B277">
        <v>3</v>
      </c>
      <c r="I277" s="20"/>
    </row>
    <row r="278" spans="1:9" x14ac:dyDescent="0.25">
      <c r="A278" s="89" t="s">
        <v>565</v>
      </c>
      <c r="B278">
        <v>4</v>
      </c>
      <c r="I278" s="20"/>
    </row>
    <row r="279" spans="1:9" x14ac:dyDescent="0.25">
      <c r="A279" s="89" t="s">
        <v>566</v>
      </c>
      <c r="B279">
        <v>5</v>
      </c>
      <c r="I279" s="20"/>
    </row>
    <row r="280" spans="1:9" x14ac:dyDescent="0.25">
      <c r="A280" s="89" t="s">
        <v>567</v>
      </c>
      <c r="B280">
        <v>6</v>
      </c>
      <c r="I280" s="20"/>
    </row>
    <row r="281" spans="1:9" x14ac:dyDescent="0.25">
      <c r="A281" s="89" t="s">
        <v>568</v>
      </c>
      <c r="B281">
        <v>7</v>
      </c>
      <c r="I281" s="20"/>
    </row>
    <row r="282" spans="1:9" x14ac:dyDescent="0.25">
      <c r="A282" s="89" t="s">
        <v>92</v>
      </c>
      <c r="B282">
        <v>8</v>
      </c>
      <c r="I282" s="20"/>
    </row>
    <row r="283" spans="1:9" ht="13.8" thickBot="1" x14ac:dyDescent="0.3">
      <c r="A283" s="146"/>
      <c r="B283" s="24"/>
      <c r="C283" s="140"/>
      <c r="D283" s="24"/>
      <c r="E283" s="24"/>
      <c r="F283" s="24"/>
      <c r="G283" s="24"/>
      <c r="H283" s="24"/>
      <c r="I283" s="25"/>
    </row>
  </sheetData>
  <sheetProtection selectLockedCells="1"/>
  <mergeCells count="2">
    <mergeCell ref="E5:H5"/>
    <mergeCell ref="A1:I1"/>
  </mergeCells>
  <phoneticPr fontId="6" type="noConversion"/>
  <pageMargins left="0.75" right="0.75" top="1" bottom="1" header="0.5" footer="0.5"/>
  <pageSetup orientation="portrait" r:id="rId1"/>
  <headerFooter alignWithMargins="0"/>
  <ignoredErrors>
    <ignoredError sqref="R64:R68" numberStoredAsText="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R687"/>
  <sheetViews>
    <sheetView zoomScale="115" zoomScaleNormal="115" workbookViewId="0">
      <pane ySplit="11" topLeftCell="A12" activePane="bottomLeft" state="frozen"/>
      <selection activeCell="A93" sqref="A93"/>
      <selection pane="bottomLeft" activeCell="D8" sqref="D8"/>
    </sheetView>
  </sheetViews>
  <sheetFormatPr defaultColWidth="9.33203125" defaultRowHeight="13.2" x14ac:dyDescent="0.25"/>
  <cols>
    <col min="1" max="1" width="10.44140625" style="150" customWidth="1"/>
    <col min="2" max="2" width="10.6640625" style="150" customWidth="1"/>
    <col min="3" max="3" width="6.33203125" style="150" customWidth="1"/>
    <col min="4" max="4" width="16.33203125" style="150" customWidth="1"/>
    <col min="5" max="5" width="4.44140625" style="150" customWidth="1"/>
    <col min="6" max="6" width="3.33203125" style="150" customWidth="1"/>
    <col min="7" max="7" width="16.33203125" style="150" customWidth="1"/>
    <col min="8" max="8" width="15.6640625" style="150" customWidth="1"/>
    <col min="9" max="9" width="10" style="150" customWidth="1"/>
    <col min="10" max="10" width="10.6640625" style="150" customWidth="1"/>
    <col min="11" max="11" width="10.33203125" style="150" customWidth="1"/>
    <col min="12" max="14" width="11.6640625" style="150" customWidth="1"/>
    <col min="15" max="15" width="14.33203125" style="150" customWidth="1"/>
    <col min="16" max="16" width="11" style="150" customWidth="1"/>
    <col min="17" max="17" width="12" style="150" customWidth="1"/>
    <col min="18" max="18" width="11.44140625" style="150" customWidth="1"/>
    <col min="19" max="19" width="10.6640625" style="150" customWidth="1"/>
    <col min="20" max="20" width="11.44140625" style="150" customWidth="1"/>
    <col min="21" max="21" width="11.6640625" style="150" customWidth="1"/>
    <col min="22" max="22" width="13.5546875" style="150" customWidth="1"/>
    <col min="23" max="23" width="9.44140625" style="150" customWidth="1"/>
    <col min="24" max="24" width="16.33203125" style="150" bestFit="1" customWidth="1"/>
    <col min="25" max="25" width="16.33203125" style="152" customWidth="1"/>
    <col min="26" max="26" width="8.6640625" style="150" bestFit="1" customWidth="1"/>
    <col min="27" max="27" width="13.44140625" style="150" bestFit="1" customWidth="1"/>
    <col min="28" max="28" width="9.33203125" style="150" bestFit="1" customWidth="1"/>
    <col min="29" max="29" width="9.33203125" style="150"/>
    <col min="30" max="30" width="13.5546875" style="150" customWidth="1"/>
    <col min="31" max="31" width="10.5546875" style="150" customWidth="1"/>
    <col min="32" max="32" width="9.33203125" style="150"/>
    <col min="33" max="33" width="9.33203125" style="150" bestFit="1" customWidth="1"/>
    <col min="34" max="34" width="11.33203125" style="150" bestFit="1" customWidth="1"/>
    <col min="35" max="35" width="5.6640625" style="150" customWidth="1"/>
    <col min="36" max="36" width="12.33203125" style="150" customWidth="1"/>
    <col min="37" max="37" width="8.6640625" style="150" customWidth="1"/>
    <col min="38" max="38" width="18.33203125" style="150" customWidth="1"/>
    <col min="39" max="39" width="45.33203125" style="150" customWidth="1"/>
    <col min="40" max="40" width="19.33203125" style="150" bestFit="1" customWidth="1"/>
    <col min="41" max="41" width="40.6640625" style="150" bestFit="1" customWidth="1"/>
    <col min="42" max="42" width="40.33203125" style="150" bestFit="1" customWidth="1"/>
    <col min="43" max="43" width="40.6640625" style="150" bestFit="1" customWidth="1"/>
    <col min="44" max="44" width="40.33203125" style="150" bestFit="1" customWidth="1"/>
    <col min="45" max="45" width="28.44140625" style="150" customWidth="1"/>
    <col min="46" max="16384" width="9.33203125" style="150"/>
  </cols>
  <sheetData>
    <row r="1" spans="1:44" ht="13.8" thickBot="1" x14ac:dyDescent="0.3"/>
    <row r="2" spans="1:44" x14ac:dyDescent="0.25">
      <c r="A2" s="288" t="s">
        <v>785</v>
      </c>
      <c r="G2" s="714" t="s">
        <v>779</v>
      </c>
      <c r="H2" s="715"/>
      <c r="I2" s="716"/>
      <c r="J2" s="717"/>
      <c r="K2" s="714" t="s">
        <v>698</v>
      </c>
      <c r="L2" s="715"/>
      <c r="M2" s="715"/>
      <c r="N2" s="556"/>
      <c r="O2" s="557"/>
      <c r="P2" s="714" t="s">
        <v>699</v>
      </c>
      <c r="Q2" s="716"/>
      <c r="R2" s="717"/>
      <c r="S2" s="714" t="s">
        <v>780</v>
      </c>
      <c r="T2" s="716"/>
      <c r="U2" s="717"/>
      <c r="V2" s="714" t="s">
        <v>700</v>
      </c>
      <c r="W2" s="715"/>
      <c r="X2" s="718"/>
    </row>
    <row r="3" spans="1:44" x14ac:dyDescent="0.25">
      <c r="H3" s="558" t="s">
        <v>772</v>
      </c>
      <c r="I3" s="168">
        <f>Vref/(Vout_eff*Npri_sec)</f>
        <v>8.0666666666666664E-2</v>
      </c>
      <c r="J3" s="559" t="s">
        <v>701</v>
      </c>
      <c r="K3" s="560" t="s">
        <v>702</v>
      </c>
      <c r="L3" s="241">
        <f>1/Rcs_gain</f>
        <v>1.4999999999999998</v>
      </c>
      <c r="M3" s="559" t="s">
        <v>703</v>
      </c>
      <c r="N3" s="172" t="s">
        <v>704</v>
      </c>
      <c r="O3" s="561">
        <f>gmEA</f>
        <v>1.2E-5</v>
      </c>
      <c r="P3" s="560" t="s">
        <v>705</v>
      </c>
      <c r="Q3" s="562">
        <f>1/(2*Pi*D25*D26)</f>
        <v>1850638.8752762375</v>
      </c>
      <c r="R3" s="559" t="s">
        <v>8</v>
      </c>
      <c r="S3" s="560"/>
      <c r="T3" s="562"/>
      <c r="U3" s="559"/>
      <c r="V3" s="253" t="s">
        <v>707</v>
      </c>
      <c r="W3" s="562">
        <f>Am*Afb*Aea</f>
        <v>69695.999999999985</v>
      </c>
      <c r="X3" s="559" t="s">
        <v>701</v>
      </c>
      <c r="Y3" s="386">
        <f>20*LOG(Am*Afb*Aea)</f>
        <v>96.864157074793241</v>
      </c>
      <c r="Z3" s="150" t="s">
        <v>787</v>
      </c>
    </row>
    <row r="4" spans="1:44" x14ac:dyDescent="0.25">
      <c r="B4" s="150">
        <f>BODE_TYPE</f>
        <v>2</v>
      </c>
      <c r="H4" s="558" t="s">
        <v>708</v>
      </c>
      <c r="I4" s="562">
        <f>1/(2*Pi*Rcomp*Ccomp)</f>
        <v>1326.2911939479698</v>
      </c>
      <c r="J4" s="559" t="s">
        <v>8</v>
      </c>
      <c r="K4" s="560" t="s">
        <v>709</v>
      </c>
      <c r="L4" s="241">
        <f>CHOOSE(BODE_TYPE, Rload_pri/Rcs_gain*(Lmag/(2*Vout_eff*Npri_sec)*Fsw_DCM)*SQRT(Iout_eff/(Lmag/(2*Vout_eff*Npri_sec)*Fsw_DCM*Npri_sec)), Rload_pri/(Rcs_gain*2*(2*M+1)))</f>
        <v>14.999999999999998</v>
      </c>
      <c r="M4" s="559" t="s">
        <v>701</v>
      </c>
      <c r="N4" s="563" t="s">
        <v>770</v>
      </c>
      <c r="O4" s="614">
        <f>REAout</f>
        <v>4800000000</v>
      </c>
      <c r="P4" s="560" t="s">
        <v>710</v>
      </c>
      <c r="Q4" s="562">
        <f>CHOOSE(BODE_TYPE, 2/(2*Pi*D25*Rload_sec), 1/(2*Pi*D25*Rload_sec)*(2*M+1)/(M+1))</f>
        <v>1024.9692232299162</v>
      </c>
      <c r="R4" s="559" t="s">
        <v>8</v>
      </c>
      <c r="S4" s="560"/>
      <c r="T4" s="255"/>
      <c r="U4" s="559"/>
      <c r="V4" s="619" t="s">
        <v>711</v>
      </c>
      <c r="W4" s="620">
        <f>AK7</f>
        <v>29.007999999999999</v>
      </c>
      <c r="X4" s="621" t="s">
        <v>2</v>
      </c>
      <c r="Y4" s="386">
        <f>20*LOG(Am*Afb)</f>
        <v>1.6557074063289998</v>
      </c>
      <c r="Z4" s="150" t="s">
        <v>787</v>
      </c>
    </row>
    <row r="5" spans="1:44" x14ac:dyDescent="0.25">
      <c r="H5" s="558" t="s">
        <v>712</v>
      </c>
      <c r="I5" s="241">
        <f>1/(2*Pi*REAout*Ccomp)</f>
        <v>0.5526213308116541</v>
      </c>
      <c r="J5" s="559" t="s">
        <v>8</v>
      </c>
      <c r="K5" s="560"/>
      <c r="L5" s="168"/>
      <c r="M5" s="559"/>
      <c r="N5" s="563"/>
      <c r="O5" s="563"/>
      <c r="P5" s="560" t="s">
        <v>727</v>
      </c>
      <c r="Q5" s="562">
        <f>Rload_pri/(2*Pi*Lmag*M*(M+1))</f>
        <v>117529.80426369701</v>
      </c>
      <c r="R5" s="559" t="s">
        <v>8</v>
      </c>
      <c r="S5" s="560"/>
      <c r="T5" s="151"/>
      <c r="U5" s="559"/>
      <c r="V5" s="619" t="s">
        <v>713</v>
      </c>
      <c r="W5" s="622">
        <f>AK9</f>
        <v>47.689627378998296</v>
      </c>
      <c r="X5" s="623" t="s">
        <v>714</v>
      </c>
      <c r="Y5" s="386">
        <f>20*LOG(Am)</f>
        <v>23.521825181113623</v>
      </c>
      <c r="Z5" s="150" t="s">
        <v>787</v>
      </c>
    </row>
    <row r="6" spans="1:44" x14ac:dyDescent="0.25">
      <c r="H6" s="558" t="s">
        <v>715</v>
      </c>
      <c r="I6" s="151">
        <f>gmEA*REAout</f>
        <v>57600</v>
      </c>
      <c r="J6" s="559" t="s">
        <v>701</v>
      </c>
      <c r="K6" s="560">
        <f>Vout_eff</f>
        <v>5</v>
      </c>
      <c r="L6" s="168"/>
      <c r="M6" s="172"/>
      <c r="N6" s="624"/>
      <c r="O6" s="559"/>
      <c r="P6" s="560"/>
      <c r="Q6" s="151">
        <f>M</f>
        <v>0.625</v>
      </c>
      <c r="R6" s="559"/>
      <c r="S6" s="560"/>
      <c r="T6" s="168"/>
      <c r="U6" s="559"/>
      <c r="V6" s="253" t="s">
        <v>716</v>
      </c>
      <c r="W6" s="151">
        <v>57.295779578552292</v>
      </c>
      <c r="X6" s="559"/>
      <c r="Y6" s="386">
        <f>20*LOG(Aea)</f>
        <v>95.20844966846424</v>
      </c>
      <c r="Z6" s="150" t="s">
        <v>787</v>
      </c>
      <c r="AJ6" s="564" t="s">
        <v>717</v>
      </c>
      <c r="AK6" s="564"/>
    </row>
    <row r="7" spans="1:44" ht="13.8" thickBot="1" x14ac:dyDescent="0.3">
      <c r="H7" s="565" t="s">
        <v>718</v>
      </c>
      <c r="I7" s="566">
        <f>1/(2*Pi*Rcomp*Chf)</f>
        <v>198943.67909219547</v>
      </c>
      <c r="J7" s="567" t="s">
        <v>8</v>
      </c>
      <c r="K7" s="568"/>
      <c r="L7" s="569"/>
      <c r="M7" s="569"/>
      <c r="N7" s="570"/>
      <c r="O7" s="567"/>
      <c r="P7" s="568"/>
      <c r="Q7" s="568"/>
      <c r="R7" s="567"/>
      <c r="S7" s="568"/>
      <c r="T7" s="568"/>
      <c r="U7" s="567"/>
      <c r="V7" s="568"/>
      <c r="W7" s="568"/>
      <c r="X7" s="567"/>
      <c r="Y7" s="386">
        <f>20*LOG(Acs)</f>
        <v>3.5218251811136234</v>
      </c>
      <c r="Z7" s="150" t="s">
        <v>787</v>
      </c>
      <c r="AJ7" s="150" t="s">
        <v>719</v>
      </c>
      <c r="AK7" s="150">
        <f>SUM(AJ12:AJ613)/1000</f>
        <v>29.007999999999999</v>
      </c>
    </row>
    <row r="8" spans="1:44" x14ac:dyDescent="0.25">
      <c r="H8" s="571"/>
      <c r="I8" s="175"/>
      <c r="L8" s="191"/>
      <c r="M8" s="191"/>
      <c r="N8" s="191"/>
    </row>
    <row r="9" spans="1:44" ht="13.8" thickBot="1" x14ac:dyDescent="0.3">
      <c r="A9" s="612"/>
      <c r="B9" s="232" t="s">
        <v>773</v>
      </c>
      <c r="AJ9" s="150" t="s">
        <v>720</v>
      </c>
      <c r="AK9" s="152">
        <f>SUM(AK13:AK613)</f>
        <v>47.689627378998296</v>
      </c>
    </row>
    <row r="10" spans="1:44" ht="13.8" x14ac:dyDescent="0.25">
      <c r="A10" s="615"/>
      <c r="B10" s="232" t="s">
        <v>777</v>
      </c>
      <c r="G10" s="704" t="s">
        <v>721</v>
      </c>
      <c r="H10" s="707" t="s">
        <v>771</v>
      </c>
      <c r="I10" s="709" t="s">
        <v>722</v>
      </c>
      <c r="J10" s="710"/>
      <c r="K10" s="710"/>
      <c r="L10" s="710"/>
      <c r="M10" s="710"/>
      <c r="N10" s="711"/>
      <c r="O10" s="709" t="s">
        <v>723</v>
      </c>
      <c r="P10" s="710"/>
      <c r="Q10" s="710"/>
      <c r="R10" s="710"/>
      <c r="S10" s="710"/>
      <c r="T10" s="711"/>
      <c r="U10" s="712" t="s">
        <v>775</v>
      </c>
      <c r="V10" s="713"/>
      <c r="W10" s="712" t="s">
        <v>724</v>
      </c>
      <c r="X10" s="719"/>
      <c r="Y10" s="720"/>
      <c r="AD10" s="721" t="s">
        <v>725</v>
      </c>
      <c r="AE10" s="722"/>
      <c r="AG10" s="721" t="s">
        <v>726</v>
      </c>
      <c r="AH10" s="722"/>
      <c r="AM10" s="238" t="s">
        <v>776</v>
      </c>
    </row>
    <row r="11" spans="1:44" x14ac:dyDescent="0.25">
      <c r="G11" s="705"/>
      <c r="H11" s="708"/>
      <c r="I11" s="723" t="s">
        <v>710</v>
      </c>
      <c r="J11" s="724"/>
      <c r="K11" s="724" t="s">
        <v>705</v>
      </c>
      <c r="L11" s="725"/>
      <c r="M11" s="726" t="s">
        <v>727</v>
      </c>
      <c r="N11" s="727"/>
      <c r="O11" s="723" t="s">
        <v>728</v>
      </c>
      <c r="P11" s="724"/>
      <c r="Q11" s="724" t="s">
        <v>729</v>
      </c>
      <c r="R11" s="725"/>
      <c r="S11" s="726" t="s">
        <v>730</v>
      </c>
      <c r="T11" s="727"/>
      <c r="U11" s="723" t="s">
        <v>706</v>
      </c>
      <c r="V11" s="725"/>
      <c r="W11" s="560"/>
      <c r="X11" s="151"/>
      <c r="Y11" s="572"/>
      <c r="AD11" s="560"/>
      <c r="AE11" s="559"/>
      <c r="AG11" s="560"/>
      <c r="AH11" s="559"/>
    </row>
    <row r="12" spans="1:44" ht="13.8" thickBot="1" x14ac:dyDescent="0.3">
      <c r="F12" s="610"/>
      <c r="G12" s="706"/>
      <c r="H12" s="573"/>
      <c r="I12" s="574" t="s">
        <v>731</v>
      </c>
      <c r="J12" s="575" t="s">
        <v>732</v>
      </c>
      <c r="K12" s="575" t="s">
        <v>731</v>
      </c>
      <c r="L12" s="576" t="s">
        <v>732</v>
      </c>
      <c r="M12" s="575" t="s">
        <v>731</v>
      </c>
      <c r="N12" s="576" t="s">
        <v>732</v>
      </c>
      <c r="O12" s="574" t="s">
        <v>731</v>
      </c>
      <c r="P12" s="575" t="s">
        <v>732</v>
      </c>
      <c r="Q12" s="575" t="s">
        <v>731</v>
      </c>
      <c r="R12" s="576" t="s">
        <v>732</v>
      </c>
      <c r="S12" s="574" t="s">
        <v>731</v>
      </c>
      <c r="T12" s="575" t="s">
        <v>732</v>
      </c>
      <c r="U12" s="574" t="s">
        <v>731</v>
      </c>
      <c r="V12" s="576" t="s">
        <v>732</v>
      </c>
      <c r="W12" s="574" t="s">
        <v>733</v>
      </c>
      <c r="X12" s="575" t="s">
        <v>734</v>
      </c>
      <c r="Y12" s="577" t="s">
        <v>735</v>
      </c>
      <c r="AB12" s="578" t="s">
        <v>736</v>
      </c>
      <c r="AD12" s="579" t="s">
        <v>737</v>
      </c>
      <c r="AE12" s="580" t="s">
        <v>738</v>
      </c>
      <c r="AG12" s="579" t="s">
        <v>737</v>
      </c>
      <c r="AH12" s="580" t="s">
        <v>738</v>
      </c>
    </row>
    <row r="13" spans="1:44" x14ac:dyDescent="0.25">
      <c r="A13" s="238" t="s">
        <v>754</v>
      </c>
      <c r="B13" s="611">
        <v>3</v>
      </c>
      <c r="D13" s="150" t="s">
        <v>781</v>
      </c>
      <c r="G13" s="581">
        <v>0.1</v>
      </c>
      <c r="H13" s="582">
        <f>G13/1000</f>
        <v>1E-4</v>
      </c>
      <c r="I13" s="583">
        <f t="shared" ref="I13:I76" si="0">SQRT(1+(G13/pole1)^2)</f>
        <v>1.0000000047593578</v>
      </c>
      <c r="J13" s="584">
        <f t="shared" ref="J13:J76" si="1">ATAN(G13/pole1)</f>
        <v>9.7563904765438948E-5</v>
      </c>
      <c r="K13" s="584">
        <f t="shared" ref="K13:K76" si="2">SQRT(1+(G13/Zero1)^2)</f>
        <v>1.0000000000000013</v>
      </c>
      <c r="L13" s="585">
        <f t="shared" ref="L13:L76" si="3">ATAN(G13/Zero1)</f>
        <v>5.4035393579999938E-8</v>
      </c>
      <c r="M13" s="584">
        <f t="shared" ref="M13:M76" si="4">SQRT(1+(G13/z_RHP)^2)</f>
        <v>1.0000000000003619</v>
      </c>
      <c r="N13" s="585">
        <f t="shared" ref="N13:N76" si="5">-ATAN(G13/z_RHP)</f>
        <v>-8.5084800937479488E-7</v>
      </c>
      <c r="O13" s="583">
        <f t="shared" ref="O13:O76" si="6">SQRT(1+(G13/Pole2)^2)</f>
        <v>1.01624061059521</v>
      </c>
      <c r="P13" s="586">
        <f t="shared" ref="P13:P76" si="7">ATAN(G13/Pole2)</f>
        <v>0.17901852631309353</v>
      </c>
      <c r="Q13" s="584">
        <f t="shared" ref="Q13:Q76" si="8">SQRT(1+(G13/Zero2)^2)</f>
        <v>1.0000000028424461</v>
      </c>
      <c r="R13" s="585">
        <f t="shared" ref="R13:R76" si="9">ATAN(G13/Zero2)</f>
        <v>7.5398223457123084E-5</v>
      </c>
      <c r="S13" s="583">
        <f t="shared" ref="S13:S76" si="10">SQRT(1+(G13/pole4)^2)</f>
        <v>1.0000000000001263</v>
      </c>
      <c r="T13" s="586">
        <f t="shared" ref="T13:T76" si="11">ATAN(G13/pole4)</f>
        <v>5.0265482399995775E-7</v>
      </c>
      <c r="U13" s="587">
        <f>IMABS(IMPRODUCT(AO13, AR13))</f>
        <v>0.99959999999948101</v>
      </c>
      <c r="V13" s="588">
        <f>IMARGUMENT(IMPRODUCT(AO13, AR13))</f>
        <v>-1.2564591690226416E-6</v>
      </c>
      <c r="W13" s="589">
        <f t="shared" ref="W13:W76" si="12">20*LOG10(((K13*Q13*M13*U13)/(I13*O13*S13))*Adc)</f>
        <v>96.72075108680815</v>
      </c>
      <c r="X13" s="590">
        <f t="shared" ref="X13:X76" si="13">((L13+R13+N13+V13)-(J13+P13+T13))*radconv</f>
        <v>-10.258422467910318</v>
      </c>
      <c r="Y13" s="591">
        <f t="shared" ref="Y13:Y76" si="14">IF(X13&gt;0,X13,X13+180)</f>
        <v>169.74157753208968</v>
      </c>
      <c r="AA13" s="150">
        <f t="shared" ref="AA13:AA76" si="15">IF(W13&lt;0,G13,1000000000)</f>
        <v>1000000000</v>
      </c>
      <c r="AB13" s="150">
        <f t="shared" ref="AB13:AB76" si="16">G13^2</f>
        <v>1.0000000000000002E-2</v>
      </c>
      <c r="AD13" s="592">
        <f t="shared" ref="AD13:AD76" si="17">20*LOG10((Q13/(O13*S13))*Aea)</f>
        <v>95.068518772731508</v>
      </c>
      <c r="AE13" s="593">
        <f t="shared" ref="AE13:AE76" si="18">(R13-(P13+T13))*radconv</f>
        <v>-10.252714824120456</v>
      </c>
      <c r="AG13" s="592">
        <f t="shared" ref="AG13:AG76" si="19">20*LOG10((K13*M13/(I13*U13))*Acs*Am)</f>
        <v>27.047125371807404</v>
      </c>
      <c r="AH13" s="593">
        <f t="shared" ref="AH13:AH76" si="20">(L13+N13-(J13+V13))*radconv</f>
        <v>-5.5636641746656737E-3</v>
      </c>
      <c r="AJ13" s="150">
        <f t="shared" ref="AJ13:AJ76" si="21">SUM((W14&lt;0)*(W13&gt;0))*G13</f>
        <v>0</v>
      </c>
      <c r="AK13" s="150">
        <f t="shared" ref="AK13:AK44" si="22">IF(AJ13&gt;0,Y11,0)</f>
        <v>0</v>
      </c>
      <c r="AM13" s="150" t="str">
        <f t="shared" ref="AM13" si="23">IMSUB(1,IMEXP(COMPLEX(0,-2*Pi*G13*Tsw)))</f>
        <v>1.61104463103356E-12+1.79519579999904E-06i</v>
      </c>
      <c r="AN13" s="150" t="str">
        <f t="shared" ref="AN13" si="24">COMPLEX(0, 2*Pi*G13*Tsw)</f>
        <v>0.0000017951958i</v>
      </c>
      <c r="AO13" s="150" t="str">
        <f>IMDIV(AM13, AN13)</f>
        <v>0.999999999999465-8.97420009022726E-07i</v>
      </c>
      <c r="AP13" s="150" t="str">
        <f t="shared" ref="AP13" si="25">IMDIV(IMEXP(COMPLEX(0,-2*Pi*G13*Tsw)),6)</f>
        <v>0.166666666666398-2.9919929999984E-07i</v>
      </c>
      <c r="AQ13" s="150" t="str">
        <f>IMSUB(1, AP13)</f>
        <v>0.833333333333602+2.9919929999984E-07i</v>
      </c>
      <c r="AR13" s="150" t="str">
        <f>IMDIV(0.833, AQ13)</f>
        <v>0.999599999999549-3.5889554433553E-07i</v>
      </c>
    </row>
    <row r="14" spans="1:44" x14ac:dyDescent="0.25">
      <c r="A14" s="238" t="s">
        <v>751</v>
      </c>
      <c r="B14" s="612">
        <v>5</v>
      </c>
      <c r="C14" s="150" t="s">
        <v>0</v>
      </c>
      <c r="D14" s="150" t="s">
        <v>778</v>
      </c>
      <c r="G14" s="594">
        <v>1.0965</v>
      </c>
      <c r="H14" s="582">
        <f t="shared" ref="H14:H77" si="26">G14/1000</f>
        <v>1.0965E-3</v>
      </c>
      <c r="I14" s="583">
        <f t="shared" si="0"/>
        <v>1.0000005722232532</v>
      </c>
      <c r="J14" s="584">
        <f t="shared" si="1"/>
        <v>1.0697878110424081E-3</v>
      </c>
      <c r="K14" s="584">
        <f t="shared" si="2"/>
        <v>1.0000000000001754</v>
      </c>
      <c r="L14" s="585">
        <f t="shared" si="3"/>
        <v>5.9249809060463054E-7</v>
      </c>
      <c r="M14" s="584">
        <f t="shared" si="4"/>
        <v>1.0000000000435203</v>
      </c>
      <c r="N14" s="585">
        <f t="shared" si="5"/>
        <v>-9.3295484225261945E-6</v>
      </c>
      <c r="O14" s="583">
        <f t="shared" si="6"/>
        <v>2.2219290925754338</v>
      </c>
      <c r="P14" s="586">
        <f t="shared" si="7"/>
        <v>1.103964508822026</v>
      </c>
      <c r="Q14" s="595">
        <f t="shared" si="8"/>
        <v>1.0000003417507135</v>
      </c>
      <c r="R14" s="596">
        <f t="shared" si="9"/>
        <v>8.2674133341437519E-4</v>
      </c>
      <c r="S14" s="583">
        <f t="shared" si="10"/>
        <v>1.000000000015189</v>
      </c>
      <c r="T14" s="586">
        <f t="shared" si="11"/>
        <v>5.5116101451041907E-6</v>
      </c>
      <c r="U14" s="587">
        <f t="shared" ref="U14:U77" si="27">IMABS(IMPRODUCT(AO14, AR14))</f>
        <v>0.9995999999373828</v>
      </c>
      <c r="V14" s="588">
        <f t="shared" ref="V14:V77" si="28">IMARGUMENT(IMPRODUCT(AO14, AR14))</f>
        <v>-1.3779013270134601E-5</v>
      </c>
      <c r="W14" s="589">
        <f t="shared" si="12"/>
        <v>89.92607611409953</v>
      </c>
      <c r="X14" s="590">
        <f t="shared" si="13"/>
        <v>-63.268038564838186</v>
      </c>
      <c r="Y14" s="593">
        <f t="shared" si="14"/>
        <v>116.73196143516182</v>
      </c>
      <c r="AA14" s="150">
        <f t="shared" si="15"/>
        <v>1000000000</v>
      </c>
      <c r="AB14" s="150">
        <f t="shared" si="16"/>
        <v>1.2023122500000001</v>
      </c>
      <c r="AD14" s="592">
        <f t="shared" si="17"/>
        <v>88.273848729113467</v>
      </c>
      <c r="AE14" s="593">
        <f t="shared" si="18"/>
        <v>-63.205454162803761</v>
      </c>
      <c r="AG14" s="592">
        <f t="shared" si="19"/>
        <v>27.047120443796032</v>
      </c>
      <c r="AH14" s="593">
        <f t="shared" si="20"/>
        <v>-6.1005443420156687E-2</v>
      </c>
      <c r="AJ14" s="150">
        <f t="shared" si="21"/>
        <v>0</v>
      </c>
      <c r="AK14" s="150">
        <f t="shared" si="22"/>
        <v>0</v>
      </c>
      <c r="AM14" s="150" t="str">
        <f t="shared" ref="AM14:AM77" si="29">IMSUB(1,IMEXP(COMPLEX(0,-2*Pi*G14*Tsw)))</f>
        <v>1.93736027220837E-10+0.0000196843219457288i</v>
      </c>
      <c r="AN14" s="150" t="str">
        <f t="shared" ref="AN14:AN77" si="30">COMPLEX(0, 2*Pi*G14*Tsw)</f>
        <v>0.000019684321947i</v>
      </c>
      <c r="AO14" s="150" t="str">
        <f t="shared" ref="AO14:AO77" si="31">IMDIV(AM14, AN14)</f>
        <v>0.999999999935421-0.0000098421488808439i</v>
      </c>
      <c r="AP14" s="150" t="str">
        <f t="shared" ref="AP14:AP77" si="32">IMDIV(IMEXP(COMPLEX(0,-2*Pi*G14*Tsw)),6)</f>
        <v>0.166666666634377-3.28072032428813E-06i</v>
      </c>
      <c r="AQ14" s="150" t="str">
        <f t="shared" ref="AQ14:AQ77" si="33">IMSUB(1, AP14)</f>
        <v>0.833333333365623+3.28072032428813E-06i</v>
      </c>
      <c r="AR14" s="150" t="str">
        <f t="shared" ref="AR14:AR77" si="34">IMDIV(0.833, AQ14)</f>
        <v>0.999599999945775-3.93528964302414E-06i</v>
      </c>
    </row>
    <row r="15" spans="1:44" x14ac:dyDescent="0.25">
      <c r="A15" s="238" t="s">
        <v>750</v>
      </c>
      <c r="B15" s="612">
        <v>1</v>
      </c>
      <c r="C15" s="150" t="s">
        <v>1</v>
      </c>
      <c r="G15" s="594">
        <v>1.2022999999999999</v>
      </c>
      <c r="H15" s="582">
        <f t="shared" si="26"/>
        <v>1.2022999999999999E-3</v>
      </c>
      <c r="I15" s="583">
        <f t="shared" si="0"/>
        <v>1.0000006879769678</v>
      </c>
      <c r="J15" s="584">
        <f t="shared" si="1"/>
        <v>1.1730102927140272E-3</v>
      </c>
      <c r="K15" s="584">
        <f t="shared" si="2"/>
        <v>1.0000000000002109</v>
      </c>
      <c r="L15" s="585">
        <f t="shared" si="3"/>
        <v>6.4966753701224839E-7</v>
      </c>
      <c r="M15" s="584">
        <f t="shared" si="4"/>
        <v>1.0000000000523239</v>
      </c>
      <c r="N15" s="585">
        <f t="shared" si="5"/>
        <v>-1.0229745616358785E-5</v>
      </c>
      <c r="O15" s="583">
        <f t="shared" si="6"/>
        <v>2.3944455458403624</v>
      </c>
      <c r="P15" s="586">
        <f t="shared" si="7"/>
        <v>1.1399573920718153</v>
      </c>
      <c r="Q15" s="595">
        <f t="shared" si="8"/>
        <v>1.0000004108826823</v>
      </c>
      <c r="R15" s="596">
        <f t="shared" si="9"/>
        <v>9.065125940292527E-4</v>
      </c>
      <c r="S15" s="583">
        <f t="shared" si="10"/>
        <v>1.0000000000182614</v>
      </c>
      <c r="T15" s="586">
        <f t="shared" si="11"/>
        <v>6.0434189488784258E-6</v>
      </c>
      <c r="U15" s="587">
        <f t="shared" si="27"/>
        <v>0.9995999999247166</v>
      </c>
      <c r="V15" s="588">
        <f t="shared" si="28"/>
        <v>-1.5108559999369643E-5</v>
      </c>
      <c r="W15" s="589">
        <f t="shared" si="12"/>
        <v>89.276580320235169</v>
      </c>
      <c r="X15" s="590">
        <f t="shared" si="13"/>
        <v>-65.331777475655528</v>
      </c>
      <c r="Y15" s="593">
        <f t="shared" si="14"/>
        <v>114.66822252434447</v>
      </c>
      <c r="AA15" s="150">
        <f t="shared" si="15"/>
        <v>1000000000</v>
      </c>
      <c r="AB15" s="150">
        <f t="shared" si="16"/>
        <v>1.4455252899999997</v>
      </c>
      <c r="AD15" s="592">
        <f t="shared" si="17"/>
        <v>87.624353940705731</v>
      </c>
      <c r="AE15" s="593">
        <f t="shared" si="18"/>
        <v>-65.263154381715353</v>
      </c>
      <c r="AG15" s="592">
        <f t="shared" si="19"/>
        <v>27.047119438559516</v>
      </c>
      <c r="AH15" s="593">
        <f t="shared" si="20"/>
        <v>-6.689178049322235E-2</v>
      </c>
      <c r="AJ15" s="150">
        <f t="shared" si="21"/>
        <v>0</v>
      </c>
      <c r="AK15" s="150">
        <f t="shared" si="22"/>
        <v>0</v>
      </c>
      <c r="AM15" s="150" t="str">
        <f t="shared" si="29"/>
        <v>2.32927011012407E-10+0.0000215836391017242i</v>
      </c>
      <c r="AN15" s="150" t="str">
        <f t="shared" si="30"/>
        <v>0.0000215836391034i</v>
      </c>
      <c r="AO15" s="150" t="str">
        <f t="shared" si="31"/>
        <v>0.999999999922358-0.0000107918321788338i</v>
      </c>
      <c r="AP15" s="150" t="str">
        <f t="shared" si="32"/>
        <v>0.166666666627845-0.0000035972731836207i</v>
      </c>
      <c r="AQ15" s="150" t="str">
        <f t="shared" si="33"/>
        <v>0.833333333372155+0.0000035972731836207i</v>
      </c>
      <c r="AR15" s="150" t="str">
        <f t="shared" si="34"/>
        <v>0.999599999934806-4.31500112873426E-06i</v>
      </c>
    </row>
    <row r="16" spans="1:44" x14ac:dyDescent="0.25">
      <c r="A16" s="238" t="s">
        <v>3</v>
      </c>
      <c r="B16" s="612">
        <v>24</v>
      </c>
      <c r="C16" s="150" t="s">
        <v>0</v>
      </c>
      <c r="G16" s="594">
        <v>1.3183</v>
      </c>
      <c r="H16" s="582">
        <f t="shared" si="26"/>
        <v>1.3183000000000001E-3</v>
      </c>
      <c r="I16" s="583">
        <f t="shared" si="0"/>
        <v>1.0000008271355343</v>
      </c>
      <c r="J16" s="584">
        <f t="shared" si="1"/>
        <v>1.2861842513712789E-3</v>
      </c>
      <c r="K16" s="584">
        <f t="shared" si="2"/>
        <v>1.0000000000002536</v>
      </c>
      <c r="L16" s="585">
        <f t="shared" si="3"/>
        <v>7.1234859356501939E-7</v>
      </c>
      <c r="M16" s="584">
        <f t="shared" si="4"/>
        <v>1.0000000000629075</v>
      </c>
      <c r="N16" s="585">
        <f t="shared" si="5"/>
        <v>-1.1216729307120215E-5</v>
      </c>
      <c r="O16" s="583">
        <f t="shared" si="6"/>
        <v>2.5866578034504899</v>
      </c>
      <c r="P16" s="586">
        <f t="shared" si="7"/>
        <v>1.1738550408729236</v>
      </c>
      <c r="Q16" s="595">
        <f t="shared" si="8"/>
        <v>1.0000004939928113</v>
      </c>
      <c r="R16" s="596">
        <f t="shared" si="9"/>
        <v>9.939744543746487E-4</v>
      </c>
      <c r="S16" s="583">
        <f t="shared" si="10"/>
        <v>1.0000000000219553</v>
      </c>
      <c r="T16" s="586">
        <f t="shared" si="11"/>
        <v>6.6264985446950098E-6</v>
      </c>
      <c r="U16" s="587">
        <f t="shared" si="27"/>
        <v>0.99959999990948811</v>
      </c>
      <c r="V16" s="588">
        <f t="shared" si="28"/>
        <v>-1.6566231359821008E-5</v>
      </c>
      <c r="W16" s="589">
        <f t="shared" si="12"/>
        <v>88.605899561304753</v>
      </c>
      <c r="X16" s="590">
        <f t="shared" si="13"/>
        <v>-67.275612769369346</v>
      </c>
      <c r="Y16" s="593">
        <f t="shared" si="14"/>
        <v>112.72438723063065</v>
      </c>
      <c r="AA16" s="150">
        <f t="shared" si="15"/>
        <v>1000000000</v>
      </c>
      <c r="AB16" s="150">
        <f t="shared" si="16"/>
        <v>1.7379148900000001</v>
      </c>
      <c r="AD16" s="592">
        <f t="shared" si="17"/>
        <v>86.953674390530381</v>
      </c>
      <c r="AE16" s="593">
        <f t="shared" si="18"/>
        <v>-67.200368808182958</v>
      </c>
      <c r="AG16" s="592">
        <f t="shared" si="19"/>
        <v>27.047118230069106</v>
      </c>
      <c r="AH16" s="593">
        <f t="shared" si="20"/>
        <v>-7.3345610905507536E-2</v>
      </c>
      <c r="AJ16" s="150">
        <f t="shared" si="21"/>
        <v>0</v>
      </c>
      <c r="AK16" s="150">
        <f t="shared" si="22"/>
        <v>0</v>
      </c>
      <c r="AM16" s="150" t="str">
        <f t="shared" si="29"/>
        <v>2.80040990396913E-10+0.0000236660662291908i</v>
      </c>
      <c r="AN16" s="150" t="str">
        <f t="shared" si="30"/>
        <v>0.0000236660662314i</v>
      </c>
      <c r="AO16" s="150" t="str">
        <f t="shared" si="31"/>
        <v>0.999999999906651-0.000011833018113731i</v>
      </c>
      <c r="AP16" s="150" t="str">
        <f t="shared" si="32"/>
        <v>0.166666666619993-0.0000039443443715318i</v>
      </c>
      <c r="AQ16" s="150" t="str">
        <f t="shared" si="33"/>
        <v>0.833333333380007+0.0000039443443715318i</v>
      </c>
      <c r="AR16" s="150" t="str">
        <f t="shared" si="34"/>
        <v>0.99959999992162-4.73131995990384E-06i</v>
      </c>
    </row>
    <row r="17" spans="1:44" x14ac:dyDescent="0.25">
      <c r="G17" s="594">
        <v>1.4454</v>
      </c>
      <c r="H17" s="582">
        <f t="shared" si="26"/>
        <v>1.4454000000000001E-3</v>
      </c>
      <c r="I17" s="583">
        <f t="shared" si="0"/>
        <v>1.0000009943155679</v>
      </c>
      <c r="J17" s="584">
        <f t="shared" si="1"/>
        <v>1.4101877491729921E-3</v>
      </c>
      <c r="K17" s="584">
        <f t="shared" si="2"/>
        <v>1.0000000000003051</v>
      </c>
      <c r="L17" s="585">
        <f t="shared" si="3"/>
        <v>7.8102757880516104E-7</v>
      </c>
      <c r="M17" s="584">
        <f t="shared" si="4"/>
        <v>1.0000000000756222</v>
      </c>
      <c r="N17" s="585">
        <f t="shared" si="5"/>
        <v>-1.2298157126886243E-5</v>
      </c>
      <c r="O17" s="583">
        <f t="shared" si="6"/>
        <v>2.8001820016494952</v>
      </c>
      <c r="P17" s="586">
        <f t="shared" si="7"/>
        <v>1.2056139573674829</v>
      </c>
      <c r="Q17" s="595">
        <f t="shared" si="8"/>
        <v>1.0000005938382996</v>
      </c>
      <c r="R17" s="596">
        <f t="shared" si="9"/>
        <v>1.0898054924689149E-3</v>
      </c>
      <c r="S17" s="583">
        <f t="shared" si="10"/>
        <v>1.0000000000263927</v>
      </c>
      <c r="T17" s="586">
        <f t="shared" si="11"/>
        <v>7.2653728259681645E-6</v>
      </c>
      <c r="U17" s="587">
        <f t="shared" si="27"/>
        <v>0.99959999989119519</v>
      </c>
      <c r="V17" s="588">
        <f t="shared" si="28"/>
        <v>-1.816342897589975E-5</v>
      </c>
      <c r="W17" s="589">
        <f t="shared" si="12"/>
        <v>87.916953348428422</v>
      </c>
      <c r="X17" s="590">
        <f t="shared" si="13"/>
        <v>-69.097064955253387</v>
      </c>
      <c r="Y17" s="593">
        <f t="shared" si="14"/>
        <v>110.90293504474661</v>
      </c>
      <c r="AA17" s="150">
        <f t="shared" si="15"/>
        <v>1000000000</v>
      </c>
      <c r="AB17" s="150">
        <f t="shared" si="16"/>
        <v>2.0891811599999999</v>
      </c>
      <c r="AD17" s="592">
        <f t="shared" si="17"/>
        <v>86.264729629808116</v>
      </c>
      <c r="AE17" s="593">
        <f t="shared" si="18"/>
        <v>-69.014566578073442</v>
      </c>
      <c r="AG17" s="592">
        <f t="shared" si="19"/>
        <v>27.047116778232944</v>
      </c>
      <c r="AH17" s="593">
        <f t="shared" si="20"/>
        <v>-8.0417001533961183E-2</v>
      </c>
      <c r="AJ17" s="150">
        <f t="shared" si="21"/>
        <v>0</v>
      </c>
      <c r="AK17" s="150">
        <f t="shared" si="22"/>
        <v>0</v>
      </c>
      <c r="AM17" s="150" t="str">
        <f t="shared" si="29"/>
        <v>3.36643046772167E-10+0.0000259477600902883i</v>
      </c>
      <c r="AN17" s="150" t="str">
        <f t="shared" si="30"/>
        <v>0.0000259477600932i</v>
      </c>
      <c r="AO17" s="150" t="str">
        <f t="shared" si="31"/>
        <v>0.999999999887786-0.0000129738769575101i</v>
      </c>
      <c r="AP17" s="150" t="str">
        <f t="shared" si="32"/>
        <v>0.166666666610559-4.32462668171472E-06i</v>
      </c>
      <c r="AQ17" s="150" t="str">
        <f t="shared" si="33"/>
        <v>0.833333333389441+4.32462668171472E-06i</v>
      </c>
      <c r="AR17" s="150" t="str">
        <f t="shared" si="34"/>
        <v>0.999599999905777-0.0000051874761964122i</v>
      </c>
    </row>
    <row r="18" spans="1:44" x14ac:dyDescent="0.25">
      <c r="A18" s="150" t="s">
        <v>757</v>
      </c>
      <c r="B18" s="616">
        <f>Vout_eff*Npri_sec/Vin_eff</f>
        <v>0.625</v>
      </c>
      <c r="C18" s="150" t="s">
        <v>701</v>
      </c>
      <c r="G18" s="594">
        <v>1.5849</v>
      </c>
      <c r="H18" s="582">
        <f t="shared" si="26"/>
        <v>1.5849E-3</v>
      </c>
      <c r="I18" s="583">
        <f t="shared" si="0"/>
        <v>1.0000011955061801</v>
      </c>
      <c r="J18" s="584">
        <f t="shared" si="1"/>
        <v>1.5462890991349409E-3</v>
      </c>
      <c r="K18" s="584">
        <f t="shared" si="2"/>
        <v>1.0000000000003668</v>
      </c>
      <c r="L18" s="585">
        <f t="shared" si="3"/>
        <v>8.5640695284921044E-7</v>
      </c>
      <c r="M18" s="584">
        <f t="shared" si="4"/>
        <v>1.0000000000909237</v>
      </c>
      <c r="N18" s="585">
        <f t="shared" si="5"/>
        <v>-1.3485090099766966E-5</v>
      </c>
      <c r="O18" s="583">
        <f t="shared" si="6"/>
        <v>3.0373075920987023</v>
      </c>
      <c r="P18" s="586">
        <f t="shared" si="7"/>
        <v>1.2352988383748154</v>
      </c>
      <c r="Q18" s="595">
        <f t="shared" si="8"/>
        <v>1.0000007139960481</v>
      </c>
      <c r="R18" s="596">
        <f t="shared" si="9"/>
        <v>1.1949858770262845E-3</v>
      </c>
      <c r="S18" s="583">
        <f t="shared" si="10"/>
        <v>1.0000000000317333</v>
      </c>
      <c r="T18" s="586">
        <f t="shared" si="11"/>
        <v>7.9665763054074652E-6</v>
      </c>
      <c r="U18" s="587">
        <f t="shared" si="27"/>
        <v>0.99959999986917814</v>
      </c>
      <c r="V18" s="588">
        <f t="shared" si="28"/>
        <v>-1.9916447596534588E-5</v>
      </c>
      <c r="W18" s="589">
        <f t="shared" si="12"/>
        <v>87.210902326648238</v>
      </c>
      <c r="X18" s="590">
        <f t="shared" si="13"/>
        <v>-70.799859298981701</v>
      </c>
      <c r="Y18" s="593">
        <f t="shared" si="14"/>
        <v>109.2001407010183</v>
      </c>
      <c r="AA18" s="150">
        <f t="shared" si="15"/>
        <v>1000000000</v>
      </c>
      <c r="AB18" s="150">
        <f t="shared" si="16"/>
        <v>2.51190801</v>
      </c>
      <c r="AD18" s="592">
        <f t="shared" si="17"/>
        <v>85.558680355603357</v>
      </c>
      <c r="AE18" s="593">
        <f t="shared" si="18"/>
        <v>-70.709398760955509</v>
      </c>
      <c r="AG18" s="592">
        <f t="shared" si="19"/>
        <v>27.047115031040164</v>
      </c>
      <c r="AH18" s="593">
        <f t="shared" si="20"/>
        <v>-8.8178281243228115E-2</v>
      </c>
      <c r="AJ18" s="150">
        <f t="shared" si="21"/>
        <v>0</v>
      </c>
      <c r="AK18" s="150">
        <f t="shared" si="22"/>
        <v>0</v>
      </c>
      <c r="AM18" s="150" t="str">
        <f t="shared" si="29"/>
        <v>4.04760003291926E-10+0.0000284520582303612i</v>
      </c>
      <c r="AN18" s="150" t="str">
        <f t="shared" si="30"/>
        <v>0.0000284520582342i</v>
      </c>
      <c r="AO18" s="150" t="str">
        <f t="shared" si="31"/>
        <v>0.999999999865078-0.0000142260359500247i</v>
      </c>
      <c r="AP18" s="150" t="str">
        <f t="shared" si="32"/>
        <v>0.166666666599207-0.0000047420097050602i</v>
      </c>
      <c r="AQ18" s="150" t="str">
        <f t="shared" si="33"/>
        <v>0.833333333400793+0.0000047420097050602i</v>
      </c>
      <c r="AR18" s="150" t="str">
        <f t="shared" si="34"/>
        <v>0.999599999886713-0.0000056881354803087i</v>
      </c>
    </row>
    <row r="19" spans="1:44" x14ac:dyDescent="0.25">
      <c r="A19" s="150" t="s">
        <v>774</v>
      </c>
      <c r="B19" s="150">
        <f>1/350000</f>
        <v>2.8571428571428573E-6</v>
      </c>
      <c r="G19" s="594">
        <v>1.7378</v>
      </c>
      <c r="H19" s="582">
        <f t="shared" si="26"/>
        <v>1.7378000000000001E-3</v>
      </c>
      <c r="I19" s="583">
        <f t="shared" si="0"/>
        <v>1.0000014373006698</v>
      </c>
      <c r="J19" s="584">
        <f t="shared" si="1"/>
        <v>1.6954639177991443E-3</v>
      </c>
      <c r="K19" s="584">
        <f t="shared" si="2"/>
        <v>1.000000000000441</v>
      </c>
      <c r="L19" s="585">
        <f t="shared" si="3"/>
        <v>9.3902706963296376E-7</v>
      </c>
      <c r="M19" s="584">
        <f t="shared" si="4"/>
        <v>1.0000000001093134</v>
      </c>
      <c r="N19" s="585">
        <f t="shared" si="5"/>
        <v>-1.478603670584121E-5</v>
      </c>
      <c r="O19" s="583">
        <f t="shared" si="6"/>
        <v>3.2998206043378668</v>
      </c>
      <c r="P19" s="586">
        <f t="shared" si="7"/>
        <v>1.2629081711968904</v>
      </c>
      <c r="Q19" s="595">
        <f t="shared" si="8"/>
        <v>1.0000008584038</v>
      </c>
      <c r="R19" s="596">
        <f t="shared" si="9"/>
        <v>1.3102695798938972E-3</v>
      </c>
      <c r="S19" s="583">
        <f t="shared" si="10"/>
        <v>1.0000000000381513</v>
      </c>
      <c r="T19" s="586">
        <f t="shared" si="11"/>
        <v>8.7351355312498297E-6</v>
      </c>
      <c r="U19" s="587">
        <f t="shared" si="27"/>
        <v>0.9995999998427203</v>
      </c>
      <c r="V19" s="588">
        <f t="shared" si="28"/>
        <v>-2.1837847966147028E-5</v>
      </c>
      <c r="W19" s="589">
        <f t="shared" si="12"/>
        <v>86.490870395313607</v>
      </c>
      <c r="X19" s="590">
        <f t="shared" si="13"/>
        <v>-72.383923292864608</v>
      </c>
      <c r="Y19" s="593">
        <f t="shared" si="14"/>
        <v>107.61607670713539</v>
      </c>
      <c r="AA19" s="150">
        <f t="shared" si="15"/>
        <v>1000000000</v>
      </c>
      <c r="AB19" s="150">
        <f t="shared" si="16"/>
        <v>3.0199488400000001</v>
      </c>
      <c r="AD19" s="592">
        <f t="shared" si="17"/>
        <v>84.838650524535723</v>
      </c>
      <c r="AE19" s="593">
        <f t="shared" si="18"/>
        <v>-72.284735774211526</v>
      </c>
      <c r="AG19" s="592">
        <f t="shared" si="19"/>
        <v>27.047112931232952</v>
      </c>
      <c r="AH19" s="593">
        <f t="shared" si="20"/>
        <v>-9.6685085606008456E-2</v>
      </c>
      <c r="AJ19" s="150">
        <f t="shared" si="21"/>
        <v>0</v>
      </c>
      <c r="AK19" s="150">
        <f t="shared" si="22"/>
        <v>0</v>
      </c>
      <c r="AM19" s="150" t="str">
        <f t="shared" si="29"/>
        <v>4.86623963347199E-10+0.0000311969126073396i</v>
      </c>
      <c r="AN19" s="150" t="str">
        <f t="shared" si="30"/>
        <v>0.0000311969126124i</v>
      </c>
      <c r="AO19" s="150" t="str">
        <f t="shared" si="31"/>
        <v>0.999999999837791-0.0000155984654441022i</v>
      </c>
      <c r="AP19" s="150" t="str">
        <f t="shared" si="32"/>
        <v>0.166666666585563-0.0000051994854345566i</v>
      </c>
      <c r="AQ19" s="150" t="str">
        <f t="shared" si="33"/>
        <v>0.833333333414437+0.0000051994854345566i</v>
      </c>
      <c r="AR19" s="150" t="str">
        <f t="shared" si="34"/>
        <v>0.9995999998638-6.23688676700253E-06i</v>
      </c>
    </row>
    <row r="20" spans="1:44" x14ac:dyDescent="0.25">
      <c r="G20" s="594">
        <v>1.9055</v>
      </c>
      <c r="H20" s="582">
        <f t="shared" si="26"/>
        <v>1.9055000000000001E-3</v>
      </c>
      <c r="I20" s="583">
        <f t="shared" si="0"/>
        <v>1.0000017280881226</v>
      </c>
      <c r="J20" s="584">
        <f t="shared" si="1"/>
        <v>1.8590780694370938E-3</v>
      </c>
      <c r="K20" s="584">
        <f t="shared" si="2"/>
        <v>1.0000000000005302</v>
      </c>
      <c r="L20" s="585">
        <f t="shared" si="3"/>
        <v>1.029644424666536E-6</v>
      </c>
      <c r="M20" s="584">
        <f t="shared" si="4"/>
        <v>1.0000000001314291</v>
      </c>
      <c r="N20" s="585">
        <f t="shared" si="5"/>
        <v>-1.6212908817220061E-5</v>
      </c>
      <c r="O20" s="583">
        <f t="shared" si="6"/>
        <v>3.5901912681301797</v>
      </c>
      <c r="P20" s="586">
        <f t="shared" si="7"/>
        <v>1.2885261585073087</v>
      </c>
      <c r="Q20" s="595">
        <f t="shared" si="8"/>
        <v>1.000001032071806</v>
      </c>
      <c r="R20" s="596">
        <f t="shared" si="9"/>
        <v>1.43671216217129E-3</v>
      </c>
      <c r="S20" s="583">
        <f t="shared" si="10"/>
        <v>1.00000000004587</v>
      </c>
      <c r="T20" s="586">
        <f t="shared" si="11"/>
        <v>9.5780876710271039E-6</v>
      </c>
      <c r="U20" s="587">
        <f t="shared" si="27"/>
        <v>0.99959999981090097</v>
      </c>
      <c r="V20" s="588">
        <f t="shared" si="28"/>
        <v>-2.3945218199043176E-5</v>
      </c>
      <c r="W20" s="589">
        <f t="shared" si="12"/>
        <v>85.758324251139655</v>
      </c>
      <c r="X20" s="590">
        <f t="shared" si="13"/>
        <v>-73.854101223871481</v>
      </c>
      <c r="Y20" s="593">
        <f t="shared" si="14"/>
        <v>106.14589877612852</v>
      </c>
      <c r="AA20" s="150">
        <f t="shared" si="15"/>
        <v>1000000000</v>
      </c>
      <c r="AB20" s="150">
        <f t="shared" si="16"/>
        <v>3.63093025</v>
      </c>
      <c r="AD20" s="592">
        <f t="shared" si="17"/>
        <v>84.106106906189126</v>
      </c>
      <c r="AE20" s="593">
        <f t="shared" si="18"/>
        <v>-73.745341999671879</v>
      </c>
      <c r="AG20" s="592">
        <f t="shared" si="19"/>
        <v>27.047110405958588</v>
      </c>
      <c r="AH20" s="593">
        <f t="shared" si="20"/>
        <v>-0.10601530431181418</v>
      </c>
      <c r="AJ20" s="150">
        <f t="shared" si="21"/>
        <v>0</v>
      </c>
      <c r="AK20" s="150">
        <f t="shared" si="22"/>
        <v>0</v>
      </c>
      <c r="AM20" s="150" t="str">
        <f t="shared" si="29"/>
        <v>5.85074988457279E-10+0.0000342074559623287i</v>
      </c>
      <c r="AN20" s="150" t="str">
        <f t="shared" si="30"/>
        <v>0.000034207455969i</v>
      </c>
      <c r="AO20" s="150" t="str">
        <f t="shared" si="31"/>
        <v>0.999999999804975-0.0000171037270058169i</v>
      </c>
      <c r="AP20" s="150" t="str">
        <f t="shared" si="32"/>
        <v>0.166666666569154-5.70124266038812E-06i</v>
      </c>
      <c r="AQ20" s="150" t="str">
        <f t="shared" si="33"/>
        <v>0.833333333430846+5.70124266038812E-06i</v>
      </c>
      <c r="AR20" s="150" t="str">
        <f t="shared" si="34"/>
        <v>0.999599999836244-6.83875459406818E-06i</v>
      </c>
    </row>
    <row r="21" spans="1:44" x14ac:dyDescent="0.25">
      <c r="A21" s="238" t="s">
        <v>753</v>
      </c>
      <c r="B21" s="618">
        <f>Vout_eff/Iout_eff</f>
        <v>5</v>
      </c>
      <c r="C21" s="609" t="s">
        <v>45</v>
      </c>
      <c r="D21" s="609"/>
      <c r="E21" s="609"/>
      <c r="G21" s="594">
        <v>2.0893000000000002</v>
      </c>
      <c r="H21" s="582">
        <f t="shared" si="26"/>
        <v>2.0893000000000001E-3</v>
      </c>
      <c r="I21" s="583">
        <f t="shared" si="0"/>
        <v>1.0000020775405618</v>
      </c>
      <c r="J21" s="584">
        <f t="shared" si="1"/>
        <v>2.0383998454932633E-3</v>
      </c>
      <c r="K21" s="584">
        <f t="shared" si="2"/>
        <v>1.0000000000006373</v>
      </c>
      <c r="L21" s="585">
        <f t="shared" si="3"/>
        <v>1.1289614780664603E-6</v>
      </c>
      <c r="M21" s="584">
        <f t="shared" si="4"/>
        <v>1.0000000001580067</v>
      </c>
      <c r="N21" s="585">
        <f t="shared" si="5"/>
        <v>-1.7776767457999312E-5</v>
      </c>
      <c r="O21" s="583">
        <f t="shared" si="6"/>
        <v>3.9107230196012055</v>
      </c>
      <c r="P21" s="586">
        <f t="shared" si="7"/>
        <v>1.312217183181589</v>
      </c>
      <c r="Q21" s="595">
        <f t="shared" si="8"/>
        <v>1.0000012407765337</v>
      </c>
      <c r="R21" s="596">
        <f t="shared" si="9"/>
        <v>1.5752937826164816E-3</v>
      </c>
      <c r="S21" s="583">
        <f t="shared" si="10"/>
        <v>1.0000000000551457</v>
      </c>
      <c r="T21" s="586">
        <f t="shared" si="11"/>
        <v>1.050196723744591E-5</v>
      </c>
      <c r="U21" s="587">
        <f t="shared" si="27"/>
        <v>0.99959999977266123</v>
      </c>
      <c r="V21" s="588">
        <f t="shared" si="28"/>
        <v>-2.6254905308657155E-5</v>
      </c>
      <c r="W21" s="589">
        <f t="shared" si="12"/>
        <v>85.015533599726041</v>
      </c>
      <c r="X21" s="590">
        <f t="shared" si="13"/>
        <v>-75.214100372350472</v>
      </c>
      <c r="Y21" s="593">
        <f t="shared" si="14"/>
        <v>104.78589962764953</v>
      </c>
      <c r="AA21" s="150">
        <f t="shared" si="15"/>
        <v>1000000000</v>
      </c>
      <c r="AB21" s="150">
        <f t="shared" si="16"/>
        <v>4.3651744900000002</v>
      </c>
      <c r="AD21" s="592">
        <f t="shared" si="17"/>
        <v>83.363319290175554</v>
      </c>
      <c r="AE21" s="593">
        <f t="shared" si="18"/>
        <v>-75.09485051982081</v>
      </c>
      <c r="AG21" s="592">
        <f t="shared" si="19"/>
        <v>27.047107371223099</v>
      </c>
      <c r="AH21" s="593">
        <f t="shared" si="20"/>
        <v>-0.11624126199480921</v>
      </c>
      <c r="AJ21" s="150">
        <f t="shared" si="21"/>
        <v>0</v>
      </c>
      <c r="AK21" s="150">
        <f t="shared" si="22"/>
        <v>0</v>
      </c>
      <c r="AM21" s="150" t="str">
        <f t="shared" si="29"/>
        <v>7.03388014500206E-10+0.000037507025840606i</v>
      </c>
      <c r="AN21" s="150" t="str">
        <f t="shared" si="30"/>
        <v>0.0000375070258494i</v>
      </c>
      <c r="AO21" s="150" t="str">
        <f t="shared" si="31"/>
        <v>0.999999999765537-0.0000187535001395334i</v>
      </c>
      <c r="AP21" s="150" t="str">
        <f t="shared" si="32"/>
        <v>0.166666666549435-6.25117097343433E-06i</v>
      </c>
      <c r="AQ21" s="150" t="str">
        <f t="shared" si="33"/>
        <v>0.833333333450565+6.25117097343433E-06i</v>
      </c>
      <c r="AR21" s="150" t="str">
        <f t="shared" si="34"/>
        <v>0.99959999980313-7.49840460352228E-06i</v>
      </c>
    </row>
    <row r="22" spans="1:44" x14ac:dyDescent="0.25">
      <c r="A22" s="150" t="s">
        <v>752</v>
      </c>
      <c r="B22" s="618">
        <f>Rload_sec*(Npri_sec^2)</f>
        <v>45</v>
      </c>
      <c r="C22" s="609" t="s">
        <v>45</v>
      </c>
      <c r="D22" s="609"/>
      <c r="E22" s="609"/>
      <c r="G22" s="594">
        <v>2.2909000000000002</v>
      </c>
      <c r="H22" s="582">
        <f t="shared" si="26"/>
        <v>2.2909000000000002E-3</v>
      </c>
      <c r="I22" s="583">
        <f t="shared" si="0"/>
        <v>1.0000024978138902</v>
      </c>
      <c r="J22" s="584">
        <f t="shared" si="1"/>
        <v>2.2350877794746165E-3</v>
      </c>
      <c r="K22" s="584">
        <f t="shared" si="2"/>
        <v>1.0000000000007661</v>
      </c>
      <c r="L22" s="585">
        <f t="shared" si="3"/>
        <v>1.2378968315235876E-6</v>
      </c>
      <c r="M22" s="584">
        <f t="shared" si="4"/>
        <v>1.0000000001899705</v>
      </c>
      <c r="N22" s="585">
        <f t="shared" si="5"/>
        <v>-1.9492077044303265E-5</v>
      </c>
      <c r="O22" s="583">
        <f t="shared" si="6"/>
        <v>4.2644219270822346</v>
      </c>
      <c r="P22" s="586">
        <f t="shared" si="7"/>
        <v>1.3340938070388086</v>
      </c>
      <c r="Q22" s="595">
        <f t="shared" si="8"/>
        <v>1.0000014917779125</v>
      </c>
      <c r="R22" s="596">
        <f t="shared" si="9"/>
        <v>1.7272961866242858E-3</v>
      </c>
      <c r="S22" s="583">
        <f t="shared" si="10"/>
        <v>1.0000000000663012</v>
      </c>
      <c r="T22" s="586">
        <f t="shared" si="11"/>
        <v>1.1515319362507015E-5</v>
      </c>
      <c r="U22" s="587">
        <f t="shared" si="27"/>
        <v>0.99959999972667246</v>
      </c>
      <c r="V22" s="588">
        <f t="shared" si="28"/>
        <v>-2.8788304507345347E-5</v>
      </c>
      <c r="W22" s="589">
        <f t="shared" si="12"/>
        <v>84.263469928934484</v>
      </c>
      <c r="X22" s="590">
        <f t="shared" si="13"/>
        <v>-76.470394135418374</v>
      </c>
      <c r="Y22" s="593">
        <f t="shared" si="14"/>
        <v>103.52960586458163</v>
      </c>
      <c r="AA22" s="150">
        <f t="shared" si="15"/>
        <v>1000000000</v>
      </c>
      <c r="AB22" s="150">
        <f t="shared" si="16"/>
        <v>5.2482228100000006</v>
      </c>
      <c r="AD22" s="592">
        <f t="shared" si="17"/>
        <v>82.611259269944242</v>
      </c>
      <c r="AE22" s="593">
        <f t="shared" si="18"/>
        <v>-76.339637702831524</v>
      </c>
      <c r="AG22" s="592">
        <f t="shared" si="19"/>
        <v>27.047103721462065</v>
      </c>
      <c r="AH22" s="593">
        <f t="shared" si="20"/>
        <v>-0.12745753588785902</v>
      </c>
      <c r="AJ22" s="150">
        <f t="shared" si="21"/>
        <v>0</v>
      </c>
      <c r="AK22" s="150">
        <f t="shared" si="22"/>
        <v>0</v>
      </c>
      <c r="AM22" s="150" t="str">
        <f t="shared" si="29"/>
        <v>8.45679970495894E-10+0.0000411261405706068i</v>
      </c>
      <c r="AN22" s="150" t="str">
        <f t="shared" si="30"/>
        <v>0.0000411261405822i</v>
      </c>
      <c r="AO22" s="150" t="str">
        <f t="shared" si="31"/>
        <v>0.999999999718106-0.0000205630763919024i</v>
      </c>
      <c r="AP22" s="150" t="str">
        <f t="shared" si="32"/>
        <v>0.16666666652572-0.0000068543567617678i</v>
      </c>
      <c r="AQ22" s="150" t="str">
        <f t="shared" si="33"/>
        <v>0.83333333347428+0.0000068543567617678i</v>
      </c>
      <c r="AR22" s="150" t="str">
        <f t="shared" si="34"/>
        <v>0.999599999763304-8.22193801953821E-06i</v>
      </c>
    </row>
    <row r="23" spans="1:44" x14ac:dyDescent="0.25">
      <c r="G23" s="594">
        <v>2.5118999999999998</v>
      </c>
      <c r="H23" s="582">
        <f t="shared" si="26"/>
        <v>2.5118999999999996E-3</v>
      </c>
      <c r="I23" s="583">
        <f t="shared" si="0"/>
        <v>1.0000030029796838</v>
      </c>
      <c r="J23" s="584">
        <f t="shared" si="1"/>
        <v>2.4507028253055512E-3</v>
      </c>
      <c r="K23" s="584">
        <f t="shared" si="2"/>
        <v>1.000000000000921</v>
      </c>
      <c r="L23" s="585">
        <f t="shared" si="3"/>
        <v>1.3573150513351862E-6</v>
      </c>
      <c r="M23" s="584">
        <f t="shared" si="4"/>
        <v>1.0000000002283909</v>
      </c>
      <c r="N23" s="585">
        <f t="shared" si="5"/>
        <v>-2.1372451144236445E-5</v>
      </c>
      <c r="O23" s="583">
        <f t="shared" si="6"/>
        <v>4.654128056228882</v>
      </c>
      <c r="P23" s="586">
        <f t="shared" si="7"/>
        <v>1.354244757022478</v>
      </c>
      <c r="Q23" s="595">
        <f t="shared" si="8"/>
        <v>1.0000017934799859</v>
      </c>
      <c r="R23" s="596">
        <f t="shared" si="9"/>
        <v>1.8939257141299601E-3</v>
      </c>
      <c r="S23" s="583">
        <f t="shared" si="10"/>
        <v>1.0000000000797102</v>
      </c>
      <c r="T23" s="586">
        <f t="shared" si="11"/>
        <v>1.2626186523385041E-5</v>
      </c>
      <c r="U23" s="587">
        <f t="shared" si="27"/>
        <v>0.99959999967139201</v>
      </c>
      <c r="V23" s="588">
        <f t="shared" si="28"/>
        <v>-3.1565469086903788E-5</v>
      </c>
      <c r="W23" s="589">
        <f t="shared" si="12"/>
        <v>83.503904946142043</v>
      </c>
      <c r="X23" s="590">
        <f t="shared" si="13"/>
        <v>-77.628088850591183</v>
      </c>
      <c r="Y23" s="593">
        <f t="shared" si="14"/>
        <v>102.37191114940882</v>
      </c>
      <c r="AA23" s="150">
        <f t="shared" si="15"/>
        <v>1000000000</v>
      </c>
      <c r="AB23" s="150">
        <f t="shared" si="16"/>
        <v>6.309641609999999</v>
      </c>
      <c r="AD23" s="592">
        <f t="shared" si="17"/>
        <v>81.851698675099385</v>
      </c>
      <c r="AE23" s="593">
        <f t="shared" si="18"/>
        <v>-77.484718570715032</v>
      </c>
      <c r="AG23" s="592">
        <f t="shared" si="19"/>
        <v>27.047099334475217</v>
      </c>
      <c r="AH23" s="593">
        <f t="shared" si="20"/>
        <v>-0.13975314355795895</v>
      </c>
      <c r="AJ23" s="150">
        <f t="shared" si="21"/>
        <v>0</v>
      </c>
      <c r="AK23" s="150">
        <f t="shared" si="22"/>
        <v>0</v>
      </c>
      <c r="AM23" s="150" t="str">
        <f t="shared" si="29"/>
        <v>1.01671304708617E-09+0.0000450935232849176i</v>
      </c>
      <c r="AN23" s="150" t="str">
        <f t="shared" si="30"/>
        <v>0.0000450935233002i</v>
      </c>
      <c r="AO23" s="150" t="str">
        <f t="shared" si="31"/>
        <v>0.999999999661095-0.0000225467644281781i</v>
      </c>
      <c r="AP23" s="150" t="str">
        <f t="shared" si="32"/>
        <v>0.166666666497214-7.51558721415293E-06i</v>
      </c>
      <c r="AQ23" s="150" t="str">
        <f t="shared" si="33"/>
        <v>0.833333333502786+7.51558721415293E-06i</v>
      </c>
      <c r="AR23" s="150" t="str">
        <f t="shared" si="34"/>
        <v>0.999599999715433-9.01509717072114E-06i</v>
      </c>
    </row>
    <row r="24" spans="1:44" x14ac:dyDescent="0.25">
      <c r="D24" s="613"/>
      <c r="G24" s="594">
        <v>2.7542</v>
      </c>
      <c r="H24" s="582">
        <f t="shared" si="26"/>
        <v>2.7542000000000001E-3</v>
      </c>
      <c r="I24" s="583">
        <f t="shared" si="0"/>
        <v>1.0000036102603214</v>
      </c>
      <c r="J24" s="584">
        <f t="shared" si="1"/>
        <v>2.6870986061594427E-3</v>
      </c>
      <c r="K24" s="584">
        <f t="shared" si="2"/>
        <v>1.0000000000011076</v>
      </c>
      <c r="L24" s="585">
        <f t="shared" si="3"/>
        <v>1.4882428099792609E-6</v>
      </c>
      <c r="M24" s="584">
        <f t="shared" si="4"/>
        <v>1.0000000002745775</v>
      </c>
      <c r="N24" s="585">
        <f t="shared" si="5"/>
        <v>-2.343405586991661E-5</v>
      </c>
      <c r="O24" s="583">
        <f t="shared" si="6"/>
        <v>5.0832163780768091</v>
      </c>
      <c r="P24" s="586">
        <f t="shared" si="7"/>
        <v>1.3727789512250499</v>
      </c>
      <c r="Q24" s="595">
        <f t="shared" si="8"/>
        <v>1.0000021561685737</v>
      </c>
      <c r="R24" s="596">
        <f t="shared" si="9"/>
        <v>2.076614889370239E-3</v>
      </c>
      <c r="S24" s="583">
        <f t="shared" si="10"/>
        <v>1.0000000000958298</v>
      </c>
      <c r="T24" s="586">
        <f t="shared" si="11"/>
        <v>1.3844119161723547E-5</v>
      </c>
      <c r="U24" s="587">
        <f t="shared" si="27"/>
        <v>0.99959999960494061</v>
      </c>
      <c r="V24" s="588">
        <f t="shared" si="28"/>
        <v>-3.4610296297529158E-5</v>
      </c>
      <c r="W24" s="589">
        <f t="shared" si="12"/>
        <v>82.737897456403132</v>
      </c>
      <c r="X24" s="590">
        <f t="shared" si="13"/>
        <v>-78.693451975915607</v>
      </c>
      <c r="Y24" s="593">
        <f t="shared" si="14"/>
        <v>101.30654802408439</v>
      </c>
      <c r="AA24" s="150">
        <f t="shared" si="15"/>
        <v>1000000000</v>
      </c>
      <c r="AB24" s="150">
        <f t="shared" si="16"/>
        <v>7.5856176399999997</v>
      </c>
      <c r="AD24" s="592">
        <f t="shared" si="17"/>
        <v>81.085696460290237</v>
      </c>
      <c r="AE24" s="593">
        <f t="shared" si="18"/>
        <v>-78.536252140095698</v>
      </c>
      <c r="AG24" s="592">
        <f t="shared" si="19"/>
        <v>27.047094060700271</v>
      </c>
      <c r="AH24" s="593">
        <f t="shared" si="20"/>
        <v>-0.15323378800428919</v>
      </c>
      <c r="AJ24" s="150">
        <f t="shared" si="21"/>
        <v>0</v>
      </c>
      <c r="AK24" s="150">
        <f t="shared" si="22"/>
        <v>0</v>
      </c>
      <c r="AM24" s="150" t="str">
        <f t="shared" si="29"/>
        <v>1.22231902377479E-09+0.0000494432827034548i</v>
      </c>
      <c r="AN24" s="150" t="str">
        <f t="shared" si="30"/>
        <v>0.0000494432827236i</v>
      </c>
      <c r="AO24" s="150" t="str">
        <f t="shared" si="31"/>
        <v>0.999999999592559-0.0000247216397545416i</v>
      </c>
      <c r="AP24" s="150" t="str">
        <f t="shared" si="32"/>
        <v>0.166666666462947-8.24054711724247E-06i</v>
      </c>
      <c r="AQ24" s="150" t="str">
        <f t="shared" si="33"/>
        <v>0.833333333537053+8.24054711724247E-06i</v>
      </c>
      <c r="AR24" s="150" t="str">
        <f t="shared" si="34"/>
        <v>0.999599999657888-9.88470107227521E-06i</v>
      </c>
    </row>
    <row r="25" spans="1:44" x14ac:dyDescent="0.25">
      <c r="A25" s="238" t="s">
        <v>766</v>
      </c>
      <c r="B25" s="612">
        <v>43</v>
      </c>
      <c r="C25" s="150" t="s">
        <v>764</v>
      </c>
      <c r="D25" s="239">
        <f>Cout_sec*0.000001</f>
        <v>4.2999999999999995E-5</v>
      </c>
      <c r="E25" s="150" t="s">
        <v>13</v>
      </c>
      <c r="G25" s="594">
        <v>3.02</v>
      </c>
      <c r="H25" s="582">
        <f t="shared" si="26"/>
        <v>3.0200000000000001E-3</v>
      </c>
      <c r="I25" s="583">
        <f t="shared" si="0"/>
        <v>1.000004340715255</v>
      </c>
      <c r="J25" s="584">
        <f t="shared" si="1"/>
        <v>2.9464214068820006E-3</v>
      </c>
      <c r="K25" s="584">
        <f t="shared" si="2"/>
        <v>1.0000000000013314</v>
      </c>
      <c r="L25" s="585">
        <f t="shared" si="3"/>
        <v>1.631868886114551E-6</v>
      </c>
      <c r="M25" s="584">
        <f t="shared" si="4"/>
        <v>1.0000000003301321</v>
      </c>
      <c r="N25" s="585">
        <f t="shared" si="5"/>
        <v>-2.5695609877469704E-5</v>
      </c>
      <c r="O25" s="583">
        <f t="shared" si="6"/>
        <v>5.5556035048635852</v>
      </c>
      <c r="P25" s="586">
        <f t="shared" si="7"/>
        <v>1.3898114548882707</v>
      </c>
      <c r="Q25" s="595">
        <f t="shared" si="8"/>
        <v>1.0000025924211451</v>
      </c>
      <c r="R25" s="596">
        <f t="shared" si="9"/>
        <v>2.2770224173862983E-3</v>
      </c>
      <c r="S25" s="583">
        <f t="shared" si="10"/>
        <v>1.0000000001152189</v>
      </c>
      <c r="T25" s="586">
        <f t="shared" si="11"/>
        <v>1.5180175683633972E-5</v>
      </c>
      <c r="U25" s="587">
        <f t="shared" si="27"/>
        <v>0.99959999952501044</v>
      </c>
      <c r="V25" s="588">
        <f t="shared" si="28"/>
        <v>-3.7950431285647563E-5</v>
      </c>
      <c r="W25" s="589">
        <f t="shared" si="12"/>
        <v>81.966041971753398</v>
      </c>
      <c r="X25" s="590">
        <f t="shared" si="13"/>
        <v>-79.673107422323142</v>
      </c>
      <c r="Y25" s="593">
        <f t="shared" si="14"/>
        <v>100.32689257767686</v>
      </c>
      <c r="AA25" s="150">
        <f t="shared" si="15"/>
        <v>1000000000</v>
      </c>
      <c r="AB25" s="150">
        <f t="shared" si="16"/>
        <v>9.1204000000000001</v>
      </c>
      <c r="AD25" s="592">
        <f t="shared" si="17"/>
        <v>80.31384732047627</v>
      </c>
      <c r="AE25" s="593">
        <f t="shared" si="18"/>
        <v>-79.500736760503372</v>
      </c>
      <c r="AG25" s="592">
        <f t="shared" si="19"/>
        <v>27.047087717253582</v>
      </c>
      <c r="AH25" s="593">
        <f t="shared" si="20"/>
        <v>-0.16802186272806163</v>
      </c>
      <c r="AJ25" s="150">
        <f t="shared" si="21"/>
        <v>0</v>
      </c>
      <c r="AK25" s="150">
        <f t="shared" si="22"/>
        <v>0</v>
      </c>
      <c r="AM25" s="150" t="str">
        <f t="shared" si="29"/>
        <v>1.46962797487049E-09+0.0000542149131334414i</v>
      </c>
      <c r="AN25" s="150" t="str">
        <f t="shared" si="30"/>
        <v>0.00005421491316i</v>
      </c>
      <c r="AO25" s="150" t="str">
        <f t="shared" si="31"/>
        <v>0.999999999510124-0.0000271074486559316i</v>
      </c>
      <c r="AP25" s="150" t="str">
        <f t="shared" si="32"/>
        <v>0.166666666421729-9.03581885557357E-06i</v>
      </c>
      <c r="AQ25" s="150" t="str">
        <f t="shared" si="33"/>
        <v>0.833333333578271+9.03581885557357E-06i</v>
      </c>
      <c r="AR25" s="150" t="str">
        <f t="shared" si="34"/>
        <v>0.999599999588669-0.0000108386454259918i</v>
      </c>
    </row>
    <row r="26" spans="1:44" x14ac:dyDescent="0.25">
      <c r="A26" s="238" t="s">
        <v>761</v>
      </c>
      <c r="B26" s="612">
        <v>2</v>
      </c>
      <c r="C26" s="150" t="s">
        <v>763</v>
      </c>
      <c r="D26" s="150">
        <f>B26*0.001</f>
        <v>2E-3</v>
      </c>
      <c r="E26" s="609" t="s">
        <v>45</v>
      </c>
      <c r="G26" s="594">
        <v>3.3113000000000001</v>
      </c>
      <c r="H26" s="582">
        <f t="shared" si="26"/>
        <v>3.3113000000000001E-3</v>
      </c>
      <c r="I26" s="583">
        <f t="shared" si="0"/>
        <v>1.0000052184830761</v>
      </c>
      <c r="J26" s="584">
        <f t="shared" si="1"/>
        <v>3.2306223494517252E-3</v>
      </c>
      <c r="K26" s="584">
        <f t="shared" si="2"/>
        <v>1.0000000000016007</v>
      </c>
      <c r="L26" s="585">
        <f t="shared" si="3"/>
        <v>1.7892739876126303E-6</v>
      </c>
      <c r="M26" s="584">
        <f t="shared" si="4"/>
        <v>1.0000000003968907</v>
      </c>
      <c r="N26" s="585">
        <f t="shared" si="5"/>
        <v>-2.8174130126979679E-5</v>
      </c>
      <c r="O26" s="583">
        <f t="shared" si="6"/>
        <v>6.0748590017849127</v>
      </c>
      <c r="P26" s="586">
        <f t="shared" si="7"/>
        <v>1.4054308083695586</v>
      </c>
      <c r="Q26" s="595">
        <f t="shared" si="8"/>
        <v>1.0000031166541616</v>
      </c>
      <c r="R26" s="596">
        <f t="shared" si="9"/>
        <v>2.4966561905914015E-3</v>
      </c>
      <c r="S26" s="583">
        <f t="shared" si="10"/>
        <v>1.0000000001385181</v>
      </c>
      <c r="T26" s="586">
        <f t="shared" si="11"/>
        <v>1.6644409185574965E-5</v>
      </c>
      <c r="U26" s="587">
        <f t="shared" si="27"/>
        <v>0.99959999942895783</v>
      </c>
      <c r="V26" s="588">
        <f t="shared" si="28"/>
        <v>-4.1611015003353457E-5</v>
      </c>
      <c r="W26" s="589">
        <f t="shared" si="12"/>
        <v>81.18993971780634</v>
      </c>
      <c r="X26" s="590">
        <f t="shared" si="13"/>
        <v>-80.572156503350129</v>
      </c>
      <c r="Y26" s="593">
        <f t="shared" si="14"/>
        <v>99.427843496649871</v>
      </c>
      <c r="AA26" s="150">
        <f t="shared" si="15"/>
        <v>1000000000</v>
      </c>
      <c r="AB26" s="150">
        <f t="shared" si="16"/>
        <v>10.964707690000001</v>
      </c>
      <c r="AD26" s="592">
        <f t="shared" si="17"/>
        <v>79.537752690939655</v>
      </c>
      <c r="AE26" s="593">
        <f t="shared" si="18"/>
        <v>-80.383159600869149</v>
      </c>
      <c r="AG26" s="592">
        <f t="shared" si="19"/>
        <v>27.047080094512438</v>
      </c>
      <c r="AH26" s="593">
        <f t="shared" si="20"/>
        <v>-0.1842286313936318</v>
      </c>
      <c r="AJ26" s="150">
        <f t="shared" si="21"/>
        <v>0</v>
      </c>
      <c r="AK26" s="150">
        <f t="shared" si="22"/>
        <v>0</v>
      </c>
      <c r="AM26" s="150" t="str">
        <f t="shared" si="29"/>
        <v>1.76681302921367E-09+0.000059444318490391i</v>
      </c>
      <c r="AN26" s="150" t="str">
        <f t="shared" si="30"/>
        <v>0.0000594443185254i</v>
      </c>
      <c r="AO26" s="150" t="str">
        <f t="shared" si="31"/>
        <v>0.999999999411062-0.0000297221513012842i</v>
      </c>
      <c r="AP26" s="150" t="str">
        <f t="shared" si="32"/>
        <v>0.166666666372198-9.90738641506517E-06i</v>
      </c>
      <c r="AQ26" s="150" t="str">
        <f t="shared" si="33"/>
        <v>0.833333333627802+9.90738641506517E-06i</v>
      </c>
      <c r="AR26" s="150" t="str">
        <f t="shared" si="34"/>
        <v>0.99959999950549-0.0000118841081425204i</v>
      </c>
    </row>
    <row r="27" spans="1:44" x14ac:dyDescent="0.25">
      <c r="A27" s="150" t="s">
        <v>755</v>
      </c>
      <c r="B27" s="617">
        <f>Cout_sec/Npri_sec^2</f>
        <v>4.7777777777777777</v>
      </c>
      <c r="C27" s="150" t="s">
        <v>764</v>
      </c>
      <c r="D27" s="239">
        <f>Cout_pri*0.000001</f>
        <v>4.7777777777777774E-6</v>
      </c>
      <c r="E27" s="150" t="s">
        <v>13</v>
      </c>
      <c r="G27" s="594">
        <v>3.6307999999999998</v>
      </c>
      <c r="H27" s="582">
        <f t="shared" si="26"/>
        <v>3.6308E-3</v>
      </c>
      <c r="I27" s="583">
        <f t="shared" si="0"/>
        <v>1.0000062741030193</v>
      </c>
      <c r="J27" s="584">
        <f t="shared" si="1"/>
        <v>3.542335448814507E-3</v>
      </c>
      <c r="K27" s="584">
        <f t="shared" si="2"/>
        <v>1.0000000000019247</v>
      </c>
      <c r="L27" s="585">
        <f t="shared" si="3"/>
        <v>1.9619170701001219E-6</v>
      </c>
      <c r="M27" s="584">
        <f t="shared" si="4"/>
        <v>1.0000000004771761</v>
      </c>
      <c r="N27" s="585">
        <f t="shared" si="5"/>
        <v>-3.089258951456004E-5</v>
      </c>
      <c r="O27" s="583">
        <f t="shared" si="6"/>
        <v>6.6458070436106498</v>
      </c>
      <c r="P27" s="586">
        <f t="shared" si="7"/>
        <v>1.419751834369589</v>
      </c>
      <c r="Q27" s="595">
        <f t="shared" si="8"/>
        <v>1.0000037471068044</v>
      </c>
      <c r="R27" s="596">
        <f t="shared" si="9"/>
        <v>2.7375518638701767E-3</v>
      </c>
      <c r="S27" s="583">
        <f t="shared" si="10"/>
        <v>1.0000000001665383</v>
      </c>
      <c r="T27" s="586">
        <f t="shared" si="11"/>
        <v>1.8250391347765737E-5</v>
      </c>
      <c r="U27" s="587">
        <f t="shared" si="27"/>
        <v>0.99959999931344434</v>
      </c>
      <c r="V27" s="588">
        <f t="shared" si="28"/>
        <v>-4.5625975924113933E-5</v>
      </c>
      <c r="W27" s="589">
        <f t="shared" si="12"/>
        <v>80.409705517785369</v>
      </c>
      <c r="X27" s="590">
        <f t="shared" si="13"/>
        <v>-81.397216312867585</v>
      </c>
      <c r="Y27" s="593">
        <f t="shared" si="14"/>
        <v>98.602783687132415</v>
      </c>
      <c r="AA27" s="150">
        <f t="shared" si="15"/>
        <v>1000000000</v>
      </c>
      <c r="AB27" s="150">
        <f t="shared" si="16"/>
        <v>13.182708639999998</v>
      </c>
      <c r="AD27" s="592">
        <f t="shared" si="17"/>
        <v>78.757527660167895</v>
      </c>
      <c r="AE27" s="593">
        <f t="shared" si="18"/>
        <v>-81.189983660507977</v>
      </c>
      <c r="AG27" s="592">
        <f t="shared" si="19"/>
        <v>27.047070927270699</v>
      </c>
      <c r="AH27" s="593">
        <f t="shared" si="20"/>
        <v>-0.20200430064040081</v>
      </c>
      <c r="AJ27" s="150">
        <f t="shared" si="21"/>
        <v>0</v>
      </c>
      <c r="AK27" s="150">
        <f t="shared" si="22"/>
        <v>0</v>
      </c>
      <c r="AM27" s="150" t="str">
        <f t="shared" si="29"/>
        <v>2.12421402689955E-09+0.0000651799690602479i</v>
      </c>
      <c r="AN27" s="150" t="str">
        <f t="shared" si="30"/>
        <v>0.0000651799691064i</v>
      </c>
      <c r="AO27" s="150" t="str">
        <f t="shared" si="31"/>
        <v>0.999999999291928-0.000032589982106803i</v>
      </c>
      <c r="AP27" s="150" t="str">
        <f t="shared" si="32"/>
        <v>0.166666666312631-0.000010863328176708i</v>
      </c>
      <c r="AQ27" s="150" t="str">
        <f t="shared" si="33"/>
        <v>0.833333333687369+0.000010863328176708i</v>
      </c>
      <c r="AR27" s="150" t="str">
        <f t="shared" si="34"/>
        <v>0.999599999405458-0.0000130307794012383i</v>
      </c>
    </row>
    <row r="28" spans="1:44" x14ac:dyDescent="0.25">
      <c r="G28" s="594">
        <v>3.9811000000000001</v>
      </c>
      <c r="H28" s="582">
        <f t="shared" si="26"/>
        <v>3.9811000000000004E-3</v>
      </c>
      <c r="I28" s="583">
        <f t="shared" si="0"/>
        <v>1.0000075431525286</v>
      </c>
      <c r="J28" s="584">
        <f t="shared" si="1"/>
        <v>3.8840970927211979E-3</v>
      </c>
      <c r="K28" s="584">
        <f t="shared" si="2"/>
        <v>1.0000000000023137</v>
      </c>
      <c r="L28" s="585">
        <f t="shared" si="3"/>
        <v>2.1512030538100614E-6</v>
      </c>
      <c r="M28" s="584">
        <f t="shared" si="4"/>
        <v>1.0000000005736938</v>
      </c>
      <c r="N28" s="585">
        <f t="shared" si="5"/>
        <v>-3.3873110088272936E-5</v>
      </c>
      <c r="O28" s="583">
        <f t="shared" si="6"/>
        <v>7.2731032856190643</v>
      </c>
      <c r="P28" s="586">
        <f t="shared" si="7"/>
        <v>1.4328665071659983</v>
      </c>
      <c r="Q28" s="595">
        <f t="shared" si="8"/>
        <v>1.0000045050273005</v>
      </c>
      <c r="R28" s="596">
        <f t="shared" si="9"/>
        <v>3.0016696646717632E-3</v>
      </c>
      <c r="S28" s="583">
        <f t="shared" si="10"/>
        <v>1.0000000002002238</v>
      </c>
      <c r="T28" s="586">
        <f t="shared" si="11"/>
        <v>2.0011191195592858E-5</v>
      </c>
      <c r="U28" s="587">
        <f t="shared" si="27"/>
        <v>0.99959999917457765</v>
      </c>
      <c r="V28" s="588">
        <f t="shared" si="28"/>
        <v>-5.0027976523267685E-5</v>
      </c>
      <c r="W28" s="589">
        <f t="shared" si="12"/>
        <v>79.626260530354799</v>
      </c>
      <c r="X28" s="590">
        <f t="shared" si="13"/>
        <v>-82.15359340759349</v>
      </c>
      <c r="Y28" s="593">
        <f t="shared" si="14"/>
        <v>97.84640659240651</v>
      </c>
      <c r="AA28" s="150">
        <f t="shared" si="15"/>
        <v>1000000000</v>
      </c>
      <c r="AB28" s="150">
        <f t="shared" si="16"/>
        <v>15.849157210000001</v>
      </c>
      <c r="AD28" s="592">
        <f t="shared" si="17"/>
        <v>77.974093695850087</v>
      </c>
      <c r="AE28" s="593">
        <f t="shared" si="18"/>
        <v>-81.926367113398342</v>
      </c>
      <c r="AG28" s="592">
        <f t="shared" si="19"/>
        <v>27.047059906571253</v>
      </c>
      <c r="AH28" s="593">
        <f t="shared" si="20"/>
        <v>-0.2214935103638693</v>
      </c>
      <c r="AJ28" s="150">
        <f t="shared" si="21"/>
        <v>0</v>
      </c>
      <c r="AK28" s="150">
        <f t="shared" si="22"/>
        <v>0</v>
      </c>
      <c r="AM28" s="150" t="str">
        <f t="shared" si="29"/>
        <v>2.55387599956691E-09+0.0000714685399329594i</v>
      </c>
      <c r="AN28" s="150" t="str">
        <f t="shared" si="30"/>
        <v>0.0000714685399938i</v>
      </c>
      <c r="AO28" s="150" t="str">
        <f t="shared" si="31"/>
        <v>0.999999999148708-0.00003573426852974i</v>
      </c>
      <c r="AP28" s="150" t="str">
        <f t="shared" si="32"/>
        <v>0.166666666241021-0.0000119114233221599i</v>
      </c>
      <c r="AQ28" s="150" t="str">
        <f t="shared" si="33"/>
        <v>0.833333333758979+0.0000119114233221599i</v>
      </c>
      <c r="AR28" s="150" t="str">
        <f t="shared" si="34"/>
        <v>0.999599999285201-0.0000142879904858822i</v>
      </c>
    </row>
    <row r="29" spans="1:44" x14ac:dyDescent="0.25">
      <c r="G29" s="594">
        <v>4.3651999999999997</v>
      </c>
      <c r="H29" s="582">
        <f t="shared" si="26"/>
        <v>4.3651999999999996E-3</v>
      </c>
      <c r="I29" s="583">
        <f t="shared" si="0"/>
        <v>1.000009068901357</v>
      </c>
      <c r="J29" s="584">
        <f t="shared" si="1"/>
        <v>4.2588338357123804E-3</v>
      </c>
      <c r="K29" s="584">
        <f t="shared" si="2"/>
        <v>1.0000000000027818</v>
      </c>
      <c r="L29" s="585">
        <f t="shared" si="3"/>
        <v>2.3587530005497849E-6</v>
      </c>
      <c r="M29" s="584">
        <f t="shared" si="4"/>
        <v>1.0000000006897349</v>
      </c>
      <c r="N29" s="585">
        <f t="shared" si="5"/>
        <v>-3.71412172881591E-5</v>
      </c>
      <c r="O29" s="583">
        <f t="shared" si="6"/>
        <v>7.9621267219584979</v>
      </c>
      <c r="P29" s="586">
        <f t="shared" si="7"/>
        <v>1.4448691877879409</v>
      </c>
      <c r="Q29" s="595">
        <f t="shared" si="8"/>
        <v>1.0000054162580696</v>
      </c>
      <c r="R29" s="596">
        <f t="shared" si="9"/>
        <v>3.2912713723392594E-3</v>
      </c>
      <c r="S29" s="583">
        <f t="shared" si="10"/>
        <v>1.0000000002407232</v>
      </c>
      <c r="T29" s="586">
        <f t="shared" si="11"/>
        <v>2.194188837372672E-5</v>
      </c>
      <c r="U29" s="587">
        <f t="shared" si="27"/>
        <v>0.99959999900761798</v>
      </c>
      <c r="V29" s="588">
        <f t="shared" si="28"/>
        <v>-5.4854715939761435E-5</v>
      </c>
      <c r="W29" s="589">
        <f t="shared" si="12"/>
        <v>78.840068585820561</v>
      </c>
      <c r="X29" s="590">
        <f t="shared" si="13"/>
        <v>-82.846736758689801</v>
      </c>
      <c r="Y29" s="593">
        <f t="shared" si="14"/>
        <v>97.153263241310199</v>
      </c>
      <c r="AA29" s="150">
        <f t="shared" si="15"/>
        <v>1000000000</v>
      </c>
      <c r="AB29" s="150">
        <f t="shared" si="16"/>
        <v>19.054971039999998</v>
      </c>
      <c r="AD29" s="592">
        <f t="shared" si="17"/>
        <v>77.187915004130488</v>
      </c>
      <c r="AE29" s="593">
        <f t="shared" si="18"/>
        <v>-82.597587721856797</v>
      </c>
      <c r="AG29" s="592">
        <f t="shared" si="19"/>
        <v>27.04704665665815</v>
      </c>
      <c r="AH29" s="593">
        <f t="shared" si="20"/>
        <v>-0.24286314940634998</v>
      </c>
      <c r="AJ29" s="150">
        <f t="shared" si="21"/>
        <v>0</v>
      </c>
      <c r="AK29" s="150">
        <f t="shared" si="22"/>
        <v>0</v>
      </c>
      <c r="AM29" s="150" t="str">
        <f t="shared" si="29"/>
        <v>3.07044900615949E-09+0.0000783638869813959i</v>
      </c>
      <c r="AN29" s="150" t="str">
        <f t="shared" si="30"/>
        <v>0.0000783638870616i</v>
      </c>
      <c r="AO29" s="150" t="str">
        <f t="shared" si="31"/>
        <v>0.999999998976517-0.0000391819385343389i</v>
      </c>
      <c r="AP29" s="150" t="str">
        <f t="shared" si="32"/>
        <v>0.166666666154925-0.0000130606478302327i</v>
      </c>
      <c r="AQ29" s="150" t="str">
        <f t="shared" si="33"/>
        <v>0.833333333845075+0.0000130606478302327i</v>
      </c>
      <c r="AR29" s="150" t="str">
        <f t="shared" si="34"/>
        <v>0.999599999140618-0.0000156665082622312i</v>
      </c>
    </row>
    <row r="30" spans="1:44" x14ac:dyDescent="0.25">
      <c r="A30" s="150" t="s">
        <v>18</v>
      </c>
      <c r="B30" s="615">
        <v>1.21</v>
      </c>
      <c r="C30" s="150" t="s">
        <v>0</v>
      </c>
      <c r="G30" s="594">
        <v>4.7862999999999998</v>
      </c>
      <c r="H30" s="582">
        <f t="shared" si="26"/>
        <v>4.7862999999999994E-3</v>
      </c>
      <c r="I30" s="583">
        <f t="shared" si="0"/>
        <v>1.0000109029951578</v>
      </c>
      <c r="J30" s="584">
        <f t="shared" si="1"/>
        <v>4.6696672463774746E-3</v>
      </c>
      <c r="K30" s="584">
        <f t="shared" si="2"/>
        <v>1.0000000000033444</v>
      </c>
      <c r="L30" s="585">
        <f t="shared" si="3"/>
        <v>2.5862960429137727E-6</v>
      </c>
      <c r="M30" s="584">
        <f t="shared" si="4"/>
        <v>1.0000000008292276</v>
      </c>
      <c r="N30" s="585">
        <f t="shared" si="5"/>
        <v>-4.0724138250202571E-5</v>
      </c>
      <c r="O30" s="583">
        <f t="shared" si="6"/>
        <v>8.7186227914088796</v>
      </c>
      <c r="P30" s="586">
        <f t="shared" si="7"/>
        <v>1.4558463313782672</v>
      </c>
      <c r="Q30" s="595">
        <f t="shared" si="8"/>
        <v>1.0000065116440231</v>
      </c>
      <c r="R30" s="596">
        <f t="shared" si="9"/>
        <v>3.6087695101552596E-3</v>
      </c>
      <c r="S30" s="583">
        <f t="shared" si="10"/>
        <v>1.0000000002894074</v>
      </c>
      <c r="T30" s="586">
        <f t="shared" si="11"/>
        <v>2.4058567836470182E-5</v>
      </c>
      <c r="U30" s="587">
        <f t="shared" si="27"/>
        <v>0.9995999988069183</v>
      </c>
      <c r="V30" s="588">
        <f t="shared" si="28"/>
        <v>-6.0146416713929446E-5</v>
      </c>
      <c r="W30" s="589">
        <f t="shared" si="12"/>
        <v>78.051686106774511</v>
      </c>
      <c r="X30" s="590">
        <f t="shared" si="13"/>
        <v>-83.4816451933781</v>
      </c>
      <c r="Y30" s="593">
        <f t="shared" si="14"/>
        <v>96.5183548066219</v>
      </c>
      <c r="AA30" s="150">
        <f t="shared" si="15"/>
        <v>1000000000</v>
      </c>
      <c r="AB30" s="150">
        <f t="shared" si="16"/>
        <v>22.908667689999998</v>
      </c>
      <c r="AD30" s="592">
        <f t="shared" si="17"/>
        <v>76.399548456189152</v>
      </c>
      <c r="AE30" s="593">
        <f t="shared" si="18"/>
        <v>-83.20846169488928</v>
      </c>
      <c r="AG30" s="592">
        <f t="shared" si="19"/>
        <v>27.047030729041349</v>
      </c>
      <c r="AH30" s="593">
        <f t="shared" si="20"/>
        <v>-0.2662912268198584</v>
      </c>
      <c r="AJ30" s="150">
        <f t="shared" si="21"/>
        <v>0</v>
      </c>
      <c r="AK30" s="150">
        <f t="shared" si="22"/>
        <v>0</v>
      </c>
      <c r="AM30" s="150" t="str">
        <f t="shared" si="29"/>
        <v>3.69141994749356E-09+0.0000859234564696735i</v>
      </c>
      <c r="AN30" s="150" t="str">
        <f t="shared" si="30"/>
        <v>0.0000859234565754i</v>
      </c>
      <c r="AO30" s="150" t="str">
        <f t="shared" si="31"/>
        <v>0.999999998769527-0.000042961725407942i</v>
      </c>
      <c r="AP30" s="150" t="str">
        <f t="shared" si="32"/>
        <v>0.16666666605143-0.0000143205760782789i</v>
      </c>
      <c r="AQ30" s="150" t="str">
        <f t="shared" si="33"/>
        <v>0.83333333394857+0.0000143205760782789i</v>
      </c>
      <c r="AR30" s="150" t="str">
        <f t="shared" si="34"/>
        <v>0.999599998966816-0.00001717781738698i</v>
      </c>
    </row>
    <row r="31" spans="1:44" x14ac:dyDescent="0.25">
      <c r="A31" s="150" t="s">
        <v>760</v>
      </c>
      <c r="B31" s="615">
        <v>12</v>
      </c>
      <c r="C31" s="150" t="s">
        <v>768</v>
      </c>
      <c r="D31" s="240">
        <f>B31*0.000001</f>
        <v>1.2E-5</v>
      </c>
      <c r="E31" s="150" t="s">
        <v>769</v>
      </c>
      <c r="G31" s="594">
        <v>5.2481</v>
      </c>
      <c r="H31" s="582">
        <f t="shared" si="26"/>
        <v>5.2481000000000003E-3</v>
      </c>
      <c r="I31" s="583">
        <f t="shared" si="0"/>
        <v>1.0000131084007839</v>
      </c>
      <c r="J31" s="584">
        <f t="shared" si="1"/>
        <v>5.1202065571141929E-3</v>
      </c>
      <c r="K31" s="584">
        <f t="shared" si="2"/>
        <v>1.000000000004021</v>
      </c>
      <c r="L31" s="585">
        <f t="shared" si="3"/>
        <v>2.8358314904643775E-6</v>
      </c>
      <c r="M31" s="584">
        <f t="shared" si="4"/>
        <v>1.000000000996961</v>
      </c>
      <c r="N31" s="585">
        <f t="shared" si="5"/>
        <v>-4.4653354350330946E-5</v>
      </c>
      <c r="O31" s="583">
        <f t="shared" si="6"/>
        <v>9.5492425311132241</v>
      </c>
      <c r="P31" s="586">
        <f t="shared" si="7"/>
        <v>1.4658836281353009</v>
      </c>
      <c r="Q31" s="595">
        <f t="shared" si="8"/>
        <v>1.0000078287916569</v>
      </c>
      <c r="R31" s="596">
        <f t="shared" si="9"/>
        <v>3.9569535206471834E-3</v>
      </c>
      <c r="S31" s="583">
        <f t="shared" si="10"/>
        <v>1.0000000003479477</v>
      </c>
      <c r="T31" s="586">
        <f t="shared" si="11"/>
        <v>2.6379827812224801E-5</v>
      </c>
      <c r="U31" s="587">
        <f t="shared" si="27"/>
        <v>0.99959999856558601</v>
      </c>
      <c r="V31" s="588">
        <f t="shared" si="28"/>
        <v>-6.5949570715437787E-5</v>
      </c>
      <c r="W31" s="589">
        <f t="shared" si="12"/>
        <v>77.261257686126541</v>
      </c>
      <c r="X31" s="590">
        <f t="shared" si="13"/>
        <v>-84.063280787459178</v>
      </c>
      <c r="Y31" s="593">
        <f t="shared" si="14"/>
        <v>95.936719212540822</v>
      </c>
      <c r="AA31" s="150">
        <f t="shared" si="15"/>
        <v>1000000000</v>
      </c>
      <c r="AB31" s="150">
        <f t="shared" si="16"/>
        <v>27.542553609999999</v>
      </c>
      <c r="AD31" s="592">
        <f t="shared" si="17"/>
        <v>75.60913919185532</v>
      </c>
      <c r="AE31" s="593">
        <f t="shared" si="18"/>
        <v>-83.763739961526781</v>
      </c>
      <c r="AG31" s="592">
        <f t="shared" si="19"/>
        <v>27.047011576921264</v>
      </c>
      <c r="AH31" s="593">
        <f t="shared" si="20"/>
        <v>-0.29198356179836105</v>
      </c>
      <c r="AJ31" s="150">
        <f t="shared" si="21"/>
        <v>0</v>
      </c>
      <c r="AK31" s="150">
        <f t="shared" si="22"/>
        <v>0</v>
      </c>
      <c r="AM31" s="150" t="str">
        <f t="shared" si="29"/>
        <v>4.43810799222177E-09+0.0000942136706404232i</v>
      </c>
      <c r="AN31" s="150" t="str">
        <f t="shared" si="30"/>
        <v>0.0000942136707798i</v>
      </c>
      <c r="AO31" s="150" t="str">
        <f t="shared" si="31"/>
        <v>0.999999998520631-0.0000471068365714642i</v>
      </c>
      <c r="AP31" s="150" t="str">
        <f t="shared" si="32"/>
        <v>0.166666665926982-0.0000157022784400705i</v>
      </c>
      <c r="AQ31" s="150" t="str">
        <f t="shared" si="33"/>
        <v>0.833333334073018+0.0000157022784400705i</v>
      </c>
      <c r="AR31" s="150" t="str">
        <f t="shared" si="34"/>
        <v>0.999599998757827-0.0000188351969943089i</v>
      </c>
    </row>
    <row r="32" spans="1:44" x14ac:dyDescent="0.25">
      <c r="A32" s="150" t="s">
        <v>756</v>
      </c>
      <c r="B32" s="615">
        <v>4800</v>
      </c>
      <c r="C32" s="609" t="s">
        <v>762</v>
      </c>
      <c r="D32" s="240">
        <f>B32*1000000</f>
        <v>4800000000</v>
      </c>
      <c r="E32" s="609" t="s">
        <v>45</v>
      </c>
      <c r="G32" s="594">
        <v>5.7544000000000004</v>
      </c>
      <c r="H32" s="582">
        <f t="shared" si="26"/>
        <v>5.7544000000000007E-3</v>
      </c>
      <c r="I32" s="583">
        <f t="shared" si="0"/>
        <v>1.0000157595940646</v>
      </c>
      <c r="J32" s="584">
        <f t="shared" si="1"/>
        <v>5.6141583690955104E-3</v>
      </c>
      <c r="K32" s="584">
        <f t="shared" si="2"/>
        <v>1.0000000000048344</v>
      </c>
      <c r="L32" s="585">
        <f t="shared" si="3"/>
        <v>3.1094126881574983E-6</v>
      </c>
      <c r="M32" s="584">
        <f t="shared" si="4"/>
        <v>1.0000000011985994</v>
      </c>
      <c r="N32" s="585">
        <f t="shared" si="5"/>
        <v>-4.8961197812351766E-5</v>
      </c>
      <c r="O32" s="583">
        <f t="shared" si="6"/>
        <v>10.460823990401355</v>
      </c>
      <c r="P32" s="586">
        <f t="shared" si="7"/>
        <v>1.4750553643012305</v>
      </c>
      <c r="Q32" s="595">
        <f t="shared" si="8"/>
        <v>1.0000094121812746</v>
      </c>
      <c r="R32" s="596">
        <f t="shared" si="9"/>
        <v>4.3386881545006721E-3</v>
      </c>
      <c r="S32" s="583">
        <f t="shared" si="10"/>
        <v>1.0000000004183212</v>
      </c>
      <c r="T32" s="586">
        <f t="shared" si="11"/>
        <v>2.8924769184189442E-5</v>
      </c>
      <c r="U32" s="587">
        <f t="shared" si="27"/>
        <v>0.99959999827547041</v>
      </c>
      <c r="V32" s="588">
        <f t="shared" si="28"/>
        <v>-7.2311924794366011E-5</v>
      </c>
      <c r="W32" s="589">
        <f t="shared" si="12"/>
        <v>76.469308985610724</v>
      </c>
      <c r="X32" s="590">
        <f t="shared" si="13"/>
        <v>-84.595953628516099</v>
      </c>
      <c r="Y32" s="593">
        <f t="shared" si="14"/>
        <v>95.404046371483901</v>
      </c>
      <c r="AA32" s="150">
        <f t="shared" si="15"/>
        <v>1000000000</v>
      </c>
      <c r="AB32" s="150">
        <f t="shared" si="16"/>
        <v>33.113119360000006</v>
      </c>
      <c r="AD32" s="592">
        <f t="shared" si="17"/>
        <v>74.817213519741813</v>
      </c>
      <c r="AE32" s="593">
        <f t="shared" si="18"/>
        <v>-84.267515766203644</v>
      </c>
      <c r="AG32" s="592">
        <f t="shared" si="19"/>
        <v>27.046988553560798</v>
      </c>
      <c r="AH32" s="593">
        <f t="shared" si="20"/>
        <v>-0.32015152610462111</v>
      </c>
      <c r="AJ32" s="150">
        <f t="shared" si="21"/>
        <v>0</v>
      </c>
      <c r="AK32" s="150">
        <f t="shared" si="22"/>
        <v>0</v>
      </c>
      <c r="AM32" s="150" t="str">
        <f t="shared" si="29"/>
        <v>5.33572896976864E-09+0.000103302746931468i</v>
      </c>
      <c r="AN32" s="150" t="str">
        <f t="shared" si="30"/>
        <v>0.0001033027471152i</v>
      </c>
      <c r="AO32" s="150" t="str">
        <f t="shared" si="31"/>
        <v>0.999999998221422-0.0000516513753871269i</v>
      </c>
      <c r="AP32" s="150" t="str">
        <f t="shared" si="32"/>
        <v>0.166666665777379-0.000017217124488578i</v>
      </c>
      <c r="AQ32" s="150" t="str">
        <f t="shared" si="33"/>
        <v>0.833333334222621+0.000017217124488578i</v>
      </c>
      <c r="AR32" s="150" t="str">
        <f t="shared" si="34"/>
        <v>0.999599998506594-0.0000206522851136455i</v>
      </c>
    </row>
    <row r="33" spans="1:44" x14ac:dyDescent="0.25">
      <c r="G33" s="594">
        <v>6.3095999999999997</v>
      </c>
      <c r="H33" s="582">
        <f t="shared" si="26"/>
        <v>6.3095999999999994E-3</v>
      </c>
      <c r="I33" s="583">
        <f t="shared" si="0"/>
        <v>1.0000189473246091</v>
      </c>
      <c r="J33" s="584">
        <f t="shared" si="1"/>
        <v>6.1558143971855621E-3</v>
      </c>
      <c r="K33" s="584">
        <f t="shared" si="2"/>
        <v>1.000000000005812</v>
      </c>
      <c r="L33" s="585">
        <f t="shared" si="3"/>
        <v>3.4094171933104688E-6</v>
      </c>
      <c r="M33" s="584">
        <f t="shared" si="4"/>
        <v>1.0000000014410453</v>
      </c>
      <c r="N33" s="585">
        <f t="shared" si="5"/>
        <v>-5.3685105947949895E-5</v>
      </c>
      <c r="O33" s="583">
        <f t="shared" si="6"/>
        <v>11.461291602325428</v>
      </c>
      <c r="P33" s="586">
        <f t="shared" si="7"/>
        <v>1.4834350443858584</v>
      </c>
      <c r="Q33" s="595">
        <f t="shared" si="8"/>
        <v>1.0000113160128137</v>
      </c>
      <c r="R33" s="596">
        <f t="shared" si="9"/>
        <v>4.7572904272395163E-3</v>
      </c>
      <c r="S33" s="583">
        <f t="shared" si="10"/>
        <v>1.0000000005029368</v>
      </c>
      <c r="T33" s="586">
        <f t="shared" si="11"/>
        <v>3.1715508764470071E-5</v>
      </c>
      <c r="U33" s="587">
        <f t="shared" si="27"/>
        <v>0.99959999792664056</v>
      </c>
      <c r="V33" s="588">
        <f t="shared" si="28"/>
        <v>-7.9288775636818815E-5</v>
      </c>
      <c r="W33" s="589">
        <f t="shared" si="12"/>
        <v>75.675944487384896</v>
      </c>
      <c r="X33" s="590">
        <f t="shared" si="13"/>
        <v>-85.083937505141819</v>
      </c>
      <c r="Y33" s="593">
        <f t="shared" si="14"/>
        <v>94.916062494858181</v>
      </c>
      <c r="AA33" s="150">
        <f t="shared" si="15"/>
        <v>1000000000</v>
      </c>
      <c r="AB33" s="150">
        <f t="shared" si="16"/>
        <v>39.811052159999996</v>
      </c>
      <c r="AD33" s="592">
        <f t="shared" si="17"/>
        <v>74.023876710227967</v>
      </c>
      <c r="AE33" s="593">
        <f t="shared" si="18"/>
        <v>-84.723811823321199</v>
      </c>
      <c r="AG33" s="592">
        <f t="shared" si="19"/>
        <v>27.046960870911029</v>
      </c>
      <c r="AH33" s="593">
        <f t="shared" si="20"/>
        <v>-0.35103985739672794</v>
      </c>
      <c r="AJ33" s="150">
        <f t="shared" si="21"/>
        <v>0</v>
      </c>
      <c r="AK33" s="150">
        <f t="shared" si="22"/>
        <v>0</v>
      </c>
      <c r="AM33" s="150" t="str">
        <f t="shared" si="29"/>
        <v>6.41500996767519E-09+0.000113269673954591i</v>
      </c>
      <c r="AN33" s="150" t="str">
        <f t="shared" si="30"/>
        <v>0.0001132696741968i</v>
      </c>
      <c r="AO33" s="150" t="str">
        <f t="shared" si="31"/>
        <v>0.999999997861661-0.0000566348408182887i</v>
      </c>
      <c r="AP33" s="150" t="str">
        <f t="shared" si="32"/>
        <v>0.166666665597498-0.0000188782789924318i</v>
      </c>
      <c r="AQ33" s="150" t="str">
        <f t="shared" si="33"/>
        <v>0.833333334402502+0.0000188782789924318i</v>
      </c>
      <c r="AR33" s="150" t="str">
        <f t="shared" si="34"/>
        <v>0.999599998204515-0.0000226448731472736i</v>
      </c>
    </row>
    <row r="34" spans="1:44" x14ac:dyDescent="0.25">
      <c r="A34" s="150" t="s">
        <v>767</v>
      </c>
      <c r="B34" s="616">
        <f>0.8/1.2</f>
        <v>0.66666666666666674</v>
      </c>
      <c r="C34" s="609" t="s">
        <v>45</v>
      </c>
      <c r="D34" s="150" t="s">
        <v>788</v>
      </c>
      <c r="E34" s="609"/>
      <c r="G34" s="594">
        <v>6.9183000000000003</v>
      </c>
      <c r="H34" s="582">
        <f t="shared" si="26"/>
        <v>6.9183000000000005E-3</v>
      </c>
      <c r="I34" s="583">
        <f t="shared" si="0"/>
        <v>1.0000227793951799</v>
      </c>
      <c r="J34" s="584">
        <f t="shared" si="1"/>
        <v>6.7496611427492192E-3</v>
      </c>
      <c r="K34" s="584">
        <f t="shared" si="2"/>
        <v>1.0000000000069875</v>
      </c>
      <c r="L34" s="585">
        <f t="shared" si="3"/>
        <v>3.7383306340277249E-6</v>
      </c>
      <c r="M34" s="584">
        <f t="shared" si="4"/>
        <v>1.0000000017324979</v>
      </c>
      <c r="N34" s="585">
        <f t="shared" si="5"/>
        <v>-5.8864217764602538E-5</v>
      </c>
      <c r="O34" s="583">
        <f t="shared" si="6"/>
        <v>12.558936320822658</v>
      </c>
      <c r="P34" s="586">
        <f t="shared" si="7"/>
        <v>1.4910873705992786</v>
      </c>
      <c r="Q34" s="595">
        <f t="shared" si="8"/>
        <v>1.0000136046714765</v>
      </c>
      <c r="R34" s="596">
        <f t="shared" si="9"/>
        <v>5.2162279932947923E-3</v>
      </c>
      <c r="S34" s="583">
        <f t="shared" si="10"/>
        <v>1.0000000006046561</v>
      </c>
      <c r="T34" s="586">
        <f t="shared" si="11"/>
        <v>3.4775168674773989E-5</v>
      </c>
      <c r="U34" s="587">
        <f t="shared" si="27"/>
        <v>0.99959999750730311</v>
      </c>
      <c r="V34" s="588">
        <f t="shared" si="28"/>
        <v>-8.6937919702997392E-5</v>
      </c>
      <c r="W34" s="589">
        <f t="shared" si="12"/>
        <v>74.881545155184199</v>
      </c>
      <c r="X34" s="590">
        <f t="shared" si="13"/>
        <v>-85.531004692910585</v>
      </c>
      <c r="Y34" s="593">
        <f t="shared" si="14"/>
        <v>94.468995307089415</v>
      </c>
      <c r="AA34" s="150">
        <f t="shared" si="15"/>
        <v>1000000000</v>
      </c>
      <c r="AB34" s="150">
        <f t="shared" si="16"/>
        <v>47.862874890000008</v>
      </c>
      <c r="AD34" s="592">
        <f t="shared" si="17"/>
        <v>73.229510663376971</v>
      </c>
      <c r="AE34" s="593">
        <f t="shared" si="18"/>
        <v>-85.136137939283287</v>
      </c>
      <c r="AG34" s="592">
        <f t="shared" si="19"/>
        <v>27.046927592848903</v>
      </c>
      <c r="AH34" s="593">
        <f t="shared" si="20"/>
        <v>-0.38490440185866343</v>
      </c>
      <c r="AJ34" s="150">
        <f t="shared" si="21"/>
        <v>0</v>
      </c>
      <c r="AK34" s="150">
        <f t="shared" si="22"/>
        <v>0</v>
      </c>
      <c r="AM34" s="150" t="str">
        <f t="shared" si="29"/>
        <v>7.71245101116591E-09+0.000124197030712112i</v>
      </c>
      <c r="AN34" s="150" t="str">
        <f t="shared" si="30"/>
        <v>0.0001241970310314i</v>
      </c>
      <c r="AO34" s="150" t="str">
        <f t="shared" si="31"/>
        <v>0.999999997429182-0.0000620985135241761i</v>
      </c>
      <c r="AP34" s="150" t="str">
        <f t="shared" si="32"/>
        <v>0.166666665381258-0.0000206995051186853i</v>
      </c>
      <c r="AQ34" s="150" t="str">
        <f t="shared" si="33"/>
        <v>0.833333334618742+0.0000206995051186853i</v>
      </c>
      <c r="AR34" s="150" t="str">
        <f t="shared" si="34"/>
        <v>0.999599997841377-0.0000248294702880473i</v>
      </c>
    </row>
    <row r="35" spans="1:44" x14ac:dyDescent="0.25">
      <c r="G35" s="594">
        <v>7.5857999999999999</v>
      </c>
      <c r="H35" s="582">
        <f t="shared" si="26"/>
        <v>7.5858000000000002E-3</v>
      </c>
      <c r="I35" s="583">
        <f t="shared" si="0"/>
        <v>1.0000273870455403</v>
      </c>
      <c r="J35" s="584">
        <f t="shared" si="1"/>
        <v>7.4008675860376232E-3</v>
      </c>
      <c r="K35" s="584">
        <f t="shared" si="2"/>
        <v>1.0000000000084008</v>
      </c>
      <c r="L35" s="585">
        <f t="shared" si="3"/>
        <v>4.0990168861686821E-6</v>
      </c>
      <c r="M35" s="584">
        <f t="shared" si="4"/>
        <v>1.0000000020829398</v>
      </c>
      <c r="N35" s="585">
        <f t="shared" si="5"/>
        <v>-6.4543628205541767E-5</v>
      </c>
      <c r="O35" s="583">
        <f t="shared" si="6"/>
        <v>13.763316794187613</v>
      </c>
      <c r="P35" s="586">
        <f t="shared" si="7"/>
        <v>1.4980753432335874</v>
      </c>
      <c r="Q35" s="595">
        <f t="shared" si="8"/>
        <v>1.0000163565406395</v>
      </c>
      <c r="R35" s="596">
        <f t="shared" si="9"/>
        <v>5.7194960784361076E-3</v>
      </c>
      <c r="S35" s="583">
        <f t="shared" si="10"/>
        <v>1.0000000007269632</v>
      </c>
      <c r="T35" s="586">
        <f t="shared" si="11"/>
        <v>3.8130389620512403E-5</v>
      </c>
      <c r="U35" s="587">
        <f t="shared" si="27"/>
        <v>0.99959999700309499</v>
      </c>
      <c r="V35" s="588">
        <f t="shared" si="28"/>
        <v>-9.5325972859908422E-5</v>
      </c>
      <c r="W35" s="589">
        <f t="shared" si="12"/>
        <v>74.086124076618432</v>
      </c>
      <c r="X35" s="590">
        <f t="shared" si="13"/>
        <v>-85.940839856719776</v>
      </c>
      <c r="Y35" s="593">
        <f t="shared" si="14"/>
        <v>94.059160143280224</v>
      </c>
      <c r="AA35" s="150">
        <f t="shared" si="15"/>
        <v>1000000000</v>
      </c>
      <c r="AB35" s="150">
        <f t="shared" si="16"/>
        <v>57.544361639999998</v>
      </c>
      <c r="AD35" s="592">
        <f t="shared" si="17"/>
        <v>72.434129606674944</v>
      </c>
      <c r="AE35" s="593">
        <f t="shared" si="18"/>
        <v>-85.507876381764149</v>
      </c>
      <c r="AG35" s="592">
        <f t="shared" si="19"/>
        <v>27.046887579747647</v>
      </c>
      <c r="AH35" s="593">
        <f t="shared" si="20"/>
        <v>-0.42203992309743776</v>
      </c>
      <c r="AJ35" s="150">
        <f t="shared" si="21"/>
        <v>0</v>
      </c>
      <c r="AK35" s="150">
        <f t="shared" si="22"/>
        <v>0</v>
      </c>
      <c r="AM35" s="150" t="str">
        <f t="shared" si="29"/>
        <v>9.27249099724747E-09+0.000136179962575491i</v>
      </c>
      <c r="AN35" s="150" t="str">
        <f t="shared" si="30"/>
        <v>0.0001361799629964i</v>
      </c>
      <c r="AO35" s="150" t="str">
        <f t="shared" si="31"/>
        <v>0.999999996909171-0.0000680899802968267i</v>
      </c>
      <c r="AP35" s="150" t="str">
        <f t="shared" si="32"/>
        <v>0.166666665121252-0.0000226966604292485i</v>
      </c>
      <c r="AQ35" s="150" t="str">
        <f t="shared" si="33"/>
        <v>0.833333334878748+0.0000226966604292485i</v>
      </c>
      <c r="AR35" s="150" t="str">
        <f t="shared" si="34"/>
        <v>0.999599997404741-0.0000272250979969188i</v>
      </c>
    </row>
    <row r="36" spans="1:44" x14ac:dyDescent="0.25">
      <c r="G36" s="594">
        <v>8.3176000000000005</v>
      </c>
      <c r="H36" s="582">
        <f t="shared" si="26"/>
        <v>8.3176000000000014E-3</v>
      </c>
      <c r="I36" s="583">
        <f t="shared" si="0"/>
        <v>1.0000329258705594</v>
      </c>
      <c r="J36" s="584">
        <f t="shared" si="1"/>
        <v>8.1147972442045715E-3</v>
      </c>
      <c r="K36" s="584">
        <f t="shared" si="2"/>
        <v>1.0000000000100999</v>
      </c>
      <c r="L36" s="585">
        <f t="shared" si="3"/>
        <v>4.4944478963798161E-6</v>
      </c>
      <c r="M36" s="584">
        <f t="shared" si="4"/>
        <v>1.000000002504206</v>
      </c>
      <c r="N36" s="585">
        <f t="shared" si="5"/>
        <v>-7.0770133909626363E-5</v>
      </c>
      <c r="O36" s="583">
        <f t="shared" si="6"/>
        <v>15.084357770128493</v>
      </c>
      <c r="P36" s="586">
        <f t="shared" si="7"/>
        <v>1.5044538317056748</v>
      </c>
      <c r="Q36" s="595">
        <f t="shared" si="8"/>
        <v>1.0000196645505188</v>
      </c>
      <c r="R36" s="596">
        <f t="shared" si="9"/>
        <v>6.2712404321246286E-3</v>
      </c>
      <c r="S36" s="583">
        <f t="shared" si="10"/>
        <v>1.0000000008739887</v>
      </c>
      <c r="T36" s="586">
        <f t="shared" si="11"/>
        <v>4.1808817616663721E-5</v>
      </c>
      <c r="U36" s="587">
        <f t="shared" si="27"/>
        <v>0.99959999639698494</v>
      </c>
      <c r="V36" s="588">
        <f t="shared" si="28"/>
        <v>-1.0452204420353853E-4</v>
      </c>
      <c r="W36" s="589">
        <f t="shared" si="12"/>
        <v>73.290030334827691</v>
      </c>
      <c r="X36" s="590">
        <f t="shared" si="13"/>
        <v>-86.316664610163841</v>
      </c>
      <c r="Y36" s="593">
        <f t="shared" si="14"/>
        <v>93.683335389836159</v>
      </c>
      <c r="AA36" s="150">
        <f t="shared" si="15"/>
        <v>1000000000</v>
      </c>
      <c r="AB36" s="150">
        <f t="shared" si="16"/>
        <v>69.182469760000004</v>
      </c>
      <c r="AD36" s="592">
        <f t="shared" si="17"/>
        <v>71.638083974649163</v>
      </c>
      <c r="AE36" s="593">
        <f t="shared" si="18"/>
        <v>-85.841934986832243</v>
      </c>
      <c r="AG36" s="592">
        <f t="shared" si="19"/>
        <v>27.04683948051612</v>
      </c>
      <c r="AH36" s="593">
        <f t="shared" si="20"/>
        <v>-0.46275227932003538</v>
      </c>
      <c r="AJ36" s="150">
        <f t="shared" si="21"/>
        <v>0</v>
      </c>
      <c r="AK36" s="150">
        <f t="shared" si="22"/>
        <v>0</v>
      </c>
      <c r="AM36" s="150" t="str">
        <f t="shared" si="29"/>
        <v>1.11478140052412E-08+0.000149317205305947i</v>
      </c>
      <c r="AN36" s="150" t="str">
        <f t="shared" si="30"/>
        <v>0.0001493172058608i</v>
      </c>
      <c r="AO36" s="150" t="str">
        <f t="shared" si="31"/>
        <v>0.999999996284065-0.0000746586030790964i</v>
      </c>
      <c r="AP36" s="150" t="str">
        <f t="shared" si="32"/>
        <v>0.166666664808698-0.0000248862008843245i</v>
      </c>
      <c r="AQ36" s="150" t="str">
        <f t="shared" si="33"/>
        <v>0.833333335191302+0.0000248862008843245i</v>
      </c>
      <c r="AR36" s="150" t="str">
        <f t="shared" si="34"/>
        <v>0.999599996879861-0.0000298514955250311i</v>
      </c>
    </row>
    <row r="37" spans="1:44" x14ac:dyDescent="0.25">
      <c r="A37" s="150" t="s">
        <v>758</v>
      </c>
      <c r="B37" s="615">
        <v>2</v>
      </c>
      <c r="C37" s="609" t="s">
        <v>762</v>
      </c>
      <c r="D37" s="150">
        <f>B37*1000000</f>
        <v>2000000</v>
      </c>
      <c r="E37" s="609" t="s">
        <v>45</v>
      </c>
      <c r="G37" s="594">
        <v>9.1201000000000008</v>
      </c>
      <c r="H37" s="582">
        <f t="shared" si="26"/>
        <v>9.1201000000000008E-3</v>
      </c>
      <c r="I37" s="583">
        <f t="shared" si="0"/>
        <v>1.0000395857574254</v>
      </c>
      <c r="J37" s="584">
        <f t="shared" si="1"/>
        <v>8.8976908924993641E-3</v>
      </c>
      <c r="K37" s="584">
        <f t="shared" si="2"/>
        <v>1.000000000012143</v>
      </c>
      <c r="L37" s="585">
        <f t="shared" si="3"/>
        <v>4.9280819298496844E-6</v>
      </c>
      <c r="M37" s="584">
        <f t="shared" si="4"/>
        <v>1.0000000030107394</v>
      </c>
      <c r="N37" s="585">
        <f t="shared" si="5"/>
        <v>-7.7598189147257439E-5</v>
      </c>
      <c r="O37" s="583">
        <f t="shared" si="6"/>
        <v>16.533613268560128</v>
      </c>
      <c r="P37" s="586">
        <f t="shared" si="7"/>
        <v>1.5102765429218408</v>
      </c>
      <c r="Q37" s="595">
        <f t="shared" si="8"/>
        <v>1.000023642113556</v>
      </c>
      <c r="R37" s="596">
        <f t="shared" si="9"/>
        <v>6.8762850106883003E-3</v>
      </c>
      <c r="S37" s="583">
        <f t="shared" si="10"/>
        <v>1.000000001050773</v>
      </c>
      <c r="T37" s="586">
        <f t="shared" si="11"/>
        <v>4.5842622571510552E-5</v>
      </c>
      <c r="U37" s="587">
        <f t="shared" si="27"/>
        <v>0.99959999566819036</v>
      </c>
      <c r="V37" s="588">
        <f t="shared" si="28"/>
        <v>-1.1460655589455166E-4</v>
      </c>
      <c r="W37" s="589">
        <f t="shared" si="12"/>
        <v>72.493188023136611</v>
      </c>
      <c r="X37" s="590">
        <f t="shared" si="13"/>
        <v>-86.661646682958832</v>
      </c>
      <c r="Y37" s="593">
        <f t="shared" si="14"/>
        <v>93.338353317041168</v>
      </c>
      <c r="AA37" s="150">
        <f t="shared" si="15"/>
        <v>1000000000</v>
      </c>
      <c r="AB37" s="150">
        <f t="shared" si="16"/>
        <v>83.176224010000013</v>
      </c>
      <c r="AD37" s="592">
        <f t="shared" si="17"/>
        <v>70.841299509818498</v>
      </c>
      <c r="AE37" s="593">
        <f t="shared" si="18"/>
        <v>-86.141116384414218</v>
      </c>
      <c r="AG37" s="592">
        <f t="shared" si="19"/>
        <v>27.046781646321215</v>
      </c>
      <c r="AH37" s="593">
        <f t="shared" si="20"/>
        <v>-0.50739735461502278</v>
      </c>
      <c r="AJ37" s="150">
        <f t="shared" si="21"/>
        <v>0</v>
      </c>
      <c r="AK37" s="150">
        <f t="shared" si="22"/>
        <v>0</v>
      </c>
      <c r="AM37" s="150" t="str">
        <f t="shared" si="29"/>
        <v>1.34027170473061E-08+0.000163723651424353i</v>
      </c>
      <c r="AN37" s="150" t="str">
        <f t="shared" si="30"/>
        <v>0.0001637236521558i</v>
      </c>
      <c r="AO37" s="150" t="str">
        <f t="shared" si="31"/>
        <v>0.999999995532429-0.0000818618255262962i</v>
      </c>
      <c r="AP37" s="150" t="str">
        <f t="shared" si="32"/>
        <v>0.166666664432881-0.0000272872752373922i</v>
      </c>
      <c r="AQ37" s="150" t="str">
        <f t="shared" si="33"/>
        <v>0.833333335567119+0.0000272872752373922i</v>
      </c>
      <c r="AR37" s="150" t="str">
        <f t="shared" si="34"/>
        <v>0.999599996248741-0.0000327316321821842i</v>
      </c>
    </row>
    <row r="38" spans="1:44" x14ac:dyDescent="0.25">
      <c r="A38" s="150" t="s">
        <v>759</v>
      </c>
      <c r="B38" s="615">
        <v>60</v>
      </c>
      <c r="C38" s="150" t="s">
        <v>15</v>
      </c>
      <c r="D38" s="150">
        <f>B38*0.000000000001</f>
        <v>6E-11</v>
      </c>
      <c r="E38" s="150" t="s">
        <v>13</v>
      </c>
      <c r="G38" s="594">
        <v>10</v>
      </c>
      <c r="H38" s="582">
        <f t="shared" si="26"/>
        <v>0.01</v>
      </c>
      <c r="I38" s="583">
        <f t="shared" si="0"/>
        <v>1.0000475924453469</v>
      </c>
      <c r="J38" s="584">
        <f t="shared" si="1"/>
        <v>9.7560809641576533E-3</v>
      </c>
      <c r="K38" s="584">
        <f t="shared" si="2"/>
        <v>1.000000000014599</v>
      </c>
      <c r="L38" s="585">
        <f t="shared" si="3"/>
        <v>5.4035393579474076E-6</v>
      </c>
      <c r="M38" s="584">
        <f t="shared" si="4"/>
        <v>1.0000000036197116</v>
      </c>
      <c r="N38" s="585">
        <f t="shared" si="5"/>
        <v>-8.5084800732178385E-5</v>
      </c>
      <c r="O38" s="583">
        <f t="shared" si="6"/>
        <v>18.123183667039584</v>
      </c>
      <c r="P38" s="586">
        <f t="shared" si="7"/>
        <v>1.5155903459306839</v>
      </c>
      <c r="Q38" s="595">
        <f t="shared" si="8"/>
        <v>1.0000284240566466</v>
      </c>
      <c r="R38" s="596">
        <f t="shared" si="9"/>
        <v>7.5396794879507897E-3</v>
      </c>
      <c r="S38" s="583">
        <f t="shared" si="10"/>
        <v>1.0000000012633092</v>
      </c>
      <c r="T38" s="586">
        <f t="shared" si="11"/>
        <v>5.0265482357666105E-5</v>
      </c>
      <c r="U38" s="587">
        <f t="shared" si="27"/>
        <v>0.99959999479200834</v>
      </c>
      <c r="V38" s="588">
        <f t="shared" si="28"/>
        <v>-1.2566370689858433E-4</v>
      </c>
      <c r="W38" s="589">
        <f t="shared" si="12"/>
        <v>71.695825675597177</v>
      </c>
      <c r="X38" s="590">
        <f t="shared" si="13"/>
        <v>-86.978566242301923</v>
      </c>
      <c r="Y38" s="593">
        <f t="shared" si="14"/>
        <v>93.021433757698077</v>
      </c>
      <c r="AA38" s="150">
        <f t="shared" si="15"/>
        <v>1000000000</v>
      </c>
      <c r="AB38" s="150">
        <f t="shared" si="16"/>
        <v>100</v>
      </c>
      <c r="AD38" s="592">
        <f t="shared" si="17"/>
        <v>70.044006706758111</v>
      </c>
      <c r="AE38" s="593">
        <f t="shared" si="18"/>
        <v>-86.4078185777893</v>
      </c>
      <c r="AG38" s="592">
        <f t="shared" si="19"/>
        <v>27.046712117069109</v>
      </c>
      <c r="AH38" s="593">
        <f t="shared" si="20"/>
        <v>-0.55634766440964067</v>
      </c>
      <c r="AJ38" s="150">
        <f t="shared" si="21"/>
        <v>0</v>
      </c>
      <c r="AK38" s="150">
        <f t="shared" si="22"/>
        <v>0</v>
      </c>
      <c r="AM38" s="150" t="str">
        <f t="shared" si="29"/>
        <v>1.61136399778883E-08+0.000179519579035762i</v>
      </c>
      <c r="AN38" s="150" t="str">
        <f t="shared" si="30"/>
        <v>0.00017951958i</v>
      </c>
      <c r="AO38" s="150" t="str">
        <f t="shared" si="31"/>
        <v>0.999999994628787-0.0000897597909815091i</v>
      </c>
      <c r="AP38" s="150" t="str">
        <f t="shared" si="32"/>
        <v>0.16666666398106-0.0000299199298392937i</v>
      </c>
      <c r="AQ38" s="150" t="str">
        <f t="shared" si="33"/>
        <v>0.83333333601894+0.0000299199298392937i</v>
      </c>
      <c r="AR38" s="150" t="str">
        <f t="shared" si="34"/>
        <v>0.999599995489986-0.0000358895539632401i</v>
      </c>
    </row>
    <row r="39" spans="1:44" x14ac:dyDescent="0.25">
      <c r="A39" s="150" t="s">
        <v>765</v>
      </c>
      <c r="B39" s="615">
        <v>0.4</v>
      </c>
      <c r="C39" s="150" t="s">
        <v>15</v>
      </c>
      <c r="D39" s="150">
        <f>B39*0.000000000001</f>
        <v>4.0000000000000001E-13</v>
      </c>
      <c r="E39" s="150" t="s">
        <v>13</v>
      </c>
      <c r="G39" s="594">
        <v>10.965</v>
      </c>
      <c r="H39" s="582">
        <f t="shared" si="26"/>
        <v>1.0964999999999999E-2</v>
      </c>
      <c r="I39" s="583">
        <f t="shared" si="0"/>
        <v>1.0000572207045868</v>
      </c>
      <c r="J39" s="584">
        <f t="shared" si="1"/>
        <v>1.0697474114247986E-2</v>
      </c>
      <c r="K39" s="584">
        <f t="shared" si="2"/>
        <v>1.0000000000175526</v>
      </c>
      <c r="L39" s="585">
        <f t="shared" si="3"/>
        <v>5.9249809059776654E-6</v>
      </c>
      <c r="M39" s="584">
        <f t="shared" si="4"/>
        <v>1.0000000043520236</v>
      </c>
      <c r="N39" s="585">
        <f t="shared" si="5"/>
        <v>-9.3295483957285996E-5</v>
      </c>
      <c r="O39" s="583">
        <f t="shared" si="6"/>
        <v>19.866979872222881</v>
      </c>
      <c r="P39" s="586">
        <f t="shared" si="7"/>
        <v>1.5204402709900515</v>
      </c>
      <c r="Q39" s="595">
        <f t="shared" si="8"/>
        <v>1.0000341744932433</v>
      </c>
      <c r="R39" s="596">
        <f t="shared" si="9"/>
        <v>8.2672268657621121E-3</v>
      </c>
      <c r="S39" s="583">
        <f t="shared" si="10"/>
        <v>1.0000000015188923</v>
      </c>
      <c r="T39" s="586">
        <f t="shared" si="11"/>
        <v>5.5116101395789719E-5</v>
      </c>
      <c r="U39" s="587">
        <f t="shared" si="27"/>
        <v>0.99959999373836739</v>
      </c>
      <c r="V39" s="588">
        <f t="shared" si="28"/>
        <v>-1.3779025103602573E-4</v>
      </c>
      <c r="W39" s="589">
        <f t="shared" si="12"/>
        <v>70.89784479084561</v>
      </c>
      <c r="X39" s="590">
        <f t="shared" si="13"/>
        <v>-87.270112220603679</v>
      </c>
      <c r="Y39" s="593">
        <f t="shared" si="14"/>
        <v>92.729887779396321</v>
      </c>
      <c r="AA39" s="150">
        <f t="shared" si="15"/>
        <v>1000000000</v>
      </c>
      <c r="AB39" s="150">
        <f t="shared" si="16"/>
        <v>120.23122499999999</v>
      </c>
      <c r="AD39" s="592">
        <f t="shared" si="17"/>
        <v>69.246109450390207</v>
      </c>
      <c r="AE39" s="593">
        <f t="shared" si="18"/>
        <v>-86.644291340770508</v>
      </c>
      <c r="AG39" s="592">
        <f t="shared" si="19"/>
        <v>27.046628506996381</v>
      </c>
      <c r="AH39" s="593">
        <f t="shared" si="20"/>
        <v>-0.61003128013028307</v>
      </c>
      <c r="AJ39" s="150">
        <f t="shared" si="21"/>
        <v>0</v>
      </c>
      <c r="AK39" s="150">
        <f t="shared" si="22"/>
        <v>0</v>
      </c>
      <c r="AM39" s="150" t="str">
        <f t="shared" si="29"/>
        <v>1.93736260367672E-08+0.000196843218198811i</v>
      </c>
      <c r="AN39" s="150" t="str">
        <f t="shared" si="30"/>
        <v>0.00019684321947i</v>
      </c>
      <c r="AO39" s="150" t="str">
        <f t="shared" si="31"/>
        <v>0.999999993542125-0.0000984216072513478i</v>
      </c>
      <c r="AP39" s="150" t="str">
        <f t="shared" si="32"/>
        <v>0.166666663437729-0.0000328072030331352i</v>
      </c>
      <c r="AQ39" s="150" t="str">
        <f t="shared" si="33"/>
        <v>0.833333336562271+0.0000328072030331352i</v>
      </c>
      <c r="AR39" s="150" t="str">
        <f t="shared" si="34"/>
        <v>0.999599994577555-0.0000393528958163504i</v>
      </c>
    </row>
    <row r="40" spans="1:44" x14ac:dyDescent="0.25">
      <c r="G40" s="594">
        <v>12.023</v>
      </c>
      <c r="H40" s="582">
        <f t="shared" si="26"/>
        <v>1.2022999999999999E-2</v>
      </c>
      <c r="I40" s="583">
        <f t="shared" si="0"/>
        <v>1.0000687953540486</v>
      </c>
      <c r="J40" s="584">
        <f t="shared" si="1"/>
        <v>1.1729570348437513E-2</v>
      </c>
      <c r="K40" s="584">
        <f t="shared" si="2"/>
        <v>1.0000000000211033</v>
      </c>
      <c r="L40" s="585">
        <f t="shared" si="3"/>
        <v>6.4966753700319969E-6</v>
      </c>
      <c r="M40" s="584">
        <f t="shared" si="4"/>
        <v>1.0000000052323847</v>
      </c>
      <c r="N40" s="585">
        <f t="shared" si="5"/>
        <v>-1.0229745581031651E-4</v>
      </c>
      <c r="O40" s="583">
        <f t="shared" si="6"/>
        <v>21.779277931085666</v>
      </c>
      <c r="P40" s="586">
        <f t="shared" si="7"/>
        <v>1.5248649738551203</v>
      </c>
      <c r="Q40" s="595">
        <f t="shared" si="8"/>
        <v>1.000041087432578</v>
      </c>
      <c r="R40" s="596">
        <f t="shared" si="9"/>
        <v>9.0648801220008322E-3</v>
      </c>
      <c r="S40" s="583">
        <f t="shared" si="10"/>
        <v>1.0000000018261457</v>
      </c>
      <c r="T40" s="586">
        <f t="shared" si="11"/>
        <v>6.0434189415945586E-5</v>
      </c>
      <c r="U40" s="587">
        <f t="shared" si="27"/>
        <v>0.99959999247171483</v>
      </c>
      <c r="V40" s="588">
        <f t="shared" si="28"/>
        <v>-1.5108547434187055E-4</v>
      </c>
      <c r="W40" s="589">
        <f t="shared" si="12"/>
        <v>70.099571791820253</v>
      </c>
      <c r="X40" s="590">
        <f t="shared" si="13"/>
        <v>-87.538611097347669</v>
      </c>
      <c r="Y40" s="593">
        <f t="shared" si="14"/>
        <v>92.461388902652331</v>
      </c>
      <c r="AA40" s="150">
        <f t="shared" si="15"/>
        <v>1000000000</v>
      </c>
      <c r="AB40" s="150">
        <f t="shared" si="16"/>
        <v>144.55252899999999</v>
      </c>
      <c r="AD40" s="592">
        <f t="shared" si="17"/>
        <v>68.447936984487342</v>
      </c>
      <c r="AE40" s="593">
        <f t="shared" si="18"/>
        <v>-86.852410679677504</v>
      </c>
      <c r="AG40" s="592">
        <f t="shared" si="19"/>
        <v>27.046527995886713</v>
      </c>
      <c r="AH40" s="593">
        <f t="shared" si="20"/>
        <v>-0.66888729759934562</v>
      </c>
      <c r="AJ40" s="150">
        <f t="shared" si="21"/>
        <v>0</v>
      </c>
      <c r="AK40" s="150">
        <f t="shared" si="22"/>
        <v>0</v>
      </c>
      <c r="AM40" s="150" t="str">
        <f t="shared" si="29"/>
        <v>2.32926740117989E-08+0.000215836389358198i</v>
      </c>
      <c r="AN40" s="150" t="str">
        <f t="shared" si="30"/>
        <v>0.000215836391034i</v>
      </c>
      <c r="AO40" s="150" t="str">
        <f t="shared" si="31"/>
        <v>0.999999992235776-0.000107918196279189i</v>
      </c>
      <c r="AP40" s="150" t="str">
        <f t="shared" si="32"/>
        <v>0.166666662784554-0.0000359727315596997i</v>
      </c>
      <c r="AQ40" s="150" t="str">
        <f t="shared" si="33"/>
        <v>0.833333337215446+0.0000359727315596997i</v>
      </c>
      <c r="AR40" s="150" t="str">
        <f t="shared" si="34"/>
        <v>0.99959999348066-0.000043150010478053i</v>
      </c>
    </row>
    <row r="41" spans="1:44" x14ac:dyDescent="0.25">
      <c r="G41" s="594">
        <v>13.183</v>
      </c>
      <c r="H41" s="582">
        <f t="shared" si="26"/>
        <v>1.3183E-2</v>
      </c>
      <c r="I41" s="583">
        <f t="shared" si="0"/>
        <v>1.0000827101671583</v>
      </c>
      <c r="J41" s="584">
        <f t="shared" si="1"/>
        <v>1.2861140443275021E-2</v>
      </c>
      <c r="K41" s="584">
        <f t="shared" si="2"/>
        <v>1.0000000000253721</v>
      </c>
      <c r="L41" s="585">
        <f t="shared" si="3"/>
        <v>7.1234859355309067E-6</v>
      </c>
      <c r="M41" s="584">
        <f t="shared" si="4"/>
        <v>1.0000000062907508</v>
      </c>
      <c r="N41" s="585">
        <f t="shared" si="5"/>
        <v>-1.1216729260549527E-4</v>
      </c>
      <c r="O41" s="583">
        <f t="shared" si="6"/>
        <v>23.8763451812695</v>
      </c>
      <c r="P41" s="586">
        <f t="shared" si="7"/>
        <v>1.5289016155179775</v>
      </c>
      <c r="Q41" s="595">
        <f t="shared" si="8"/>
        <v>1.0000493980732499</v>
      </c>
      <c r="R41" s="596">
        <f t="shared" si="9"/>
        <v>9.9394204922459307E-3</v>
      </c>
      <c r="S41" s="583">
        <f t="shared" si="10"/>
        <v>1.000000002195524</v>
      </c>
      <c r="T41" s="586">
        <f t="shared" si="11"/>
        <v>6.6264985350929093E-5</v>
      </c>
      <c r="U41" s="587">
        <f t="shared" si="27"/>
        <v>0.99959999094895158</v>
      </c>
      <c r="V41" s="588">
        <f t="shared" si="28"/>
        <v>-1.6566246118299155E-4</v>
      </c>
      <c r="W41" s="589">
        <f t="shared" si="12"/>
        <v>69.301035677413012</v>
      </c>
      <c r="X41" s="590">
        <f t="shared" si="13"/>
        <v>-87.786319212962837</v>
      </c>
      <c r="Y41" s="593">
        <f t="shared" si="14"/>
        <v>92.213680787037163</v>
      </c>
      <c r="AA41" s="150">
        <f t="shared" si="15"/>
        <v>1000000000</v>
      </c>
      <c r="AB41" s="150">
        <f t="shared" si="16"/>
        <v>173.79148899999998</v>
      </c>
      <c r="AD41" s="592">
        <f t="shared" si="17"/>
        <v>67.649521727458051</v>
      </c>
      <c r="AE41" s="593">
        <f t="shared" si="18"/>
        <v>-87.033919818342724</v>
      </c>
      <c r="AG41" s="592">
        <f t="shared" si="19"/>
        <v>27.046407164972454</v>
      </c>
      <c r="AH41" s="593">
        <f t="shared" si="20"/>
        <v>-0.73341587489936311</v>
      </c>
      <c r="AJ41" s="150">
        <f t="shared" si="21"/>
        <v>0</v>
      </c>
      <c r="AK41" s="150">
        <f t="shared" si="22"/>
        <v>0</v>
      </c>
      <c r="AM41" s="150" t="str">
        <f t="shared" si="29"/>
        <v>2.80041340117165E-08+0.000236660660104841i</v>
      </c>
      <c r="AN41" s="150" t="str">
        <f t="shared" si="30"/>
        <v>0.000236660662314i</v>
      </c>
      <c r="AO41" s="150" t="str">
        <f t="shared" si="31"/>
        <v>0.999999990665288-0.000118330328910179i</v>
      </c>
      <c r="AP41" s="150" t="str">
        <f t="shared" si="32"/>
        <v>0.166666661999311-0.0000394434433508068i</v>
      </c>
      <c r="AQ41" s="150" t="str">
        <f t="shared" si="33"/>
        <v>0.833333338000689+0.0000394434433508068i</v>
      </c>
      <c r="AR41" s="150" t="str">
        <f t="shared" si="34"/>
        <v>0.999599992161979-0.0000473131985321765i</v>
      </c>
    </row>
    <row r="42" spans="1:44" x14ac:dyDescent="0.25">
      <c r="G42" s="594">
        <v>14.454000000000001</v>
      </c>
      <c r="H42" s="582">
        <f t="shared" si="26"/>
        <v>1.4454E-2</v>
      </c>
      <c r="I42" s="583">
        <f t="shared" si="0"/>
        <v>1.0000994266633869</v>
      </c>
      <c r="J42" s="584">
        <f t="shared" si="1"/>
        <v>1.4100952168888157E-2</v>
      </c>
      <c r="K42" s="584">
        <f t="shared" si="2"/>
        <v>1.0000000000305</v>
      </c>
      <c r="L42" s="585">
        <f t="shared" si="3"/>
        <v>7.810275787894388E-6</v>
      </c>
      <c r="M42" s="584">
        <f t="shared" si="4"/>
        <v>1.0000000075622333</v>
      </c>
      <c r="N42" s="585">
        <f t="shared" si="5"/>
        <v>-1.229815706550523E-4</v>
      </c>
      <c r="O42" s="583">
        <f t="shared" si="6"/>
        <v>26.17445174662074</v>
      </c>
      <c r="P42" s="586">
        <f t="shared" si="7"/>
        <v>1.5325818326608081</v>
      </c>
      <c r="Q42" s="595">
        <f t="shared" si="8"/>
        <v>1.0000593820844741</v>
      </c>
      <c r="R42" s="596">
        <f t="shared" si="9"/>
        <v>1.0897627824093897E-2</v>
      </c>
      <c r="S42" s="583">
        <f t="shared" si="10"/>
        <v>1.0000000026392821</v>
      </c>
      <c r="T42" s="586">
        <f t="shared" si="11"/>
        <v>7.2653728133124226E-5</v>
      </c>
      <c r="U42" s="587">
        <f t="shared" si="27"/>
        <v>0.99959998911955839</v>
      </c>
      <c r="V42" s="588">
        <f t="shared" si="28"/>
        <v>-1.8163431775041836E-4</v>
      </c>
      <c r="W42" s="589">
        <f t="shared" si="12"/>
        <v>68.502782304006615</v>
      </c>
      <c r="X42" s="590">
        <f t="shared" si="13"/>
        <v>-88.015176296756195</v>
      </c>
      <c r="Y42" s="593">
        <f t="shared" si="14"/>
        <v>91.984823703243805</v>
      </c>
      <c r="AA42" s="150">
        <f t="shared" si="15"/>
        <v>1000000000</v>
      </c>
      <c r="AB42" s="150">
        <f t="shared" si="16"/>
        <v>208.91811600000003</v>
      </c>
      <c r="AD42" s="592">
        <f t="shared" si="17"/>
        <v>66.851413543279079</v>
      </c>
      <c r="AE42" s="593">
        <f t="shared" si="18"/>
        <v>-87.190245540481655</v>
      </c>
      <c r="AG42" s="592">
        <f t="shared" si="19"/>
        <v>27.04626200753755</v>
      </c>
      <c r="AH42" s="593">
        <f t="shared" si="20"/>
        <v>-0.80411699660708114</v>
      </c>
      <c r="AJ42" s="150">
        <f t="shared" si="21"/>
        <v>0</v>
      </c>
      <c r="AK42" s="150">
        <f t="shared" si="22"/>
        <v>0</v>
      </c>
      <c r="AM42" s="150" t="str">
        <f t="shared" si="29"/>
        <v>3.36643120046887E-08+0.000259477598020288i</v>
      </c>
      <c r="AN42" s="150" t="str">
        <f t="shared" si="30"/>
        <v>0.000259477600932i</v>
      </c>
      <c r="AO42" s="150" t="str">
        <f t="shared" si="31"/>
        <v>0.999999988778561-0.000129738797814425i</v>
      </c>
      <c r="AP42" s="150" t="str">
        <f t="shared" si="32"/>
        <v>0.166666661055948-0.0000432462663367147i</v>
      </c>
      <c r="AQ42" s="150" t="str">
        <f t="shared" si="33"/>
        <v>0.833333338944052+0.0000432462663367147i</v>
      </c>
      <c r="AR42" s="150" t="str">
        <f t="shared" si="34"/>
        <v>0.999599990577763-0.0000518747605579785i</v>
      </c>
    </row>
    <row r="43" spans="1:44" x14ac:dyDescent="0.25">
      <c r="G43" s="594">
        <v>15.849</v>
      </c>
      <c r="H43" s="582">
        <f t="shared" si="26"/>
        <v>1.5848999999999999E-2</v>
      </c>
      <c r="I43" s="583">
        <f t="shared" si="0"/>
        <v>1.0001195435441401</v>
      </c>
      <c r="J43" s="584">
        <f t="shared" si="1"/>
        <v>1.5461671091606049E-2</v>
      </c>
      <c r="K43" s="584">
        <f t="shared" si="2"/>
        <v>1.0000000000366716</v>
      </c>
      <c r="L43" s="585">
        <f t="shared" si="3"/>
        <v>8.5640695282848253E-6</v>
      </c>
      <c r="M43" s="584">
        <f t="shared" si="4"/>
        <v>1.0000000090923826</v>
      </c>
      <c r="N43" s="585">
        <f t="shared" si="5"/>
        <v>-1.348509001884331E-4</v>
      </c>
      <c r="O43" s="583">
        <f t="shared" si="6"/>
        <v>28.697103353858587</v>
      </c>
      <c r="P43" s="586">
        <f t="shared" si="7"/>
        <v>1.5359425479768416</v>
      </c>
      <c r="Q43" s="595">
        <f t="shared" si="8"/>
        <v>1.0000713970815152</v>
      </c>
      <c r="R43" s="596">
        <f t="shared" si="9"/>
        <v>1.1949295696491603E-2</v>
      </c>
      <c r="S43" s="583">
        <f t="shared" si="10"/>
        <v>1.0000000031733169</v>
      </c>
      <c r="T43" s="586">
        <f t="shared" si="11"/>
        <v>7.9665762887223531E-5</v>
      </c>
      <c r="U43" s="587">
        <f t="shared" si="27"/>
        <v>0.99959998691800112</v>
      </c>
      <c r="V43" s="588">
        <f t="shared" si="28"/>
        <v>-1.9916440774226497E-4</v>
      </c>
      <c r="W43" s="589">
        <f t="shared" si="12"/>
        <v>67.703502569826298</v>
      </c>
      <c r="X43" s="590">
        <f t="shared" si="13"/>
        <v>-88.227481455046117</v>
      </c>
      <c r="Y43" s="593">
        <f t="shared" si="14"/>
        <v>91.772518544953883</v>
      </c>
      <c r="AA43" s="150">
        <f t="shared" si="15"/>
        <v>1000000000</v>
      </c>
      <c r="AB43" s="150">
        <f t="shared" si="16"/>
        <v>251.19080099999999</v>
      </c>
      <c r="AD43" s="592">
        <f t="shared" si="17"/>
        <v>66.052308528762111</v>
      </c>
      <c r="AE43" s="593">
        <f t="shared" si="18"/>
        <v>-87.322945973846316</v>
      </c>
      <c r="AG43" s="592">
        <f t="shared" si="19"/>
        <v>27.046087326134479</v>
      </c>
      <c r="AH43" s="593">
        <f t="shared" si="20"/>
        <v>-0.88171292118801825</v>
      </c>
      <c r="AJ43" s="150">
        <f t="shared" si="21"/>
        <v>0</v>
      </c>
      <c r="AK43" s="150">
        <f t="shared" si="22"/>
        <v>0</v>
      </c>
      <c r="AM43" s="150" t="str">
        <f t="shared" si="29"/>
        <v>4.0475981011312E-08+0.00028452057850325i</v>
      </c>
      <c r="AN43" s="150" t="str">
        <f t="shared" si="30"/>
        <v>0.000284520582342i</v>
      </c>
      <c r="AO43" s="150" t="str">
        <f t="shared" si="31"/>
        <v>0.999999986508006-0.000142260291603997i</v>
      </c>
      <c r="AP43" s="150" t="str">
        <f t="shared" si="32"/>
        <v>0.16666665992067-0.0000474200964172083i</v>
      </c>
      <c r="AQ43" s="150" t="str">
        <f t="shared" si="33"/>
        <v>0.83333334007933+0.0000474200964172083i</v>
      </c>
      <c r="AR43" s="150" t="str">
        <f t="shared" si="34"/>
        <v>0.999599988671259-0.000056881352949252i</v>
      </c>
    </row>
    <row r="44" spans="1:44" x14ac:dyDescent="0.25">
      <c r="G44" s="594">
        <v>17.378</v>
      </c>
      <c r="H44" s="582">
        <f t="shared" si="26"/>
        <v>1.7378000000000001E-2</v>
      </c>
      <c r="I44" s="583">
        <f t="shared" si="0"/>
        <v>1.0001437198425756</v>
      </c>
      <c r="J44" s="584">
        <f t="shared" si="1"/>
        <v>1.6953031107072972E-2</v>
      </c>
      <c r="K44" s="584">
        <f t="shared" si="2"/>
        <v>1.0000000000440887</v>
      </c>
      <c r="L44" s="585">
        <f t="shared" si="3"/>
        <v>9.3902706960563956E-6</v>
      </c>
      <c r="M44" s="584">
        <f t="shared" si="4"/>
        <v>1.0000000109313441</v>
      </c>
      <c r="N44" s="585">
        <f t="shared" si="5"/>
        <v>-1.4786036599164585E-4</v>
      </c>
      <c r="O44" s="583">
        <f t="shared" si="6"/>
        <v>31.462383922412375</v>
      </c>
      <c r="P44" s="586">
        <f t="shared" si="7"/>
        <v>1.5390069859312789</v>
      </c>
      <c r="Q44" s="595">
        <f t="shared" si="8"/>
        <v>1.0000858367328749</v>
      </c>
      <c r="R44" s="596">
        <f t="shared" si="9"/>
        <v>1.3101953546761917E-2</v>
      </c>
      <c r="S44" s="583">
        <f t="shared" si="10"/>
        <v>1.0000000038151295</v>
      </c>
      <c r="T44" s="586">
        <f t="shared" si="11"/>
        <v>8.7351355092548855E-5</v>
      </c>
      <c r="U44" s="587">
        <f t="shared" si="27"/>
        <v>0.99959998427212926</v>
      </c>
      <c r="V44" s="588">
        <f t="shared" si="28"/>
        <v>-2.1837838527938359E-4</v>
      </c>
      <c r="W44" s="589">
        <f t="shared" si="12"/>
        <v>66.904346715414832</v>
      </c>
      <c r="X44" s="590">
        <f t="shared" si="13"/>
        <v>-88.424706302679411</v>
      </c>
      <c r="Y44" s="593">
        <f t="shared" si="14"/>
        <v>91.575293697320589</v>
      </c>
      <c r="AA44" s="150">
        <f t="shared" si="15"/>
        <v>1000000000</v>
      </c>
      <c r="AB44" s="150">
        <f t="shared" si="16"/>
        <v>301.99488400000001</v>
      </c>
      <c r="AD44" s="592">
        <f t="shared" si="17"/>
        <v>65.253362646326167</v>
      </c>
      <c r="AE44" s="593">
        <f t="shared" si="18"/>
        <v>-87.432923257294249</v>
      </c>
      <c r="AG44" s="592">
        <f t="shared" si="19"/>
        <v>27.045877400140839</v>
      </c>
      <c r="AH44" s="593">
        <f t="shared" si="20"/>
        <v>-0.96675872572978283</v>
      </c>
      <c r="AJ44" s="150">
        <f t="shared" si="21"/>
        <v>0</v>
      </c>
      <c r="AK44" s="150">
        <f t="shared" si="22"/>
        <v>0</v>
      </c>
      <c r="AM44" s="150" t="str">
        <f t="shared" si="29"/>
        <v>4.86623670248321E-08+0.000311969121063615i</v>
      </c>
      <c r="AN44" s="150" t="str">
        <f t="shared" si="30"/>
        <v>0.000311969126124i</v>
      </c>
      <c r="AO44" s="150" t="str">
        <f t="shared" si="31"/>
        <v>0.999999983779212-0.000155984560489777i</v>
      </c>
      <c r="AP44" s="150" t="str">
        <f t="shared" si="32"/>
        <v>0.166666658556272-0.0000519948535106025i</v>
      </c>
      <c r="AQ44" s="150" t="str">
        <f t="shared" si="33"/>
        <v>0.833333341443728+0.0000519948535106025i</v>
      </c>
      <c r="AR44" s="150" t="str">
        <f t="shared" si="34"/>
        <v>0.999599986379987-0.0000623688652262299i</v>
      </c>
    </row>
    <row r="45" spans="1:44" x14ac:dyDescent="0.25">
      <c r="G45" s="594">
        <v>19.055</v>
      </c>
      <c r="H45" s="582">
        <f t="shared" si="26"/>
        <v>1.9054999999999999E-2</v>
      </c>
      <c r="I45" s="583">
        <f t="shared" si="0"/>
        <v>1.0001727940326957</v>
      </c>
      <c r="J45" s="584">
        <f t="shared" si="1"/>
        <v>1.8588660784600392E-2</v>
      </c>
      <c r="K45" s="584">
        <f t="shared" si="2"/>
        <v>1.0000000000530083</v>
      </c>
      <c r="L45" s="585">
        <f t="shared" si="3"/>
        <v>1.0296444246305132E-5</v>
      </c>
      <c r="M45" s="584">
        <f t="shared" si="4"/>
        <v>1.0000000131429205</v>
      </c>
      <c r="N45" s="585">
        <f t="shared" si="5"/>
        <v>-1.621290867658398E-4</v>
      </c>
      <c r="O45" s="583">
        <f t="shared" si="6"/>
        <v>34.495613259888842</v>
      </c>
      <c r="P45" s="586">
        <f t="shared" si="7"/>
        <v>1.541803071690844</v>
      </c>
      <c r="Q45" s="595">
        <f t="shared" si="8"/>
        <v>1.0001032019085525</v>
      </c>
      <c r="R45" s="596">
        <f t="shared" si="9"/>
        <v>1.4366143101455519E-2</v>
      </c>
      <c r="S45" s="583">
        <f t="shared" si="10"/>
        <v>1.0000000045869881</v>
      </c>
      <c r="T45" s="586">
        <f t="shared" si="11"/>
        <v>9.5780876420302848E-5</v>
      </c>
      <c r="U45" s="587">
        <f t="shared" si="27"/>
        <v>0.9995999810901417</v>
      </c>
      <c r="V45" s="588">
        <f t="shared" si="28"/>
        <v>-2.3945219051000073E-4</v>
      </c>
      <c r="W45" s="589">
        <f t="shared" si="12"/>
        <v>66.104800144252621</v>
      </c>
      <c r="X45" s="590">
        <f t="shared" si="13"/>
        <v>-88.608648201102369</v>
      </c>
      <c r="Y45" s="593">
        <f t="shared" si="14"/>
        <v>91.391351798897631</v>
      </c>
      <c r="AA45" s="150">
        <f t="shared" si="15"/>
        <v>1000000000</v>
      </c>
      <c r="AB45" s="150">
        <f t="shared" si="16"/>
        <v>363.09302500000001</v>
      </c>
      <c r="AD45" s="592">
        <f t="shared" si="17"/>
        <v>64.454068578774027</v>
      </c>
      <c r="AE45" s="593">
        <f t="shared" si="18"/>
        <v>-87.521177420581751</v>
      </c>
      <c r="AG45" s="592">
        <f t="shared" si="19"/>
        <v>27.045624951829687</v>
      </c>
      <c r="AH45" s="593">
        <f t="shared" si="20"/>
        <v>-1.0600315806665088</v>
      </c>
      <c r="AJ45" s="150">
        <f t="shared" si="21"/>
        <v>0</v>
      </c>
      <c r="AK45" s="150">
        <f t="shared" ref="AK45:AK76" si="35">IF(AJ45&gt;0,Y43,0)</f>
        <v>0</v>
      </c>
      <c r="AM45" s="150" t="str">
        <f t="shared" si="29"/>
        <v>5.85075019543524E-08+0.000342074553018691i</v>
      </c>
      <c r="AN45" s="150" t="str">
        <f t="shared" si="30"/>
        <v>0.00034207455969i</v>
      </c>
      <c r="AO45" s="150" t="str">
        <f t="shared" si="31"/>
        <v>0.9999999804975-0.000171037279145733i</v>
      </c>
      <c r="AP45" s="150" t="str">
        <f t="shared" si="32"/>
        <v>0.166666656915416-0.0000570124255031152i</v>
      </c>
      <c r="AQ45" s="150" t="str">
        <f t="shared" si="33"/>
        <v>0.833333343084584+0.0000570124255031152i</v>
      </c>
      <c r="AR45" s="150" t="str">
        <f t="shared" si="34"/>
        <v>0.999599983624452-0.0000683875427189283i</v>
      </c>
    </row>
    <row r="46" spans="1:44" x14ac:dyDescent="0.25">
      <c r="G46" s="594">
        <v>20.893000000000001</v>
      </c>
      <c r="H46" s="582">
        <f t="shared" si="26"/>
        <v>2.0893000000000002E-2</v>
      </c>
      <c r="I46" s="583">
        <f t="shared" si="0"/>
        <v>1.0002077326955583</v>
      </c>
      <c r="J46" s="584">
        <f t="shared" si="1"/>
        <v>2.0381204145210725E-2</v>
      </c>
      <c r="K46" s="584">
        <f t="shared" si="2"/>
        <v>1.0000000000637277</v>
      </c>
      <c r="L46" s="585">
        <f t="shared" si="3"/>
        <v>1.1289614780189757E-5</v>
      </c>
      <c r="M46" s="584">
        <f t="shared" si="4"/>
        <v>1.000000015800673</v>
      </c>
      <c r="N46" s="585">
        <f t="shared" si="5"/>
        <v>-1.7776767272615287E-4</v>
      </c>
      <c r="O46" s="583">
        <f t="shared" si="6"/>
        <v>37.820304779362594</v>
      </c>
      <c r="P46" s="586">
        <f t="shared" si="7"/>
        <v>1.5443524215426543</v>
      </c>
      <c r="Q46" s="595">
        <f t="shared" si="8"/>
        <v>1.0001240700336609</v>
      </c>
      <c r="R46" s="596">
        <f t="shared" si="9"/>
        <v>1.5751647990471473E-2</v>
      </c>
      <c r="S46" s="583">
        <f t="shared" si="10"/>
        <v>1.0000000055145657</v>
      </c>
      <c r="T46" s="586">
        <f t="shared" si="11"/>
        <v>1.0501967199222808E-4</v>
      </c>
      <c r="U46" s="587">
        <f t="shared" si="27"/>
        <v>0.99959997726620431</v>
      </c>
      <c r="V46" s="588">
        <f t="shared" si="28"/>
        <v>-2.6254917902756799E-4</v>
      </c>
      <c r="W46" s="589">
        <f t="shared" si="12"/>
        <v>65.305454865403235</v>
      </c>
      <c r="X46" s="590">
        <f t="shared" si="13"/>
        <v>-88.780728599280565</v>
      </c>
      <c r="Y46" s="593">
        <f t="shared" si="14"/>
        <v>91.219271400719435</v>
      </c>
      <c r="AA46" s="150">
        <f t="shared" si="15"/>
        <v>1000000000</v>
      </c>
      <c r="AB46" s="150">
        <f t="shared" si="16"/>
        <v>436.51744900000006</v>
      </c>
      <c r="AD46" s="592">
        <f t="shared" si="17"/>
        <v>63.655026725615052</v>
      </c>
      <c r="AE46" s="593">
        <f t="shared" si="18"/>
        <v>-87.588390169028273</v>
      </c>
      <c r="AG46" s="592">
        <f t="shared" si="19"/>
        <v>27.045321592594451</v>
      </c>
      <c r="AH46" s="593">
        <f t="shared" si="20"/>
        <v>-1.162252510472114</v>
      </c>
      <c r="AJ46" s="150">
        <f t="shared" si="21"/>
        <v>0</v>
      </c>
      <c r="AK46" s="150">
        <f t="shared" si="35"/>
        <v>0</v>
      </c>
      <c r="AM46" s="150" t="str">
        <f t="shared" si="29"/>
        <v>7.0338848967566E-08+0.000375070249699997i</v>
      </c>
      <c r="AN46" s="150" t="str">
        <f t="shared" si="30"/>
        <v>0.000375070258494i</v>
      </c>
      <c r="AO46" s="150" t="str">
        <f t="shared" si="31"/>
        <v>0.999999976553718-0.000187535128085052i</v>
      </c>
      <c r="AP46" s="150" t="str">
        <f t="shared" si="32"/>
        <v>0.166666654943525-0.0000625117082833328i</v>
      </c>
      <c r="AQ46" s="150" t="str">
        <f t="shared" si="33"/>
        <v>0.833333345056475+0.0000625117082833328i</v>
      </c>
      <c r="AR46" s="150" t="str">
        <f t="shared" si="34"/>
        <v>0.999599980313001-0.0000749840417883635i</v>
      </c>
    </row>
    <row r="47" spans="1:44" x14ac:dyDescent="0.25">
      <c r="G47" s="594">
        <v>22.909000000000002</v>
      </c>
      <c r="H47" s="582">
        <f t="shared" si="26"/>
        <v>2.2909000000000002E-2</v>
      </c>
      <c r="I47" s="583">
        <f t="shared" si="0"/>
        <v>1.0002497505133139</v>
      </c>
      <c r="J47" s="584">
        <f t="shared" si="1"/>
        <v>2.2347194229115141E-2</v>
      </c>
      <c r="K47" s="584">
        <f t="shared" si="2"/>
        <v>1.0000000000766194</v>
      </c>
      <c r="L47" s="585">
        <f t="shared" si="3"/>
        <v>1.2378968314609885E-5</v>
      </c>
      <c r="M47" s="584">
        <f t="shared" si="4"/>
        <v>1.0000000189970533</v>
      </c>
      <c r="N47" s="585">
        <f t="shared" si="5"/>
        <v>-1.9492076799910532E-4</v>
      </c>
      <c r="O47" s="583">
        <f t="shared" si="6"/>
        <v>41.467209180483515</v>
      </c>
      <c r="P47" s="586">
        <f t="shared" si="7"/>
        <v>1.5466785486545018</v>
      </c>
      <c r="Q47" s="595">
        <f t="shared" si="8"/>
        <v>1.0001491667771727</v>
      </c>
      <c r="R47" s="596">
        <f t="shared" si="9"/>
        <v>1.7271261520783818E-2</v>
      </c>
      <c r="S47" s="583">
        <f t="shared" si="10"/>
        <v>1.0000000066301289</v>
      </c>
      <c r="T47" s="586">
        <f t="shared" si="11"/>
        <v>1.15153193121173E-4</v>
      </c>
      <c r="U47" s="587">
        <f t="shared" si="27"/>
        <v>0.99959997266729461</v>
      </c>
      <c r="V47" s="588">
        <f t="shared" si="28"/>
        <v>-2.878829806468537E-4</v>
      </c>
      <c r="W47" s="589">
        <f t="shared" si="12"/>
        <v>64.505712258864605</v>
      </c>
      <c r="X47" s="590">
        <f t="shared" si="13"/>
        <v>-88.942533870688607</v>
      </c>
      <c r="Y47" s="593">
        <f t="shared" si="14"/>
        <v>91.057466129311393</v>
      </c>
      <c r="AA47" s="150">
        <f t="shared" si="15"/>
        <v>1000000000</v>
      </c>
      <c r="AB47" s="150">
        <f t="shared" si="16"/>
        <v>524.82228100000009</v>
      </c>
      <c r="AD47" s="592">
        <f t="shared" si="17"/>
        <v>62.855649009827623</v>
      </c>
      <c r="AE47" s="593">
        <f t="shared" si="18"/>
        <v>-87.635180601415982</v>
      </c>
      <c r="AG47" s="592">
        <f t="shared" si="19"/>
        <v>27.044956781766459</v>
      </c>
      <c r="AH47" s="593">
        <f t="shared" si="20"/>
        <v>-1.2743643096655133</v>
      </c>
      <c r="AJ47" s="150">
        <f t="shared" si="21"/>
        <v>0</v>
      </c>
      <c r="AK47" s="150">
        <f t="shared" si="35"/>
        <v>0</v>
      </c>
      <c r="AM47" s="150" t="str">
        <f t="shared" si="29"/>
        <v>8.45679709593483E-08+0.000411261394228819i</v>
      </c>
      <c r="AN47" s="150" t="str">
        <f t="shared" si="30"/>
        <v>0.000411261405822i</v>
      </c>
      <c r="AO47" s="150" t="str">
        <f t="shared" si="31"/>
        <v>0.999999971810676-0.000205630700479467i</v>
      </c>
      <c r="AP47" s="150" t="str">
        <f t="shared" si="32"/>
        <v>0.166666652572005-0.0000685435657048032i</v>
      </c>
      <c r="AQ47" s="150" t="str">
        <f t="shared" si="33"/>
        <v>0.833333347427995+0.0000685435657048032i</v>
      </c>
      <c r="AR47" s="150" t="str">
        <f t="shared" si="34"/>
        <v>0.999599976330441-0.0000822193745967252i</v>
      </c>
    </row>
    <row r="48" spans="1:44" x14ac:dyDescent="0.25">
      <c r="G48" s="594">
        <v>25.119</v>
      </c>
      <c r="H48" s="582">
        <f t="shared" si="26"/>
        <v>2.5118999999999999E-2</v>
      </c>
      <c r="I48" s="583">
        <f t="shared" si="0"/>
        <v>1.0003002533432459</v>
      </c>
      <c r="J48" s="584">
        <f t="shared" si="1"/>
        <v>2.45021727920001E-2</v>
      </c>
      <c r="K48" s="584">
        <f t="shared" si="2"/>
        <v>1.0000000000921152</v>
      </c>
      <c r="L48" s="585">
        <f t="shared" si="3"/>
        <v>1.3573150512526667E-5</v>
      </c>
      <c r="M48" s="584">
        <f t="shared" si="4"/>
        <v>1.0000000228390831</v>
      </c>
      <c r="N48" s="585">
        <f t="shared" si="5"/>
        <v>-2.1372450822072507E-4</v>
      </c>
      <c r="O48" s="583">
        <f t="shared" si="6"/>
        <v>45.465270222200189</v>
      </c>
      <c r="P48" s="586">
        <f t="shared" si="7"/>
        <v>1.5487997425607241</v>
      </c>
      <c r="Q48" s="595">
        <f t="shared" si="8"/>
        <v>1.0001793320794103</v>
      </c>
      <c r="R48" s="596">
        <f t="shared" si="9"/>
        <v>1.8937015790002839E-2</v>
      </c>
      <c r="S48" s="583">
        <f t="shared" si="10"/>
        <v>1.0000000079710292</v>
      </c>
      <c r="T48" s="586">
        <f t="shared" si="11"/>
        <v>1.2626186456960202E-4</v>
      </c>
      <c r="U48" s="587">
        <f t="shared" si="27"/>
        <v>0.99959996713943344</v>
      </c>
      <c r="V48" s="588">
        <f t="shared" si="28"/>
        <v>-3.1565465706889561E-4</v>
      </c>
      <c r="W48" s="589">
        <f t="shared" si="12"/>
        <v>63.706036278245001</v>
      </c>
      <c r="X48" s="590">
        <f t="shared" si="13"/>
        <v>-89.095336449673781</v>
      </c>
      <c r="Y48" s="593">
        <f t="shared" si="14"/>
        <v>90.904663550326219</v>
      </c>
      <c r="AA48" s="150">
        <f t="shared" si="15"/>
        <v>1000000000</v>
      </c>
      <c r="AB48" s="150">
        <f t="shared" si="16"/>
        <v>630.96416099999999</v>
      </c>
      <c r="AD48" s="592">
        <f t="shared" si="17"/>
        <v>62.056411585143152</v>
      </c>
      <c r="AE48" s="593">
        <f t="shared" si="18"/>
        <v>-87.661911850459774</v>
      </c>
      <c r="AG48" s="592">
        <f t="shared" si="19"/>
        <v>27.044518321898551</v>
      </c>
      <c r="AH48" s="593">
        <f t="shared" si="20"/>
        <v>-1.3972532399052731</v>
      </c>
      <c r="AJ48" s="150">
        <f t="shared" si="21"/>
        <v>0</v>
      </c>
      <c r="AK48" s="150">
        <f t="shared" si="35"/>
        <v>0</v>
      </c>
      <c r="AM48" s="150" t="str">
        <f t="shared" si="29"/>
        <v>1.01671290053673E-07+0.000450935217719611i</v>
      </c>
      <c r="AN48" s="150" t="str">
        <f t="shared" si="30"/>
        <v>0.000450935233002i</v>
      </c>
      <c r="AO48" s="150" t="str">
        <f t="shared" si="31"/>
        <v>0.99999996610957-0.000225467611782781i</v>
      </c>
      <c r="AP48" s="150" t="str">
        <f t="shared" si="32"/>
        <v>0.166666649721452-0.0000751558696199352i</v>
      </c>
      <c r="AQ48" s="150" t="str">
        <f t="shared" si="33"/>
        <v>0.833333350278548+0.0000751558696199352i</v>
      </c>
      <c r="AR48" s="150" t="str">
        <f t="shared" si="34"/>
        <v>0.999599971543428-0.0000901509643269376i</v>
      </c>
    </row>
    <row r="49" spans="7:44" x14ac:dyDescent="0.25">
      <c r="G49" s="594">
        <v>27.542000000000002</v>
      </c>
      <c r="H49" s="582">
        <f t="shared" si="26"/>
        <v>2.7542000000000001E-2</v>
      </c>
      <c r="I49" s="583">
        <f t="shared" si="0"/>
        <v>1.000360961537206</v>
      </c>
      <c r="J49" s="584">
        <f t="shared" si="1"/>
        <v>2.6864586091990855E-2</v>
      </c>
      <c r="K49" s="584">
        <f t="shared" si="2"/>
        <v>1.0000000001107434</v>
      </c>
      <c r="L49" s="585">
        <f t="shared" si="3"/>
        <v>1.4882428098704844E-5</v>
      </c>
      <c r="M49" s="584">
        <f t="shared" si="4"/>
        <v>1.0000000274577483</v>
      </c>
      <c r="N49" s="585">
        <f t="shared" si="5"/>
        <v>-2.3434055445241991E-4</v>
      </c>
      <c r="O49" s="583">
        <f t="shared" si="6"/>
        <v>49.848860314302385</v>
      </c>
      <c r="P49" s="586">
        <f t="shared" si="7"/>
        <v>1.5507343418792083</v>
      </c>
      <c r="Q49" s="595">
        <f t="shared" si="8"/>
        <v>1.0002155938494581</v>
      </c>
      <c r="R49" s="596">
        <f t="shared" si="9"/>
        <v>2.0763194487337166E-2</v>
      </c>
      <c r="S49" s="583">
        <f t="shared" si="10"/>
        <v>1.0000000095829817</v>
      </c>
      <c r="T49" s="586">
        <f t="shared" si="11"/>
        <v>1.3844119074162708E-4</v>
      </c>
      <c r="U49" s="587">
        <f t="shared" si="27"/>
        <v>0.99959996049415933</v>
      </c>
      <c r="V49" s="588">
        <f t="shared" si="28"/>
        <v>-3.4610297271191464E-4</v>
      </c>
      <c r="W49" s="589">
        <f t="shared" si="12"/>
        <v>62.906314881752905</v>
      </c>
      <c r="X49" s="590">
        <f t="shared" si="13"/>
        <v>-89.240453385724734</v>
      </c>
      <c r="Y49" s="593">
        <f t="shared" si="14"/>
        <v>90.759546614275266</v>
      </c>
      <c r="AA49" s="150">
        <f t="shared" si="15"/>
        <v>1000000000</v>
      </c>
      <c r="AB49" s="150">
        <f t="shared" si="16"/>
        <v>758.56176400000004</v>
      </c>
      <c r="AD49" s="592">
        <f t="shared" si="17"/>
        <v>61.257217336515055</v>
      </c>
      <c r="AE49" s="593">
        <f t="shared" si="18"/>
        <v>-87.668821718458716</v>
      </c>
      <c r="AG49" s="592">
        <f t="shared" si="19"/>
        <v>27.043991289520989</v>
      </c>
      <c r="AH49" s="593">
        <f t="shared" si="20"/>
        <v>-1.5319711879940505</v>
      </c>
      <c r="AJ49" s="150">
        <f t="shared" si="21"/>
        <v>0</v>
      </c>
      <c r="AK49" s="150">
        <f t="shared" si="35"/>
        <v>0</v>
      </c>
      <c r="AM49" s="150" t="str">
        <f t="shared" si="29"/>
        <v>1.22231908039616E-07+0.000494432807090844i</v>
      </c>
      <c r="AN49" s="150" t="str">
        <f t="shared" si="30"/>
        <v>0.000494432827236i</v>
      </c>
      <c r="AO49" s="150" t="str">
        <f t="shared" si="31"/>
        <v>0.99999995925603-0.000247216408997198i</v>
      </c>
      <c r="AP49" s="150" t="str">
        <f t="shared" si="32"/>
        <v>0.166666646294682-0.000082405467848474i</v>
      </c>
      <c r="AQ49" s="150" t="str">
        <f t="shared" si="33"/>
        <v>0.833333353705318+0.000082405467848474i</v>
      </c>
      <c r="AR49" s="150" t="str">
        <f t="shared" si="34"/>
        <v>0.999599965788758-0.0000988470009941179i</v>
      </c>
    </row>
    <row r="50" spans="7:44" x14ac:dyDescent="0.25">
      <c r="G50" s="594">
        <v>30.2</v>
      </c>
      <c r="H50" s="582">
        <f t="shared" si="26"/>
        <v>3.0199999999999998E-2</v>
      </c>
      <c r="I50" s="583">
        <f t="shared" si="0"/>
        <v>1.0004339782989999</v>
      </c>
      <c r="J50" s="584">
        <f t="shared" si="1"/>
        <v>2.9455777343791376E-2</v>
      </c>
      <c r="K50" s="584">
        <f t="shared" si="2"/>
        <v>1.0000000001331499</v>
      </c>
      <c r="L50" s="585">
        <f t="shared" si="3"/>
        <v>1.6318688859711442E-5</v>
      </c>
      <c r="M50" s="584">
        <f t="shared" si="4"/>
        <v>1.0000000330132179</v>
      </c>
      <c r="N50" s="585">
        <f t="shared" si="5"/>
        <v>-2.5695609317595168E-4</v>
      </c>
      <c r="O50" s="583">
        <f t="shared" si="6"/>
        <v>54.657781059289768</v>
      </c>
      <c r="P50" s="586">
        <f t="shared" si="7"/>
        <v>1.5524996492215892</v>
      </c>
      <c r="Q50" s="595">
        <f t="shared" si="8"/>
        <v>1.0002592088559337</v>
      </c>
      <c r="R50" s="596">
        <f t="shared" si="9"/>
        <v>2.2766329405052965E-2</v>
      </c>
      <c r="S50" s="583">
        <f t="shared" si="10"/>
        <v>1.0000000115218866</v>
      </c>
      <c r="T50" s="586">
        <f t="shared" si="11"/>
        <v>1.5180175568197161E-4</v>
      </c>
      <c r="U50" s="587">
        <f t="shared" si="27"/>
        <v>0.99959995250102551</v>
      </c>
      <c r="V50" s="588">
        <f t="shared" si="28"/>
        <v>-3.7950438349761714E-4</v>
      </c>
      <c r="W50" s="589">
        <f t="shared" si="12"/>
        <v>62.106124363407709</v>
      </c>
      <c r="X50" s="590">
        <f t="shared" si="13"/>
        <v>-89.379183939295316</v>
      </c>
      <c r="Y50" s="593">
        <f t="shared" si="14"/>
        <v>90.620816060704684</v>
      </c>
      <c r="AA50" s="150">
        <f t="shared" si="15"/>
        <v>1000000000</v>
      </c>
      <c r="AB50" s="150">
        <f t="shared" si="16"/>
        <v>912.04</v>
      </c>
      <c r="AD50" s="592">
        <f t="shared" si="17"/>
        <v>60.457660802729819</v>
      </c>
      <c r="AE50" s="593">
        <f t="shared" si="18"/>
        <v>-87.655960706108488</v>
      </c>
      <c r="AG50" s="592">
        <f t="shared" si="19"/>
        <v>27.043357443871553</v>
      </c>
      <c r="AH50" s="593">
        <f t="shared" si="20"/>
        <v>-1.6797352341748695</v>
      </c>
      <c r="AJ50" s="150">
        <f t="shared" si="21"/>
        <v>0</v>
      </c>
      <c r="AK50" s="150">
        <f t="shared" si="35"/>
        <v>0</v>
      </c>
      <c r="AM50" s="150" t="str">
        <f t="shared" si="29"/>
        <v>1.46962837010989E-07+0.000542149105041408i</v>
      </c>
      <c r="AN50" s="150" t="str">
        <f t="shared" si="30"/>
        <v>0.0005421491316i</v>
      </c>
      <c r="AO50" s="150" t="str">
        <f t="shared" si="31"/>
        <v>0.999999951012387-0.000271074559461655i</v>
      </c>
      <c r="AP50" s="150" t="str">
        <f t="shared" si="32"/>
        <v>0.166666642172861-0.000090358184173568i</v>
      </c>
      <c r="AQ50" s="150" t="str">
        <f t="shared" si="33"/>
        <v>0.833333357827139+0.000090358184173568i</v>
      </c>
      <c r="AR50" s="150" t="str">
        <f t="shared" si="34"/>
        <v>0.999599958866869-0.000108386441434065i</v>
      </c>
    </row>
    <row r="51" spans="7:44" x14ac:dyDescent="0.25">
      <c r="G51" s="594">
        <v>33.113</v>
      </c>
      <c r="H51" s="582">
        <f t="shared" si="26"/>
        <v>3.3112999999999997E-2</v>
      </c>
      <c r="I51" s="583">
        <f t="shared" si="0"/>
        <v>1.0005217135767095</v>
      </c>
      <c r="J51" s="584">
        <f t="shared" si="1"/>
        <v>3.2295103553422522E-2</v>
      </c>
      <c r="K51" s="584">
        <f t="shared" si="2"/>
        <v>1.0000000001600751</v>
      </c>
      <c r="L51" s="585">
        <f t="shared" si="3"/>
        <v>1.7892739874235941E-5</v>
      </c>
      <c r="M51" s="584">
        <f t="shared" si="4"/>
        <v>1.0000000396890796</v>
      </c>
      <c r="N51" s="585">
        <f t="shared" si="5"/>
        <v>-2.8174129388964202E-4</v>
      </c>
      <c r="O51" s="583">
        <f t="shared" si="6"/>
        <v>59.928216969610546</v>
      </c>
      <c r="P51" s="586">
        <f t="shared" si="7"/>
        <v>1.5541089220353892</v>
      </c>
      <c r="Q51" s="595">
        <f t="shared" si="8"/>
        <v>1.0003116173491504</v>
      </c>
      <c r="R51" s="596">
        <f t="shared" si="9"/>
        <v>2.4961428225123063E-2</v>
      </c>
      <c r="S51" s="583">
        <f t="shared" si="10"/>
        <v>1.0000000138518179</v>
      </c>
      <c r="T51" s="586">
        <f t="shared" si="11"/>
        <v>1.6644409033408453E-4</v>
      </c>
      <c r="U51" s="587">
        <f t="shared" si="27"/>
        <v>0.99959994289588505</v>
      </c>
      <c r="V51" s="588">
        <f t="shared" si="28"/>
        <v>-4.1611021783751655E-4</v>
      </c>
      <c r="W51" s="589">
        <f t="shared" si="12"/>
        <v>61.306230512377901</v>
      </c>
      <c r="X51" s="590">
        <f t="shared" si="13"/>
        <v>-89.5125661949386</v>
      </c>
      <c r="Y51" s="593">
        <f t="shared" si="14"/>
        <v>90.4874338050614</v>
      </c>
      <c r="AA51" s="150">
        <f t="shared" si="15"/>
        <v>1000000000</v>
      </c>
      <c r="AB51" s="150">
        <f t="shared" si="16"/>
        <v>1096.470769</v>
      </c>
      <c r="AD51" s="592">
        <f t="shared" si="17"/>
        <v>59.658528671910112</v>
      </c>
      <c r="AE51" s="593">
        <f t="shared" si="18"/>
        <v>-87.623234292360593</v>
      </c>
      <c r="AG51" s="592">
        <f t="shared" si="19"/>
        <v>27.042595890586604</v>
      </c>
      <c r="AH51" s="593">
        <f t="shared" si="20"/>
        <v>-1.8416491839348024</v>
      </c>
      <c r="AJ51" s="150">
        <f t="shared" si="21"/>
        <v>0</v>
      </c>
      <c r="AK51" s="150">
        <f t="shared" si="35"/>
        <v>0</v>
      </c>
      <c r="AM51" s="150" t="str">
        <f t="shared" si="29"/>
        <v>1.76681344998819E-07+0.000594443150244992i</v>
      </c>
      <c r="AN51" s="150" t="str">
        <f t="shared" si="30"/>
        <v>0.000594443185254i</v>
      </c>
      <c r="AO51" s="150" t="str">
        <f t="shared" si="31"/>
        <v>0.999999941106217-0.000297221583797491i</v>
      </c>
      <c r="AP51" s="150" t="str">
        <f t="shared" si="32"/>
        <v>0.166666637219776-0.0000990738583741653i</v>
      </c>
      <c r="AQ51" s="150" t="str">
        <f t="shared" si="33"/>
        <v>0.833333362780224+0.0000990738583741653i</v>
      </c>
      <c r="AR51" s="150" t="str">
        <f t="shared" si="34"/>
        <v>0.999599950549016-0.000118841064518419i</v>
      </c>
    </row>
    <row r="52" spans="7:44" x14ac:dyDescent="0.25">
      <c r="G52" s="594">
        <v>36.308</v>
      </c>
      <c r="H52" s="582">
        <f t="shared" si="26"/>
        <v>3.6308E-2</v>
      </c>
      <c r="I52" s="583">
        <f t="shared" si="0"/>
        <v>1.0006272155704754</v>
      </c>
      <c r="J52" s="584">
        <f t="shared" si="1"/>
        <v>3.5408697039957533E-2</v>
      </c>
      <c r="K52" s="584">
        <f t="shared" si="2"/>
        <v>1.0000000001924558</v>
      </c>
      <c r="L52" s="585">
        <f t="shared" si="3"/>
        <v>1.9619170698509181E-5</v>
      </c>
      <c r="M52" s="584">
        <f t="shared" si="4"/>
        <v>1.0000000477176032</v>
      </c>
      <c r="N52" s="585">
        <f t="shared" si="5"/>
        <v>-3.0892588541640652E-4</v>
      </c>
      <c r="O52" s="583">
        <f t="shared" si="6"/>
        <v>65.709018605443291</v>
      </c>
      <c r="P52" s="586">
        <f t="shared" si="7"/>
        <v>1.5555771281785067</v>
      </c>
      <c r="Q52" s="595">
        <f t="shared" si="8"/>
        <v>1.0003746412044572</v>
      </c>
      <c r="R52" s="596">
        <f t="shared" si="9"/>
        <v>2.7368751468684262E-2</v>
      </c>
      <c r="S52" s="583">
        <f t="shared" si="10"/>
        <v>1.000000016653839</v>
      </c>
      <c r="T52" s="586">
        <f t="shared" si="11"/>
        <v>1.825039114716595E-4</v>
      </c>
      <c r="U52" s="587">
        <f t="shared" si="27"/>
        <v>0.99959993134455438</v>
      </c>
      <c r="V52" s="588">
        <f t="shared" si="28"/>
        <v>-4.5625976808664798E-4</v>
      </c>
      <c r="W52" s="589">
        <f t="shared" si="12"/>
        <v>60.505989347116433</v>
      </c>
      <c r="X52" s="590">
        <f t="shared" si="13"/>
        <v>-89.641833719572162</v>
      </c>
      <c r="Y52" s="593">
        <f t="shared" si="14"/>
        <v>90.358166280427838</v>
      </c>
      <c r="AA52" s="150">
        <f t="shared" si="15"/>
        <v>1000000000</v>
      </c>
      <c r="AB52" s="150">
        <f t="shared" si="16"/>
        <v>1318.2708640000001</v>
      </c>
      <c r="AD52" s="592">
        <f t="shared" si="17"/>
        <v>58.859203389556704</v>
      </c>
      <c r="AE52" s="593">
        <f t="shared" si="18"/>
        <v>-87.570347005947099</v>
      </c>
      <c r="AG52" s="592">
        <f t="shared" si="19"/>
        <v>27.041680208426019</v>
      </c>
      <c r="AH52" s="593">
        <f t="shared" si="20"/>
        <v>-2.0192031954193617</v>
      </c>
      <c r="AJ52" s="150">
        <f t="shared" si="21"/>
        <v>0</v>
      </c>
      <c r="AK52" s="150">
        <f t="shared" si="35"/>
        <v>0</v>
      </c>
      <c r="AM52" s="150" t="str">
        <f t="shared" si="29"/>
        <v>2.12421411016628E-07+0.000651799644911929i</v>
      </c>
      <c r="AN52" s="150" t="str">
        <f t="shared" si="30"/>
        <v>0.000651799691064i</v>
      </c>
      <c r="AO52" s="150" t="str">
        <f t="shared" si="31"/>
        <v>0.999999929192862-0.000325899833842926i</v>
      </c>
      <c r="AP52" s="150" t="str">
        <f t="shared" si="32"/>
        <v>0.166666631263098-0.000108633274151988i</v>
      </c>
      <c r="AQ52" s="150" t="str">
        <f t="shared" si="33"/>
        <v>0.833333368736902+0.000108633274151988i</v>
      </c>
      <c r="AR52" s="150" t="str">
        <f t="shared" si="34"/>
        <v>0.999599940545802-0.000130307771724315i</v>
      </c>
    </row>
    <row r="53" spans="7:44" x14ac:dyDescent="0.25">
      <c r="G53" s="594">
        <v>39.811</v>
      </c>
      <c r="H53" s="582">
        <f t="shared" si="26"/>
        <v>3.9810999999999999E-2</v>
      </c>
      <c r="I53" s="583">
        <f t="shared" si="0"/>
        <v>1.0007540338143106</v>
      </c>
      <c r="J53" s="584">
        <f t="shared" si="1"/>
        <v>3.8821651514318489E-2</v>
      </c>
      <c r="K53" s="584">
        <f t="shared" si="2"/>
        <v>1.0000000002313838</v>
      </c>
      <c r="L53" s="585">
        <f t="shared" si="3"/>
        <v>2.151203053481544E-5</v>
      </c>
      <c r="M53" s="584">
        <f t="shared" si="4"/>
        <v>1.0000000573693777</v>
      </c>
      <c r="N53" s="585">
        <f t="shared" si="5"/>
        <v>-3.3873108805708684E-4</v>
      </c>
      <c r="O53" s="583">
        <f t="shared" si="6"/>
        <v>72.047228540231046</v>
      </c>
      <c r="P53" s="586">
        <f t="shared" si="7"/>
        <v>1.5569160966859112</v>
      </c>
      <c r="Q53" s="595">
        <f t="shared" si="8"/>
        <v>1.000450402313698</v>
      </c>
      <c r="R53" s="596">
        <f t="shared" si="9"/>
        <v>3.0007776551301057E-2</v>
      </c>
      <c r="S53" s="583">
        <f t="shared" si="10"/>
        <v>1.0000000200223884</v>
      </c>
      <c r="T53" s="586">
        <f t="shared" si="11"/>
        <v>2.0011190931149442E-4</v>
      </c>
      <c r="U53" s="587">
        <f t="shared" si="27"/>
        <v>0.99959991745771326</v>
      </c>
      <c r="V53" s="588">
        <f t="shared" si="28"/>
        <v>-5.0027976005271105E-4</v>
      </c>
      <c r="W53" s="589">
        <f t="shared" si="12"/>
        <v>59.705700323581816</v>
      </c>
      <c r="X53" s="590">
        <f t="shared" si="13"/>
        <v>-89.768024135034409</v>
      </c>
      <c r="Y53" s="593">
        <f t="shared" si="14"/>
        <v>90.231975864965591</v>
      </c>
      <c r="AA53" s="150">
        <f t="shared" si="15"/>
        <v>1000000000</v>
      </c>
      <c r="AB53" s="150">
        <f t="shared" si="16"/>
        <v>1584.9157210000001</v>
      </c>
      <c r="AD53" s="592">
        <f t="shared" si="17"/>
        <v>58.060015171570811</v>
      </c>
      <c r="AE53" s="593">
        <f t="shared" si="18"/>
        <v>-87.496868114937143</v>
      </c>
      <c r="AG53" s="592">
        <f t="shared" si="19"/>
        <v>27.040579644213004</v>
      </c>
      <c r="AH53" s="593">
        <f t="shared" si="20"/>
        <v>-2.2138281823780841</v>
      </c>
      <c r="AJ53" s="150">
        <f t="shared" si="21"/>
        <v>0</v>
      </c>
      <c r="AK53" s="150">
        <f t="shared" si="35"/>
        <v>0</v>
      </c>
      <c r="AM53" s="150" t="str">
        <f t="shared" si="29"/>
        <v>2.55387599956691E-07+0.000714685339097403i</v>
      </c>
      <c r="AN53" s="150" t="str">
        <f t="shared" si="30"/>
        <v>0.000714685399938i</v>
      </c>
      <c r="AO53" s="150" t="str">
        <f t="shared" si="31"/>
        <v>0.999999914870799-0.0003573426852974i</v>
      </c>
      <c r="AP53" s="150" t="str">
        <f t="shared" si="32"/>
        <v>0.166666624102067-0.000119114223182901i</v>
      </c>
      <c r="AQ53" s="150" t="str">
        <f t="shared" si="33"/>
        <v>0.833333375897933+0.000119114223182901i</v>
      </c>
      <c r="AR53" s="150" t="str">
        <f t="shared" si="34"/>
        <v>0.999599928520085-0.000142879875477274i</v>
      </c>
    </row>
    <row r="54" spans="7:44" x14ac:dyDescent="0.25">
      <c r="G54" s="594">
        <v>43.652000000000001</v>
      </c>
      <c r="H54" s="582">
        <f t="shared" si="26"/>
        <v>4.3652000000000003E-2</v>
      </c>
      <c r="I54" s="583">
        <f t="shared" si="0"/>
        <v>1.0009064833918837</v>
      </c>
      <c r="J54" s="584">
        <f t="shared" si="1"/>
        <v>4.2562874927190616E-2</v>
      </c>
      <c r="K54" s="584">
        <f t="shared" si="2"/>
        <v>1.0000000002781859</v>
      </c>
      <c r="L54" s="585">
        <f t="shared" si="3"/>
        <v>2.3587530001167116E-5</v>
      </c>
      <c r="M54" s="584">
        <f t="shared" si="4"/>
        <v>1.0000000689734987</v>
      </c>
      <c r="N54" s="585">
        <f t="shared" si="5"/>
        <v>-3.7141215597397782E-4</v>
      </c>
      <c r="O54" s="583">
        <f t="shared" si="6"/>
        <v>78.997127755713734</v>
      </c>
      <c r="P54" s="586">
        <f t="shared" si="7"/>
        <v>1.5581373006074832</v>
      </c>
      <c r="Q54" s="595">
        <f t="shared" si="8"/>
        <v>1.0005414806730948</v>
      </c>
      <c r="R54" s="596">
        <f t="shared" si="9"/>
        <v>3.2900955958967158E-2</v>
      </c>
      <c r="S54" s="583">
        <f t="shared" si="10"/>
        <v>1.000000024072323</v>
      </c>
      <c r="T54" s="586">
        <f t="shared" si="11"/>
        <v>2.194188802511986E-4</v>
      </c>
      <c r="U54" s="587">
        <f t="shared" si="27"/>
        <v>0.99959990076186123</v>
      </c>
      <c r="V54" s="588">
        <f t="shared" si="28"/>
        <v>-5.4854718246253621E-4</v>
      </c>
      <c r="W54" s="589">
        <f t="shared" si="12"/>
        <v>58.905287451613617</v>
      </c>
      <c r="X54" s="590">
        <f t="shared" si="13"/>
        <v>-89.892208605590781</v>
      </c>
      <c r="Y54" s="593">
        <f t="shared" si="14"/>
        <v>90.107791394409219</v>
      </c>
      <c r="AA54" s="150">
        <f t="shared" si="15"/>
        <v>1000000000</v>
      </c>
      <c r="AB54" s="150">
        <f t="shared" si="16"/>
        <v>1905.497104</v>
      </c>
      <c r="AD54" s="592">
        <f t="shared" si="17"/>
        <v>57.260925405205711</v>
      </c>
      <c r="AE54" s="593">
        <f t="shared" si="18"/>
        <v>-87.402177183976434</v>
      </c>
      <c r="AG54" s="592">
        <f t="shared" si="19"/>
        <v>27.039256828762646</v>
      </c>
      <c r="AH54" s="593">
        <f t="shared" si="20"/>
        <v>-2.427172544704725</v>
      </c>
      <c r="AJ54" s="150">
        <f t="shared" si="21"/>
        <v>0</v>
      </c>
      <c r="AK54" s="150">
        <f t="shared" si="35"/>
        <v>0</v>
      </c>
      <c r="AM54" s="150" t="str">
        <f t="shared" si="29"/>
        <v>3.07044924041655E-07+0.000783638790411886i</v>
      </c>
      <c r="AN54" s="150" t="str">
        <f t="shared" si="30"/>
        <v>0.000783638870616i</v>
      </c>
      <c r="AO54" s="150" t="str">
        <f t="shared" si="31"/>
        <v>0.99999989765169-0.000391819415236886i</v>
      </c>
      <c r="AP54" s="150" t="str">
        <f t="shared" si="32"/>
        <v>0.166666615492513-0.000130606465068648i</v>
      </c>
      <c r="AQ54" s="150" t="str">
        <f t="shared" si="33"/>
        <v>0.833333384507487+0.000130606465068648i</v>
      </c>
      <c r="AR54" s="150" t="str">
        <f t="shared" si="34"/>
        <v>0.999599914061823-0.000156665043889606i</v>
      </c>
    </row>
    <row r="55" spans="7:44" x14ac:dyDescent="0.25">
      <c r="G55" s="594">
        <v>47.863</v>
      </c>
      <c r="H55" s="582">
        <f t="shared" si="26"/>
        <v>4.7863000000000003E-2</v>
      </c>
      <c r="I55" s="583">
        <f t="shared" si="0"/>
        <v>1.0010897117237223</v>
      </c>
      <c r="J55" s="584">
        <f t="shared" si="1"/>
        <v>4.6663113555113142E-2</v>
      </c>
      <c r="K55" s="584">
        <f t="shared" si="2"/>
        <v>1.0000000003344462</v>
      </c>
      <c r="L55" s="585">
        <f t="shared" si="3"/>
        <v>2.5862960423428877E-5</v>
      </c>
      <c r="M55" s="584">
        <f t="shared" si="4"/>
        <v>1.0000000829227684</v>
      </c>
      <c r="N55" s="585">
        <f t="shared" si="5"/>
        <v>-4.0724136021410233E-4</v>
      </c>
      <c r="O55" s="583">
        <f t="shared" si="6"/>
        <v>86.616616984776286</v>
      </c>
      <c r="P55" s="586">
        <f t="shared" si="7"/>
        <v>1.5592509414965052</v>
      </c>
      <c r="Q55" s="595">
        <f t="shared" si="8"/>
        <v>1.0006509546514071</v>
      </c>
      <c r="R55" s="596">
        <f t="shared" si="9"/>
        <v>3.6072197857851679E-2</v>
      </c>
      <c r="S55" s="583">
        <f t="shared" si="10"/>
        <v>1.000000028940734</v>
      </c>
      <c r="T55" s="586">
        <f t="shared" si="11"/>
        <v>2.4058567376930269E-4</v>
      </c>
      <c r="U55" s="587">
        <f t="shared" si="27"/>
        <v>0.99959988069184147</v>
      </c>
      <c r="V55" s="588">
        <f t="shared" si="28"/>
        <v>-6.0146416072195713E-4</v>
      </c>
      <c r="W55" s="589">
        <f t="shared" si="12"/>
        <v>58.104849430638822</v>
      </c>
      <c r="X55" s="590">
        <f t="shared" si="13"/>
        <v>-90.01541029740082</v>
      </c>
      <c r="Y55" s="593">
        <f t="shared" si="14"/>
        <v>89.98458970259918</v>
      </c>
      <c r="AA55" s="150">
        <f t="shared" si="15"/>
        <v>1000000000</v>
      </c>
      <c r="AB55" s="150">
        <f t="shared" si="16"/>
        <v>2290.8667689999997</v>
      </c>
      <c r="AD55" s="592">
        <f t="shared" si="17"/>
        <v>56.462077351160076</v>
      </c>
      <c r="AE55" s="593">
        <f t="shared" si="18"/>
        <v>-87.285498097990541</v>
      </c>
      <c r="AG55" s="592">
        <f t="shared" si="19"/>
        <v>27.037667210624985</v>
      </c>
      <c r="AH55" s="593">
        <f t="shared" si="20"/>
        <v>-2.6609894834560213</v>
      </c>
      <c r="AJ55" s="150">
        <f t="shared" si="21"/>
        <v>0</v>
      </c>
      <c r="AK55" s="150">
        <f t="shared" si="35"/>
        <v>0</v>
      </c>
      <c r="AM55" s="150" t="str">
        <f t="shared" si="29"/>
        <v>3.69141996969802E-07+0.000859234460027476i</v>
      </c>
      <c r="AN55" s="150" t="str">
        <f t="shared" si="30"/>
        <v>0.000859234565754i</v>
      </c>
      <c r="AO55" s="150" t="str">
        <f t="shared" si="31"/>
        <v>0.999999876952664-0.000429617256663634i</v>
      </c>
      <c r="AP55" s="150" t="str">
        <f t="shared" si="32"/>
        <v>0.166666605143-0.000143205743337913i</v>
      </c>
      <c r="AQ55" s="150" t="str">
        <f t="shared" si="33"/>
        <v>0.833333394857+0.000143205743337913i</v>
      </c>
      <c r="AR55" s="150" t="str">
        <f t="shared" si="34"/>
        <v>0.999599896681602-0.000171778122811644i</v>
      </c>
    </row>
    <row r="56" spans="7:44" x14ac:dyDescent="0.25">
      <c r="G56" s="594">
        <v>52.481000000000002</v>
      </c>
      <c r="H56" s="582">
        <f t="shared" si="26"/>
        <v>5.2481E-2</v>
      </c>
      <c r="I56" s="583">
        <f t="shared" si="0"/>
        <v>1.001309990632177</v>
      </c>
      <c r="J56" s="584">
        <f t="shared" si="1"/>
        <v>5.1157837446158948E-2</v>
      </c>
      <c r="K56" s="584">
        <f t="shared" si="2"/>
        <v>1.000000000402097</v>
      </c>
      <c r="L56" s="585">
        <f t="shared" si="3"/>
        <v>2.8358314897117932E-5</v>
      </c>
      <c r="M56" s="584">
        <f t="shared" si="4"/>
        <v>1.0000000996960978</v>
      </c>
      <c r="N56" s="585">
        <f t="shared" si="5"/>
        <v>-4.465335141216613E-4</v>
      </c>
      <c r="O56" s="583">
        <f t="shared" si="6"/>
        <v>94.97264496581198</v>
      </c>
      <c r="P56" s="586">
        <f t="shared" si="7"/>
        <v>1.56026678453415</v>
      </c>
      <c r="Q56" s="595">
        <f t="shared" si="8"/>
        <v>1.0007825760175795</v>
      </c>
      <c r="R56" s="596">
        <f t="shared" si="9"/>
        <v>3.9549108809389624E-2</v>
      </c>
      <c r="S56" s="583">
        <f t="shared" si="10"/>
        <v>1.0000000347947651</v>
      </c>
      <c r="T56" s="586">
        <f t="shared" si="11"/>
        <v>2.6379827206424075E-4</v>
      </c>
      <c r="U56" s="587">
        <f t="shared" si="27"/>
        <v>0.99959985655860728</v>
      </c>
      <c r="V56" s="588">
        <f t="shared" si="28"/>
        <v>-6.5949564838713691E-4</v>
      </c>
      <c r="W56" s="589">
        <f t="shared" si="12"/>
        <v>57.304134404097844</v>
      </c>
      <c r="X56" s="590">
        <f t="shared" si="13"/>
        <v>-90.138693446557156</v>
      </c>
      <c r="Y56" s="593">
        <f t="shared" si="14"/>
        <v>89.861306553442844</v>
      </c>
      <c r="AA56" s="150">
        <f t="shared" si="15"/>
        <v>1000000000</v>
      </c>
      <c r="AB56" s="150">
        <f t="shared" si="16"/>
        <v>2754.255361</v>
      </c>
      <c r="AD56" s="592">
        <f t="shared" si="17"/>
        <v>55.663273413392858</v>
      </c>
      <c r="AE56" s="593">
        <f t="shared" si="18"/>
        <v>-87.14581927718362</v>
      </c>
      <c r="AG56" s="592">
        <f t="shared" si="19"/>
        <v>27.035756541256255</v>
      </c>
      <c r="AH56" s="593">
        <f t="shared" si="20"/>
        <v>-2.9173015347675144</v>
      </c>
      <c r="AJ56" s="150">
        <f t="shared" si="21"/>
        <v>0</v>
      </c>
      <c r="AK56" s="150">
        <f t="shared" si="35"/>
        <v>0</v>
      </c>
      <c r="AM56" s="150" t="str">
        <f t="shared" si="29"/>
        <v>4.43810755035301E-07+0.000942136568421195i</v>
      </c>
      <c r="AN56" s="150" t="str">
        <f t="shared" si="30"/>
        <v>0.000942136707798i</v>
      </c>
      <c r="AO56" s="150" t="str">
        <f t="shared" si="31"/>
        <v>0.999999852063078-0.000471068318813937i</v>
      </c>
      <c r="AP56" s="150" t="str">
        <f t="shared" si="32"/>
        <v>0.166666592698207-0.000157022761403532i</v>
      </c>
      <c r="AQ56" s="150" t="str">
        <f t="shared" si="33"/>
        <v>0.833333407301793+0.000157022761403532i</v>
      </c>
      <c r="AR56" s="150" t="str">
        <f t="shared" si="34"/>
        <v>0.999599875782721-0.000188351902634316i</v>
      </c>
    </row>
    <row r="57" spans="7:44" x14ac:dyDescent="0.25">
      <c r="G57" s="594">
        <v>57.544000000000004</v>
      </c>
      <c r="H57" s="582">
        <f t="shared" si="26"/>
        <v>5.7544000000000005E-2</v>
      </c>
      <c r="I57" s="583">
        <f t="shared" si="0"/>
        <v>1.0015747319343606</v>
      </c>
      <c r="J57" s="584">
        <f t="shared" si="1"/>
        <v>5.6083299181723605E-2</v>
      </c>
      <c r="K57" s="584">
        <f t="shared" si="2"/>
        <v>1.0000000004834224</v>
      </c>
      <c r="L57" s="585">
        <f t="shared" si="3"/>
        <v>3.109412687165413E-5</v>
      </c>
      <c r="M57" s="584">
        <f t="shared" si="4"/>
        <v>1.0000001198599375</v>
      </c>
      <c r="N57" s="585">
        <f t="shared" si="5"/>
        <v>-4.8961193939151253E-4</v>
      </c>
      <c r="O57" s="583">
        <f t="shared" si="6"/>
        <v>104.13397070992566</v>
      </c>
      <c r="P57" s="586">
        <f t="shared" si="7"/>
        <v>1.5611931649883575</v>
      </c>
      <c r="Q57" s="595">
        <f t="shared" si="8"/>
        <v>1.0009407800234023</v>
      </c>
      <c r="R57" s="596">
        <f t="shared" si="9"/>
        <v>4.3359959851221298E-2</v>
      </c>
      <c r="S57" s="583">
        <f t="shared" si="10"/>
        <v>1.0000000418321129</v>
      </c>
      <c r="T57" s="586">
        <f t="shared" si="11"/>
        <v>2.8924768385599892E-4</v>
      </c>
      <c r="U57" s="587">
        <f t="shared" si="27"/>
        <v>0.99959982754715815</v>
      </c>
      <c r="V57" s="588">
        <f t="shared" si="28"/>
        <v>-7.2311916846192891E-4</v>
      </c>
      <c r="W57" s="589">
        <f t="shared" si="12"/>
        <v>56.503333113934495</v>
      </c>
      <c r="X57" s="590">
        <f t="shared" si="13"/>
        <v>-90.263048590040952</v>
      </c>
      <c r="Y57" s="593">
        <f t="shared" si="14"/>
        <v>89.736951409959048</v>
      </c>
      <c r="AA57" s="150">
        <f t="shared" si="15"/>
        <v>1000000000</v>
      </c>
      <c r="AB57" s="150">
        <f t="shared" si="16"/>
        <v>3311.3119360000005</v>
      </c>
      <c r="AD57" s="592">
        <f t="shared" si="17"/>
        <v>54.864768401267618</v>
      </c>
      <c r="AE57" s="593">
        <f t="shared" si="18"/>
        <v>-86.982009430082726</v>
      </c>
      <c r="AG57" s="592">
        <f t="shared" si="19"/>
        <v>27.033460767400395</v>
      </c>
      <c r="AH57" s="593">
        <f t="shared" si="20"/>
        <v>-3.1981758069877948</v>
      </c>
      <c r="AJ57" s="150">
        <f t="shared" si="21"/>
        <v>0</v>
      </c>
      <c r="AK57" s="150">
        <f t="shared" si="35"/>
        <v>0</v>
      </c>
      <c r="AM57" s="150" t="str">
        <f t="shared" si="29"/>
        <v>5.33572831029616E-07+0.0010330272874202i</v>
      </c>
      <c r="AN57" s="150" t="str">
        <f t="shared" si="30"/>
        <v>0.001033027471152i</v>
      </c>
      <c r="AO57" s="150" t="str">
        <f t="shared" si="31"/>
        <v>0.999999822142387-0.000516513690032456i</v>
      </c>
      <c r="AP57" s="150" t="str">
        <f t="shared" si="32"/>
        <v>0.166666577737862-0.000172171214570033i</v>
      </c>
      <c r="AQ57" s="150" t="str">
        <f t="shared" si="33"/>
        <v>0.833333422262138+0.000172171214570033i</v>
      </c>
      <c r="AR57" s="150" t="str">
        <f t="shared" si="34"/>
        <v>0.999599850659406-0.000206522762407477i</v>
      </c>
    </row>
    <row r="58" spans="7:44" x14ac:dyDescent="0.25">
      <c r="G58" s="594">
        <v>63.095999999999997</v>
      </c>
      <c r="H58" s="582">
        <f t="shared" si="26"/>
        <v>6.3095999999999999E-2</v>
      </c>
      <c r="I58" s="583">
        <f t="shared" si="0"/>
        <v>1.0018929587645187</v>
      </c>
      <c r="J58" s="584">
        <f t="shared" si="1"/>
        <v>6.1481338675485844E-2</v>
      </c>
      <c r="K58" s="584">
        <f t="shared" si="2"/>
        <v>1.0000000005812062</v>
      </c>
      <c r="L58" s="585">
        <f t="shared" si="3"/>
        <v>3.4094171920026293E-5</v>
      </c>
      <c r="M58" s="584">
        <f t="shared" si="4"/>
        <v>1.0000001441045199</v>
      </c>
      <c r="N58" s="585">
        <f t="shared" si="5"/>
        <v>-5.3685100842014574E-4</v>
      </c>
      <c r="O58" s="583">
        <f t="shared" si="6"/>
        <v>114.18021071689058</v>
      </c>
      <c r="P58" s="586">
        <f t="shared" si="7"/>
        <v>1.5620381297468122</v>
      </c>
      <c r="Q58" s="595">
        <f t="shared" si="8"/>
        <v>1.0011309681395053</v>
      </c>
      <c r="R58" s="596">
        <f t="shared" si="9"/>
        <v>4.753742230599764E-2</v>
      </c>
      <c r="S58" s="583">
        <f t="shared" si="10"/>
        <v>1.0000000502936737</v>
      </c>
      <c r="T58" s="586">
        <f t="shared" si="11"/>
        <v>3.1715507711711072E-4</v>
      </c>
      <c r="U58" s="587">
        <f t="shared" si="27"/>
        <v>0.99959979266439047</v>
      </c>
      <c r="V58" s="588">
        <f t="shared" si="28"/>
        <v>-7.9288763792667745E-4</v>
      </c>
      <c r="W58" s="589">
        <f t="shared" si="12"/>
        <v>55.702255664242692</v>
      </c>
      <c r="X58" s="590">
        <f t="shared" si="13"/>
        <v>-90.389526541645026</v>
      </c>
      <c r="Y58" s="593">
        <f t="shared" si="14"/>
        <v>89.610473458354974</v>
      </c>
      <c r="AA58" s="150">
        <f t="shared" si="15"/>
        <v>1000000000</v>
      </c>
      <c r="AB58" s="150">
        <f t="shared" si="16"/>
        <v>3981.1052159999995</v>
      </c>
      <c r="AD58" s="592">
        <f t="shared" si="17"/>
        <v>54.066450342202124</v>
      </c>
      <c r="AE58" s="593">
        <f t="shared" si="18"/>
        <v>-86.792670352481139</v>
      </c>
      <c r="AG58" s="592">
        <f t="shared" si="19"/>
        <v>27.030701982992433</v>
      </c>
      <c r="AH58" s="593">
        <f t="shared" si="20"/>
        <v>-3.5059979584974745</v>
      </c>
      <c r="AJ58" s="150">
        <f t="shared" si="21"/>
        <v>0</v>
      </c>
      <c r="AK58" s="150">
        <f t="shared" si="35"/>
        <v>0</v>
      </c>
      <c r="AM58" s="150" t="str">
        <f t="shared" si="29"/>
        <v>6.41500885967261E-07+0.00113269649975934i</v>
      </c>
      <c r="AN58" s="150" t="str">
        <f t="shared" si="30"/>
        <v>0.001132696741968i</v>
      </c>
      <c r="AO58" s="150" t="str">
        <f t="shared" si="31"/>
        <v>0.999999786166366-0.000566348310363008i</v>
      </c>
      <c r="AP58" s="150" t="str">
        <f t="shared" si="32"/>
        <v>0.166666559749852-0.00018878274995989i</v>
      </c>
      <c r="AQ58" s="150" t="str">
        <f t="shared" si="33"/>
        <v>0.833333440250148+0.00018878274995989i</v>
      </c>
      <c r="AR58" s="150" t="str">
        <f t="shared" si="34"/>
        <v>0.999599820451655-0.000226448614503733i</v>
      </c>
    </row>
    <row r="59" spans="7:44" x14ac:dyDescent="0.25">
      <c r="G59" s="594">
        <v>69.183000000000007</v>
      </c>
      <c r="H59" s="582">
        <f t="shared" si="26"/>
        <v>6.9183000000000008E-2</v>
      </c>
      <c r="I59" s="583">
        <f t="shared" si="0"/>
        <v>1.00227537679326</v>
      </c>
      <c r="J59" s="584">
        <f t="shared" si="1"/>
        <v>6.7395410885993365E-2</v>
      </c>
      <c r="K59" s="584">
        <f t="shared" si="2"/>
        <v>1.0000000006987557</v>
      </c>
      <c r="L59" s="585">
        <f t="shared" si="3"/>
        <v>3.738330632303686E-5</v>
      </c>
      <c r="M59" s="584">
        <f t="shared" si="4"/>
        <v>1.0000001732497921</v>
      </c>
      <c r="N59" s="585">
        <f t="shared" si="5"/>
        <v>-5.886421103378246E-4</v>
      </c>
      <c r="O59" s="583">
        <f t="shared" si="6"/>
        <v>125.19460112579878</v>
      </c>
      <c r="P59" s="586">
        <f t="shared" si="7"/>
        <v>1.5628086769693854</v>
      </c>
      <c r="Q59" s="595">
        <f t="shared" si="8"/>
        <v>1.0013595522108936</v>
      </c>
      <c r="R59" s="596">
        <f t="shared" si="9"/>
        <v>5.2115519325279247E-2</v>
      </c>
      <c r="S59" s="583">
        <f t="shared" si="10"/>
        <v>1.0000000604656161</v>
      </c>
      <c r="T59" s="586">
        <f t="shared" si="11"/>
        <v>3.4775167286990735E-4</v>
      </c>
      <c r="U59" s="587">
        <f t="shared" si="27"/>
        <v>0.9995997507305826</v>
      </c>
      <c r="V59" s="588">
        <f t="shared" si="28"/>
        <v>-8.6937911013192624E-4</v>
      </c>
      <c r="W59" s="589">
        <f t="shared" si="12"/>
        <v>54.901028506541714</v>
      </c>
      <c r="X59" s="590">
        <f t="shared" si="13"/>
        <v>-90.519136037920404</v>
      </c>
      <c r="Y59" s="593">
        <f t="shared" si="14"/>
        <v>89.480863962079596</v>
      </c>
      <c r="AA59" s="150">
        <f t="shared" si="15"/>
        <v>1000000000</v>
      </c>
      <c r="AB59" s="150">
        <f t="shared" si="16"/>
        <v>4786.2874890000012</v>
      </c>
      <c r="AD59" s="592">
        <f t="shared" si="17"/>
        <v>53.26853802708095</v>
      </c>
      <c r="AE59" s="593">
        <f t="shared" si="18"/>
        <v>-86.576266874400673</v>
      </c>
      <c r="AG59" s="592">
        <f t="shared" si="19"/>
        <v>27.027387869169139</v>
      </c>
      <c r="AH59" s="593">
        <f t="shared" si="20"/>
        <v>-3.8432456557910903</v>
      </c>
      <c r="AJ59" s="150">
        <f t="shared" si="21"/>
        <v>0</v>
      </c>
      <c r="AK59" s="150">
        <f t="shared" si="35"/>
        <v>0</v>
      </c>
      <c r="AM59" s="150" t="str">
        <f t="shared" si="29"/>
        <v>7.71245026953693E-07+0.00124196999102618i</v>
      </c>
      <c r="AN59" s="150" t="str">
        <f t="shared" si="30"/>
        <v>0.001241970310314i</v>
      </c>
      <c r="AO59" s="150" t="str">
        <f t="shared" si="31"/>
        <v>0.999999742918315-0.000620985075527855i</v>
      </c>
      <c r="AP59" s="150" t="str">
        <f t="shared" si="32"/>
        <v>0.166666538125829-0.000206994998504363i</v>
      </c>
      <c r="AQ59" s="150" t="str">
        <f t="shared" si="33"/>
        <v>0.833333461874171+0.000206994998504363i</v>
      </c>
      <c r="AR59" s="150" t="str">
        <f t="shared" si="34"/>
        <v>0.999599784137852-0.000248294548687904i</v>
      </c>
    </row>
    <row r="60" spans="7:44" x14ac:dyDescent="0.25">
      <c r="G60" s="594">
        <v>75.858000000000004</v>
      </c>
      <c r="H60" s="582">
        <f t="shared" si="26"/>
        <v>7.5858000000000009E-2</v>
      </c>
      <c r="I60" s="583">
        <f t="shared" si="0"/>
        <v>1.0027350019387418</v>
      </c>
      <c r="J60" s="584">
        <f t="shared" si="1"/>
        <v>7.3875339901132181E-2</v>
      </c>
      <c r="K60" s="584">
        <f t="shared" si="2"/>
        <v>1.0000000008400969</v>
      </c>
      <c r="L60" s="585">
        <f t="shared" si="3"/>
        <v>4.0990168838959244E-5</v>
      </c>
      <c r="M60" s="584">
        <f t="shared" si="4"/>
        <v>1.0000002082939761</v>
      </c>
      <c r="N60" s="585">
        <f t="shared" si="5"/>
        <v>-6.4543619332470769E-4</v>
      </c>
      <c r="O60" s="583">
        <f t="shared" si="6"/>
        <v>137.27304512436766</v>
      </c>
      <c r="P60" s="586">
        <f t="shared" si="7"/>
        <v>1.5635115110183866</v>
      </c>
      <c r="Q60" s="595">
        <f t="shared" si="8"/>
        <v>1.0016343319203611</v>
      </c>
      <c r="R60" s="596">
        <f t="shared" si="9"/>
        <v>5.7133337953547303E-2</v>
      </c>
      <c r="S60" s="583">
        <f t="shared" si="10"/>
        <v>1.0000000726963281</v>
      </c>
      <c r="T60" s="586">
        <f t="shared" si="11"/>
        <v>3.8130387791032559E-4</v>
      </c>
      <c r="U60" s="587">
        <f t="shared" si="27"/>
        <v>0.99959970030950407</v>
      </c>
      <c r="V60" s="588">
        <f t="shared" si="28"/>
        <v>-9.5325959974156774E-4</v>
      </c>
      <c r="W60" s="589">
        <f t="shared" si="12"/>
        <v>54.099435791474882</v>
      </c>
      <c r="X60" s="590">
        <f t="shared" si="13"/>
        <v>-90.652954018166426</v>
      </c>
      <c r="Y60" s="593">
        <f t="shared" si="14"/>
        <v>89.347045981833574</v>
      </c>
      <c r="AA60" s="150">
        <f t="shared" si="15"/>
        <v>1000000000</v>
      </c>
      <c r="AB60" s="150">
        <f t="shared" si="16"/>
        <v>5754.4361640000006</v>
      </c>
      <c r="AD60" s="592">
        <f t="shared" si="17"/>
        <v>52.470927721524362</v>
      </c>
      <c r="AE60" s="593">
        <f t="shared" si="18"/>
        <v>-86.330958868806533</v>
      </c>
      <c r="AG60" s="592">
        <f t="shared" si="19"/>
        <v>27.023406335913496</v>
      </c>
      <c r="AH60" s="593">
        <f t="shared" si="20"/>
        <v>-4.2127596455440344</v>
      </c>
      <c r="AJ60" s="150">
        <f t="shared" si="21"/>
        <v>0</v>
      </c>
      <c r="AK60" s="150">
        <f t="shared" si="35"/>
        <v>0</v>
      </c>
      <c r="AM60" s="150" t="str">
        <f t="shared" si="29"/>
        <v>0.0000009272489730483+0.00136179920905487i</v>
      </c>
      <c r="AN60" s="150" t="str">
        <f t="shared" si="30"/>
        <v>0.001361799629964i</v>
      </c>
      <c r="AO60" s="150" t="str">
        <f t="shared" si="31"/>
        <v>0.999999690916989-0.000680899709946912i</v>
      </c>
      <c r="AP60" s="150" t="str">
        <f t="shared" si="32"/>
        <v>0.166666512125171-0.000226966534842478i</v>
      </c>
      <c r="AQ60" s="150" t="str">
        <f t="shared" si="33"/>
        <v>0.833333487874829+0.000226966534842478i</v>
      </c>
      <c r="AR60" s="150" t="str">
        <f t="shared" si="34"/>
        <v>0.999599740474255-0.000272250776701008i</v>
      </c>
    </row>
    <row r="61" spans="7:44" x14ac:dyDescent="0.25">
      <c r="G61" s="594">
        <v>83.176000000000002</v>
      </c>
      <c r="H61" s="582">
        <f t="shared" si="26"/>
        <v>8.3176E-2</v>
      </c>
      <c r="I61" s="583">
        <f t="shared" si="0"/>
        <v>1.0032872382937827</v>
      </c>
      <c r="J61" s="584">
        <f t="shared" si="1"/>
        <v>8.0972322867002844E-2</v>
      </c>
      <c r="K61" s="584">
        <f t="shared" si="2"/>
        <v>1.000000001010003</v>
      </c>
      <c r="L61" s="585">
        <f t="shared" si="3"/>
        <v>4.4944478933838079E-5</v>
      </c>
      <c r="M61" s="584">
        <f t="shared" si="4"/>
        <v>1.0000002504205621</v>
      </c>
      <c r="N61" s="585">
        <f t="shared" si="5"/>
        <v>-7.0770122212912589E-4</v>
      </c>
      <c r="O61" s="583">
        <f t="shared" si="6"/>
        <v>150.51506547094741</v>
      </c>
      <c r="P61" s="586">
        <f t="shared" si="7"/>
        <v>1.564152424712306</v>
      </c>
      <c r="Q61" s="595">
        <f t="shared" si="8"/>
        <v>1.0019645446687302</v>
      </c>
      <c r="R61" s="596">
        <f t="shared" si="9"/>
        <v>6.2631203959864698E-2</v>
      </c>
      <c r="S61" s="583">
        <f t="shared" si="10"/>
        <v>1.0000000873988577</v>
      </c>
      <c r="T61" s="586">
        <f t="shared" si="11"/>
        <v>4.1808815204995547E-4</v>
      </c>
      <c r="U61" s="587">
        <f t="shared" si="27"/>
        <v>0.99959963969837462</v>
      </c>
      <c r="V61" s="588">
        <f t="shared" si="28"/>
        <v>-1.0452202544905193E-3</v>
      </c>
      <c r="W61" s="589">
        <f t="shared" si="12"/>
        <v>53.297622197661376</v>
      </c>
      <c r="X61" s="590">
        <f t="shared" si="13"/>
        <v>-90.792015819890693</v>
      </c>
      <c r="Y61" s="593">
        <f t="shared" si="14"/>
        <v>89.207984180109307</v>
      </c>
      <c r="AA61" s="150">
        <f t="shared" si="15"/>
        <v>1000000000</v>
      </c>
      <c r="AB61" s="150">
        <f t="shared" si="16"/>
        <v>6918.2469760000004</v>
      </c>
      <c r="AD61" s="592">
        <f t="shared" si="17"/>
        <v>51.673896551183994</v>
      </c>
      <c r="AE61" s="593">
        <f t="shared" si="18"/>
        <v>-86.05478358335489</v>
      </c>
      <c r="AG61" s="592">
        <f t="shared" si="19"/>
        <v>27.018624965785193</v>
      </c>
      <c r="AH61" s="593">
        <f t="shared" si="20"/>
        <v>-4.6174588179111531</v>
      </c>
      <c r="AJ61" s="150">
        <f t="shared" si="21"/>
        <v>0</v>
      </c>
      <c r="AK61" s="150">
        <f t="shared" si="35"/>
        <v>0</v>
      </c>
      <c r="AM61" s="150" t="str">
        <f t="shared" si="29"/>
        <v>1.11478119102504E-06+0.00149317150375458i</v>
      </c>
      <c r="AN61" s="150" t="str">
        <f t="shared" si="30"/>
        <v>0.001493172058608i</v>
      </c>
      <c r="AO61" s="150" t="str">
        <f t="shared" si="31"/>
        <v>0.99999962840624-0.000746585890486249i</v>
      </c>
      <c r="AP61" s="150" t="str">
        <f t="shared" si="32"/>
        <v>0.166666480869801-0.00024886191729243i</v>
      </c>
      <c r="AQ61" s="150" t="str">
        <f t="shared" si="33"/>
        <v>0.833333519130199+0.00024886191729243i</v>
      </c>
      <c r="AR61" s="150" t="str">
        <f t="shared" si="34"/>
        <v>0.999599687986288-0.000298514687296907i</v>
      </c>
    </row>
    <row r="62" spans="7:44" x14ac:dyDescent="0.25">
      <c r="G62" s="594">
        <v>91.201000000000008</v>
      </c>
      <c r="H62" s="582">
        <f t="shared" si="26"/>
        <v>9.1201000000000004E-2</v>
      </c>
      <c r="I62" s="583">
        <f t="shared" si="0"/>
        <v>1.0039508494882983</v>
      </c>
      <c r="J62" s="584">
        <f t="shared" si="1"/>
        <v>8.874554090843649E-2</v>
      </c>
      <c r="K62" s="584">
        <f t="shared" si="2"/>
        <v>1.0000000012142995</v>
      </c>
      <c r="L62" s="585">
        <f t="shared" si="3"/>
        <v>4.928081925900134E-5</v>
      </c>
      <c r="M62" s="584">
        <f t="shared" si="4"/>
        <v>1.0000003010739038</v>
      </c>
      <c r="N62" s="585">
        <f t="shared" si="5"/>
        <v>-7.7598173727819479E-4</v>
      </c>
      <c r="O62" s="583">
        <f t="shared" si="6"/>
        <v>165.03647103422551</v>
      </c>
      <c r="P62" s="586">
        <f t="shared" si="7"/>
        <v>1.5647370229758479</v>
      </c>
      <c r="Q62" s="595">
        <f t="shared" si="8"/>
        <v>1.0023614510774799</v>
      </c>
      <c r="R62" s="596">
        <f t="shared" si="9"/>
        <v>6.8655857432396106E-2</v>
      </c>
      <c r="S62" s="583">
        <f t="shared" si="10"/>
        <v>1.0000001050772969</v>
      </c>
      <c r="T62" s="586">
        <f t="shared" si="11"/>
        <v>4.5842619392278333E-4</v>
      </c>
      <c r="U62" s="587">
        <f t="shared" si="27"/>
        <v>0.99959956681908724</v>
      </c>
      <c r="V62" s="588">
        <f t="shared" si="28"/>
        <v>-1.1460653190737517E-3</v>
      </c>
      <c r="W62" s="589">
        <f t="shared" si="12"/>
        <v>52.495319493950376</v>
      </c>
      <c r="X62" s="590">
        <f t="shared" si="13"/>
        <v>-90.937449130753066</v>
      </c>
      <c r="Y62" s="593">
        <f t="shared" si="14"/>
        <v>89.062550869246934</v>
      </c>
      <c r="AA62" s="150">
        <f t="shared" si="15"/>
        <v>1000000000</v>
      </c>
      <c r="AB62" s="150">
        <f t="shared" si="16"/>
        <v>8317.6224010000005</v>
      </c>
      <c r="AD62" s="592">
        <f t="shared" si="17"/>
        <v>50.877337307671063</v>
      </c>
      <c r="AE62" s="593">
        <f t="shared" si="18"/>
        <v>-85.745402578761258</v>
      </c>
      <c r="AG62" s="592">
        <f t="shared" si="19"/>
        <v>27.012882772137147</v>
      </c>
      <c r="AH62" s="593">
        <f t="shared" si="20"/>
        <v>-5.0607171401832591</v>
      </c>
      <c r="AJ62" s="150">
        <f t="shared" si="21"/>
        <v>0</v>
      </c>
      <c r="AK62" s="150">
        <f t="shared" si="35"/>
        <v>0</v>
      </c>
      <c r="AM62" s="150" t="str">
        <f t="shared" si="29"/>
        <v>0.0000013402714139632+0.00163723579011083i</v>
      </c>
      <c r="AN62" s="150" t="str">
        <f t="shared" si="30"/>
        <v>0.001637236521558i</v>
      </c>
      <c r="AO62" s="150" t="str">
        <f t="shared" si="31"/>
        <v>0.999999553242821-0.000818618077666502i</v>
      </c>
      <c r="AP62" s="150" t="str">
        <f t="shared" si="32"/>
        <v>0.166666443288098-0.000272872631685138i</v>
      </c>
      <c r="AQ62" s="150" t="str">
        <f t="shared" si="33"/>
        <v>0.833333556711902+0.000272872631685138i</v>
      </c>
      <c r="AR62" s="150" t="str">
        <f t="shared" si="34"/>
        <v>0.999599624874356-0.000327315968586684i</v>
      </c>
    </row>
    <row r="63" spans="7:44" x14ac:dyDescent="0.25">
      <c r="G63" s="594">
        <v>100</v>
      </c>
      <c r="H63" s="582">
        <f t="shared" si="26"/>
        <v>0.1</v>
      </c>
      <c r="I63" s="583">
        <f t="shared" si="0"/>
        <v>1.0047480856281754</v>
      </c>
      <c r="J63" s="584">
        <f t="shared" si="1"/>
        <v>9.7256100095809025E-2</v>
      </c>
      <c r="K63" s="584">
        <f t="shared" si="2"/>
        <v>1.0000000014599117</v>
      </c>
      <c r="L63" s="585">
        <f t="shared" si="3"/>
        <v>5.4035393527408712E-5</v>
      </c>
      <c r="M63" s="584">
        <f t="shared" si="4"/>
        <v>1.000000361971102</v>
      </c>
      <c r="N63" s="585">
        <f t="shared" si="5"/>
        <v>-8.5084780405345767E-4</v>
      </c>
      <c r="O63" s="583">
        <f t="shared" si="6"/>
        <v>180.95849972555874</v>
      </c>
      <c r="P63" s="586">
        <f t="shared" si="7"/>
        <v>1.5652701697408204</v>
      </c>
      <c r="Q63" s="595">
        <f t="shared" si="8"/>
        <v>1.0028384177533465</v>
      </c>
      <c r="R63" s="596">
        <f t="shared" si="9"/>
        <v>7.5255832051264057E-2</v>
      </c>
      <c r="S63" s="583">
        <f t="shared" si="10"/>
        <v>1.0000001263309282</v>
      </c>
      <c r="T63" s="586">
        <f t="shared" si="11"/>
        <v>5.0265478166610354E-4</v>
      </c>
      <c r="U63" s="587">
        <f t="shared" si="27"/>
        <v>0.99959947920110459</v>
      </c>
      <c r="V63" s="588">
        <f t="shared" si="28"/>
        <v>-1.2566367358036745E-3</v>
      </c>
      <c r="W63" s="589">
        <f t="shared" si="12"/>
        <v>51.692575330291525</v>
      </c>
      <c r="X63" s="590">
        <f t="shared" si="13"/>
        <v>-91.090351102140801</v>
      </c>
      <c r="Y63" s="593">
        <f t="shared" si="14"/>
        <v>88.909648897859199</v>
      </c>
      <c r="AA63" s="150">
        <f t="shared" si="15"/>
        <v>1000000000</v>
      </c>
      <c r="AB63" s="150">
        <f t="shared" si="16"/>
        <v>10000</v>
      </c>
      <c r="AD63" s="592">
        <f t="shared" si="17"/>
        <v>50.081488091419232</v>
      </c>
      <c r="AE63" s="593">
        <f t="shared" si="18"/>
        <v>-85.400333058717848</v>
      </c>
      <c r="AG63" s="592">
        <f t="shared" si="19"/>
        <v>27.005989347420179</v>
      </c>
      <c r="AH63" s="593">
        <f t="shared" si="20"/>
        <v>-5.5460180805731296</v>
      </c>
      <c r="AJ63" s="150">
        <f t="shared" si="21"/>
        <v>0</v>
      </c>
      <c r="AK63" s="150">
        <f t="shared" si="35"/>
        <v>0</v>
      </c>
      <c r="AM63" s="150" t="str">
        <f t="shared" si="29"/>
        <v>1.61136354703828E-06+0.00179519483576221i</v>
      </c>
      <c r="AN63" s="150" t="str">
        <f t="shared" si="30"/>
        <v>0.0017951958i</v>
      </c>
      <c r="AO63" s="150" t="str">
        <f t="shared" si="31"/>
        <v>0.999999462878762-0.000897597658727967i</v>
      </c>
      <c r="AP63" s="150" t="str">
        <f t="shared" si="32"/>
        <v>0.166666398106076-0.000299199139293702i</v>
      </c>
      <c r="AQ63" s="150" t="str">
        <f t="shared" si="33"/>
        <v>0.833333601893924+0.000299199139293702i</v>
      </c>
      <c r="AR63" s="150" t="str">
        <f t="shared" si="34"/>
        <v>0.999599548999029-0.000358895073976571i</v>
      </c>
    </row>
    <row r="64" spans="7:44" x14ac:dyDescent="0.25">
      <c r="G64" s="594">
        <v>109.65</v>
      </c>
      <c r="H64" s="582">
        <f t="shared" si="26"/>
        <v>0.10965000000000001</v>
      </c>
      <c r="I64" s="583">
        <f t="shared" si="0"/>
        <v>1.005705955206722</v>
      </c>
      <c r="J64" s="584">
        <f t="shared" si="1"/>
        <v>0.10657349629057351</v>
      </c>
      <c r="K64" s="584">
        <f t="shared" si="2"/>
        <v>1.0000000017552699</v>
      </c>
      <c r="L64" s="585">
        <f t="shared" si="3"/>
        <v>5.9249808991137048E-5</v>
      </c>
      <c r="M64" s="584">
        <f t="shared" si="4"/>
        <v>1.0000004352022742</v>
      </c>
      <c r="N64" s="585">
        <f t="shared" si="5"/>
        <v>-9.3295457159705739E-4</v>
      </c>
      <c r="O64" s="583">
        <f t="shared" si="6"/>
        <v>198.42048514286753</v>
      </c>
      <c r="P64" s="586">
        <f t="shared" si="7"/>
        <v>1.5657565032474636</v>
      </c>
      <c r="Q64" s="595">
        <f t="shared" si="8"/>
        <v>1.0034116879119217</v>
      </c>
      <c r="R64" s="596">
        <f t="shared" si="9"/>
        <v>8.2486561188769111E-2</v>
      </c>
      <c r="S64" s="583">
        <f t="shared" si="10"/>
        <v>1.0000001518892205</v>
      </c>
      <c r="T64" s="586">
        <f t="shared" si="11"/>
        <v>5.5116095870572806E-4</v>
      </c>
      <c r="U64" s="587">
        <f t="shared" si="27"/>
        <v>0.99959937383719788</v>
      </c>
      <c r="V64" s="588">
        <f t="shared" si="28"/>
        <v>-1.3779021091827111E-3</v>
      </c>
      <c r="W64" s="589">
        <f t="shared" si="12"/>
        <v>50.889111589457592</v>
      </c>
      <c r="X64" s="590">
        <f t="shared" si="13"/>
        <v>-91.251905975893209</v>
      </c>
      <c r="Y64" s="593">
        <f t="shared" si="14"/>
        <v>88.748094024106791</v>
      </c>
      <c r="AA64" s="150">
        <f t="shared" si="15"/>
        <v>1000000000</v>
      </c>
      <c r="AB64" s="150">
        <f t="shared" si="16"/>
        <v>12023.122500000001</v>
      </c>
      <c r="AD64" s="592">
        <f t="shared" si="17"/>
        <v>49.286301315149302</v>
      </c>
      <c r="AE64" s="593">
        <f t="shared" si="18"/>
        <v>-85.0166868524893</v>
      </c>
      <c r="AG64" s="592">
        <f t="shared" si="19"/>
        <v>26.9977142139482</v>
      </c>
      <c r="AH64" s="593">
        <f t="shared" si="20"/>
        <v>-6.077323172346806</v>
      </c>
      <c r="AJ64" s="150">
        <f t="shared" si="21"/>
        <v>0</v>
      </c>
      <c r="AK64" s="150">
        <f t="shared" si="35"/>
        <v>0</v>
      </c>
      <c r="AM64" s="150" t="str">
        <f t="shared" si="29"/>
        <v>1.93736202702688E-06+0.00196843092351124i</v>
      </c>
      <c r="AN64" s="150" t="str">
        <f t="shared" si="30"/>
        <v>0.0019684321947i</v>
      </c>
      <c r="AO64" s="150" t="str">
        <f t="shared" si="31"/>
        <v>0.999999354212574-0.000984215779564683i</v>
      </c>
      <c r="AP64" s="150" t="str">
        <f t="shared" si="32"/>
        <v>0.166666343772995-0.000328071820585207i</v>
      </c>
      <c r="AQ64" s="150" t="str">
        <f t="shared" si="33"/>
        <v>0.833333656227005+0.000328071820585207i</v>
      </c>
      <c r="AR64" s="150" t="str">
        <f t="shared" si="34"/>
        <v>0.999599457756121-0.000393528344273069i</v>
      </c>
    </row>
    <row r="65" spans="7:44" x14ac:dyDescent="0.25">
      <c r="G65" s="594">
        <v>120.23</v>
      </c>
      <c r="H65" s="582">
        <f t="shared" si="26"/>
        <v>0.12023</v>
      </c>
      <c r="I65" s="583">
        <f t="shared" si="0"/>
        <v>1.0068562678405431</v>
      </c>
      <c r="J65" s="584">
        <f t="shared" si="1"/>
        <v>0.11676747834577368</v>
      </c>
      <c r="K65" s="584">
        <f t="shared" si="2"/>
        <v>1.0000000021103395</v>
      </c>
      <c r="L65" s="585">
        <f t="shared" si="3"/>
        <v>6.4966753609832701E-5</v>
      </c>
      <c r="M65" s="584">
        <f t="shared" si="4"/>
        <v>1.00000052323834</v>
      </c>
      <c r="N65" s="585">
        <f t="shared" si="5"/>
        <v>-1.022974204832019E-3</v>
      </c>
      <c r="O65" s="583">
        <f t="shared" si="6"/>
        <v>217.56538033415961</v>
      </c>
      <c r="P65" s="586">
        <f t="shared" si="7"/>
        <v>1.5661999911116962</v>
      </c>
      <c r="Q65" s="595">
        <f t="shared" si="8"/>
        <v>1.0041004209407165</v>
      </c>
      <c r="R65" s="596">
        <f t="shared" si="9"/>
        <v>9.0404187757273657E-2</v>
      </c>
      <c r="S65" s="583">
        <f t="shared" si="10"/>
        <v>1.0000001826145462</v>
      </c>
      <c r="T65" s="586">
        <f t="shared" si="11"/>
        <v>6.0434182132079544E-4</v>
      </c>
      <c r="U65" s="587">
        <f t="shared" si="27"/>
        <v>0.99959924717227022</v>
      </c>
      <c r="V65" s="588">
        <f t="shared" si="28"/>
        <v>-1.5108541739587919E-3</v>
      </c>
      <c r="W65" s="589">
        <f t="shared" si="12"/>
        <v>50.08507607757565</v>
      </c>
      <c r="X65" s="590">
        <f t="shared" si="13"/>
        <v>-91.423236340461131</v>
      </c>
      <c r="Y65" s="593">
        <f t="shared" si="14"/>
        <v>88.576763659538869</v>
      </c>
      <c r="AA65" s="150">
        <f t="shared" si="15"/>
        <v>1000000000</v>
      </c>
      <c r="AB65" s="150">
        <f t="shared" si="16"/>
        <v>14455.252900000001</v>
      </c>
      <c r="AD65" s="592">
        <f t="shared" si="17"/>
        <v>48.492195259891808</v>
      </c>
      <c r="AE65" s="593">
        <f t="shared" si="18"/>
        <v>-84.591497287731997</v>
      </c>
      <c r="AG65" s="592">
        <f t="shared" si="19"/>
        <v>26.987786958600957</v>
      </c>
      <c r="AH65" s="593">
        <f t="shared" si="20"/>
        <v>-6.6586079172761847</v>
      </c>
      <c r="AJ65" s="150">
        <f t="shared" si="21"/>
        <v>0</v>
      </c>
      <c r="AK65" s="150">
        <f t="shared" si="35"/>
        <v>0</v>
      </c>
      <c r="AM65" s="150" t="str">
        <f t="shared" si="29"/>
        <v>2.32926648002785E-06+0.00215836223453817i</v>
      </c>
      <c r="AN65" s="150" t="str">
        <f t="shared" si="30"/>
        <v>0.00215836391034i</v>
      </c>
      <c r="AO65" s="150" t="str">
        <f t="shared" si="31"/>
        <v>0.999999223577719-0.00107918153600934i</v>
      </c>
      <c r="AP65" s="150" t="str">
        <f t="shared" si="32"/>
        <v>0.166666278455587-0.000359727039089695i</v>
      </c>
      <c r="AQ65" s="150" t="str">
        <f t="shared" si="33"/>
        <v>0.833333721544413+0.000359727039089695i</v>
      </c>
      <c r="AR65" s="150" t="str">
        <f t="shared" si="34"/>
        <v>0.999599348066993-0.000431499295491986i</v>
      </c>
    </row>
    <row r="66" spans="7:44" x14ac:dyDescent="0.25">
      <c r="G66" s="594">
        <v>131.83000000000001</v>
      </c>
      <c r="H66" s="582">
        <f t="shared" si="26"/>
        <v>0.13183</v>
      </c>
      <c r="I66" s="583">
        <f t="shared" si="0"/>
        <v>1.0082374311286166</v>
      </c>
      <c r="J66" s="584">
        <f t="shared" si="1"/>
        <v>0.12791622037142228</v>
      </c>
      <c r="K66" s="584">
        <f t="shared" si="2"/>
        <v>1.0000000025372024</v>
      </c>
      <c r="L66" s="585">
        <f t="shared" si="3"/>
        <v>7.1234859236022477E-5</v>
      </c>
      <c r="M66" s="584">
        <f t="shared" si="4"/>
        <v>1.000000629074884</v>
      </c>
      <c r="N66" s="585">
        <f t="shared" si="5"/>
        <v>-1.1216724603484241E-3</v>
      </c>
      <c r="O66" s="583">
        <f t="shared" si="6"/>
        <v>238.55604356526609</v>
      </c>
      <c r="P66" s="586">
        <f t="shared" si="7"/>
        <v>1.5666044274251267</v>
      </c>
      <c r="Q66" s="595">
        <f t="shared" si="8"/>
        <v>1.0049277877872267</v>
      </c>
      <c r="R66" s="596">
        <f t="shared" si="9"/>
        <v>9.9072060706415777E-2</v>
      </c>
      <c r="S66" s="583">
        <f t="shared" si="10"/>
        <v>1.0000002195523907</v>
      </c>
      <c r="T66" s="586">
        <f t="shared" si="11"/>
        <v>6.6264975748830859E-4</v>
      </c>
      <c r="U66" s="587">
        <f t="shared" si="27"/>
        <v>0.99959909489633436</v>
      </c>
      <c r="V66" s="588">
        <f t="shared" si="28"/>
        <v>-1.6566238937777054E-3</v>
      </c>
      <c r="W66" s="589">
        <f t="shared" si="12"/>
        <v>49.280310041227622</v>
      </c>
      <c r="X66" s="590">
        <f t="shared" si="13"/>
        <v>-91.605540807988604</v>
      </c>
      <c r="Y66" s="593">
        <f t="shared" si="14"/>
        <v>88.394459192011396</v>
      </c>
      <c r="AA66" s="150">
        <f t="shared" si="15"/>
        <v>1000000000</v>
      </c>
      <c r="AB66" s="150">
        <f t="shared" si="16"/>
        <v>17379.148900000004</v>
      </c>
      <c r="AD66" s="592">
        <f t="shared" si="17"/>
        <v>47.699336398865633</v>
      </c>
      <c r="AE66" s="593">
        <f t="shared" si="18"/>
        <v>-84.121378042349264</v>
      </c>
      <c r="AG66" s="592">
        <f t="shared" si="19"/>
        <v>26.975882429643786</v>
      </c>
      <c r="AH66" s="593">
        <f t="shared" si="20"/>
        <v>-7.2943276507144397</v>
      </c>
      <c r="AJ66" s="150">
        <f t="shared" si="21"/>
        <v>0</v>
      </c>
      <c r="AK66" s="150">
        <f t="shared" si="35"/>
        <v>0</v>
      </c>
      <c r="AM66" s="150" t="str">
        <f t="shared" si="29"/>
        <v>0.0000028004121469527+0.00236660441398161i</v>
      </c>
      <c r="AN66" s="150" t="str">
        <f t="shared" si="30"/>
        <v>0.00236660662314i</v>
      </c>
      <c r="AO66" s="150" t="str">
        <f t="shared" si="31"/>
        <v>0.99999906652911-0.00118330275913668i</v>
      </c>
      <c r="AP66" s="150" t="str">
        <f t="shared" si="32"/>
        <v>0.166666199931309-0.000394434068996935i</v>
      </c>
      <c r="AQ66" s="150" t="str">
        <f t="shared" si="33"/>
        <v>0.833333800068691+0.000394434068996935i</v>
      </c>
      <c r="AR66" s="150" t="str">
        <f t="shared" si="34"/>
        <v>0.999599216199299-0.00047313091846165i</v>
      </c>
    </row>
    <row r="67" spans="7:44" x14ac:dyDescent="0.25">
      <c r="G67" s="594">
        <v>144.54</v>
      </c>
      <c r="H67" s="582">
        <f t="shared" si="26"/>
        <v>0.14454</v>
      </c>
      <c r="I67" s="583">
        <f t="shared" si="0"/>
        <v>1.0098942128973314</v>
      </c>
      <c r="J67" s="584">
        <f t="shared" si="1"/>
        <v>0.14009508382919375</v>
      </c>
      <c r="K67" s="584">
        <f t="shared" si="2"/>
        <v>1.0000000030500202</v>
      </c>
      <c r="L67" s="585">
        <f t="shared" si="3"/>
        <v>7.8102757721721974E-5</v>
      </c>
      <c r="M67" s="584">
        <f t="shared" si="4"/>
        <v>1.0000007562230577</v>
      </c>
      <c r="N67" s="585">
        <f t="shared" si="5"/>
        <v>-1.2298150927409542E-3</v>
      </c>
      <c r="O67" s="583">
        <f t="shared" si="6"/>
        <v>261.55533338782777</v>
      </c>
      <c r="P67" s="586">
        <f t="shared" si="7"/>
        <v>1.5669730347086221</v>
      </c>
      <c r="Q67" s="595">
        <f t="shared" si="8"/>
        <v>1.0059208564882176</v>
      </c>
      <c r="R67" s="596">
        <f t="shared" si="9"/>
        <v>0.10855219526449746</v>
      </c>
      <c r="S67" s="583">
        <f t="shared" si="10"/>
        <v>1.0000002639281766</v>
      </c>
      <c r="T67" s="586">
        <f t="shared" si="11"/>
        <v>7.2653715477385007E-4</v>
      </c>
      <c r="U67" s="587">
        <f t="shared" si="27"/>
        <v>0.99959891195762873</v>
      </c>
      <c r="V67" s="588">
        <f t="shared" si="28"/>
        <v>-1.8163422280261061E-3</v>
      </c>
      <c r="W67" s="589">
        <f t="shared" si="12"/>
        <v>48.475163853721966</v>
      </c>
      <c r="X67" s="590">
        <f t="shared" si="13"/>
        <v>-91.799900505370957</v>
      </c>
      <c r="Y67" s="593">
        <f t="shared" si="14"/>
        <v>88.200099494629043</v>
      </c>
      <c r="AA67" s="150">
        <f t="shared" si="15"/>
        <v>1000000000</v>
      </c>
      <c r="AB67" s="150">
        <f t="shared" si="16"/>
        <v>20891.811599999997</v>
      </c>
      <c r="AD67" s="592">
        <f t="shared" si="17"/>
        <v>46.908452028229888</v>
      </c>
      <c r="AE67" s="593">
        <f t="shared" si="18"/>
        <v>-83.602986462233318</v>
      </c>
      <c r="AG67" s="592">
        <f t="shared" si="19"/>
        <v>26.961623792019552</v>
      </c>
      <c r="AH67" s="593">
        <f t="shared" si="20"/>
        <v>-7.988776555265253</v>
      </c>
      <c r="AJ67" s="150">
        <f t="shared" si="21"/>
        <v>0</v>
      </c>
      <c r="AK67" s="150">
        <f t="shared" si="35"/>
        <v>0</v>
      </c>
      <c r="AM67" s="150" t="str">
        <f t="shared" si="29"/>
        <v>3.36642938003617E-06+0.00259477309760928i</v>
      </c>
      <c r="AN67" s="150" t="str">
        <f t="shared" si="30"/>
        <v>0.00259477600932i</v>
      </c>
      <c r="AO67" s="150" t="str">
        <f t="shared" si="31"/>
        <v>0.99999887785662-0.0012973872765682i</v>
      </c>
      <c r="AP67" s="150" t="str">
        <f t="shared" si="32"/>
        <v>0.166666105595103-0.00043246218293488i</v>
      </c>
      <c r="AQ67" s="150" t="str">
        <f t="shared" si="33"/>
        <v>0.833333894404897+0.00043246218293488i</v>
      </c>
      <c r="AR67" s="150" t="str">
        <f t="shared" si="34"/>
        <v>0.999599057778336-0.000518746199439272i</v>
      </c>
    </row>
    <row r="68" spans="7:44" x14ac:dyDescent="0.25">
      <c r="G68" s="594">
        <v>158.49</v>
      </c>
      <c r="H68" s="582">
        <f t="shared" si="26"/>
        <v>0.15849000000000002</v>
      </c>
      <c r="I68" s="583">
        <f t="shared" si="0"/>
        <v>1.0118844488843306</v>
      </c>
      <c r="J68" s="584">
        <f t="shared" si="1"/>
        <v>0.15341401632597701</v>
      </c>
      <c r="K68" s="584">
        <f t="shared" si="2"/>
        <v>1.0000000036671643</v>
      </c>
      <c r="L68" s="585">
        <f t="shared" si="3"/>
        <v>8.5640695075569638E-5</v>
      </c>
      <c r="M68" s="584">
        <f t="shared" si="4"/>
        <v>1.0000009092378617</v>
      </c>
      <c r="N68" s="585">
        <f t="shared" si="5"/>
        <v>-1.3485081926486587E-3</v>
      </c>
      <c r="O68" s="583">
        <f t="shared" si="6"/>
        <v>286.79849039038578</v>
      </c>
      <c r="P68" s="586">
        <f t="shared" si="7"/>
        <v>1.5673095510280186</v>
      </c>
      <c r="Q68" s="595">
        <f t="shared" si="8"/>
        <v>1.0071146538787563</v>
      </c>
      <c r="R68" s="596">
        <f t="shared" si="9"/>
        <v>0.1189346583606246</v>
      </c>
      <c r="S68" s="583">
        <f t="shared" si="10"/>
        <v>1.0000003173316399</v>
      </c>
      <c r="T68" s="586">
        <f t="shared" si="11"/>
        <v>7.9665746202118941E-4</v>
      </c>
      <c r="U68" s="587">
        <f t="shared" si="27"/>
        <v>0.99959869180253824</v>
      </c>
      <c r="V68" s="588">
        <f t="shared" si="28"/>
        <v>-1.9916427864664975E-3</v>
      </c>
      <c r="W68" s="589">
        <f t="shared" si="12"/>
        <v>47.668098481787183</v>
      </c>
      <c r="X68" s="590">
        <f t="shared" si="13"/>
        <v>-92.007859075267987</v>
      </c>
      <c r="Y68" s="593">
        <f t="shared" si="14"/>
        <v>87.992140924732013</v>
      </c>
      <c r="AA68" s="150">
        <f t="shared" si="15"/>
        <v>1000000000</v>
      </c>
      <c r="AB68" s="150">
        <f t="shared" si="16"/>
        <v>25119.080100000003</v>
      </c>
      <c r="AD68" s="592">
        <f t="shared" si="17"/>
        <v>46.118487994764195</v>
      </c>
      <c r="AE68" s="593">
        <f t="shared" si="18"/>
        <v>-83.031413707723928</v>
      </c>
      <c r="AG68" s="592">
        <f t="shared" si="19"/>
        <v>26.944526279571104</v>
      </c>
      <c r="AH68" s="593">
        <f t="shared" si="20"/>
        <v>-8.7482199153588702</v>
      </c>
      <c r="AJ68" s="150">
        <f t="shared" si="21"/>
        <v>0</v>
      </c>
      <c r="AK68" s="150">
        <f t="shared" si="35"/>
        <v>0</v>
      </c>
      <c r="AM68" s="150" t="str">
        <f t="shared" si="29"/>
        <v>4.04759535799215E-06+0.00284520198467167i</v>
      </c>
      <c r="AN68" s="150" t="str">
        <f t="shared" si="30"/>
        <v>0.00284520582342i</v>
      </c>
      <c r="AO68" s="150" t="str">
        <f t="shared" si="31"/>
        <v>0.999998650801183-0.00142260195191322i</v>
      </c>
      <c r="AP68" s="150" t="str">
        <f t="shared" si="32"/>
        <v>0.16666599206744-0.000474200330778612i</v>
      </c>
      <c r="AQ68" s="150" t="str">
        <f t="shared" si="33"/>
        <v>0.83333400793256+0.000474200330778612i</v>
      </c>
      <c r="AR68" s="150" t="str">
        <f t="shared" si="34"/>
        <v>0.999598867128831-0.000568811675662201i</v>
      </c>
    </row>
    <row r="69" spans="7:44" x14ac:dyDescent="0.25">
      <c r="G69" s="594">
        <v>173.78</v>
      </c>
      <c r="H69" s="582">
        <f t="shared" si="26"/>
        <v>0.17377999999999999</v>
      </c>
      <c r="I69" s="583">
        <f t="shared" si="0"/>
        <v>1.0142711836853258</v>
      </c>
      <c r="J69" s="584">
        <f t="shared" si="1"/>
        <v>0.16794941489243798</v>
      </c>
      <c r="K69" s="584">
        <f t="shared" si="2"/>
        <v>1.0000000044088591</v>
      </c>
      <c r="L69" s="585">
        <f t="shared" si="3"/>
        <v>9.3902706687321437E-5</v>
      </c>
      <c r="M69" s="584">
        <f t="shared" si="4"/>
        <v>1.0000010931338099</v>
      </c>
      <c r="N69" s="585">
        <f t="shared" si="5"/>
        <v>-1.4786025931515904E-3</v>
      </c>
      <c r="O69" s="583">
        <f t="shared" si="6"/>
        <v>314.46646913165046</v>
      </c>
      <c r="P69" s="586">
        <f t="shared" si="7"/>
        <v>1.5676163321577652</v>
      </c>
      <c r="Q69" s="595">
        <f t="shared" si="8"/>
        <v>1.0085475117065466</v>
      </c>
      <c r="R69" s="596">
        <f t="shared" si="9"/>
        <v>0.13028483568942539</v>
      </c>
      <c r="S69" s="583">
        <f t="shared" si="10"/>
        <v>1.0000003815128911</v>
      </c>
      <c r="T69" s="586">
        <f t="shared" si="11"/>
        <v>8.7351333097613877E-4</v>
      </c>
      <c r="U69" s="587">
        <f t="shared" si="27"/>
        <v>0.99959842721632308</v>
      </c>
      <c r="V69" s="588">
        <f t="shared" si="28"/>
        <v>-2.1837821825819131E-3</v>
      </c>
      <c r="W69" s="589">
        <f t="shared" si="12"/>
        <v>46.860033193962529</v>
      </c>
      <c r="X69" s="590">
        <f t="shared" si="13"/>
        <v>-92.230328848313292</v>
      </c>
      <c r="Y69" s="593">
        <f t="shared" si="14"/>
        <v>87.769671151686708</v>
      </c>
      <c r="AA69" s="150">
        <f t="shared" si="15"/>
        <v>1000000000</v>
      </c>
      <c r="AB69" s="150">
        <f t="shared" si="16"/>
        <v>30199.488400000002</v>
      </c>
      <c r="AD69" s="592">
        <f t="shared" si="17"/>
        <v>45.330886711554882</v>
      </c>
      <c r="AE69" s="593">
        <f t="shared" si="18"/>
        <v>-82.403077230231247</v>
      </c>
      <c r="AG69" s="592">
        <f t="shared" si="19"/>
        <v>26.924066873134986</v>
      </c>
      <c r="AH69" s="593">
        <f t="shared" si="20"/>
        <v>-9.5770086129204746</v>
      </c>
      <c r="AJ69" s="150">
        <f t="shared" si="21"/>
        <v>0</v>
      </c>
      <c r="AK69" s="150">
        <f t="shared" si="35"/>
        <v>0</v>
      </c>
      <c r="AM69" s="150" t="str">
        <f t="shared" si="29"/>
        <v>0.0000048662328360205+0.00311968620085701i</v>
      </c>
      <c r="AN69" s="150" t="str">
        <f t="shared" si="30"/>
        <v>0.00311969126124i</v>
      </c>
      <c r="AO69" s="150" t="str">
        <f t="shared" si="31"/>
        <v>0.999998377921863-0.00155984436552426i</v>
      </c>
      <c r="AP69" s="150" t="str">
        <f t="shared" si="32"/>
        <v>0.166665855627861-0.000519947700142835i</v>
      </c>
      <c r="AQ69" s="150" t="str">
        <f t="shared" si="33"/>
        <v>0.833334144372139+0.000519947700142835i</v>
      </c>
      <c r="AR69" s="150" t="str">
        <f t="shared" si="34"/>
        <v>0.999598638003006-0.000623686208474226i</v>
      </c>
    </row>
    <row r="70" spans="7:44" x14ac:dyDescent="0.25">
      <c r="G70" s="594">
        <v>190.55</v>
      </c>
      <c r="H70" s="582">
        <f t="shared" si="26"/>
        <v>0.19055000000000002</v>
      </c>
      <c r="I70" s="583">
        <f t="shared" si="0"/>
        <v>1.017134107341263</v>
      </c>
      <c r="J70" s="584">
        <f t="shared" si="1"/>
        <v>0.18380959593913801</v>
      </c>
      <c r="K70" s="584">
        <f t="shared" si="2"/>
        <v>1.0000000053008382</v>
      </c>
      <c r="L70" s="585">
        <f t="shared" si="3"/>
        <v>1.0296444210282475E-4</v>
      </c>
      <c r="M70" s="584">
        <f t="shared" si="4"/>
        <v>1.0000013142911981</v>
      </c>
      <c r="N70" s="585">
        <f t="shared" si="5"/>
        <v>-1.6212894612998125E-3</v>
      </c>
      <c r="O70" s="583">
        <f t="shared" si="6"/>
        <v>344.81260623356263</v>
      </c>
      <c r="P70" s="586">
        <f t="shared" si="7"/>
        <v>1.5678961967424692</v>
      </c>
      <c r="Q70" s="595">
        <f t="shared" si="8"/>
        <v>1.0102680073989703</v>
      </c>
      <c r="R70" s="596">
        <f t="shared" si="9"/>
        <v>0.14269485226703119</v>
      </c>
      <c r="S70" s="583">
        <f t="shared" si="10"/>
        <v>1.0000004586987119</v>
      </c>
      <c r="T70" s="586">
        <f t="shared" si="11"/>
        <v>9.5780847423499566E-4</v>
      </c>
      <c r="U70" s="587">
        <f t="shared" si="27"/>
        <v>0.99959810901920554</v>
      </c>
      <c r="V70" s="588">
        <f t="shared" si="28"/>
        <v>-2.3945196762270179E-3</v>
      </c>
      <c r="W70" s="589">
        <f t="shared" si="12"/>
        <v>46.050178019021509</v>
      </c>
      <c r="X70" s="590">
        <f t="shared" si="13"/>
        <v>-92.468604051885023</v>
      </c>
      <c r="Y70" s="593">
        <f t="shared" si="14"/>
        <v>87.531395948114977</v>
      </c>
      <c r="AA70" s="150">
        <f t="shared" si="15"/>
        <v>1000000000</v>
      </c>
      <c r="AB70" s="150">
        <f t="shared" si="16"/>
        <v>36309.302500000005</v>
      </c>
      <c r="AD70" s="592">
        <f t="shared" si="17"/>
        <v>44.545514986434867</v>
      </c>
      <c r="AE70" s="593">
        <f t="shared" si="18"/>
        <v>-81.712900471339296</v>
      </c>
      <c r="AG70" s="592">
        <f t="shared" si="19"/>
        <v>26.899588953185592</v>
      </c>
      <c r="AH70" s="593">
        <f t="shared" si="20"/>
        <v>-10.481311837414513</v>
      </c>
      <c r="AJ70" s="150">
        <f t="shared" si="21"/>
        <v>0</v>
      </c>
      <c r="AK70" s="150">
        <f t="shared" si="35"/>
        <v>0</v>
      </c>
      <c r="AM70" s="150" t="str">
        <f t="shared" si="29"/>
        <v>5.85074451397993E-06+0.00342073892559455i</v>
      </c>
      <c r="AN70" s="150" t="str">
        <f t="shared" si="30"/>
        <v>0.0034207455969i</v>
      </c>
      <c r="AO70" s="150" t="str">
        <f t="shared" si="31"/>
        <v>0.999998049751067-0.00171037113057518i</v>
      </c>
      <c r="AP70" s="150" t="str">
        <f t="shared" si="32"/>
        <v>0.166665691542581-0.000570123154265758i</v>
      </c>
      <c r="AQ70" s="150" t="str">
        <f t="shared" si="33"/>
        <v>0.833334308457419+0.000570123154265758i</v>
      </c>
      <c r="AR70" s="150" t="str">
        <f t="shared" si="34"/>
        <v>0.999598362451418-0.000683872205447316i</v>
      </c>
    </row>
    <row r="71" spans="7:44" x14ac:dyDescent="0.25">
      <c r="G71" s="594">
        <v>208.93</v>
      </c>
      <c r="H71" s="582">
        <f t="shared" si="26"/>
        <v>0.20893</v>
      </c>
      <c r="I71" s="583">
        <f t="shared" si="0"/>
        <v>1.0205639883902118</v>
      </c>
      <c r="J71" s="584">
        <f t="shared" si="1"/>
        <v>0.20108538241177318</v>
      </c>
      <c r="K71" s="584">
        <f t="shared" si="2"/>
        <v>1.0000000063727701</v>
      </c>
      <c r="L71" s="585">
        <f t="shared" si="3"/>
        <v>1.1289614732705318E-4</v>
      </c>
      <c r="M71" s="584">
        <f t="shared" si="4"/>
        <v>1.0000015800660584</v>
      </c>
      <c r="N71" s="585">
        <f t="shared" si="5"/>
        <v>-1.7776748734247996E-3</v>
      </c>
      <c r="O71" s="583">
        <f t="shared" si="6"/>
        <v>378.07214306318275</v>
      </c>
      <c r="P71" s="586">
        <f t="shared" si="7"/>
        <v>1.5681513258754853</v>
      </c>
      <c r="Q71" s="595">
        <f t="shared" si="8"/>
        <v>1.0123317371640148</v>
      </c>
      <c r="R71" s="596">
        <f t="shared" si="9"/>
        <v>0.15624551260267436</v>
      </c>
      <c r="S71" s="583">
        <f t="shared" si="10"/>
        <v>1.0000005514564272</v>
      </c>
      <c r="T71" s="586">
        <f t="shared" si="11"/>
        <v>1.0501963376915269E-3</v>
      </c>
      <c r="U71" s="587">
        <f t="shared" si="27"/>
        <v>0.99959772662759494</v>
      </c>
      <c r="V71" s="588">
        <f t="shared" si="28"/>
        <v>-2.625488854565196E-3</v>
      </c>
      <c r="W71" s="589">
        <f t="shared" si="12"/>
        <v>45.238829931899886</v>
      </c>
      <c r="X71" s="590">
        <f t="shared" si="13"/>
        <v>-92.723574053602675</v>
      </c>
      <c r="Y71" s="593">
        <f t="shared" si="14"/>
        <v>87.276425946397325</v>
      </c>
      <c r="AA71" s="150">
        <f t="shared" si="15"/>
        <v>1000000000</v>
      </c>
      <c r="AB71" s="150">
        <f t="shared" si="16"/>
        <v>43651.744900000005</v>
      </c>
      <c r="AD71" s="592">
        <f t="shared" si="17"/>
        <v>43.763408346171119</v>
      </c>
      <c r="AE71" s="593">
        <f t="shared" si="18"/>
        <v>-80.95641608083416</v>
      </c>
      <c r="AG71" s="592">
        <f t="shared" si="19"/>
        <v>26.870354151822397</v>
      </c>
      <c r="AH71" s="593">
        <f t="shared" si="20"/>
        <v>-11.466299111374298</v>
      </c>
      <c r="AJ71" s="150">
        <f t="shared" si="21"/>
        <v>0</v>
      </c>
      <c r="AK71" s="150">
        <f t="shared" si="35"/>
        <v>0</v>
      </c>
      <c r="AM71" s="150" t="str">
        <f t="shared" si="29"/>
        <v>7.03387669398481E-06+0.00375069379094271i</v>
      </c>
      <c r="AN71" s="150" t="str">
        <f t="shared" si="30"/>
        <v>0.00375070258494i</v>
      </c>
      <c r="AO71" s="150" t="str">
        <f t="shared" si="31"/>
        <v>0.999997655373336-0.00187534909385446i</v>
      </c>
      <c r="AP71" s="150" t="str">
        <f t="shared" si="32"/>
        <v>0.166665494353884-0.000625115631823785i</v>
      </c>
      <c r="AQ71" s="150" t="str">
        <f t="shared" si="33"/>
        <v>0.833334505646116+0.000625115631823785i</v>
      </c>
      <c r="AR71" s="150" t="str">
        <f t="shared" si="34"/>
        <v>0.999598031308966-0.000749836171042785i</v>
      </c>
    </row>
    <row r="72" spans="7:44" x14ac:dyDescent="0.25">
      <c r="G72" s="594">
        <v>229.09</v>
      </c>
      <c r="H72" s="582">
        <f t="shared" si="26"/>
        <v>0.22909000000000002</v>
      </c>
      <c r="I72" s="583">
        <f t="shared" si="0"/>
        <v>1.0246737725708894</v>
      </c>
      <c r="J72" s="584">
        <f t="shared" si="1"/>
        <v>0.21989497773450997</v>
      </c>
      <c r="K72" s="584">
        <f t="shared" si="2"/>
        <v>1.0000000076619429</v>
      </c>
      <c r="L72" s="585">
        <f t="shared" si="3"/>
        <v>1.23789682520109E-4</v>
      </c>
      <c r="M72" s="584">
        <f t="shared" si="4"/>
        <v>1.0000018997035336</v>
      </c>
      <c r="N72" s="585">
        <f t="shared" si="5"/>
        <v>-1.9492052360692944E-3</v>
      </c>
      <c r="O72" s="583">
        <f t="shared" si="6"/>
        <v>414.55270318959151</v>
      </c>
      <c r="P72" s="586">
        <f t="shared" si="7"/>
        <v>1.5683840859335436</v>
      </c>
      <c r="Q72" s="595">
        <f t="shared" si="8"/>
        <v>1.0148081496062478</v>
      </c>
      <c r="R72" s="596">
        <f t="shared" si="9"/>
        <v>0.17104207024659329</v>
      </c>
      <c r="S72" s="583">
        <f t="shared" si="10"/>
        <v>1.0000006630126803</v>
      </c>
      <c r="T72" s="586">
        <f t="shared" si="11"/>
        <v>1.151531427314986E-3</v>
      </c>
      <c r="U72" s="587">
        <f t="shared" si="27"/>
        <v>0.99959726673993432</v>
      </c>
      <c r="V72" s="588">
        <f t="shared" si="28"/>
        <v>-2.8788259453543961E-3</v>
      </c>
      <c r="W72" s="589">
        <f t="shared" si="12"/>
        <v>44.42504057459854</v>
      </c>
      <c r="X72" s="590">
        <f t="shared" si="13"/>
        <v>-92.996365376199279</v>
      </c>
      <c r="Y72" s="593">
        <f t="shared" si="14"/>
        <v>87.003634623800721</v>
      </c>
      <c r="AA72" s="150">
        <f t="shared" si="15"/>
        <v>1000000000</v>
      </c>
      <c r="AB72" s="150">
        <f t="shared" si="16"/>
        <v>52482.2281</v>
      </c>
      <c r="AD72" s="592">
        <f t="shared" si="17"/>
        <v>42.984527806327122</v>
      </c>
      <c r="AE72" s="593">
        <f t="shared" si="18"/>
        <v>-80.127778017486676</v>
      </c>
      <c r="AG72" s="592">
        <f t="shared" si="19"/>
        <v>26.835453326648917</v>
      </c>
      <c r="AH72" s="593">
        <f t="shared" si="20"/>
        <v>-12.538698205092519</v>
      </c>
      <c r="AJ72" s="150">
        <f t="shared" si="21"/>
        <v>0</v>
      </c>
      <c r="AK72" s="150">
        <f t="shared" si="35"/>
        <v>0</v>
      </c>
      <c r="AM72" s="150" t="str">
        <f t="shared" si="29"/>
        <v>0.0000084567852759454+0.00411260246504879i</v>
      </c>
      <c r="AN72" s="150" t="str">
        <f t="shared" si="30"/>
        <v>0.00411261405822i</v>
      </c>
      <c r="AO72" s="150" t="str">
        <f t="shared" si="31"/>
        <v>0.999997181069985-0.00205630413071282i</v>
      </c>
      <c r="AP72" s="150" t="str">
        <f t="shared" si="32"/>
        <v>0.166665257202454-0.000685433744174798i</v>
      </c>
      <c r="AQ72" s="150" t="str">
        <f t="shared" si="33"/>
        <v>0.833334742797546+0.000685433744174798i</v>
      </c>
      <c r="AR72" s="150" t="str">
        <f t="shared" si="34"/>
        <v>0.999597633056891-0.000822188147339617i</v>
      </c>
    </row>
    <row r="73" spans="7:44" x14ac:dyDescent="0.25">
      <c r="G73" s="594">
        <v>251.19</v>
      </c>
      <c r="H73" s="582">
        <f t="shared" si="26"/>
        <v>0.25119000000000002</v>
      </c>
      <c r="I73" s="583">
        <f t="shared" si="0"/>
        <v>1.0295919987335795</v>
      </c>
      <c r="J73" s="584">
        <f t="shared" si="1"/>
        <v>0.24033403724416336</v>
      </c>
      <c r="K73" s="584">
        <f t="shared" si="2"/>
        <v>1.0000000092115207</v>
      </c>
      <c r="L73" s="585">
        <f t="shared" si="3"/>
        <v>1.3573150430007291E-4</v>
      </c>
      <c r="M73" s="584">
        <f t="shared" si="4"/>
        <v>1.0000022839057321</v>
      </c>
      <c r="N73" s="585">
        <f t="shared" si="5"/>
        <v>-2.1372418605766865E-3</v>
      </c>
      <c r="O73" s="583">
        <f t="shared" si="6"/>
        <v>454.54381487131508</v>
      </c>
      <c r="P73" s="586">
        <f t="shared" si="7"/>
        <v>1.5685963170841555</v>
      </c>
      <c r="Q73" s="595">
        <f t="shared" si="8"/>
        <v>1.0177768084808954</v>
      </c>
      <c r="R73" s="596">
        <f t="shared" si="9"/>
        <v>0.18717583543519253</v>
      </c>
      <c r="S73" s="583">
        <f t="shared" si="10"/>
        <v>1.000000797102613</v>
      </c>
      <c r="T73" s="586">
        <f t="shared" si="11"/>
        <v>1.262617981448223E-3</v>
      </c>
      <c r="U73" s="587">
        <f t="shared" si="27"/>
        <v>0.99959671395851113</v>
      </c>
      <c r="V73" s="588">
        <f t="shared" si="28"/>
        <v>-3.156541496208573E-3</v>
      </c>
      <c r="W73" s="589">
        <f t="shared" si="12"/>
        <v>43.608899248251738</v>
      </c>
      <c r="X73" s="590">
        <f t="shared" si="13"/>
        <v>-93.28756672857341</v>
      </c>
      <c r="Y73" s="593">
        <f t="shared" si="14"/>
        <v>86.71243327142659</v>
      </c>
      <c r="AA73" s="150">
        <f t="shared" si="15"/>
        <v>1000000000</v>
      </c>
      <c r="AB73" s="150">
        <f t="shared" si="16"/>
        <v>63096.416100000002</v>
      </c>
      <c r="AD73" s="592">
        <f t="shared" si="17"/>
        <v>42.209978706306458</v>
      </c>
      <c r="AE73" s="593">
        <f t="shared" si="18"/>
        <v>-79.221906103413502</v>
      </c>
      <c r="AG73" s="592">
        <f t="shared" si="19"/>
        <v>26.793870706991232</v>
      </c>
      <c r="AH73" s="593">
        <f t="shared" si="20"/>
        <v>-13.703947613565253</v>
      </c>
      <c r="AJ73" s="150">
        <f t="shared" si="21"/>
        <v>0</v>
      </c>
      <c r="AK73" s="150">
        <f t="shared" si="35"/>
        <v>0</v>
      </c>
      <c r="AM73" s="150" t="str">
        <f t="shared" si="29"/>
        <v>0.0000101671119899782+0.00450933704764626i</v>
      </c>
      <c r="AN73" s="150" t="str">
        <f t="shared" si="30"/>
        <v>0.00450935233002i</v>
      </c>
      <c r="AO73" s="150" t="str">
        <f t="shared" si="31"/>
        <v>0.999996610960373-0.00225467234447238i</v>
      </c>
      <c r="AP73" s="150" t="str">
        <f t="shared" si="32"/>
        <v>0.166664972148002-0.00075155617460771i</v>
      </c>
      <c r="AQ73" s="150" t="str">
        <f t="shared" si="33"/>
        <v>0.833335027851998+0.00075155617460771i</v>
      </c>
      <c r="AR73" s="150" t="str">
        <f t="shared" si="34"/>
        <v>0.999597154361247-0.000901502263041697i</v>
      </c>
    </row>
    <row r="74" spans="7:44" x14ac:dyDescent="0.25">
      <c r="G74" s="594">
        <v>275.42</v>
      </c>
      <c r="H74" s="582">
        <f t="shared" si="26"/>
        <v>0.27542</v>
      </c>
      <c r="I74" s="583">
        <f t="shared" si="0"/>
        <v>1.0354734843366875</v>
      </c>
      <c r="J74" s="584">
        <f t="shared" si="1"/>
        <v>0.26250956900835359</v>
      </c>
      <c r="K74" s="584">
        <f t="shared" si="2"/>
        <v>1.0000000110743332</v>
      </c>
      <c r="L74" s="585">
        <f t="shared" si="3"/>
        <v>1.4882427989928285E-4</v>
      </c>
      <c r="M74" s="584">
        <f t="shared" si="4"/>
        <v>1.000002745771104</v>
      </c>
      <c r="N74" s="585">
        <f t="shared" si="5"/>
        <v>-2.3434012977919722E-3</v>
      </c>
      <c r="O74" s="583">
        <f t="shared" si="6"/>
        <v>498.38929308672266</v>
      </c>
      <c r="P74" s="586">
        <f t="shared" si="7"/>
        <v>1.5687898617988481</v>
      </c>
      <c r="Q74" s="595">
        <f t="shared" si="8"/>
        <v>1.0213341362954684</v>
      </c>
      <c r="R74" s="596">
        <f t="shared" si="9"/>
        <v>0.20475169159519244</v>
      </c>
      <c r="S74" s="583">
        <f t="shared" si="10"/>
        <v>1.0000009582977178</v>
      </c>
      <c r="T74" s="586">
        <f t="shared" si="11"/>
        <v>1.3844110318088736E-3</v>
      </c>
      <c r="U74" s="587">
        <f t="shared" si="27"/>
        <v>0.99959604943794034</v>
      </c>
      <c r="V74" s="588">
        <f t="shared" si="28"/>
        <v>-3.4610230218404224E-3</v>
      </c>
      <c r="W74" s="589">
        <f t="shared" si="12"/>
        <v>42.78986655029459</v>
      </c>
      <c r="X74" s="590">
        <f t="shared" si="13"/>
        <v>-93.597683662469478</v>
      </c>
      <c r="Y74" s="593">
        <f t="shared" si="14"/>
        <v>86.402316337530522</v>
      </c>
      <c r="AA74" s="150">
        <f t="shared" si="15"/>
        <v>1000000000</v>
      </c>
      <c r="AB74" s="150">
        <f t="shared" si="16"/>
        <v>75856.176400000011</v>
      </c>
      <c r="AD74" s="592">
        <f t="shared" si="17"/>
        <v>41.440424222596661</v>
      </c>
      <c r="AE74" s="593">
        <f t="shared" si="18"/>
        <v>-78.23295124604509</v>
      </c>
      <c r="AG74" s="592">
        <f t="shared" si="19"/>
        <v>26.744404041309771</v>
      </c>
      <c r="AH74" s="593">
        <f t="shared" si="20"/>
        <v>-14.96812839207306</v>
      </c>
      <c r="AJ74" s="150">
        <f t="shared" si="21"/>
        <v>0</v>
      </c>
      <c r="AK74" s="150">
        <f t="shared" si="35"/>
        <v>0</v>
      </c>
      <c r="AM74" s="150" t="str">
        <f t="shared" si="29"/>
        <v>0.0000122231661310312+0.00494430812722829i</v>
      </c>
      <c r="AN74" s="150" t="str">
        <f t="shared" si="30"/>
        <v>0.00494432827236i</v>
      </c>
      <c r="AO74" s="150" t="str">
        <f t="shared" si="31"/>
        <v>0.999995925607969-0.00247215909982387i</v>
      </c>
      <c r="AP74" s="150" t="str">
        <f t="shared" si="32"/>
        <v>0.166664629472312-0.000824051354538048i</v>
      </c>
      <c r="AQ74" s="150" t="str">
        <f t="shared" si="33"/>
        <v>0.833335370527688+0.000824051354538048i</v>
      </c>
      <c r="AR74" s="150" t="str">
        <f t="shared" si="34"/>
        <v>0.99959657890255-0.000988460281380648i</v>
      </c>
    </row>
    <row r="75" spans="7:44" x14ac:dyDescent="0.25">
      <c r="G75" s="594">
        <v>302</v>
      </c>
      <c r="H75" s="582">
        <f t="shared" si="26"/>
        <v>0.30199999999999999</v>
      </c>
      <c r="I75" s="583">
        <f t="shared" si="0"/>
        <v>1.0425039537173948</v>
      </c>
      <c r="J75" s="584">
        <f t="shared" si="1"/>
        <v>0.28653489226292389</v>
      </c>
      <c r="K75" s="584">
        <f t="shared" si="2"/>
        <v>1.0000000133149802</v>
      </c>
      <c r="L75" s="585">
        <f t="shared" si="3"/>
        <v>1.6318688716304651E-4</v>
      </c>
      <c r="M75" s="584">
        <f t="shared" si="4"/>
        <v>1.0000033013163869</v>
      </c>
      <c r="N75" s="585">
        <f t="shared" si="5"/>
        <v>-2.5695553330363705E-3</v>
      </c>
      <c r="O75" s="583">
        <f t="shared" si="6"/>
        <v>546.48723958801224</v>
      </c>
      <c r="P75" s="586">
        <f t="shared" si="7"/>
        <v>1.5689664568809627</v>
      </c>
      <c r="Q75" s="595">
        <f t="shared" si="8"/>
        <v>1.0255966507890972</v>
      </c>
      <c r="R75" s="596">
        <f t="shared" si="9"/>
        <v>0.22388535581666449</v>
      </c>
      <c r="S75" s="583">
        <f t="shared" si="10"/>
        <v>1.0000011521880054</v>
      </c>
      <c r="T75" s="586">
        <f t="shared" si="11"/>
        <v>1.5180164024531843E-3</v>
      </c>
      <c r="U75" s="587">
        <f t="shared" si="27"/>
        <v>0.99959525013426753</v>
      </c>
      <c r="V75" s="588">
        <f t="shared" si="28"/>
        <v>-3.7950349975600559E-3</v>
      </c>
      <c r="W75" s="589">
        <f t="shared" si="12"/>
        <v>41.967036683892694</v>
      </c>
      <c r="X75" s="590">
        <f t="shared" si="13"/>
        <v>-93.927000488481383</v>
      </c>
      <c r="Y75" s="593">
        <f t="shared" si="14"/>
        <v>86.072999511518617</v>
      </c>
      <c r="AA75" s="150">
        <f t="shared" si="15"/>
        <v>1000000000</v>
      </c>
      <c r="AB75" s="150">
        <f t="shared" si="16"/>
        <v>91204</v>
      </c>
      <c r="AD75" s="592">
        <f t="shared" si="17"/>
        <v>40.676371025808521</v>
      </c>
      <c r="AE75" s="593">
        <f t="shared" si="18"/>
        <v>-77.154446215048026</v>
      </c>
      <c r="AG75" s="592">
        <f t="shared" si="19"/>
        <v>26.685641262639809</v>
      </c>
      <c r="AH75" s="593">
        <f t="shared" si="20"/>
        <v>-16.337675296007163</v>
      </c>
      <c r="AJ75" s="150">
        <f t="shared" si="21"/>
        <v>0</v>
      </c>
      <c r="AK75" s="150">
        <f t="shared" si="35"/>
        <v>0</v>
      </c>
      <c r="AM75" s="150" t="str">
        <f t="shared" si="29"/>
        <v>0.0000146962480479518+0.00542146475744692i</v>
      </c>
      <c r="AN75" s="150" t="str">
        <f t="shared" si="30"/>
        <v>0.005421491316i</v>
      </c>
      <c r="AO75" s="150" t="str">
        <f t="shared" si="31"/>
        <v>0.999995101245851-0.00271073901835459i</v>
      </c>
      <c r="AP75" s="150" t="str">
        <f t="shared" si="32"/>
        <v>0.166664217291992-0.000903577459574487i</v>
      </c>
      <c r="AQ75" s="150" t="str">
        <f t="shared" si="33"/>
        <v>0.833335782708008+0.000903577459574487i</v>
      </c>
      <c r="AR75" s="150" t="str">
        <f t="shared" si="34"/>
        <v>0.999595886725542-0.00108385158860393i</v>
      </c>
    </row>
    <row r="76" spans="7:44" x14ac:dyDescent="0.25">
      <c r="G76" s="594">
        <v>331.13</v>
      </c>
      <c r="H76" s="582">
        <f t="shared" si="26"/>
        <v>0.33112999999999998</v>
      </c>
      <c r="I76" s="583">
        <f t="shared" si="0"/>
        <v>1.0508900674416417</v>
      </c>
      <c r="J76" s="584">
        <f t="shared" si="1"/>
        <v>0.31247927748394594</v>
      </c>
      <c r="K76" s="584">
        <f t="shared" si="2"/>
        <v>1.0000000160075069</v>
      </c>
      <c r="L76" s="585">
        <f t="shared" si="3"/>
        <v>1.7892739685199959E-4</v>
      </c>
      <c r="M76" s="584">
        <f t="shared" si="4"/>
        <v>1.0000039689001681</v>
      </c>
      <c r="N76" s="585">
        <f t="shared" si="5"/>
        <v>-2.8174055587768267E-3</v>
      </c>
      <c r="O76" s="583">
        <f t="shared" si="6"/>
        <v>599.19956518314643</v>
      </c>
      <c r="P76" s="586">
        <f t="shared" si="7"/>
        <v>1.5691274329533338</v>
      </c>
      <c r="Q76" s="595">
        <f t="shared" si="8"/>
        <v>1.0306954838201747</v>
      </c>
      <c r="R76" s="596">
        <f t="shared" si="9"/>
        <v>0.24466441521043608</v>
      </c>
      <c r="S76" s="583">
        <f t="shared" si="10"/>
        <v>1.0000013851808265</v>
      </c>
      <c r="T76" s="586">
        <f t="shared" si="11"/>
        <v>1.6644393816782586E-3</v>
      </c>
      <c r="U76" s="587">
        <f t="shared" si="27"/>
        <v>0.99959428963441965</v>
      </c>
      <c r="V76" s="588">
        <f t="shared" si="28"/>
        <v>-4.1610905338868185E-3</v>
      </c>
      <c r="W76" s="589">
        <f t="shared" si="12"/>
        <v>41.140686910698072</v>
      </c>
      <c r="X76" s="590">
        <f t="shared" si="13"/>
        <v>-94.274836871285657</v>
      </c>
      <c r="Y76" s="593">
        <f t="shared" si="14"/>
        <v>85.725163128714343</v>
      </c>
      <c r="AA76" s="150">
        <f t="shared" si="15"/>
        <v>1000000000</v>
      </c>
      <c r="AB76" s="150">
        <f t="shared" si="16"/>
        <v>109647.0769</v>
      </c>
      <c r="AD76" s="592">
        <f t="shared" si="17"/>
        <v>39.91961530833894</v>
      </c>
      <c r="AE76" s="593">
        <f t="shared" si="18"/>
        <v>-75.981506476475758</v>
      </c>
      <c r="AG76" s="592">
        <f t="shared" si="19"/>
        <v>26.616063899270351</v>
      </c>
      <c r="AH76" s="593">
        <f t="shared" si="20"/>
        <v>-17.816504542737935</v>
      </c>
      <c r="AJ76" s="150">
        <f t="shared" si="21"/>
        <v>0</v>
      </c>
      <c r="AK76" s="150">
        <f t="shared" si="35"/>
        <v>0</v>
      </c>
      <c r="AM76" s="150" t="str">
        <f t="shared" si="29"/>
        <v>0.0000176680829979681+0.00594439684359365i</v>
      </c>
      <c r="AN76" s="150" t="str">
        <f t="shared" si="30"/>
        <v>0.00594443185254i</v>
      </c>
      <c r="AO76" s="150" t="str">
        <f t="shared" si="31"/>
        <v>0.999994110632064-0.0029722071740832i</v>
      </c>
      <c r="AP76" s="150" t="str">
        <f t="shared" si="32"/>
        <v>0.166663721986167-0.000990732807265608i</v>
      </c>
      <c r="AQ76" s="150" t="str">
        <f t="shared" si="33"/>
        <v>0.833336278013833+0.000990732807265608i</v>
      </c>
      <c r="AR76" s="150" t="str">
        <f t="shared" si="34"/>
        <v>0.999595054957523-0.00118839373858442i</v>
      </c>
    </row>
    <row r="77" spans="7:44" x14ac:dyDescent="0.25">
      <c r="G77" s="594">
        <v>363.08</v>
      </c>
      <c r="H77" s="582">
        <f t="shared" si="26"/>
        <v>0.36307999999999996</v>
      </c>
      <c r="I77" s="583">
        <f t="shared" ref="I77:I140" si="36">SQRT(1+(G77/pole1)^2)</f>
        <v>1.0608875784135965</v>
      </c>
      <c r="J77" s="584">
        <f t="shared" ref="J77:J140" si="37">ATAN(G77/pole1)</f>
        <v>0.34044267823864766</v>
      </c>
      <c r="K77" s="584">
        <f t="shared" ref="K77:K140" si="38">SQRT(1+(G77/Zero1)^2)</f>
        <v>1.0000000192455927</v>
      </c>
      <c r="L77" s="585">
        <f t="shared" ref="L77:L140" si="39">ATAN(G77/Zero1)</f>
        <v>1.9619170449304685E-4</v>
      </c>
      <c r="M77" s="584">
        <f t="shared" ref="M77:M140" si="40">SQRT(1+(G77/z_RHP)^2)</f>
        <v>1.0000047717490528</v>
      </c>
      <c r="N77" s="585">
        <f t="shared" ref="N77:N140" si="41">-ATAN(G77/z_RHP)</f>
        <v>-3.0892491250259228E-3</v>
      </c>
      <c r="O77" s="583">
        <f t="shared" ref="O77:O140" si="42">SQRT(1+(G77/Pole2)^2)</f>
        <v>657.01484961075971</v>
      </c>
      <c r="P77" s="586">
        <f t="shared" ref="P77:P140" si="43">ATAN(G77/Pole2)</f>
        <v>1.5692742905932924</v>
      </c>
      <c r="Q77" s="595">
        <f t="shared" ref="Q77:Q140" si="44">SQRT(1+(G77/Zero2)^2)</f>
        <v>1.0367942305465567</v>
      </c>
      <c r="R77" s="596">
        <f t="shared" ref="R77:R140" si="45">ATAN(G77/Zero2)</f>
        <v>0.26720918586697989</v>
      </c>
      <c r="S77" s="583">
        <f t="shared" ref="S77:S140" si="46">SQRT(1+(G77/pole4)^2)</f>
        <v>1.0000016653825354</v>
      </c>
      <c r="T77" s="586">
        <f t="shared" ref="T77:T140" si="47">ATAN(G77/pole4)</f>
        <v>1.8250371087226943E-3</v>
      </c>
      <c r="U77" s="587">
        <f t="shared" si="27"/>
        <v>0.99959313452175391</v>
      </c>
      <c r="V77" s="588">
        <f t="shared" si="28"/>
        <v>-4.5625823304936541E-3</v>
      </c>
      <c r="W77" s="589">
        <f t="shared" ref="W77:W140" si="48">20*LOG10(((K77*Q77*M77*U77)/(I77*O77*S77))*Adc)</f>
        <v>40.3096099546297</v>
      </c>
      <c r="X77" s="590">
        <f t="shared" ref="X77:X140" si="49">((L77+R77+N77+V77)-(J77+P77+T77))*radconv</f>
        <v>-94.640507504512925</v>
      </c>
      <c r="Y77" s="593">
        <f t="shared" ref="Y77:Y140" si="50">IF(X77&gt;0,X77,X77+180)</f>
        <v>85.359492495487075</v>
      </c>
      <c r="AA77" s="150">
        <f t="shared" ref="AA77:AA140" si="51">IF(W77&lt;0,G77,1000000000)</f>
        <v>1000000000</v>
      </c>
      <c r="AB77" s="150">
        <f t="shared" ref="AB77:AB140" si="52">G77^2</f>
        <v>131827.0864</v>
      </c>
      <c r="AD77" s="592">
        <f t="shared" ref="AD77:AD140" si="53">20*LOG10((Q77/(O77*S77))*Aea)</f>
        <v>39.170782930669873</v>
      </c>
      <c r="AE77" s="593">
        <f t="shared" ref="AE77:AE140" si="54">(R77-(P77+T77))*radconv</f>
        <v>-74.707402161227463</v>
      </c>
      <c r="AG77" s="592">
        <f t="shared" ref="AG77:AG140" si="55">20*LOG10((K77*M77/(I77*U77))*Acs*Am)</f>
        <v>26.53383939538935</v>
      </c>
      <c r="AH77" s="593">
        <f t="shared" ref="AH77:AH140" si="56">(L77+N77-(J77+V77))*radconv</f>
        <v>-19.410271920251539</v>
      </c>
      <c r="AJ77" s="150">
        <f t="shared" ref="AJ77:AJ140" si="57">SUM((W78&lt;0)*(W77&gt;0))*G77</f>
        <v>0</v>
      </c>
      <c r="AK77" s="150">
        <f t="shared" ref="AK77:AK89" si="58">IF(AJ77&gt;0,Y75,0)</f>
        <v>0</v>
      </c>
      <c r="AM77" s="150" t="str">
        <f t="shared" si="29"/>
        <v>0.0000212420666589885+0.00651795075866636i</v>
      </c>
      <c r="AN77" s="150" t="str">
        <f t="shared" si="30"/>
        <v>0.00651799691064i</v>
      </c>
      <c r="AO77" s="150" t="str">
        <f t="shared" si="31"/>
        <v>0.999992919301087-0.00325898691733236i</v>
      </c>
      <c r="AP77" s="150" t="str">
        <f t="shared" si="32"/>
        <v>0.166663126322223-0.00108632512644439i</v>
      </c>
      <c r="AQ77" s="150" t="str">
        <f t="shared" si="33"/>
        <v>0.833336873677777+0.00108632512644439i</v>
      </c>
      <c r="AR77" s="150" t="str">
        <f t="shared" si="34"/>
        <v>0.999594054661066-0.00130305542946923i</v>
      </c>
    </row>
    <row r="78" spans="7:44" x14ac:dyDescent="0.25">
      <c r="G78" s="594">
        <v>398.11</v>
      </c>
      <c r="H78" s="582">
        <f t="shared" ref="H78:H141" si="59">G78/1000</f>
        <v>0.39811000000000002</v>
      </c>
      <c r="I78" s="583">
        <f t="shared" si="36"/>
        <v>1.072783118603857</v>
      </c>
      <c r="J78" s="584">
        <f t="shared" si="37"/>
        <v>0.3704766875438954</v>
      </c>
      <c r="K78" s="584">
        <f t="shared" si="38"/>
        <v>1.0000000231383726</v>
      </c>
      <c r="L78" s="585">
        <f t="shared" si="39"/>
        <v>2.1512030206298217E-4</v>
      </c>
      <c r="M78" s="584">
        <f t="shared" si="40"/>
        <v>1.0000057369214836</v>
      </c>
      <c r="N78" s="585">
        <f t="shared" si="41"/>
        <v>-3.3872980550166353E-3</v>
      </c>
      <c r="O78" s="583">
        <f t="shared" si="42"/>
        <v>720.40357719324822</v>
      </c>
      <c r="P78" s="586">
        <f t="shared" si="43"/>
        <v>1.5694082155294886</v>
      </c>
      <c r="Q78" s="595">
        <f t="shared" si="44"/>
        <v>1.0440788997791464</v>
      </c>
      <c r="R78" s="596">
        <f t="shared" si="45"/>
        <v>0.29161079467706214</v>
      </c>
      <c r="S78" s="583">
        <f t="shared" si="46"/>
        <v>1.0000020022368614</v>
      </c>
      <c r="T78" s="586">
        <f t="shared" si="47"/>
        <v>2.0011164486871667E-3</v>
      </c>
      <c r="U78" s="587">
        <f t="shared" ref="U78:U141" si="60">IMABS(IMPRODUCT(AO78, AR78))</f>
        <v>0.99959174586708022</v>
      </c>
      <c r="V78" s="588">
        <f t="shared" ref="V78:V141" si="61">IMARGUMENT(IMPRODUCT(AO78, AR78))</f>
        <v>-5.0027773573713338E-3</v>
      </c>
      <c r="W78" s="589">
        <f t="shared" si="48"/>
        <v>39.473553491289863</v>
      </c>
      <c r="X78" s="590">
        <f t="shared" si="49"/>
        <v>-95.022195952731195</v>
      </c>
      <c r="Y78" s="593">
        <f t="shared" si="50"/>
        <v>84.977804047268805</v>
      </c>
      <c r="AA78" s="150">
        <f t="shared" si="51"/>
        <v>1000000000</v>
      </c>
      <c r="AB78" s="150">
        <f t="shared" si="52"/>
        <v>158491.57210000002</v>
      </c>
      <c r="AD78" s="592">
        <f t="shared" si="53"/>
        <v>38.43158144437551</v>
      </c>
      <c r="AE78" s="593">
        <f t="shared" si="54"/>
        <v>-73.327054898158238</v>
      </c>
      <c r="AG78" s="592">
        <f t="shared" si="55"/>
        <v>26.4370085515821</v>
      </c>
      <c r="AH78" s="593">
        <f t="shared" si="56"/>
        <v>-21.121864997075921</v>
      </c>
      <c r="AJ78" s="150">
        <f t="shared" si="57"/>
        <v>0</v>
      </c>
      <c r="AK78" s="150">
        <f t="shared" si="58"/>
        <v>0</v>
      </c>
      <c r="AM78" s="150" t="str">
        <f t="shared" ref="AM78:AM141" si="62">IMSUB(1,IMEXP(COMPLEX(0,-2*Pi*G78*Tsw)))</f>
        <v>0.000025538652340007+0.00714679315893654i</v>
      </c>
      <c r="AN78" s="150" t="str">
        <f t="shared" ref="AN78:AN141" si="63">COMPLEX(0, 2*Pi*G78*Tsw)</f>
        <v>0.00714685399938i</v>
      </c>
      <c r="AO78" s="150" t="str">
        <f t="shared" ref="AO78:AO141" si="64">IMDIV(AM78, AN78)</f>
        <v>0.999991487101393-0.00357341178961016i</v>
      </c>
      <c r="AP78" s="150" t="str">
        <f t="shared" ref="AP78:AP141" si="65">IMDIV(IMEXP(COMPLEX(0,-2*Pi*G78*Tsw)),6)</f>
        <v>0.16666241022461-0.00119113219315609i</v>
      </c>
      <c r="AQ78" s="150" t="str">
        <f t="shared" ref="AQ78:AQ141" si="66">IMSUB(1, AP78)</f>
        <v>0.83333758977539+0.00119113219315609i</v>
      </c>
      <c r="AR78" s="150" t="str">
        <f t="shared" ref="AR78:AR141" si="67">IMDIV(0.833, AQ78)</f>
        <v>0.999592852125296-0.00142876937368933i</v>
      </c>
    </row>
    <row r="79" spans="7:44" x14ac:dyDescent="0.25">
      <c r="G79" s="594">
        <v>436.52</v>
      </c>
      <c r="H79" s="582">
        <f t="shared" si="59"/>
        <v>0.43651999999999996</v>
      </c>
      <c r="I79" s="583">
        <f t="shared" si="36"/>
        <v>1.0869125307911061</v>
      </c>
      <c r="J79" s="584">
        <f t="shared" si="37"/>
        <v>0.4026208228152876</v>
      </c>
      <c r="K79" s="584">
        <f t="shared" si="38"/>
        <v>1.0000000278185781</v>
      </c>
      <c r="L79" s="585">
        <f t="shared" si="39"/>
        <v>2.3587529568093902E-4</v>
      </c>
      <c r="M79" s="584">
        <f t="shared" si="40"/>
        <v>1.0000068973263281</v>
      </c>
      <c r="N79" s="585">
        <f t="shared" si="41"/>
        <v>-3.7141046522664745E-3</v>
      </c>
      <c r="O79" s="583">
        <f t="shared" si="42"/>
        <v>789.90861456579626</v>
      </c>
      <c r="P79" s="586">
        <f t="shared" si="43"/>
        <v>1.5695303572274386</v>
      </c>
      <c r="Q79" s="595">
        <f t="shared" si="44"/>
        <v>1.0527703713302881</v>
      </c>
      <c r="R79" s="596">
        <f t="shared" si="45"/>
        <v>0.31796128543133906</v>
      </c>
      <c r="S79" s="583">
        <f t="shared" si="46"/>
        <v>1.0000024072294305</v>
      </c>
      <c r="T79" s="586">
        <f t="shared" si="47"/>
        <v>2.1941853164534363E-3</v>
      </c>
      <c r="U79" s="587">
        <f t="shared" si="60"/>
        <v>0.99959007632465535</v>
      </c>
      <c r="V79" s="588">
        <f t="shared" si="61"/>
        <v>-5.4854451460959472E-3</v>
      </c>
      <c r="W79" s="589">
        <f t="shared" si="48"/>
        <v>38.631879195339494</v>
      </c>
      <c r="X79" s="590">
        <f t="shared" si="49"/>
        <v>-95.417397859488233</v>
      </c>
      <c r="Y79" s="593">
        <f t="shared" si="50"/>
        <v>84.582602140511767</v>
      </c>
      <c r="AA79" s="150">
        <f t="shared" si="51"/>
        <v>1000000000</v>
      </c>
      <c r="AB79" s="150">
        <f t="shared" si="52"/>
        <v>190549.71039999998</v>
      </c>
      <c r="AD79" s="592">
        <f t="shared" si="53"/>
        <v>37.703564833450642</v>
      </c>
      <c r="AE79" s="593">
        <f t="shared" si="54"/>
        <v>-71.835343223208639</v>
      </c>
      <c r="AG79" s="592">
        <f t="shared" si="55"/>
        <v>26.323379881348728</v>
      </c>
      <c r="AH79" s="593">
        <f t="shared" si="56"/>
        <v>-22.953468924317697</v>
      </c>
      <c r="AJ79" s="150">
        <f t="shared" si="57"/>
        <v>0</v>
      </c>
      <c r="AK79" s="150">
        <f t="shared" si="58"/>
        <v>0</v>
      </c>
      <c r="AM79" s="150" t="str">
        <f t="shared" si="62"/>
        <v>0.0000307043368500404+0.00783630850228965i</v>
      </c>
      <c r="AN79" s="150" t="str">
        <f t="shared" si="63"/>
        <v>0.00783638870616i</v>
      </c>
      <c r="AO79" s="150" t="str">
        <f t="shared" si="64"/>
        <v>0.999989765200099-0.00391817430213798i</v>
      </c>
      <c r="AP79" s="150" t="str">
        <f t="shared" si="65"/>
        <v>0.166661549277192-0.00130605141704827i</v>
      </c>
      <c r="AQ79" s="150" t="str">
        <f t="shared" si="66"/>
        <v>0.833338450722808+0.00130605141704827i</v>
      </c>
      <c r="AR79" s="150" t="str">
        <f t="shared" si="67"/>
        <v>0.999591406351222-0.00156661170692643i</v>
      </c>
    </row>
    <row r="80" spans="7:44" x14ac:dyDescent="0.25">
      <c r="G80" s="594">
        <v>478.63</v>
      </c>
      <c r="H80" s="582">
        <f t="shared" si="59"/>
        <v>0.47863</v>
      </c>
      <c r="I80" s="583">
        <f t="shared" si="36"/>
        <v>1.1036580502622013</v>
      </c>
      <c r="J80" s="584">
        <f t="shared" si="37"/>
        <v>0.43687631603054267</v>
      </c>
      <c r="K80" s="584">
        <f t="shared" si="38"/>
        <v>1.0000000334446355</v>
      </c>
      <c r="L80" s="585">
        <f t="shared" si="39"/>
        <v>2.5862959852543887E-4</v>
      </c>
      <c r="M80" s="584">
        <f t="shared" si="40"/>
        <v>1.0000082922428095</v>
      </c>
      <c r="N80" s="585">
        <f t="shared" si="41"/>
        <v>-4.0723913144393893E-3</v>
      </c>
      <c r="O80" s="583">
        <f t="shared" si="42"/>
        <v>866.10901957475517</v>
      </c>
      <c r="P80" s="586">
        <f t="shared" si="43"/>
        <v>1.5696417374769487</v>
      </c>
      <c r="Q80" s="595">
        <f t="shared" si="44"/>
        <v>1.0631243128050512</v>
      </c>
      <c r="R80" s="596">
        <f t="shared" si="45"/>
        <v>0.34633308725705009</v>
      </c>
      <c r="S80" s="583">
        <f t="shared" si="46"/>
        <v>1.0000028940692449</v>
      </c>
      <c r="T80" s="586">
        <f t="shared" si="47"/>
        <v>2.4058521423098523E-3</v>
      </c>
      <c r="U80" s="587">
        <f t="shared" si="60"/>
        <v>0.99958806938452049</v>
      </c>
      <c r="V80" s="588">
        <f t="shared" si="61"/>
        <v>-6.014606436649513E-3</v>
      </c>
      <c r="W80" s="589">
        <f t="shared" si="48"/>
        <v>37.784164601097572</v>
      </c>
      <c r="X80" s="590">
        <f t="shared" si="49"/>
        <v>-95.822561075242092</v>
      </c>
      <c r="Y80" s="593">
        <f t="shared" si="50"/>
        <v>84.177438924757908</v>
      </c>
      <c r="AA80" s="150">
        <f t="shared" si="51"/>
        <v>1000000000</v>
      </c>
      <c r="AB80" s="150">
        <f t="shared" si="52"/>
        <v>229086.67689999999</v>
      </c>
      <c r="AD80" s="592">
        <f t="shared" si="53"/>
        <v>36.988654309095338</v>
      </c>
      <c r="AE80" s="593">
        <f t="shared" si="54"/>
        <v>-70.228267953580016</v>
      </c>
      <c r="AG80" s="592">
        <f t="shared" si="55"/>
        <v>26.190610689915648</v>
      </c>
      <c r="AH80" s="593">
        <f t="shared" si="56"/>
        <v>-24.905069992370038</v>
      </c>
      <c r="AJ80" s="150">
        <f t="shared" si="57"/>
        <v>0</v>
      </c>
      <c r="AK80" s="150">
        <f t="shared" si="58"/>
        <v>0</v>
      </c>
      <c r="AM80" s="150" t="str">
        <f t="shared" si="62"/>
        <v>0.0000369139748399583+0.00859223993140267i</v>
      </c>
      <c r="AN80" s="150" t="str">
        <f t="shared" si="63"/>
        <v>0.00859234565754i</v>
      </c>
      <c r="AO80" s="150" t="str">
        <f t="shared" si="64"/>
        <v>0.999987695311438-0.00429614639717914i</v>
      </c>
      <c r="AP80" s="150" t="str">
        <f t="shared" si="65"/>
        <v>0.166660514337527-0.00143203998856711i</v>
      </c>
      <c r="AQ80" s="150" t="str">
        <f t="shared" si="66"/>
        <v>0.833339485662473+0.00143203998856711i</v>
      </c>
      <c r="AR80" s="150" t="str">
        <f t="shared" si="67"/>
        <v>0.999589668404473-0.00171773017112683i</v>
      </c>
    </row>
    <row r="81" spans="7:44" x14ac:dyDescent="0.25">
      <c r="G81" s="594">
        <v>524.80999999999995</v>
      </c>
      <c r="H81" s="582">
        <f t="shared" si="59"/>
        <v>0.52481</v>
      </c>
      <c r="I81" s="583">
        <f t="shared" si="36"/>
        <v>1.1234632766499375</v>
      </c>
      <c r="J81" s="584">
        <f t="shared" si="37"/>
        <v>0.47322136897786748</v>
      </c>
      <c r="K81" s="584">
        <f t="shared" si="38"/>
        <v>1.0000000402097005</v>
      </c>
      <c r="L81" s="585">
        <f t="shared" si="39"/>
        <v>2.8358314144533576E-4</v>
      </c>
      <c r="M81" s="584">
        <f t="shared" si="40"/>
        <v>1.0000099695605909</v>
      </c>
      <c r="N81" s="585">
        <f t="shared" si="41"/>
        <v>-4.4653057599199136E-3</v>
      </c>
      <c r="O81" s="583">
        <f t="shared" si="42"/>
        <v>949.67432795680895</v>
      </c>
      <c r="P81" s="586">
        <f t="shared" si="43"/>
        <v>1.5697433340421596</v>
      </c>
      <c r="Q81" s="595">
        <f t="shared" si="44"/>
        <v>1.0754424419922399</v>
      </c>
      <c r="R81" s="596">
        <f t="shared" si="45"/>
        <v>0.37679175994484299</v>
      </c>
      <c r="S81" s="583">
        <f t="shared" si="46"/>
        <v>1.0000034794705253</v>
      </c>
      <c r="T81" s="586">
        <f t="shared" si="47"/>
        <v>2.6379766626604133E-3</v>
      </c>
      <c r="U81" s="587">
        <f t="shared" si="60"/>
        <v>0.99958565615014672</v>
      </c>
      <c r="V81" s="588">
        <f t="shared" si="61"/>
        <v>-6.5949101247910922E-3</v>
      </c>
      <c r="W81" s="589">
        <f t="shared" si="48"/>
        <v>36.929685959756839</v>
      </c>
      <c r="X81" s="590">
        <f t="shared" si="49"/>
        <v>-96.233278189837833</v>
      </c>
      <c r="Y81" s="593">
        <f t="shared" si="50"/>
        <v>83.766721810162167</v>
      </c>
      <c r="AA81" s="150">
        <f t="shared" si="51"/>
        <v>1000000000</v>
      </c>
      <c r="AB81" s="150">
        <f t="shared" si="52"/>
        <v>275425.53609999997</v>
      </c>
      <c r="AD81" s="592">
        <f t="shared" si="53"/>
        <v>36.288668919468599</v>
      </c>
      <c r="AE81" s="593">
        <f t="shared" si="54"/>
        <v>-68.502235366764012</v>
      </c>
      <c r="AG81" s="592">
        <f t="shared" si="55"/>
        <v>26.036159377703303</v>
      </c>
      <c r="AH81" s="593">
        <f t="shared" si="56"/>
        <v>-26.975321789373034</v>
      </c>
      <c r="AJ81" s="150">
        <f t="shared" si="57"/>
        <v>0</v>
      </c>
      <c r="AK81" s="150">
        <f t="shared" si="58"/>
        <v>0</v>
      </c>
      <c r="AM81" s="150" t="str">
        <f t="shared" si="62"/>
        <v>0.0000443807505300375+0.00942122770178698i</v>
      </c>
      <c r="AN81" s="150" t="str">
        <f t="shared" si="63"/>
        <v>0.00942136707798i</v>
      </c>
      <c r="AO81" s="150" t="str">
        <f t="shared" si="64"/>
        <v>0.99998520637272-0.00471064869489758i</v>
      </c>
      <c r="AP81" s="150" t="str">
        <f t="shared" si="65"/>
        <v>0.166659269874912-0.0015702046169645i</v>
      </c>
      <c r="AQ81" s="150" t="str">
        <f t="shared" si="66"/>
        <v>0.833340730125088+0.0015702046169645i</v>
      </c>
      <c r="AR81" s="150" t="str">
        <f t="shared" si="67"/>
        <v>0.999587578625106-0.00188345171942083i</v>
      </c>
    </row>
    <row r="82" spans="7:44" x14ac:dyDescent="0.25">
      <c r="G82" s="594">
        <v>575.44000000000005</v>
      </c>
      <c r="H82" s="582">
        <f t="shared" si="59"/>
        <v>0.57544000000000006</v>
      </c>
      <c r="I82" s="583">
        <f t="shared" si="36"/>
        <v>1.1468192381272009</v>
      </c>
      <c r="J82" s="584">
        <f t="shared" si="37"/>
        <v>0.51156998575573365</v>
      </c>
      <c r="K82" s="584">
        <f t="shared" si="38"/>
        <v>1.0000000483422351</v>
      </c>
      <c r="L82" s="585">
        <f t="shared" si="39"/>
        <v>3.1094125879568835E-4</v>
      </c>
      <c r="M82" s="584">
        <f t="shared" si="40"/>
        <v>1.0000119859226442</v>
      </c>
      <c r="N82" s="585">
        <f t="shared" si="41"/>
        <v>-4.8960806624670783E-3</v>
      </c>
      <c r="O82" s="583">
        <f t="shared" si="42"/>
        <v>1041.2921710939563</v>
      </c>
      <c r="P82" s="586">
        <f t="shared" si="43"/>
        <v>1.5698359813880354</v>
      </c>
      <c r="Q82" s="595">
        <f t="shared" si="44"/>
        <v>1.0900662876108447</v>
      </c>
      <c r="R82" s="596">
        <f t="shared" si="45"/>
        <v>0.40936085885872969</v>
      </c>
      <c r="S82" s="583">
        <f t="shared" si="46"/>
        <v>1.0000041832026145</v>
      </c>
      <c r="T82" s="586">
        <f t="shared" si="47"/>
        <v>2.8924688527045472E-3</v>
      </c>
      <c r="U82" s="587">
        <f t="shared" si="60"/>
        <v>0.99958275513370176</v>
      </c>
      <c r="V82" s="588">
        <f t="shared" si="61"/>
        <v>-7.231130565412424E-3</v>
      </c>
      <c r="W82" s="589">
        <f t="shared" si="48"/>
        <v>36.068307079895192</v>
      </c>
      <c r="X82" s="590">
        <f t="shared" si="49"/>
        <v>-96.643876627107872</v>
      </c>
      <c r="Y82" s="593">
        <f t="shared" si="50"/>
        <v>83.356123372892128</v>
      </c>
      <c r="AA82" s="150">
        <f t="shared" si="51"/>
        <v>1000000000</v>
      </c>
      <c r="AB82" s="150">
        <f t="shared" si="52"/>
        <v>331131.19360000006</v>
      </c>
      <c r="AD82" s="592">
        <f t="shared" si="53"/>
        <v>35.606019439327802</v>
      </c>
      <c r="AE82" s="593">
        <f t="shared" si="54"/>
        <v>-66.656053084654957</v>
      </c>
      <c r="AG82" s="592">
        <f t="shared" si="55"/>
        <v>25.857480394762831</v>
      </c>
      <c r="AH82" s="593">
        <f t="shared" si="56"/>
        <v>-29.159197016493732</v>
      </c>
      <c r="AJ82" s="150">
        <f t="shared" si="57"/>
        <v>0</v>
      </c>
      <c r="AK82" s="150">
        <f t="shared" si="58"/>
        <v>0</v>
      </c>
      <c r="AM82" s="150" t="str">
        <f t="shared" si="62"/>
        <v>0.0000533568133089801+0.0103300909806867i</v>
      </c>
      <c r="AN82" s="150" t="str">
        <f t="shared" si="63"/>
        <v>0.01033027471152i</v>
      </c>
      <c r="AO82" s="150" t="str">
        <f t="shared" si="64"/>
        <v>0.999982214332297-0.00516509142292976i</v>
      </c>
      <c r="AP82" s="150" t="str">
        <f t="shared" si="65"/>
        <v>0.166657773864448-0.00172168183011445i</v>
      </c>
      <c r="AQ82" s="150" t="str">
        <f t="shared" si="66"/>
        <v>0.833342226135552+0.00172168183011445i</v>
      </c>
      <c r="AR82" s="150" t="str">
        <f t="shared" si="67"/>
        <v>0.999585066450703-0.00206513889802818i</v>
      </c>
    </row>
    <row r="83" spans="7:44" x14ac:dyDescent="0.25">
      <c r="G83" s="594">
        <v>630.96</v>
      </c>
      <c r="H83" s="582">
        <f t="shared" si="59"/>
        <v>0.63096000000000008</v>
      </c>
      <c r="I83" s="583">
        <f t="shared" si="36"/>
        <v>1.1742870527226978</v>
      </c>
      <c r="J83" s="584">
        <f t="shared" si="37"/>
        <v>0.5518033698901158</v>
      </c>
      <c r="K83" s="584">
        <f t="shared" si="38"/>
        <v>1.0000000581206263</v>
      </c>
      <c r="L83" s="585">
        <f t="shared" si="39"/>
        <v>3.4094170612187098E-4</v>
      </c>
      <c r="M83" s="584">
        <f t="shared" si="40"/>
        <v>1.0000144103492017</v>
      </c>
      <c r="N83" s="585">
        <f t="shared" si="41"/>
        <v>-5.3684590257311159E-3</v>
      </c>
      <c r="O83" s="583">
        <f t="shared" si="42"/>
        <v>1141.7587538247096</v>
      </c>
      <c r="P83" s="586">
        <f t="shared" si="43"/>
        <v>1.569920484919807</v>
      </c>
      <c r="Q83" s="595">
        <f t="shared" si="44"/>
        <v>1.107394029600274</v>
      </c>
      <c r="R83" s="596">
        <f t="shared" si="45"/>
        <v>0.44404592832374834</v>
      </c>
      <c r="S83" s="583">
        <f t="shared" si="46"/>
        <v>1.0000050293548373</v>
      </c>
      <c r="T83" s="586">
        <f t="shared" si="47"/>
        <v>3.1715402436446726E-3</v>
      </c>
      <c r="U83" s="587">
        <f t="shared" si="60"/>
        <v>0.99957926704332145</v>
      </c>
      <c r="V83" s="588">
        <f t="shared" si="61"/>
        <v>-7.928795813708072E-3</v>
      </c>
      <c r="W83" s="589">
        <f t="shared" si="48"/>
        <v>35.199654955835292</v>
      </c>
      <c r="X83" s="590">
        <f t="shared" si="49"/>
        <v>-97.047922611916107</v>
      </c>
      <c r="Y83" s="593">
        <f t="shared" si="50"/>
        <v>82.952077388083893</v>
      </c>
      <c r="AA83" s="150">
        <f t="shared" si="51"/>
        <v>1000000000</v>
      </c>
      <c r="AB83" s="150">
        <f t="shared" si="52"/>
        <v>398110.52160000004</v>
      </c>
      <c r="AD83" s="592">
        <f t="shared" si="53"/>
        <v>34.942962538476799</v>
      </c>
      <c r="AE83" s="593">
        <f t="shared" si="54"/>
        <v>-64.689576298552453</v>
      </c>
      <c r="AG83" s="592">
        <f t="shared" si="55"/>
        <v>25.651945791289119</v>
      </c>
      <c r="AH83" s="593">
        <f t="shared" si="56"/>
        <v>-31.449773238832552</v>
      </c>
      <c r="AJ83" s="150">
        <f t="shared" si="57"/>
        <v>0</v>
      </c>
      <c r="AK83" s="150">
        <f t="shared" si="58"/>
        <v>0</v>
      </c>
      <c r="AM83" s="150" t="str">
        <f t="shared" si="62"/>
        <v>0.0000641494095939832+0.0113267252125533i</v>
      </c>
      <c r="AN83" s="150" t="str">
        <f t="shared" si="63"/>
        <v>0.01132696741968i</v>
      </c>
      <c r="AO83" s="150" t="str">
        <f t="shared" si="64"/>
        <v>0.999978616772016-0.00566342315795197i</v>
      </c>
      <c r="AP83" s="150" t="str">
        <f t="shared" si="65"/>
        <v>0.166655975098401-0.00188778753542555i</v>
      </c>
      <c r="AQ83" s="150" t="str">
        <f t="shared" si="66"/>
        <v>0.833344024901599+0.00188778753542555i</v>
      </c>
      <c r="AR83" s="150" t="str">
        <f t="shared" si="67"/>
        <v>0.999582045902885-0.00226436918067956i</v>
      </c>
    </row>
    <row r="84" spans="7:44" x14ac:dyDescent="0.25">
      <c r="G84" s="594">
        <v>691.83</v>
      </c>
      <c r="H84" s="582">
        <f t="shared" si="59"/>
        <v>0.69183000000000006</v>
      </c>
      <c r="I84" s="583">
        <f t="shared" si="36"/>
        <v>1.2064796279287688</v>
      </c>
      <c r="J84" s="584">
        <f t="shared" si="37"/>
        <v>0.59373342916423344</v>
      </c>
      <c r="K84" s="584">
        <f t="shared" si="38"/>
        <v>1.0000000698755773</v>
      </c>
      <c r="L84" s="585">
        <f t="shared" si="39"/>
        <v>3.7383304598998071E-4</v>
      </c>
      <c r="M84" s="584">
        <f t="shared" si="40"/>
        <v>1.0000173248306303</v>
      </c>
      <c r="N84" s="585">
        <f t="shared" si="41"/>
        <v>-5.8863537965766211E-3</v>
      </c>
      <c r="O84" s="583">
        <f t="shared" si="42"/>
        <v>1251.9064721874336</v>
      </c>
      <c r="P84" s="586">
        <f t="shared" si="43"/>
        <v>1.5699975449940526</v>
      </c>
      <c r="Q84" s="595">
        <f t="shared" si="44"/>
        <v>1.1278720141931604</v>
      </c>
      <c r="R84" s="596">
        <f t="shared" si="45"/>
        <v>0.48079955485155057</v>
      </c>
      <c r="S84" s="583">
        <f t="shared" si="46"/>
        <v>1.0000060465435063</v>
      </c>
      <c r="T84" s="586">
        <f t="shared" si="47"/>
        <v>3.4775028509671712E-3</v>
      </c>
      <c r="U84" s="587">
        <f t="shared" si="60"/>
        <v>0.99957507393185652</v>
      </c>
      <c r="V84" s="588">
        <f t="shared" si="61"/>
        <v>-8.6936848946846095E-3</v>
      </c>
      <c r="W84" s="589">
        <f t="shared" si="48"/>
        <v>34.323922856930913</v>
      </c>
      <c r="X84" s="590">
        <f t="shared" si="49"/>
        <v>-97.438069510550733</v>
      </c>
      <c r="Y84" s="593">
        <f t="shared" si="50"/>
        <v>82.561930489449267</v>
      </c>
      <c r="AA84" s="150">
        <f t="shared" si="51"/>
        <v>1000000000</v>
      </c>
      <c r="AB84" s="150">
        <f t="shared" si="52"/>
        <v>478628.74890000006</v>
      </c>
      <c r="AD84" s="592">
        <f t="shared" si="53"/>
        <v>34.302155868849695</v>
      </c>
      <c r="AE84" s="593">
        <f t="shared" si="54"/>
        <v>-62.605694197439782</v>
      </c>
      <c r="AG84" s="592">
        <f t="shared" si="55"/>
        <v>25.41709323463138</v>
      </c>
      <c r="AH84" s="593">
        <f t="shared" si="56"/>
        <v>-33.836152406208477</v>
      </c>
      <c r="AJ84" s="150">
        <f t="shared" si="57"/>
        <v>0</v>
      </c>
      <c r="AK84" s="150">
        <f t="shared" si="58"/>
        <v>0</v>
      </c>
      <c r="AM84" s="150" t="str">
        <f t="shared" si="62"/>
        <v>0.0000771235212250199+0.0124193838177531i</v>
      </c>
      <c r="AN84" s="150" t="str">
        <f t="shared" si="63"/>
        <v>0.01241970310314i</v>
      </c>
      <c r="AO84" s="150" t="str">
        <f t="shared" si="64"/>
        <v>0.999974292027414-0.0062097717300119i</v>
      </c>
      <c r="AP84" s="150" t="str">
        <f t="shared" si="65"/>
        <v>0.166653812746462-0.00206989730295885i</v>
      </c>
      <c r="AQ84" s="150" t="str">
        <f t="shared" si="66"/>
        <v>0.833346187253538+0.00206989730295885i</v>
      </c>
      <c r="AR84" s="150" t="str">
        <f t="shared" si="67"/>
        <v>0.999578414850958-0.00248279130167352i</v>
      </c>
    </row>
    <row r="85" spans="7:44" x14ac:dyDescent="0.25">
      <c r="G85" s="594">
        <v>758.58</v>
      </c>
      <c r="H85" s="582">
        <f t="shared" si="59"/>
        <v>0.75858000000000003</v>
      </c>
      <c r="I85" s="583">
        <f t="shared" si="36"/>
        <v>1.2440853713909028</v>
      </c>
      <c r="J85" s="584">
        <f t="shared" si="37"/>
        <v>0.63713511753522423</v>
      </c>
      <c r="K85" s="584">
        <f t="shared" si="38"/>
        <v>1.0000000840096936</v>
      </c>
      <c r="L85" s="585">
        <f t="shared" si="39"/>
        <v>4.0990166566202176E-4</v>
      </c>
      <c r="M85" s="584">
        <f t="shared" si="40"/>
        <v>1.0000208291828401</v>
      </c>
      <c r="N85" s="585">
        <f t="shared" si="41"/>
        <v>-6.4542732047546481E-3</v>
      </c>
      <c r="O85" s="583">
        <f t="shared" si="42"/>
        <v>1372.6943912508959</v>
      </c>
      <c r="P85" s="586">
        <f t="shared" si="43"/>
        <v>1.5700678324593589</v>
      </c>
      <c r="Q85" s="595">
        <f t="shared" si="44"/>
        <v>1.1520127986072046</v>
      </c>
      <c r="R85" s="596">
        <f t="shared" si="45"/>
        <v>0.51954350680552419</v>
      </c>
      <c r="S85" s="583">
        <f t="shared" si="46"/>
        <v>1.0000072696066464</v>
      </c>
      <c r="T85" s="586">
        <f t="shared" si="47"/>
        <v>3.8130204844643071E-3</v>
      </c>
      <c r="U85" s="587">
        <f t="shared" si="60"/>
        <v>0.99957003221374086</v>
      </c>
      <c r="V85" s="588">
        <f t="shared" si="61"/>
        <v>-9.5324559893917478E-3</v>
      </c>
      <c r="W85" s="589">
        <f t="shared" si="48"/>
        <v>33.441205351853164</v>
      </c>
      <c r="X85" s="590">
        <f t="shared" si="49"/>
        <v>-97.806719918434169</v>
      </c>
      <c r="Y85" s="593">
        <f t="shared" si="50"/>
        <v>82.193280081565831</v>
      </c>
      <c r="AA85" s="150">
        <f t="shared" si="51"/>
        <v>1000000000</v>
      </c>
      <c r="AB85" s="150">
        <f t="shared" si="52"/>
        <v>575443.61640000006</v>
      </c>
      <c r="AD85" s="592">
        <f t="shared" si="53"/>
        <v>33.686055422608348</v>
      </c>
      <c r="AE85" s="593">
        <f t="shared" si="54"/>
        <v>-60.409080185775785</v>
      </c>
      <c r="AG85" s="592">
        <f t="shared" si="55"/>
        <v>25.15056379686261</v>
      </c>
      <c r="AH85" s="593">
        <f t="shared" si="56"/>
        <v>-36.305300738237499</v>
      </c>
      <c r="AJ85" s="150">
        <f t="shared" si="57"/>
        <v>0</v>
      </c>
      <c r="AK85" s="150">
        <f t="shared" si="58"/>
        <v>0</v>
      </c>
      <c r="AM85" s="150" t="str">
        <f t="shared" si="62"/>
        <v>0.0000927234786329834+0.0136175753943751i</v>
      </c>
      <c r="AN85" s="150" t="str">
        <f t="shared" si="63"/>
        <v>0.01361799629964i</v>
      </c>
      <c r="AO85" s="150" t="str">
        <f t="shared" si="64"/>
        <v>0.999969091982724-0.00680889292321475i</v>
      </c>
      <c r="AP85" s="150" t="str">
        <f t="shared" si="65"/>
        <v>0.166651212753561-0.00226959589906252i</v>
      </c>
      <c r="AQ85" s="150" t="str">
        <f t="shared" si="66"/>
        <v>0.833348787246439+0.00226959589906252i</v>
      </c>
      <c r="AR85" s="150" t="str">
        <f t="shared" si="67"/>
        <v>0.999574048966022-0.0027223045105023i</v>
      </c>
    </row>
    <row r="86" spans="7:44" x14ac:dyDescent="0.25">
      <c r="G86" s="594">
        <v>831.76</v>
      </c>
      <c r="H86" s="582">
        <f t="shared" si="59"/>
        <v>0.83175999999999994</v>
      </c>
      <c r="I86" s="583">
        <f t="shared" si="36"/>
        <v>1.2878385971528306</v>
      </c>
      <c r="J86" s="584">
        <f t="shared" si="37"/>
        <v>0.68171242192443093</v>
      </c>
      <c r="K86" s="584">
        <f t="shared" si="38"/>
        <v>1.0000001010003043</v>
      </c>
      <c r="L86" s="585">
        <f t="shared" si="39"/>
        <v>4.4944475937830298E-4</v>
      </c>
      <c r="M86" s="584">
        <f t="shared" si="40"/>
        <v>1.000025041745807</v>
      </c>
      <c r="N86" s="585">
        <f t="shared" si="41"/>
        <v>-7.0768952576680203E-3</v>
      </c>
      <c r="O86" s="583">
        <f t="shared" si="42"/>
        <v>1505.1177672768194</v>
      </c>
      <c r="P86" s="586">
        <f t="shared" si="43"/>
        <v>1.5701319269085139</v>
      </c>
      <c r="Q86" s="595">
        <f t="shared" si="44"/>
        <v>1.1803791244009656</v>
      </c>
      <c r="R86" s="596">
        <f t="shared" si="45"/>
        <v>0.56013116002574259</v>
      </c>
      <c r="S86" s="583">
        <f t="shared" si="46"/>
        <v>1.0000087398479702</v>
      </c>
      <c r="T86" s="586">
        <f t="shared" si="47"/>
        <v>4.1808574040707661E-3</v>
      </c>
      <c r="U86" s="587">
        <f t="shared" si="60"/>
        <v>0.99956397166370625</v>
      </c>
      <c r="V86" s="588">
        <f t="shared" si="61"/>
        <v>-1.0452017987580515E-2</v>
      </c>
      <c r="W86" s="589">
        <f t="shared" si="48"/>
        <v>32.552303441637008</v>
      </c>
      <c r="X86" s="590">
        <f t="shared" si="49"/>
        <v>-98.146152921985532</v>
      </c>
      <c r="Y86" s="593">
        <f t="shared" si="50"/>
        <v>81.853847078014468</v>
      </c>
      <c r="AA86" s="150">
        <f t="shared" si="51"/>
        <v>1000000000</v>
      </c>
      <c r="AB86" s="150">
        <f t="shared" si="52"/>
        <v>691824.69759999996</v>
      </c>
      <c r="AD86" s="592">
        <f t="shared" si="53"/>
        <v>33.097394510230636</v>
      </c>
      <c r="AE86" s="593">
        <f t="shared" si="54"/>
        <v>-58.108326797757037</v>
      </c>
      <c r="AG86" s="592">
        <f t="shared" si="55"/>
        <v>24.850428127168552</v>
      </c>
      <c r="AH86" s="593">
        <f t="shared" si="56"/>
        <v>-38.840113086693528</v>
      </c>
      <c r="AJ86" s="150">
        <f t="shared" si="57"/>
        <v>0</v>
      </c>
      <c r="AK86" s="150">
        <f t="shared" si="58"/>
        <v>0</v>
      </c>
      <c r="AM86" s="150" t="str">
        <f t="shared" si="62"/>
        <v>0.000111476068616945+0.0149311657387869i</v>
      </c>
      <c r="AN86" s="150" t="str">
        <f t="shared" si="63"/>
        <v>0.01493172058608i</v>
      </c>
      <c r="AO86" s="150" t="str">
        <f t="shared" si="64"/>
        <v>0.9999628410343-0.00746572158073115i</v>
      </c>
      <c r="AP86" s="150" t="str">
        <f t="shared" si="65"/>
        <v>0.166648087321897-0.00248852762313115i</v>
      </c>
      <c r="AQ86" s="150" t="str">
        <f t="shared" si="66"/>
        <v>0.833351912678103+0.00248852762313115i</v>
      </c>
      <c r="AR86" s="150" t="str">
        <f t="shared" si="67"/>
        <v>0.999568800855526-0.00298487893806501i</v>
      </c>
    </row>
    <row r="87" spans="7:44" x14ac:dyDescent="0.25">
      <c r="G87" s="594">
        <v>912.01</v>
      </c>
      <c r="H87" s="582">
        <f t="shared" si="59"/>
        <v>0.91200999999999999</v>
      </c>
      <c r="I87" s="583">
        <f t="shared" si="36"/>
        <v>1.338555497104079</v>
      </c>
      <c r="J87" s="584">
        <f t="shared" si="37"/>
        <v>0.72714692955967541</v>
      </c>
      <c r="K87" s="584">
        <f t="shared" si="38"/>
        <v>1.0000001214299501</v>
      </c>
      <c r="L87" s="585">
        <f t="shared" si="39"/>
        <v>4.9280815309451175E-4</v>
      </c>
      <c r="M87" s="584">
        <f t="shared" si="40"/>
        <v>1.0000301069417015</v>
      </c>
      <c r="N87" s="585">
        <f t="shared" si="41"/>
        <v>-7.7596631839725013E-3</v>
      </c>
      <c r="O87" s="583">
        <f t="shared" si="42"/>
        <v>1650.3347166993351</v>
      </c>
      <c r="P87" s="586">
        <f t="shared" si="43"/>
        <v>1.5701903890714308</v>
      </c>
      <c r="Q87" s="595">
        <f t="shared" si="44"/>
        <v>1.2136094349563691</v>
      </c>
      <c r="R87" s="596">
        <f t="shared" si="45"/>
        <v>0.60238195748136192</v>
      </c>
      <c r="S87" s="583">
        <f t="shared" si="46"/>
        <v>1.0000105076750303</v>
      </c>
      <c r="T87" s="586">
        <f t="shared" si="47"/>
        <v>4.5842301473065471E-3</v>
      </c>
      <c r="U87" s="587">
        <f t="shared" si="60"/>
        <v>0.99955668454809721</v>
      </c>
      <c r="V87" s="588">
        <f t="shared" si="61"/>
        <v>-1.1460409897433469E-2</v>
      </c>
      <c r="W87" s="589">
        <f t="shared" si="48"/>
        <v>31.657887450967721</v>
      </c>
      <c r="X87" s="590">
        <f t="shared" si="49"/>
        <v>-98.449439051420342</v>
      </c>
      <c r="Y87" s="593">
        <f t="shared" si="50"/>
        <v>81.550560948579658</v>
      </c>
      <c r="AA87" s="150">
        <f t="shared" si="51"/>
        <v>1000000000</v>
      </c>
      <c r="AB87" s="150">
        <f t="shared" si="52"/>
        <v>831762.24009999994</v>
      </c>
      <c r="AD87" s="592">
        <f t="shared" si="53"/>
        <v>32.538496569888487</v>
      </c>
      <c r="AE87" s="593">
        <f t="shared" si="54"/>
        <v>-55.713995610706419</v>
      </c>
      <c r="AG87" s="592">
        <f t="shared" si="55"/>
        <v>24.515036722687942</v>
      </c>
      <c r="AH87" s="593">
        <f t="shared" si="56"/>
        <v>-41.422177201987523</v>
      </c>
      <c r="AJ87" s="150">
        <f t="shared" si="57"/>
        <v>0</v>
      </c>
      <c r="AK87" s="150">
        <f t="shared" si="58"/>
        <v>0</v>
      </c>
      <c r="AM87" s="150" t="str">
        <f t="shared" si="62"/>
        <v>0.000134024177522951+0.0163716337781171i</v>
      </c>
      <c r="AN87" s="150" t="str">
        <f t="shared" si="63"/>
        <v>0.01637236521558i</v>
      </c>
      <c r="AO87" s="150" t="str">
        <f t="shared" si="64"/>
        <v>0.999955324874979-0.00818599974763653i</v>
      </c>
      <c r="AP87" s="150" t="str">
        <f t="shared" si="65"/>
        <v>0.166644329303746-0.00272860562968618i</v>
      </c>
      <c r="AQ87" s="150" t="str">
        <f t="shared" si="66"/>
        <v>0.833355670696254+0.00272860562968618i</v>
      </c>
      <c r="AR87" s="150" t="str">
        <f t="shared" si="67"/>
        <v>0.999562490654038-0.00327280648002676i</v>
      </c>
    </row>
    <row r="88" spans="7:44" x14ac:dyDescent="0.25">
      <c r="G88" s="594">
        <v>1000</v>
      </c>
      <c r="H88" s="582">
        <f t="shared" si="59"/>
        <v>1</v>
      </c>
      <c r="I88" s="583">
        <f t="shared" si="36"/>
        <v>1.3970939686894224</v>
      </c>
      <c r="J88" s="584">
        <f t="shared" si="37"/>
        <v>0.77306812026693261</v>
      </c>
      <c r="K88" s="584">
        <f t="shared" si="38"/>
        <v>1.0000001459911774</v>
      </c>
      <c r="L88" s="585">
        <f t="shared" si="39"/>
        <v>5.4035388320873383E-4</v>
      </c>
      <c r="M88" s="584">
        <f t="shared" si="40"/>
        <v>1.0000361964616609</v>
      </c>
      <c r="N88" s="585">
        <f t="shared" si="41"/>
        <v>-8.5082747810364401E-3</v>
      </c>
      <c r="O88" s="583">
        <f t="shared" si="42"/>
        <v>1809.5576427106444</v>
      </c>
      <c r="P88" s="586">
        <f t="shared" si="43"/>
        <v>1.57024370552034</v>
      </c>
      <c r="Q88" s="595">
        <f t="shared" si="44"/>
        <v>1.2523933935483529</v>
      </c>
      <c r="R88" s="596">
        <f t="shared" si="45"/>
        <v>0.64604487200071159</v>
      </c>
      <c r="S88" s="583">
        <f t="shared" si="46"/>
        <v>1.0000126330138079</v>
      </c>
      <c r="T88" s="586">
        <f t="shared" si="47"/>
        <v>5.0265059067388096E-3</v>
      </c>
      <c r="U88" s="587">
        <f t="shared" si="60"/>
        <v>0.99954792392510949</v>
      </c>
      <c r="V88" s="588">
        <f t="shared" si="61"/>
        <v>-1.2566046636326813E-2</v>
      </c>
      <c r="W88" s="589">
        <f t="shared" si="48"/>
        <v>30.759290002534723</v>
      </c>
      <c r="X88" s="590">
        <f t="shared" si="49"/>
        <v>-98.710740522308569</v>
      </c>
      <c r="Y88" s="593">
        <f t="shared" si="50"/>
        <v>81.289259477691431</v>
      </c>
      <c r="AA88" s="150">
        <f t="shared" si="51"/>
        <v>1000000000</v>
      </c>
      <c r="AB88" s="150">
        <f t="shared" si="52"/>
        <v>1000000</v>
      </c>
      <c r="AD88" s="592">
        <f t="shared" si="53"/>
        <v>32.011706861898617</v>
      </c>
      <c r="AE88" s="593">
        <f t="shared" si="54"/>
        <v>-53.240690226578565</v>
      </c>
      <c r="AG88" s="592">
        <f t="shared" si="55"/>
        <v>24.143381238017945</v>
      </c>
      <c r="AH88" s="593">
        <f t="shared" si="56"/>
        <v>-44.030087419232416</v>
      </c>
      <c r="AJ88" s="150">
        <f t="shared" si="57"/>
        <v>0</v>
      </c>
      <c r="AK88" s="150">
        <f t="shared" si="58"/>
        <v>0</v>
      </c>
      <c r="AM88" s="150" t="str">
        <f t="shared" si="62"/>
        <v>0.000161132070573999+0.0179509937775874i</v>
      </c>
      <c r="AN88" s="150" t="str">
        <f t="shared" si="63"/>
        <v>0.017951958i</v>
      </c>
      <c r="AO88" s="150" t="str">
        <f t="shared" si="64"/>
        <v>0.999946288732817-0.0089757379431257i</v>
      </c>
      <c r="AP88" s="150" t="str">
        <f t="shared" si="65"/>
        <v>0.166639811321571-0.00299183229626457i</v>
      </c>
      <c r="AQ88" s="150" t="str">
        <f t="shared" si="66"/>
        <v>0.833360188678429+0.00299183229626457i</v>
      </c>
      <c r="AR88" s="150" t="str">
        <f t="shared" si="67"/>
        <v>0.999554904554866-0.00358848513039642i</v>
      </c>
    </row>
    <row r="89" spans="7:44" x14ac:dyDescent="0.25">
      <c r="G89" s="594">
        <v>1096.5</v>
      </c>
      <c r="H89" s="582">
        <f t="shared" si="59"/>
        <v>1.0965</v>
      </c>
      <c r="I89" s="583">
        <f t="shared" si="36"/>
        <v>1.4643929915929368</v>
      </c>
      <c r="J89" s="584">
        <f t="shared" si="37"/>
        <v>0.81910295972336422</v>
      </c>
      <c r="K89" s="584">
        <f t="shared" si="38"/>
        <v>1.0000001755269783</v>
      </c>
      <c r="L89" s="585">
        <f t="shared" si="39"/>
        <v>5.9249802127177536E-4</v>
      </c>
      <c r="M89" s="584">
        <f t="shared" si="40"/>
        <v>1.0000435192899224</v>
      </c>
      <c r="N89" s="585">
        <f t="shared" si="41"/>
        <v>-9.3292777541606076E-3</v>
      </c>
      <c r="O89" s="583">
        <f t="shared" si="42"/>
        <v>1984.1799042508949</v>
      </c>
      <c r="P89" s="586">
        <f t="shared" si="43"/>
        <v>1.5702923402157607</v>
      </c>
      <c r="Q89" s="595">
        <f t="shared" si="44"/>
        <v>1.2974981864438924</v>
      </c>
      <c r="R89" s="596">
        <f t="shared" si="45"/>
        <v>0.69083539384969705</v>
      </c>
      <c r="S89" s="583">
        <f t="shared" si="46"/>
        <v>1.0000151888078461</v>
      </c>
      <c r="T89" s="586">
        <f t="shared" si="47"/>
        <v>5.5115543358950948E-3</v>
      </c>
      <c r="U89" s="587">
        <f t="shared" si="60"/>
        <v>0.99953738923447033</v>
      </c>
      <c r="V89" s="588">
        <f t="shared" si="61"/>
        <v>-1.3778598275500386E-2</v>
      </c>
      <c r="W89" s="589">
        <f t="shared" si="48"/>
        <v>29.857746971224884</v>
      </c>
      <c r="X89" s="590">
        <f t="shared" si="49"/>
        <v>-98.926138918127464</v>
      </c>
      <c r="Y89" s="593">
        <f t="shared" si="50"/>
        <v>81.073861081872536</v>
      </c>
      <c r="AA89" s="150">
        <f t="shared" si="51"/>
        <v>1000000000</v>
      </c>
      <c r="AB89" s="150">
        <f t="shared" si="52"/>
        <v>1202312.25</v>
      </c>
      <c r="AD89" s="592">
        <f t="shared" si="53"/>
        <v>31.518831995209332</v>
      </c>
      <c r="AE89" s="593">
        <f t="shared" si="54"/>
        <v>-50.704960150181321</v>
      </c>
      <c r="AG89" s="592">
        <f t="shared" si="55"/>
        <v>23.734896163452952</v>
      </c>
      <c r="AH89" s="593">
        <f t="shared" si="56"/>
        <v>-46.642267708557135</v>
      </c>
      <c r="AJ89" s="150">
        <f t="shared" si="57"/>
        <v>0</v>
      </c>
      <c r="AK89" s="150">
        <f t="shared" si="58"/>
        <v>0</v>
      </c>
      <c r="AM89" s="150" t="str">
        <f t="shared" si="62"/>
        <v>0.00019373000971401+0.0196830507826213i</v>
      </c>
      <c r="AN89" s="150" t="str">
        <f t="shared" si="63"/>
        <v>0.019684321947i</v>
      </c>
      <c r="AO89" s="150" t="str">
        <f t="shared" si="64"/>
        <v>0.999935422496029-0.0098418431803558i</v>
      </c>
      <c r="AP89" s="150" t="str">
        <f t="shared" si="65"/>
        <v>0.166634378331714-0.00328050846377022i</v>
      </c>
      <c r="AQ89" s="150" t="str">
        <f t="shared" si="66"/>
        <v>0.833365621668286+0.00328050846377022i</v>
      </c>
      <c r="AR89" s="150" t="str">
        <f t="shared" si="67"/>
        <v>0.999545782336763-0.00393466962594092i</v>
      </c>
    </row>
    <row r="90" spans="7:44" x14ac:dyDescent="0.25">
      <c r="G90" s="594">
        <v>1202.3</v>
      </c>
      <c r="H90" s="582">
        <f t="shared" si="59"/>
        <v>1.2022999999999999</v>
      </c>
      <c r="I90" s="583">
        <f t="shared" si="36"/>
        <v>1.5414131208014095</v>
      </c>
      <c r="J90" s="584">
        <f t="shared" si="37"/>
        <v>0.86484859172962802</v>
      </c>
      <c r="K90" s="584">
        <f t="shared" si="38"/>
        <v>1.0000002110339321</v>
      </c>
      <c r="L90" s="585">
        <f t="shared" si="39"/>
        <v>6.4966744561109006E-4</v>
      </c>
      <c r="M90" s="584">
        <f t="shared" si="40"/>
        <v>1.0000523224788704</v>
      </c>
      <c r="N90" s="585">
        <f t="shared" si="41"/>
        <v>-1.0229388799351714E-2</v>
      </c>
      <c r="O90" s="583">
        <f t="shared" si="42"/>
        <v>2175.6310514411102</v>
      </c>
      <c r="P90" s="586">
        <f t="shared" si="43"/>
        <v>1.5703366900221321</v>
      </c>
      <c r="Q90" s="595">
        <f t="shared" si="44"/>
        <v>1.3497279478963242</v>
      </c>
      <c r="R90" s="596">
        <f t="shared" si="45"/>
        <v>0.73640172676179128</v>
      </c>
      <c r="S90" s="583">
        <f t="shared" si="46"/>
        <v>1.000018261289559</v>
      </c>
      <c r="T90" s="586">
        <f t="shared" si="47"/>
        <v>6.0433453761435723E-3</v>
      </c>
      <c r="U90" s="587">
        <f t="shared" si="60"/>
        <v>0.99952472519816349</v>
      </c>
      <c r="V90" s="588">
        <f t="shared" si="61"/>
        <v>-1.510798435372763E-2</v>
      </c>
      <c r="W90" s="589">
        <f t="shared" si="48"/>
        <v>28.955164394309026</v>
      </c>
      <c r="X90" s="590">
        <f t="shared" si="49"/>
        <v>-99.093887647478596</v>
      </c>
      <c r="Y90" s="593">
        <f t="shared" si="50"/>
        <v>80.906112352521404</v>
      </c>
      <c r="AA90" s="150">
        <f t="shared" si="51"/>
        <v>1000000000</v>
      </c>
      <c r="AB90" s="150">
        <f t="shared" si="52"/>
        <v>1445525.2899999998</v>
      </c>
      <c r="AD90" s="592">
        <f t="shared" si="53"/>
        <v>31.061510894630921</v>
      </c>
      <c r="AE90" s="593">
        <f t="shared" si="54"/>
        <v>-48.127212022401167</v>
      </c>
      <c r="AG90" s="592">
        <f t="shared" si="55"/>
        <v>23.289854787173311</v>
      </c>
      <c r="AH90" s="593">
        <f t="shared" si="56"/>
        <v>-49.235428142262606</v>
      </c>
      <c r="AJ90" s="150">
        <f t="shared" si="57"/>
        <v>0</v>
      </c>
      <c r="AK90" s="150">
        <f t="shared" ref="AK90:AK153" si="68">IF(AJ90&gt;0,Y90,0)</f>
        <v>0</v>
      </c>
      <c r="AM90" s="150" t="str">
        <f t="shared" si="62"/>
        <v>0.000232917696135981+0.0215819633402132i</v>
      </c>
      <c r="AN90" s="150" t="str">
        <f t="shared" si="63"/>
        <v>0.0215836391034i</v>
      </c>
      <c r="AO90" s="150" t="str">
        <f t="shared" si="64"/>
        <v>0.999922359562316-0.0107914006076617i</v>
      </c>
      <c r="AP90" s="150" t="str">
        <f t="shared" si="65"/>
        <v>0.166627847050644-0.00359699389003553i</v>
      </c>
      <c r="AQ90" s="150" t="str">
        <f t="shared" si="66"/>
        <v>0.833372152949356+0.00359699389003553i</v>
      </c>
      <c r="AR90" s="150" t="str">
        <f t="shared" si="67"/>
        <v>0.99953481641942-0.00431418378309664i</v>
      </c>
    </row>
    <row r="91" spans="7:44" x14ac:dyDescent="0.25">
      <c r="G91" s="594">
        <v>1318.3</v>
      </c>
      <c r="H91" s="582">
        <f t="shared" si="59"/>
        <v>1.3183</v>
      </c>
      <c r="I91" s="583">
        <f t="shared" si="36"/>
        <v>1.6291935897502188</v>
      </c>
      <c r="J91" s="584">
        <f t="shared" si="37"/>
        <v>0.90993052571297661</v>
      </c>
      <c r="K91" s="584">
        <f t="shared" si="38"/>
        <v>1.0000002537202273</v>
      </c>
      <c r="L91" s="585">
        <f t="shared" si="39"/>
        <v>7.1234847307366316E-4</v>
      </c>
      <c r="M91" s="584">
        <f t="shared" si="40"/>
        <v>1.0000629055296271</v>
      </c>
      <c r="N91" s="585">
        <f t="shared" si="41"/>
        <v>-1.1216258932104517E-2</v>
      </c>
      <c r="O91" s="583">
        <f t="shared" si="42"/>
        <v>2385.5396857213068</v>
      </c>
      <c r="P91" s="586">
        <f t="shared" si="43"/>
        <v>1.5703771344271182</v>
      </c>
      <c r="Q91" s="595">
        <f t="shared" si="44"/>
        <v>1.4099595266151919</v>
      </c>
      <c r="R91" s="596">
        <f t="shared" si="45"/>
        <v>0.78237646021529406</v>
      </c>
      <c r="S91" s="583">
        <f t="shared" si="46"/>
        <v>1.000021955000471</v>
      </c>
      <c r="T91" s="586">
        <f t="shared" si="47"/>
        <v>6.6264015564301169E-3</v>
      </c>
      <c r="U91" s="587">
        <f t="shared" si="60"/>
        <v>0.9995095011551699</v>
      </c>
      <c r="V91" s="588">
        <f t="shared" si="61"/>
        <v>-1.6565504165212314E-2</v>
      </c>
      <c r="W91" s="589">
        <f t="shared" si="48"/>
        <v>28.053199646539614</v>
      </c>
      <c r="X91" s="590">
        <f t="shared" si="49"/>
        <v>-99.214919827045463</v>
      </c>
      <c r="Y91" s="593">
        <f t="shared" si="50"/>
        <v>80.785080172954537</v>
      </c>
      <c r="AA91" s="150">
        <f t="shared" si="51"/>
        <v>1000000000</v>
      </c>
      <c r="AB91" s="150">
        <f t="shared" si="52"/>
        <v>1737914.89</v>
      </c>
      <c r="AD91" s="592">
        <f t="shared" si="53"/>
        <v>30.640658979876125</v>
      </c>
      <c r="AE91" s="593">
        <f t="shared" si="54"/>
        <v>-45.52877778036747</v>
      </c>
      <c r="AG91" s="592">
        <f t="shared" si="55"/>
        <v>22.809006550643431</v>
      </c>
      <c r="AH91" s="593">
        <f t="shared" si="56"/>
        <v>-51.787875096162807</v>
      </c>
      <c r="AJ91" s="150">
        <f t="shared" si="57"/>
        <v>0</v>
      </c>
      <c r="AK91" s="150">
        <f t="shared" si="68"/>
        <v>0</v>
      </c>
      <c r="AM91" s="150" t="str">
        <f t="shared" si="62"/>
        <v>0.000280028275153055+0.0236638571342552i</v>
      </c>
      <c r="AN91" s="150" t="str">
        <f t="shared" si="63"/>
        <v>0.0236660662314i</v>
      </c>
      <c r="AO91" s="150" t="str">
        <f t="shared" si="64"/>
        <v>0.999906655498924-0.011832480836275i</v>
      </c>
      <c r="AP91" s="150" t="str">
        <f t="shared" si="65"/>
        <v>0.166619995287474-0.00394397618904253i</v>
      </c>
      <c r="AQ91" s="150" t="str">
        <f t="shared" si="66"/>
        <v>0.833380004712526+0.00394397618904253i</v>
      </c>
      <c r="AR91" s="150" t="str">
        <f t="shared" si="67"/>
        <v>0.99952163397958-0.00473024250948782i</v>
      </c>
    </row>
    <row r="92" spans="7:44" x14ac:dyDescent="0.25">
      <c r="G92" s="594">
        <v>1445.4</v>
      </c>
      <c r="H92" s="582">
        <f t="shared" si="59"/>
        <v>1.4454</v>
      </c>
      <c r="I92" s="583">
        <f t="shared" si="36"/>
        <v>1.7287660698752896</v>
      </c>
      <c r="J92" s="584">
        <f t="shared" si="37"/>
        <v>0.95397244242662238</v>
      </c>
      <c r="K92" s="584">
        <f t="shared" si="38"/>
        <v>1.000000305001993</v>
      </c>
      <c r="L92" s="585">
        <f t="shared" si="39"/>
        <v>7.8102741999537507E-4</v>
      </c>
      <c r="M92" s="584">
        <f t="shared" si="40"/>
        <v>1.0000756194752138</v>
      </c>
      <c r="N92" s="585">
        <f t="shared" si="41"/>
        <v>-1.2297537173530529E-2</v>
      </c>
      <c r="O92" s="583">
        <f t="shared" si="42"/>
        <v>2615.5344085600887</v>
      </c>
      <c r="P92" s="586">
        <f t="shared" si="43"/>
        <v>1.5704139957419807</v>
      </c>
      <c r="Q92" s="595">
        <f t="shared" si="44"/>
        <v>1.4790797651914922</v>
      </c>
      <c r="R92" s="596">
        <f t="shared" si="45"/>
        <v>0.82834507167700577</v>
      </c>
      <c r="S92" s="583">
        <f t="shared" si="46"/>
        <v>1.0000263924728698</v>
      </c>
      <c r="T92" s="586">
        <f t="shared" si="47"/>
        <v>7.2652449943541881E-3</v>
      </c>
      <c r="U92" s="587">
        <f t="shared" si="60"/>
        <v>0.9994912124125398</v>
      </c>
      <c r="V92" s="588">
        <f t="shared" si="61"/>
        <v>-1.8162453857881268E-2</v>
      </c>
      <c r="W92" s="589">
        <f t="shared" si="48"/>
        <v>27.154065440409639</v>
      </c>
      <c r="X92" s="590">
        <f t="shared" si="49"/>
        <v>-99.292759523589467</v>
      </c>
      <c r="Y92" s="593">
        <f t="shared" si="50"/>
        <v>80.707240476410533</v>
      </c>
      <c r="AA92" s="150">
        <f t="shared" si="51"/>
        <v>1000000000</v>
      </c>
      <c r="AB92" s="150">
        <f t="shared" si="52"/>
        <v>2089181.1600000001</v>
      </c>
      <c r="AD92" s="592">
        <f t="shared" si="53"/>
        <v>30.25684358779953</v>
      </c>
      <c r="AE92" s="593">
        <f t="shared" si="54"/>
        <v>-42.933685381100965</v>
      </c>
      <c r="AG92" s="592">
        <f t="shared" si="55"/>
        <v>22.29400560341027</v>
      </c>
      <c r="AH92" s="593">
        <f t="shared" si="56"/>
        <v>-54.277810236794927</v>
      </c>
      <c r="AJ92" s="150">
        <f t="shared" si="57"/>
        <v>0</v>
      </c>
      <c r="AK92" s="150">
        <f t="shared" si="68"/>
        <v>0</v>
      </c>
      <c r="AM92" s="150" t="str">
        <f t="shared" si="62"/>
        <v>0.000336624239251959+0.025944848479521i</v>
      </c>
      <c r="AN92" s="150" t="str">
        <f t="shared" si="63"/>
        <v>0.0259477600932i</v>
      </c>
      <c r="AO92" s="150" t="str">
        <f t="shared" si="64"/>
        <v>0.999887789401916-0.0129731521350152i</v>
      </c>
      <c r="AP92" s="150" t="str">
        <f t="shared" si="65"/>
        <v>0.166610562626791-0.0043241414132535i</v>
      </c>
      <c r="AQ92" s="150" t="str">
        <f t="shared" si="66"/>
        <v>0.833389437373209+0.0043241414132535i</v>
      </c>
      <c r="AR92" s="150" t="str">
        <f t="shared" si="67"/>
        <v>0.999505798136026-0.00518605614696734i</v>
      </c>
    </row>
    <row r="93" spans="7:44" x14ac:dyDescent="0.25">
      <c r="G93" s="594">
        <v>1584.9</v>
      </c>
      <c r="H93" s="582">
        <f t="shared" si="59"/>
        <v>1.5849000000000002</v>
      </c>
      <c r="I93" s="583">
        <f t="shared" si="36"/>
        <v>1.8414705507812286</v>
      </c>
      <c r="J93" s="584">
        <f t="shared" si="37"/>
        <v>0.99673806144316246</v>
      </c>
      <c r="K93" s="584">
        <f t="shared" si="38"/>
        <v>1.0000003667163673</v>
      </c>
      <c r="L93" s="585">
        <f t="shared" si="39"/>
        <v>8.5640674347717586E-4</v>
      </c>
      <c r="M93" s="584">
        <f t="shared" si="40"/>
        <v>1.0000909196943151</v>
      </c>
      <c r="N93" s="585">
        <f t="shared" si="41"/>
        <v>-1.3484272779088478E-2</v>
      </c>
      <c r="O93" s="583">
        <f t="shared" si="42"/>
        <v>2867.9676443468497</v>
      </c>
      <c r="P93" s="586">
        <f t="shared" si="43"/>
        <v>1.5704476478193043</v>
      </c>
      <c r="Q93" s="595">
        <f t="shared" si="44"/>
        <v>1.5582017217718351</v>
      </c>
      <c r="R93" s="596">
        <f t="shared" si="45"/>
        <v>0.87399823935091314</v>
      </c>
      <c r="S93" s="583">
        <f t="shared" si="46"/>
        <v>1.0000317326655352</v>
      </c>
      <c r="T93" s="586">
        <f t="shared" si="47"/>
        <v>7.9664077755186215E-3</v>
      </c>
      <c r="U93" s="587">
        <f t="shared" si="60"/>
        <v>0.99946920432199049</v>
      </c>
      <c r="V93" s="588">
        <f t="shared" si="61"/>
        <v>-1.9915151146499638E-2</v>
      </c>
      <c r="W93" s="589">
        <f t="shared" si="48"/>
        <v>26.257755755007835</v>
      </c>
      <c r="X93" s="590">
        <f t="shared" si="49"/>
        <v>-99.333515144445272</v>
      </c>
      <c r="Y93" s="593">
        <f t="shared" si="50"/>
        <v>80.666484855554728</v>
      </c>
      <c r="AA93" s="150">
        <f t="shared" si="51"/>
        <v>1000000000</v>
      </c>
      <c r="AB93" s="150">
        <f t="shared" si="52"/>
        <v>2511908.0100000002</v>
      </c>
      <c r="AD93" s="592">
        <f t="shared" si="53"/>
        <v>29.909162695793711</v>
      </c>
      <c r="AE93" s="593">
        <f t="shared" si="54"/>
        <v>-40.360053339157048</v>
      </c>
      <c r="AG93" s="592">
        <f t="shared" si="55"/>
        <v>21.745759328535534</v>
      </c>
      <c r="AH93" s="593">
        <f t="shared" si="56"/>
        <v>-56.691353584561419</v>
      </c>
      <c r="AJ93" s="150">
        <f t="shared" si="57"/>
        <v>0</v>
      </c>
      <c r="AK93" s="150">
        <f t="shared" si="68"/>
        <v>0</v>
      </c>
      <c r="AM93" s="150" t="str">
        <f t="shared" si="62"/>
        <v>0.000404732504533989+0.0284482196396898i</v>
      </c>
      <c r="AN93" s="150" t="str">
        <f t="shared" si="63"/>
        <v>0.0284520582342i</v>
      </c>
      <c r="AO93" s="150" t="str">
        <f t="shared" si="64"/>
        <v>0.999865085524618-0.0142250694555198i</v>
      </c>
      <c r="AP93" s="150" t="str">
        <f t="shared" si="65"/>
        <v>0.166599211249244-0.0047413699399483i</v>
      </c>
      <c r="AQ93" s="150" t="str">
        <f t="shared" si="66"/>
        <v>0.833400788750756+0.0047413699399483i</v>
      </c>
      <c r="AR93" s="150" t="str">
        <f t="shared" si="67"/>
        <v>0.999486742231539-0.00568626339086744i</v>
      </c>
    </row>
    <row r="94" spans="7:44" x14ac:dyDescent="0.25">
      <c r="G94" s="594">
        <v>1737.8</v>
      </c>
      <c r="H94" s="582">
        <f t="shared" si="59"/>
        <v>1.7378</v>
      </c>
      <c r="I94" s="583">
        <f t="shared" si="36"/>
        <v>1.9684012308071681</v>
      </c>
      <c r="J94" s="584">
        <f t="shared" si="37"/>
        <v>1.0379042752062893</v>
      </c>
      <c r="K94" s="584">
        <f t="shared" si="38"/>
        <v>1.0000004408858216</v>
      </c>
      <c r="L94" s="585">
        <f t="shared" si="39"/>
        <v>9.3902679363084423E-4</v>
      </c>
      <c r="M94" s="584">
        <f t="shared" si="40"/>
        <v>1.000109307466688</v>
      </c>
      <c r="N94" s="585">
        <f t="shared" si="41"/>
        <v>-1.4784959306546113E-2</v>
      </c>
      <c r="O94" s="583">
        <f t="shared" si="42"/>
        <v>3144.6489503301841</v>
      </c>
      <c r="P94" s="586">
        <f t="shared" si="43"/>
        <v>1.5704783262699893</v>
      </c>
      <c r="Q94" s="595">
        <f t="shared" si="44"/>
        <v>1.6482743512372733</v>
      </c>
      <c r="R94" s="596">
        <f t="shared" si="45"/>
        <v>0.91889979237733255</v>
      </c>
      <c r="S94" s="583">
        <f t="shared" si="46"/>
        <v>1.0000381505686438</v>
      </c>
      <c r="T94" s="586">
        <f t="shared" si="47"/>
        <v>8.7349133704797532E-3</v>
      </c>
      <c r="U94" s="587">
        <f t="shared" si="60"/>
        <v>0.99944275641898617</v>
      </c>
      <c r="V94" s="588">
        <f t="shared" si="61"/>
        <v>-2.1836138860143784E-2</v>
      </c>
      <c r="W94" s="589">
        <f t="shared" si="48"/>
        <v>25.366811459297143</v>
      </c>
      <c r="X94" s="590">
        <f t="shared" si="49"/>
        <v>-99.345140399296255</v>
      </c>
      <c r="Y94" s="593">
        <f t="shared" si="50"/>
        <v>80.654859600703745</v>
      </c>
      <c r="AA94" s="150">
        <f t="shared" si="51"/>
        <v>1000000000</v>
      </c>
      <c r="AB94" s="150">
        <f t="shared" si="52"/>
        <v>3019948.84</v>
      </c>
      <c r="AD94" s="592">
        <f t="shared" si="53"/>
        <v>29.597264906476575</v>
      </c>
      <c r="AE94" s="593">
        <f t="shared" si="54"/>
        <v>-37.833173727142679</v>
      </c>
      <c r="AG94" s="592">
        <f t="shared" si="55"/>
        <v>21.167172519359628</v>
      </c>
      <c r="AH94" s="593">
        <f t="shared" si="56"/>
        <v>-59.009729474198664</v>
      </c>
      <c r="AJ94" s="150">
        <f t="shared" si="57"/>
        <v>0</v>
      </c>
      <c r="AK94" s="150">
        <f t="shared" si="68"/>
        <v>0</v>
      </c>
      <c r="AM94" s="150" t="str">
        <f t="shared" si="62"/>
        <v>0.000486584212452956+0.0311918524731892i</v>
      </c>
      <c r="AN94" s="150" t="str">
        <f t="shared" si="63"/>
        <v>0.0311969126124i</v>
      </c>
      <c r="AO94" s="150" t="str">
        <f t="shared" si="64"/>
        <v>0.999837800000479-0.0155971912508916i</v>
      </c>
      <c r="AP94" s="150" t="str">
        <f t="shared" si="65"/>
        <v>0.166585569297925-0.00519864207886487i</v>
      </c>
      <c r="AQ94" s="150" t="str">
        <f t="shared" si="66"/>
        <v>0.833414430702075+0.00519864207886487i</v>
      </c>
      <c r="AR94" s="150" t="str">
        <f t="shared" si="67"/>
        <v>0.999463842718898-0.00623441903289989i</v>
      </c>
    </row>
    <row r="95" spans="7:44" x14ac:dyDescent="0.25">
      <c r="G95" s="594">
        <v>1905.5</v>
      </c>
      <c r="H95" s="582">
        <f t="shared" si="59"/>
        <v>1.9055</v>
      </c>
      <c r="I95" s="583">
        <f t="shared" si="36"/>
        <v>2.1109664212608337</v>
      </c>
      <c r="J95" s="584">
        <f t="shared" si="37"/>
        <v>1.0772900662869576</v>
      </c>
      <c r="K95" s="584">
        <f t="shared" si="38"/>
        <v>1.0000005300836801</v>
      </c>
      <c r="L95" s="585">
        <f t="shared" si="39"/>
        <v>1.0296440608018975E-3</v>
      </c>
      <c r="M95" s="584">
        <f t="shared" si="40"/>
        <v>1.0001314205704976</v>
      </c>
      <c r="N95" s="585">
        <f t="shared" si="41"/>
        <v>-1.6211488476152672E-2</v>
      </c>
      <c r="O95" s="583">
        <f t="shared" si="42"/>
        <v>3448.1117066821062</v>
      </c>
      <c r="P95" s="586">
        <f t="shared" si="43"/>
        <v>1.5705063129847059</v>
      </c>
      <c r="Q95" s="595">
        <f t="shared" si="44"/>
        <v>1.7504698447527094</v>
      </c>
      <c r="R95" s="596">
        <f t="shared" si="45"/>
        <v>0.96273763291478065</v>
      </c>
      <c r="S95" s="583">
        <f t="shared" si="46"/>
        <v>1.0000458688297449</v>
      </c>
      <c r="T95" s="586">
        <f t="shared" si="47"/>
        <v>9.5777947902754099E-3</v>
      </c>
      <c r="U95" s="587">
        <f t="shared" si="60"/>
        <v>0.99941095220459431</v>
      </c>
      <c r="V95" s="588">
        <f t="shared" si="61"/>
        <v>-2.3942978127093621E-2</v>
      </c>
      <c r="W95" s="589">
        <f t="shared" si="48"/>
        <v>24.48162642415658</v>
      </c>
      <c r="X95" s="590">
        <f t="shared" si="49"/>
        <v>-99.337208935769709</v>
      </c>
      <c r="Y95" s="593">
        <f t="shared" si="50"/>
        <v>80.662791064230291</v>
      </c>
      <c r="AA95" s="150">
        <f t="shared" si="51"/>
        <v>1000000000</v>
      </c>
      <c r="AB95" s="150">
        <f t="shared" si="52"/>
        <v>3630930.25</v>
      </c>
      <c r="AD95" s="592">
        <f t="shared" si="53"/>
        <v>29.319517398115309</v>
      </c>
      <c r="AE95" s="593">
        <f t="shared" si="54"/>
        <v>-35.371347547186325</v>
      </c>
      <c r="AG95" s="592">
        <f t="shared" si="55"/>
        <v>20.560287805215019</v>
      </c>
      <c r="AH95" s="593">
        <f t="shared" si="56"/>
        <v>-61.222198194135267</v>
      </c>
      <c r="AJ95" s="150">
        <f t="shared" si="57"/>
        <v>0</v>
      </c>
      <c r="AK95" s="150">
        <f t="shared" si="68"/>
        <v>0</v>
      </c>
      <c r="AM95" s="150" t="str">
        <f t="shared" si="62"/>
        <v>0.000585017972031032+0.0342007850499603i</v>
      </c>
      <c r="AN95" s="150" t="str">
        <f t="shared" si="63"/>
        <v>0.034207455969i</v>
      </c>
      <c r="AO95" s="150" t="str">
        <f t="shared" si="64"/>
        <v>0.999804986402796-0.0171020602222275i</v>
      </c>
      <c r="AP95" s="150" t="str">
        <f t="shared" si="65"/>
        <v>0.166569163671328-0.00570013084166005i</v>
      </c>
      <c r="AQ95" s="150" t="str">
        <f t="shared" si="66"/>
        <v>0.833430836328672+0.00570013084166005i</v>
      </c>
      <c r="AR95" s="150" t="str">
        <f t="shared" si="67"/>
        <v>0.999436306456403-0.00683550147940568i</v>
      </c>
    </row>
    <row r="96" spans="7:44" x14ac:dyDescent="0.25">
      <c r="G96" s="594">
        <v>2089.3000000000002</v>
      </c>
      <c r="H96" s="582">
        <f t="shared" si="59"/>
        <v>2.0893000000000002</v>
      </c>
      <c r="I96" s="583">
        <f t="shared" si="36"/>
        <v>2.2704813233967895</v>
      </c>
      <c r="J96" s="584">
        <f t="shared" si="37"/>
        <v>1.1147129109722416</v>
      </c>
      <c r="K96" s="584">
        <f t="shared" si="38"/>
        <v>1.0000006372768064</v>
      </c>
      <c r="L96" s="585">
        <f t="shared" si="39"/>
        <v>1.1289609984265103E-3</v>
      </c>
      <c r="M96" s="584">
        <f t="shared" si="40"/>
        <v>1.0001579942495697</v>
      </c>
      <c r="N96" s="585">
        <f t="shared" si="41"/>
        <v>-1.7774895248906675E-2</v>
      </c>
      <c r="O96" s="583">
        <f t="shared" si="42"/>
        <v>3780.7083378698726</v>
      </c>
      <c r="P96" s="586">
        <f t="shared" si="43"/>
        <v>1.5705318260923051</v>
      </c>
      <c r="Q96" s="595">
        <f t="shared" si="44"/>
        <v>1.8658924424926471</v>
      </c>
      <c r="R96" s="596">
        <f t="shared" si="45"/>
        <v>1.0051796263275456</v>
      </c>
      <c r="S96" s="583">
        <f t="shared" si="46"/>
        <v>1.0000551441374943</v>
      </c>
      <c r="T96" s="586">
        <f t="shared" si="47"/>
        <v>1.0501581171450933E-2</v>
      </c>
      <c r="U96" s="587">
        <f t="shared" si="60"/>
        <v>0.99937273543191174</v>
      </c>
      <c r="V96" s="588">
        <f t="shared" si="61"/>
        <v>-2.625196411557796E-2</v>
      </c>
      <c r="W96" s="589">
        <f t="shared" si="48"/>
        <v>23.603515734638123</v>
      </c>
      <c r="X96" s="590">
        <f t="shared" si="49"/>
        <v>-99.320205071593804</v>
      </c>
      <c r="Y96" s="593">
        <f t="shared" si="50"/>
        <v>80.679794928406196</v>
      </c>
      <c r="AA96" s="150">
        <f t="shared" si="51"/>
        <v>1000000000</v>
      </c>
      <c r="AB96" s="150">
        <f t="shared" si="52"/>
        <v>4365174.4900000012</v>
      </c>
      <c r="AD96" s="592">
        <f t="shared" si="53"/>
        <v>29.074239317427949</v>
      </c>
      <c r="AE96" s="593">
        <f t="shared" si="54"/>
        <v>-32.993991301997042</v>
      </c>
      <c r="AG96" s="592">
        <f t="shared" si="55"/>
        <v>19.928119493720221</v>
      </c>
      <c r="AH96" s="593">
        <f t="shared" si="56"/>
        <v>-63.317960270656293</v>
      </c>
      <c r="AJ96" s="150">
        <f t="shared" si="57"/>
        <v>0</v>
      </c>
      <c r="AK96" s="150">
        <f t="shared" si="68"/>
        <v>0</v>
      </c>
      <c r="AM96" s="150" t="str">
        <f t="shared" si="62"/>
        <v>0.000703306038671969+0.0374982324644634i</v>
      </c>
      <c r="AN96" s="150" t="str">
        <f t="shared" si="63"/>
        <v>0.0375070258494i</v>
      </c>
      <c r="AO96" s="150" t="str">
        <f t="shared" si="64"/>
        <v>0.999765553659949-0.0187513145269347i</v>
      </c>
      <c r="AP96" s="150" t="str">
        <f t="shared" si="65"/>
        <v>0.166549448993555-0.0062497054107439i</v>
      </c>
      <c r="AQ96" s="150" t="str">
        <f t="shared" si="66"/>
        <v>0.833450551006445+0.0062497054107439i</v>
      </c>
      <c r="AR96" s="150" t="str">
        <f t="shared" si="67"/>
        <v>0.999403219509964-0.007494116718675i</v>
      </c>
    </row>
    <row r="97" spans="7:44" x14ac:dyDescent="0.25">
      <c r="G97" s="594">
        <v>2290.9</v>
      </c>
      <c r="H97" s="582">
        <f t="shared" si="59"/>
        <v>2.2909000000000002</v>
      </c>
      <c r="I97" s="583">
        <f t="shared" si="36"/>
        <v>2.4485983785557583</v>
      </c>
      <c r="J97" s="584">
        <f t="shared" si="37"/>
        <v>1.1500991862429446</v>
      </c>
      <c r="K97" s="584">
        <f t="shared" si="38"/>
        <v>1.0000007661939894</v>
      </c>
      <c r="L97" s="585">
        <f t="shared" si="39"/>
        <v>1.2378961992118179E-3</v>
      </c>
      <c r="M97" s="584">
        <f t="shared" si="40"/>
        <v>1.0001899524928239</v>
      </c>
      <c r="N97" s="585">
        <f t="shared" si="41"/>
        <v>-1.9489608995854845E-2</v>
      </c>
      <c r="O97" s="583">
        <f t="shared" si="42"/>
        <v>4145.5150912980353</v>
      </c>
      <c r="P97" s="586">
        <f t="shared" si="43"/>
        <v>1.5705551022455524</v>
      </c>
      <c r="Q97" s="595">
        <f t="shared" si="44"/>
        <v>1.9958852799511431</v>
      </c>
      <c r="R97" s="596">
        <f t="shared" si="45"/>
        <v>1.046006875488114</v>
      </c>
      <c r="S97" s="583">
        <f t="shared" si="46"/>
        <v>1.0000662990922313</v>
      </c>
      <c r="T97" s="586">
        <f t="shared" si="47"/>
        <v>1.1514810416488816E-2</v>
      </c>
      <c r="U97" s="587">
        <f t="shared" si="60"/>
        <v>0.99932677903429745</v>
      </c>
      <c r="V97" s="588">
        <f t="shared" si="61"/>
        <v>-2.8784404376377196E-2</v>
      </c>
      <c r="W97" s="589">
        <f t="shared" si="48"/>
        <v>22.732178482105866</v>
      </c>
      <c r="X97" s="590">
        <f t="shared" si="49"/>
        <v>-99.304950088351035</v>
      </c>
      <c r="Y97" s="593">
        <f t="shared" si="50"/>
        <v>80.695049911648965</v>
      </c>
      <c r="AA97" s="150">
        <f t="shared" si="51"/>
        <v>1000000000</v>
      </c>
      <c r="AB97" s="150">
        <f t="shared" si="52"/>
        <v>5248222.8100000005</v>
      </c>
      <c r="AD97" s="592">
        <f t="shared" si="53"/>
        <v>28.859015314633968</v>
      </c>
      <c r="AE97" s="593">
        <f t="shared" si="54"/>
        <v>-30.714149618126619</v>
      </c>
      <c r="AG97" s="592">
        <f t="shared" si="55"/>
        <v>19.272805107833207</v>
      </c>
      <c r="AH97" s="593">
        <f t="shared" si="56"/>
        <v>-65.292350693326796</v>
      </c>
      <c r="AJ97" s="150">
        <f t="shared" si="57"/>
        <v>0</v>
      </c>
      <c r="AK97" s="150">
        <f t="shared" si="68"/>
        <v>0</v>
      </c>
      <c r="AM97" s="150" t="str">
        <f t="shared" si="62"/>
        <v>0.000845560530615019+0.0411145483815605i</v>
      </c>
      <c r="AN97" s="150" t="str">
        <f t="shared" si="63"/>
        <v>0.0411261405822i</v>
      </c>
      <c r="AO97" s="150" t="str">
        <f t="shared" si="64"/>
        <v>0.999718130598315-0.0205601721592371i</v>
      </c>
      <c r="AP97" s="150" t="str">
        <f t="shared" si="65"/>
        <v>0.166525739911564-0.00685242473026008i</v>
      </c>
      <c r="AQ97" s="150" t="str">
        <f t="shared" si="66"/>
        <v>0.833474260088436+0.00685242473026008i</v>
      </c>
      <c r="AR97" s="150" t="str">
        <f t="shared" si="67"/>
        <v>0.99936343376912-0.00821628577630044i</v>
      </c>
    </row>
    <row r="98" spans="7:44" x14ac:dyDescent="0.25">
      <c r="G98" s="594">
        <v>2511.9</v>
      </c>
      <c r="H98" s="582">
        <f t="shared" si="59"/>
        <v>2.5119000000000002</v>
      </c>
      <c r="I98" s="583">
        <f t="shared" si="36"/>
        <v>2.6468789896065741</v>
      </c>
      <c r="J98" s="584">
        <f t="shared" si="37"/>
        <v>1.1833735644095613</v>
      </c>
      <c r="K98" s="584">
        <f t="shared" si="38"/>
        <v>1.0000009211516501</v>
      </c>
      <c r="L98" s="585">
        <f t="shared" si="39"/>
        <v>1.357314217807891E-3</v>
      </c>
      <c r="M98" s="584">
        <f t="shared" si="40"/>
        <v>1.0002283647587944</v>
      </c>
      <c r="N98" s="585">
        <f t="shared" si="41"/>
        <v>-2.1369197857774785E-2</v>
      </c>
      <c r="O98" s="583">
        <f t="shared" si="42"/>
        <v>4545.4272586608222</v>
      </c>
      <c r="P98" s="586">
        <f t="shared" si="43"/>
        <v>1.5705763254724332</v>
      </c>
      <c r="Q98" s="595">
        <f t="shared" si="44"/>
        <v>2.1417196801065499</v>
      </c>
      <c r="R98" s="596">
        <f t="shared" si="45"/>
        <v>1.0849979527195703</v>
      </c>
      <c r="S98" s="583">
        <f t="shared" si="46"/>
        <v>1.0000797071164578</v>
      </c>
      <c r="T98" s="586">
        <f t="shared" si="47"/>
        <v>1.2625515630208613E-2</v>
      </c>
      <c r="U98" s="587">
        <f t="shared" si="60"/>
        <v>0.9992715476624745</v>
      </c>
      <c r="V98" s="588">
        <f t="shared" si="61"/>
        <v>-3.1560333452068219E-2</v>
      </c>
      <c r="W98" s="589">
        <f t="shared" si="48"/>
        <v>21.868203112945245</v>
      </c>
      <c r="X98" s="590">
        <f t="shared" si="49"/>
        <v>-99.302161462352601</v>
      </c>
      <c r="Y98" s="593">
        <f t="shared" si="50"/>
        <v>80.697838537647399</v>
      </c>
      <c r="AA98" s="150">
        <f t="shared" si="51"/>
        <v>1000000000</v>
      </c>
      <c r="AB98" s="150">
        <f t="shared" si="52"/>
        <v>6309641.6100000003</v>
      </c>
      <c r="AD98" s="592">
        <f t="shared" si="53"/>
        <v>28.671515675596254</v>
      </c>
      <c r="AE98" s="593">
        <f t="shared" si="54"/>
        <v>-28.544980173974135</v>
      </c>
      <c r="AG98" s="592">
        <f t="shared" si="55"/>
        <v>18.597289517812342</v>
      </c>
      <c r="AH98" s="593">
        <f t="shared" si="56"/>
        <v>-67.140633470587858</v>
      </c>
      <c r="AJ98" s="150">
        <f t="shared" si="57"/>
        <v>0</v>
      </c>
      <c r="AK98" s="150">
        <f t="shared" si="68"/>
        <v>0</v>
      </c>
      <c r="AM98" s="150" t="str">
        <f t="shared" si="62"/>
        <v>0.00101654064929602+0.0450782424646286i</v>
      </c>
      <c r="AN98" s="150" t="str">
        <f t="shared" si="63"/>
        <v>0.0450935233002i</v>
      </c>
      <c r="AO98" s="150" t="str">
        <f t="shared" si="64"/>
        <v>0.9996611301479-0.0225429413117407i</v>
      </c>
      <c r="AP98" s="150" t="str">
        <f t="shared" si="65"/>
        <v>0.166497243225117-0.00751304041077143i</v>
      </c>
      <c r="AQ98" s="150" t="str">
        <f t="shared" si="66"/>
        <v>0.833502756774883+0.00751304041077143i</v>
      </c>
      <c r="AR98" s="150" t="str">
        <f t="shared" si="67"/>
        <v>0.999315621230387-0.00900764704662738i</v>
      </c>
    </row>
    <row r="99" spans="7:44" x14ac:dyDescent="0.25">
      <c r="G99" s="594">
        <v>2754.2</v>
      </c>
      <c r="H99" s="582">
        <f t="shared" si="59"/>
        <v>2.7542</v>
      </c>
      <c r="I99" s="583">
        <f t="shared" si="36"/>
        <v>2.8671473063719617</v>
      </c>
      <c r="J99" s="584">
        <f t="shared" si="37"/>
        <v>1.214528636141651</v>
      </c>
      <c r="K99" s="584">
        <f t="shared" si="38"/>
        <v>1.0000011074327175</v>
      </c>
      <c r="L99" s="585">
        <f t="shared" si="39"/>
        <v>1.4882417112286918E-3</v>
      </c>
      <c r="M99" s="584">
        <f t="shared" si="40"/>
        <v>1.0002745398013064</v>
      </c>
      <c r="N99" s="585">
        <f t="shared" si="41"/>
        <v>-2.3429767644272254E-2</v>
      </c>
      <c r="O99" s="583">
        <f t="shared" si="42"/>
        <v>4983.8829988622629</v>
      </c>
      <c r="P99" s="586">
        <f t="shared" si="43"/>
        <v>1.5705956800287229</v>
      </c>
      <c r="Q99" s="595">
        <f t="shared" si="44"/>
        <v>2.3048517948538527</v>
      </c>
      <c r="R99" s="596">
        <f t="shared" si="45"/>
        <v>1.1220155380384502</v>
      </c>
      <c r="S99" s="583">
        <f t="shared" si="46"/>
        <v>1.0000958252264573</v>
      </c>
      <c r="T99" s="586">
        <f t="shared" si="47"/>
        <v>1.3843234811358775E-2</v>
      </c>
      <c r="U99" s="587">
        <f t="shared" si="60"/>
        <v>0.99920516319079633</v>
      </c>
      <c r="V99" s="588">
        <f t="shared" si="61"/>
        <v>-3.4603532342402259E-2</v>
      </c>
      <c r="W99" s="589">
        <f t="shared" si="48"/>
        <v>21.011315294765332</v>
      </c>
      <c r="X99" s="590">
        <f t="shared" si="49"/>
        <v>-99.322066092614236</v>
      </c>
      <c r="Y99" s="593">
        <f t="shared" si="50"/>
        <v>80.677933907385764</v>
      </c>
      <c r="AA99" s="150">
        <f t="shared" si="51"/>
        <v>1000000000</v>
      </c>
      <c r="AB99" s="150">
        <f t="shared" si="52"/>
        <v>7585617.6399999987</v>
      </c>
      <c r="AD99" s="592">
        <f t="shared" si="53"/>
        <v>28.509120712455584</v>
      </c>
      <c r="AE99" s="593">
        <f t="shared" si="54"/>
        <v>-26.494907869196108</v>
      </c>
      <c r="AG99" s="592">
        <f t="shared" si="55"/>
        <v>17.90395075817338</v>
      </c>
      <c r="AH99" s="593">
        <f t="shared" si="56"/>
        <v>-68.86188549995893</v>
      </c>
      <c r="AJ99" s="150">
        <f t="shared" si="57"/>
        <v>0</v>
      </c>
      <c r="AK99" s="150">
        <f t="shared" si="68"/>
        <v>0</v>
      </c>
      <c r="AM99" s="150" t="str">
        <f t="shared" si="62"/>
        <v>0.00122207011286801+0.0494231400295043i</v>
      </c>
      <c r="AN99" s="150" t="str">
        <f t="shared" si="63"/>
        <v>0.0494432827236i</v>
      </c>
      <c r="AO99" s="150" t="str">
        <f t="shared" si="64"/>
        <v>0.999592610098154-0.0247166054830882i</v>
      </c>
      <c r="AP99" s="150" t="str">
        <f t="shared" si="65"/>
        <v>0.166462988314522-0.00823719000491738i</v>
      </c>
      <c r="AQ99" s="150" t="str">
        <f t="shared" si="66"/>
        <v>0.833537011685478+0.00823719000491738i</v>
      </c>
      <c r="AR99" s="150" t="str">
        <f t="shared" si="67"/>
        <v>0.999258157762737-0.00987488161180926i</v>
      </c>
    </row>
    <row r="100" spans="7:44" x14ac:dyDescent="0.25">
      <c r="G100" s="594">
        <v>3020</v>
      </c>
      <c r="H100" s="582">
        <f t="shared" si="59"/>
        <v>3.02</v>
      </c>
      <c r="I100" s="583">
        <f t="shared" si="36"/>
        <v>3.1115027481331246</v>
      </c>
      <c r="J100" s="584">
        <f t="shared" si="37"/>
        <v>1.243601320764546</v>
      </c>
      <c r="K100" s="584">
        <f t="shared" si="38"/>
        <v>1.0000013314971443</v>
      </c>
      <c r="L100" s="585">
        <f t="shared" si="39"/>
        <v>1.631867437564842E-3</v>
      </c>
      <c r="M100" s="584">
        <f t="shared" si="40"/>
        <v>1.0003300777079862</v>
      </c>
      <c r="N100" s="585">
        <f t="shared" si="41"/>
        <v>-2.5689956823930538E-2</v>
      </c>
      <c r="O100" s="583">
        <f t="shared" si="42"/>
        <v>5464.863338021597</v>
      </c>
      <c r="P100" s="586">
        <f t="shared" si="43"/>
        <v>1.570613339601306</v>
      </c>
      <c r="Q100" s="595">
        <f t="shared" si="44"/>
        <v>2.4869356668360658</v>
      </c>
      <c r="R100" s="596">
        <f t="shared" si="45"/>
        <v>1.156985652631314</v>
      </c>
      <c r="S100" s="583">
        <f t="shared" si="46"/>
        <v>1.0001152122299817</v>
      </c>
      <c r="T100" s="586">
        <f t="shared" si="47"/>
        <v>1.5179009817563699E-2</v>
      </c>
      <c r="U100" s="587">
        <f t="shared" si="60"/>
        <v>0.99912533054393837</v>
      </c>
      <c r="V100" s="588">
        <f t="shared" si="61"/>
        <v>-3.7941520610163086E-2</v>
      </c>
      <c r="W100" s="589">
        <f t="shared" si="48"/>
        <v>20.160735038471191</v>
      </c>
      <c r="X100" s="590">
        <f t="shared" si="49"/>
        <v>-99.374237127386138</v>
      </c>
      <c r="Y100" s="593">
        <f t="shared" si="50"/>
        <v>80.625762872613862</v>
      </c>
      <c r="AA100" s="150">
        <f t="shared" si="51"/>
        <v>1000000000</v>
      </c>
      <c r="AB100" s="150">
        <f t="shared" si="52"/>
        <v>9120400</v>
      </c>
      <c r="AD100" s="592">
        <f t="shared" si="53"/>
        <v>28.369153906235059</v>
      </c>
      <c r="AE100" s="593">
        <f t="shared" si="54"/>
        <v>-24.568813980946896</v>
      </c>
      <c r="AG100" s="592">
        <f t="shared" si="55"/>
        <v>17.194725301852884</v>
      </c>
      <c r="AH100" s="593">
        <f t="shared" si="56"/>
        <v>-70.457645142929252</v>
      </c>
      <c r="AJ100" s="150">
        <f t="shared" si="57"/>
        <v>0</v>
      </c>
      <c r="AK100" s="150">
        <f t="shared" si="68"/>
        <v>0</v>
      </c>
      <c r="AM100" s="150" t="str">
        <f t="shared" si="62"/>
        <v>0.00146926847179796+0.0541883584707443i</v>
      </c>
      <c r="AN100" s="150" t="str">
        <f t="shared" si="63"/>
        <v>0.05421491316i</v>
      </c>
      <c r="AO100" s="150" t="str">
        <f t="shared" si="64"/>
        <v>0.999510195853725-0.027100817582458i</v>
      </c>
      <c r="AP100" s="150" t="str">
        <f t="shared" si="65"/>
        <v>0.166421788588034-0.00903139307845738i</v>
      </c>
      <c r="AQ100" s="150" t="str">
        <f t="shared" si="66"/>
        <v>0.833578211411966+0.00903139307845738i</v>
      </c>
      <c r="AR100" s="150" t="str">
        <f t="shared" si="67"/>
        <v>0.999189059201498-0.0108257018115399i</v>
      </c>
    </row>
    <row r="101" spans="7:44" x14ac:dyDescent="0.25">
      <c r="G101" s="594">
        <v>3311.3</v>
      </c>
      <c r="H101" s="582">
        <f t="shared" si="59"/>
        <v>3.3113000000000001</v>
      </c>
      <c r="I101" s="583">
        <f t="shared" si="36"/>
        <v>3.3818624136339204</v>
      </c>
      <c r="J101" s="584">
        <f t="shared" si="37"/>
        <v>1.2706132964822048</v>
      </c>
      <c r="K101" s="584">
        <f t="shared" si="38"/>
        <v>1.0000016007494201</v>
      </c>
      <c r="L101" s="585">
        <f t="shared" si="39"/>
        <v>1.7892720781638139E-3</v>
      </c>
      <c r="M101" s="584">
        <f t="shared" si="40"/>
        <v>1.0003968120745048</v>
      </c>
      <c r="N101" s="585">
        <f t="shared" si="41"/>
        <v>-2.8166678980750648E-2</v>
      </c>
      <c r="O101" s="583">
        <f t="shared" si="42"/>
        <v>5991.9873908050886</v>
      </c>
      <c r="P101" s="586">
        <f t="shared" si="43"/>
        <v>1.570629437257349</v>
      </c>
      <c r="Q101" s="595">
        <f t="shared" si="44"/>
        <v>2.6894828567459612</v>
      </c>
      <c r="R101" s="596">
        <f t="shared" si="45"/>
        <v>1.1898289193775138</v>
      </c>
      <c r="S101" s="583">
        <f t="shared" si="46"/>
        <v>1.0001385085862797</v>
      </c>
      <c r="T101" s="586">
        <f t="shared" si="47"/>
        <v>1.6642872407054036E-2</v>
      </c>
      <c r="U101" s="587">
        <f t="shared" si="60"/>
        <v>0.99902942170879383</v>
      </c>
      <c r="V101" s="588">
        <f t="shared" si="61"/>
        <v>-4.1599267998550626E-2</v>
      </c>
      <c r="W101" s="589">
        <f t="shared" si="48"/>
        <v>19.316818636476999</v>
      </c>
      <c r="X101" s="590">
        <f t="shared" si="49"/>
        <v>-99.467384831270749</v>
      </c>
      <c r="Y101" s="593">
        <f t="shared" si="50"/>
        <v>80.532615168729251</v>
      </c>
      <c r="AA101" s="150">
        <f t="shared" si="51"/>
        <v>1000000000</v>
      </c>
      <c r="AB101" s="150">
        <f t="shared" si="52"/>
        <v>10964707.690000001</v>
      </c>
      <c r="AD101" s="592">
        <f t="shared" si="53"/>
        <v>28.249204472810668</v>
      </c>
      <c r="AE101" s="593">
        <f t="shared" si="54"/>
        <v>-22.771828884830136</v>
      </c>
      <c r="AG101" s="592">
        <f t="shared" si="55"/>
        <v>16.472425979008879</v>
      </c>
      <c r="AH101" s="593">
        <f t="shared" si="56"/>
        <v>-71.928630966692438</v>
      </c>
      <c r="AJ101" s="150">
        <f t="shared" si="57"/>
        <v>0</v>
      </c>
      <c r="AK101" s="150">
        <f t="shared" si="68"/>
        <v>0</v>
      </c>
      <c r="AM101" s="150" t="str">
        <f t="shared" si="62"/>
        <v>0.00176629329209399+0.0594093157021131i</v>
      </c>
      <c r="AN101" s="150" t="str">
        <f t="shared" si="63"/>
        <v>0.0594443185254i</v>
      </c>
      <c r="AO101" s="150" t="str">
        <f t="shared" si="64"/>
        <v>0.99941116621142-0.029713408041498i</v>
      </c>
      <c r="AP101" s="150" t="str">
        <f t="shared" si="65"/>
        <v>0.166372284451318-0.00990155261701885i</v>
      </c>
      <c r="AQ101" s="150" t="str">
        <f t="shared" si="66"/>
        <v>0.833627715548682+0.00990155261701885i</v>
      </c>
      <c r="AR101" s="150" t="str">
        <f t="shared" si="67"/>
        <v>0.999106054480339-0.0118670492642006i</v>
      </c>
    </row>
    <row r="102" spans="7:44" x14ac:dyDescent="0.25">
      <c r="G102" s="594">
        <v>3630.8</v>
      </c>
      <c r="H102" s="582">
        <f t="shared" si="59"/>
        <v>3.6308000000000002</v>
      </c>
      <c r="I102" s="583">
        <f t="shared" si="36"/>
        <v>3.6807941267104969</v>
      </c>
      <c r="J102" s="584">
        <f t="shared" si="37"/>
        <v>1.2956575433149966</v>
      </c>
      <c r="K102" s="584">
        <f t="shared" si="38"/>
        <v>1.000001924557443</v>
      </c>
      <c r="L102" s="585">
        <f t="shared" si="39"/>
        <v>1.9619145528912973E-3</v>
      </c>
      <c r="M102" s="584">
        <f t="shared" si="40"/>
        <v>1.0004770622495662</v>
      </c>
      <c r="N102" s="585">
        <f t="shared" si="41"/>
        <v>-3.0882767678773189E-2</v>
      </c>
      <c r="O102" s="583">
        <f t="shared" si="42"/>
        <v>6570.1409620269887</v>
      </c>
      <c r="P102" s="586">
        <f t="shared" si="43"/>
        <v>1.5706441230583801</v>
      </c>
      <c r="Q102" s="595">
        <f t="shared" si="44"/>
        <v>2.9144858293466895</v>
      </c>
      <c r="R102" s="596">
        <f t="shared" si="45"/>
        <v>1.2205664968916632</v>
      </c>
      <c r="S102" s="583">
        <f t="shared" si="46"/>
        <v>1.0001665245270013</v>
      </c>
      <c r="T102" s="586">
        <f t="shared" si="47"/>
        <v>1.8248365494080827E-2</v>
      </c>
      <c r="U102" s="587">
        <f t="shared" si="60"/>
        <v>0.99891411447165357</v>
      </c>
      <c r="V102" s="588">
        <f t="shared" si="61"/>
        <v>-4.5610484047244861E-2</v>
      </c>
      <c r="W102" s="589">
        <f t="shared" si="48"/>
        <v>18.478347880668174</v>
      </c>
      <c r="X102" s="590">
        <f t="shared" si="49"/>
        <v>-99.60956490867963</v>
      </c>
      <c r="Y102" s="593">
        <f t="shared" si="50"/>
        <v>80.39043509132037</v>
      </c>
      <c r="AA102" s="150">
        <f t="shared" si="51"/>
        <v>1000000000</v>
      </c>
      <c r="AB102" s="150">
        <f t="shared" si="52"/>
        <v>13182708.640000001</v>
      </c>
      <c r="AD102" s="592">
        <f t="shared" si="53"/>
        <v>28.146748587876502</v>
      </c>
      <c r="AE102" s="593">
        <f t="shared" si="54"/>
        <v>-21.103524831248755</v>
      </c>
      <c r="AG102" s="592">
        <f t="shared" si="55"/>
        <v>15.738416261771945</v>
      </c>
      <c r="AH102" s="593">
        <f t="shared" si="56"/>
        <v>-73.279463596546819</v>
      </c>
      <c r="AJ102" s="150">
        <f t="shared" si="57"/>
        <v>0</v>
      </c>
      <c r="AK102" s="150">
        <f t="shared" si="68"/>
        <v>0</v>
      </c>
      <c r="AM102" s="150" t="str">
        <f t="shared" si="62"/>
        <v>0.00212346224519699+0.0651338268374163i</v>
      </c>
      <c r="AN102" s="150" t="str">
        <f t="shared" si="63"/>
        <v>0.0651799691064i</v>
      </c>
      <c r="AO102" s="150" t="str">
        <f t="shared" si="64"/>
        <v>0.999292078998866-0.0325784481691092i</v>
      </c>
      <c r="AP102" s="150" t="str">
        <f t="shared" si="65"/>
        <v>0.166312756292467-0.010855637806236i</v>
      </c>
      <c r="AQ102" s="150" t="str">
        <f t="shared" si="66"/>
        <v>0.833687243707533+0.010855637806236i</v>
      </c>
      <c r="AR102" s="150" t="str">
        <f t="shared" si="67"/>
        <v>0.99900627356184-0.0130082958013321i</v>
      </c>
    </row>
    <row r="103" spans="7:44" x14ac:dyDescent="0.25">
      <c r="G103" s="594">
        <v>3981.1</v>
      </c>
      <c r="H103" s="582">
        <f t="shared" si="59"/>
        <v>3.9811000000000001</v>
      </c>
      <c r="I103" s="583">
        <f t="shared" si="36"/>
        <v>4.0107807165365816</v>
      </c>
      <c r="J103" s="584">
        <f t="shared" si="37"/>
        <v>1.3188100312839877</v>
      </c>
      <c r="K103" s="584">
        <f t="shared" si="38"/>
        <v>1.0000023138346124</v>
      </c>
      <c r="L103" s="585">
        <f t="shared" si="39"/>
        <v>2.1511997354666979E-3</v>
      </c>
      <c r="M103" s="584">
        <f t="shared" si="40"/>
        <v>1.0005735293260212</v>
      </c>
      <c r="N103" s="585">
        <f t="shared" si="41"/>
        <v>-3.3860163817338453E-2</v>
      </c>
      <c r="O103" s="583">
        <f t="shared" si="42"/>
        <v>7204.0289007806468</v>
      </c>
      <c r="P103" s="586">
        <f t="shared" si="43"/>
        <v>1.570657515580091</v>
      </c>
      <c r="Q103" s="595">
        <f t="shared" si="44"/>
        <v>3.1638702401336358</v>
      </c>
      <c r="R103" s="596">
        <f t="shared" si="45"/>
        <v>1.2492135558742228</v>
      </c>
      <c r="S103" s="583">
        <f t="shared" si="46"/>
        <v>1.0002002038457967</v>
      </c>
      <c r="T103" s="586">
        <f t="shared" si="47"/>
        <v>2.0008520694221783E-2</v>
      </c>
      <c r="U103" s="587">
        <f t="shared" si="60"/>
        <v>0.99877554380879652</v>
      </c>
      <c r="V103" s="588">
        <f t="shared" si="61"/>
        <v>-5.0007555788031767E-2</v>
      </c>
      <c r="W103" s="589">
        <f t="shared" si="48"/>
        <v>17.64506255051726</v>
      </c>
      <c r="X103" s="590">
        <f t="shared" si="49"/>
        <v>-99.808046622376892</v>
      </c>
      <c r="Y103" s="593">
        <f t="shared" si="50"/>
        <v>80.191953377623108</v>
      </c>
      <c r="AA103" s="150">
        <f t="shared" si="51"/>
        <v>1000000000</v>
      </c>
      <c r="AB103" s="150">
        <f t="shared" si="52"/>
        <v>15849157.209999999</v>
      </c>
      <c r="AD103" s="592">
        <f t="shared" si="53"/>
        <v>28.059575234616162</v>
      </c>
      <c r="AE103" s="593">
        <f t="shared" si="54"/>
        <v>-19.563786053553503</v>
      </c>
      <c r="AG103" s="592">
        <f t="shared" si="55"/>
        <v>14.994714287819699</v>
      </c>
      <c r="AH103" s="593">
        <f t="shared" si="56"/>
        <v>-74.513816781436944</v>
      </c>
      <c r="AJ103" s="150">
        <f t="shared" si="57"/>
        <v>0</v>
      </c>
      <c r="AK103" s="150">
        <f t="shared" si="68"/>
        <v>0</v>
      </c>
      <c r="AM103" s="150" t="str">
        <f t="shared" si="62"/>
        <v>0.00255278924229196+0.0714077149310096i</v>
      </c>
      <c r="AN103" s="150" t="str">
        <f t="shared" si="63"/>
        <v>0.0714685399938i</v>
      </c>
      <c r="AO103" s="150" t="str">
        <f t="shared" si="64"/>
        <v>0.999148925348193-0.0357190624366108i</v>
      </c>
      <c r="AP103" s="150" t="str">
        <f t="shared" si="65"/>
        <v>0.166241201792951-0.0119012858218349i</v>
      </c>
      <c r="AQ103" s="150" t="str">
        <f t="shared" si="66"/>
        <v>0.833758798207049+0.0119012858218349i</v>
      </c>
      <c r="AR103" s="150" t="str">
        <f t="shared" si="67"/>
        <v>0.998886379351648-0.0142583590479241i</v>
      </c>
    </row>
    <row r="104" spans="7:44" x14ac:dyDescent="0.25">
      <c r="G104" s="594">
        <v>4365.2</v>
      </c>
      <c r="H104" s="582">
        <f t="shared" si="59"/>
        <v>4.3651999999999997</v>
      </c>
      <c r="I104" s="583">
        <f t="shared" si="36"/>
        <v>4.3746868412576356</v>
      </c>
      <c r="J104" s="584">
        <f t="shared" si="37"/>
        <v>1.3401695084273431</v>
      </c>
      <c r="K104" s="584">
        <f t="shared" si="38"/>
        <v>1.0000027818539894</v>
      </c>
      <c r="L104" s="585">
        <f t="shared" si="39"/>
        <v>2.3587486260917149E-3</v>
      </c>
      <c r="M104" s="584">
        <f t="shared" si="40"/>
        <v>1.0006894973081883</v>
      </c>
      <c r="N104" s="585">
        <f t="shared" si="41"/>
        <v>-3.7124153028178557E-2</v>
      </c>
      <c r="O104" s="583">
        <f t="shared" si="42"/>
        <v>7899.0798791077923</v>
      </c>
      <c r="P104" s="586">
        <f t="shared" si="43"/>
        <v>1.5706697297711956</v>
      </c>
      <c r="Q104" s="595">
        <f t="shared" si="44"/>
        <v>3.4398467226158851</v>
      </c>
      <c r="R104" s="596">
        <f t="shared" si="45"/>
        <v>1.2758268683922676</v>
      </c>
      <c r="S104" s="583">
        <f t="shared" si="46"/>
        <v>1.000240694265915</v>
      </c>
      <c r="T104" s="586">
        <f t="shared" si="47"/>
        <v>2.1938368112547818E-2</v>
      </c>
      <c r="U104" s="587">
        <f t="shared" si="60"/>
        <v>0.99860901553646475</v>
      </c>
      <c r="V104" s="588">
        <f t="shared" si="61"/>
        <v>-5.4827804421054165E-2</v>
      </c>
      <c r="W104" s="589">
        <f t="shared" si="48"/>
        <v>16.816299644234938</v>
      </c>
      <c r="X104" s="590">
        <f t="shared" si="49"/>
        <v>-100.06959699678211</v>
      </c>
      <c r="Y104" s="593">
        <f t="shared" si="50"/>
        <v>79.93040300321789</v>
      </c>
      <c r="AA104" s="150">
        <f t="shared" si="51"/>
        <v>1000000000</v>
      </c>
      <c r="AB104" s="150">
        <f t="shared" si="52"/>
        <v>19054971.039999999</v>
      </c>
      <c r="AD104" s="592">
        <f t="shared" si="53"/>
        <v>27.985610985880601</v>
      </c>
      <c r="AE104" s="593">
        <f t="shared" si="54"/>
        <v>-18.150227499566387</v>
      </c>
      <c r="AG104" s="592">
        <f t="shared" si="55"/>
        <v>14.242812310717717</v>
      </c>
      <c r="AH104" s="593">
        <f t="shared" si="56"/>
        <v>-75.636565903446325</v>
      </c>
      <c r="AJ104" s="150">
        <f t="shared" si="57"/>
        <v>0</v>
      </c>
      <c r="AK104" s="150">
        <f t="shared" si="68"/>
        <v>0</v>
      </c>
      <c r="AM104" s="150" t="str">
        <f t="shared" si="62"/>
        <v>0.00306887844271697+0.0782837075676579i</v>
      </c>
      <c r="AN104" s="150" t="str">
        <f t="shared" si="63"/>
        <v>0.0783638870616i</v>
      </c>
      <c r="AO104" s="150" t="str">
        <f t="shared" si="64"/>
        <v>0.998976831076806-0.0391618966055703i</v>
      </c>
      <c r="AP104" s="150" t="str">
        <f t="shared" si="65"/>
        <v>0.166155186926214-0.0130472845946097i</v>
      </c>
      <c r="AQ104" s="150" t="str">
        <f t="shared" si="66"/>
        <v>0.833844813073786+0.0130472845946097i</v>
      </c>
      <c r="AR104" s="150" t="str">
        <f t="shared" si="67"/>
        <v>0.998742321164228-0.0156274586069263i</v>
      </c>
    </row>
    <row r="105" spans="7:44" x14ac:dyDescent="0.25">
      <c r="G105" s="594">
        <v>4786.3</v>
      </c>
      <c r="H105" s="582">
        <f t="shared" si="59"/>
        <v>4.7862999999999998</v>
      </c>
      <c r="I105" s="583">
        <f t="shared" si="36"/>
        <v>4.7755742262953431</v>
      </c>
      <c r="J105" s="584">
        <f t="shared" si="37"/>
        <v>1.3598361337115688</v>
      </c>
      <c r="K105" s="584">
        <f t="shared" si="38"/>
        <v>1.0000033444580181</v>
      </c>
      <c r="L105" s="585">
        <f t="shared" si="39"/>
        <v>2.5862902764273478E-3</v>
      </c>
      <c r="M105" s="584">
        <f t="shared" si="40"/>
        <v>1.0008288841945236</v>
      </c>
      <c r="N105" s="585">
        <f t="shared" si="41"/>
        <v>-4.0701647592159447E-2</v>
      </c>
      <c r="O105" s="583">
        <f t="shared" si="42"/>
        <v>8661.0844805298111</v>
      </c>
      <c r="P105" s="586">
        <f t="shared" si="43"/>
        <v>1.5706808678123096</v>
      </c>
      <c r="Q105" s="595">
        <f t="shared" si="44"/>
        <v>3.7447737512059716</v>
      </c>
      <c r="R105" s="596">
        <f t="shared" si="45"/>
        <v>1.3004773644956571</v>
      </c>
      <c r="S105" s="583">
        <f t="shared" si="46"/>
        <v>1.000289365477093</v>
      </c>
      <c r="T105" s="586">
        <f t="shared" si="47"/>
        <v>2.4053927635029036E-2</v>
      </c>
      <c r="U105" s="587">
        <f t="shared" si="60"/>
        <v>0.99840893687031507</v>
      </c>
      <c r="V105" s="588">
        <f t="shared" si="61"/>
        <v>-6.0110946286517433E-2</v>
      </c>
      <c r="W105" s="589">
        <f t="shared" si="48"/>
        <v>15.991593092659645</v>
      </c>
      <c r="X105" s="590">
        <f t="shared" si="49"/>
        <v>-100.40053292325788</v>
      </c>
      <c r="Y105" s="593">
        <f t="shared" si="50"/>
        <v>79.599467076742116</v>
      </c>
      <c r="AA105" s="150">
        <f t="shared" si="51"/>
        <v>1000000000</v>
      </c>
      <c r="AB105" s="150">
        <f t="shared" si="52"/>
        <v>22908667.690000001</v>
      </c>
      <c r="AD105" s="592">
        <f t="shared" si="53"/>
        <v>27.923002819855004</v>
      </c>
      <c r="AE105" s="593">
        <f t="shared" si="54"/>
        <v>-16.859708903158623</v>
      </c>
      <c r="AG105" s="592">
        <f t="shared" si="55"/>
        <v>13.484194837729333</v>
      </c>
      <c r="AH105" s="593">
        <f t="shared" si="56"/>
        <v>-76.652616962718241</v>
      </c>
      <c r="AJ105" s="150">
        <f t="shared" si="57"/>
        <v>0</v>
      </c>
      <c r="AK105" s="150">
        <f t="shared" si="68"/>
        <v>0</v>
      </c>
      <c r="AM105" s="150" t="str">
        <f t="shared" si="62"/>
        <v>0.00368914965658795+0.0858177690690373i</v>
      </c>
      <c r="AN105" s="150" t="str">
        <f t="shared" si="63"/>
        <v>0.0859234565754i</v>
      </c>
      <c r="AO105" s="150" t="str">
        <f t="shared" si="64"/>
        <v>0.99876998074129-0.0429353031596282i</v>
      </c>
      <c r="AP105" s="150" t="str">
        <f t="shared" si="65"/>
        <v>0.166051808390569-0.0143029615115062i</v>
      </c>
      <c r="AQ105" s="150" t="str">
        <f t="shared" si="66"/>
        <v>0.833948191609431+0.0143029615115062i</v>
      </c>
      <c r="AR105" s="150" t="str">
        <f t="shared" si="67"/>
        <v>0.998569276477715-0.017126361171753i</v>
      </c>
    </row>
    <row r="106" spans="7:44" x14ac:dyDescent="0.25">
      <c r="G106" s="594">
        <v>5248.1</v>
      </c>
      <c r="H106" s="582">
        <f t="shared" si="59"/>
        <v>5.2481</v>
      </c>
      <c r="I106" s="583">
        <f t="shared" si="36"/>
        <v>5.2169889206420024</v>
      </c>
      <c r="J106" s="584">
        <f t="shared" si="37"/>
        <v>1.3779212482646663</v>
      </c>
      <c r="K106" s="584">
        <f t="shared" si="38"/>
        <v>1.0000040209620371</v>
      </c>
      <c r="L106" s="585">
        <f t="shared" si="39"/>
        <v>2.8358238886461982E-3</v>
      </c>
      <c r="M106" s="584">
        <f t="shared" si="40"/>
        <v>1.0009964645578859</v>
      </c>
      <c r="N106" s="585">
        <f t="shared" si="41"/>
        <v>-4.4623711399333917E-2</v>
      </c>
      <c r="O106" s="583">
        <f t="shared" si="42"/>
        <v>9496.7380672534982</v>
      </c>
      <c r="P106" s="586">
        <f t="shared" si="43"/>
        <v>1.5706910274810937</v>
      </c>
      <c r="Q106" s="595">
        <f t="shared" si="44"/>
        <v>4.0813777825414812</v>
      </c>
      <c r="R106" s="596">
        <f t="shared" si="45"/>
        <v>1.3232608537302759</v>
      </c>
      <c r="S106" s="583">
        <f t="shared" si="46"/>
        <v>1.0003478871451299</v>
      </c>
      <c r="T106" s="586">
        <f t="shared" si="47"/>
        <v>2.637371117253192E-2</v>
      </c>
      <c r="U106" s="587">
        <f t="shared" si="60"/>
        <v>0.99816850253780542</v>
      </c>
      <c r="V106" s="588">
        <f t="shared" si="61"/>
        <v>-6.5902819420429748E-2</v>
      </c>
      <c r="W106" s="589">
        <f t="shared" si="48"/>
        <v>15.170147354961541</v>
      </c>
      <c r="X106" s="590">
        <f t="shared" si="49"/>
        <v>-100.8071021624793</v>
      </c>
      <c r="Y106" s="593">
        <f t="shared" si="50"/>
        <v>79.192897837520704</v>
      </c>
      <c r="AA106" s="150">
        <f t="shared" si="51"/>
        <v>1000000000</v>
      </c>
      <c r="AB106" s="150">
        <f t="shared" si="52"/>
        <v>27542553.610000003</v>
      </c>
      <c r="AD106" s="592">
        <f t="shared" si="53"/>
        <v>27.870075210040198</v>
      </c>
      <c r="AE106" s="593">
        <f t="shared" si="54"/>
        <v>-15.687807038319542</v>
      </c>
      <c r="AG106" s="592">
        <f t="shared" si="55"/>
        <v>12.719860641901469</v>
      </c>
      <c r="AH106" s="593">
        <f t="shared" si="56"/>
        <v>-77.567388293923571</v>
      </c>
      <c r="AJ106" s="150">
        <f t="shared" si="57"/>
        <v>0</v>
      </c>
      <c r="AK106" s="150">
        <f t="shared" si="68"/>
        <v>0</v>
      </c>
      <c r="AM106" s="150" t="str">
        <f t="shared" si="62"/>
        <v>0.00443482605178303+0.0940743558120693i</v>
      </c>
      <c r="AN106" s="150" t="str">
        <f t="shared" si="63"/>
        <v>0.0942136707798i</v>
      </c>
      <c r="AO106" s="150" t="str">
        <f t="shared" si="64"/>
        <v>0.998521287127679-0.0470720014948604i</v>
      </c>
      <c r="AP106" s="150" t="str">
        <f t="shared" si="65"/>
        <v>0.16592752899137-0.0156790593020115i</v>
      </c>
      <c r="AQ106" s="150" t="str">
        <f t="shared" si="66"/>
        <v>0.83407247100863+0.0156790593020115i</v>
      </c>
      <c r="AR106" s="150" t="str">
        <f t="shared" si="67"/>
        <v>0.998361382072445-0.0187673947509893i</v>
      </c>
    </row>
    <row r="107" spans="7:44" x14ac:dyDescent="0.25">
      <c r="G107" s="594">
        <v>5370.3</v>
      </c>
      <c r="H107" s="582">
        <f t="shared" si="59"/>
        <v>5.3703000000000003</v>
      </c>
      <c r="I107" s="583">
        <f t="shared" si="36"/>
        <v>5.3340502367267923</v>
      </c>
      <c r="J107" s="584">
        <f t="shared" si="37"/>
        <v>1.382205595810313</v>
      </c>
      <c r="K107" s="584">
        <f t="shared" si="38"/>
        <v>1.0000042103948212</v>
      </c>
      <c r="L107" s="585">
        <f t="shared" si="39"/>
        <v>2.9018545961255067E-3</v>
      </c>
      <c r="M107" s="584">
        <f t="shared" si="40"/>
        <v>1.0010433849403919</v>
      </c>
      <c r="N107" s="585">
        <f t="shared" si="41"/>
        <v>-4.5661330188388194E-2</v>
      </c>
      <c r="O107" s="583">
        <f t="shared" si="42"/>
        <v>9717.8659762295465</v>
      </c>
      <c r="P107" s="586">
        <f t="shared" si="43"/>
        <v>1.5706934235438936</v>
      </c>
      <c r="Q107" s="595">
        <f t="shared" si="44"/>
        <v>4.1707671101127888</v>
      </c>
      <c r="R107" s="596">
        <f t="shared" si="45"/>
        <v>1.3286735256554081</v>
      </c>
      <c r="S107" s="583">
        <f t="shared" si="46"/>
        <v>1.0003642736142959</v>
      </c>
      <c r="T107" s="586">
        <f t="shared" si="47"/>
        <v>2.69875181989668E-2</v>
      </c>
      <c r="U107" s="587">
        <f t="shared" si="60"/>
        <v>0.99810120621685827</v>
      </c>
      <c r="V107" s="588">
        <f t="shared" si="61"/>
        <v>-6.7435091655601812E-2</v>
      </c>
      <c r="W107" s="589">
        <f t="shared" si="48"/>
        <v>14.965338458080842</v>
      </c>
      <c r="X107" s="590">
        <f t="shared" si="49"/>
        <v>-100.92122040271943</v>
      </c>
      <c r="Y107" s="593">
        <f t="shared" si="50"/>
        <v>79.078779597280572</v>
      </c>
      <c r="AA107" s="150">
        <f t="shared" si="51"/>
        <v>1000000000</v>
      </c>
      <c r="AB107" s="150">
        <f t="shared" si="52"/>
        <v>28840122.090000004</v>
      </c>
      <c r="AD107" s="592">
        <f t="shared" si="53"/>
        <v>27.858186902473484</v>
      </c>
      <c r="AE107" s="593">
        <f t="shared" si="54"/>
        <v>-15.412989617142566</v>
      </c>
      <c r="AG107" s="592">
        <f t="shared" si="55"/>
        <v>12.528111293957227</v>
      </c>
      <c r="AH107" s="593">
        <f t="shared" si="56"/>
        <v>-77.780738490859164</v>
      </c>
      <c r="AJ107" s="150">
        <f t="shared" si="57"/>
        <v>0</v>
      </c>
      <c r="AK107" s="150">
        <f t="shared" si="68"/>
        <v>0</v>
      </c>
      <c r="AM107" s="150" t="str">
        <f t="shared" si="62"/>
        <v>0.00464359510583501+0.0962581281563451i</v>
      </c>
      <c r="AN107" s="150" t="str">
        <f t="shared" si="63"/>
        <v>0.0964074000474i</v>
      </c>
      <c r="AO107" s="150" t="str">
        <f t="shared" si="64"/>
        <v>0.998451655256946-0.0481663762693727i</v>
      </c>
      <c r="AP107" s="150" t="str">
        <f t="shared" si="65"/>
        <v>0.165892734149027-0.0160430213593909i</v>
      </c>
      <c r="AQ107" s="150" t="str">
        <f t="shared" si="66"/>
        <v>0.834107265850973+0.0160430213593909i</v>
      </c>
      <c r="AR107" s="150" t="str">
        <f t="shared" si="67"/>
        <v>0.998303203915075-0.0192011270963073i</v>
      </c>
    </row>
    <row r="108" spans="7:44" x14ac:dyDescent="0.25">
      <c r="G108" s="594">
        <v>5432.85</v>
      </c>
      <c r="H108" s="582">
        <f t="shared" si="59"/>
        <v>5.4328500000000002</v>
      </c>
      <c r="I108" s="583">
        <f t="shared" si="36"/>
        <v>5.3940065618618682</v>
      </c>
      <c r="J108" s="584">
        <f t="shared" si="37"/>
        <v>1.3843266328007804</v>
      </c>
      <c r="K108" s="584">
        <f t="shared" si="38"/>
        <v>1.0000043090460533</v>
      </c>
      <c r="L108" s="585">
        <f t="shared" si="39"/>
        <v>2.9356534468683083E-3</v>
      </c>
      <c r="M108" s="584">
        <f t="shared" si="40"/>
        <v>1.0010678188801381</v>
      </c>
      <c r="N108" s="585">
        <f t="shared" si="41"/>
        <v>-4.6192413825761308E-2</v>
      </c>
      <c r="O108" s="583">
        <f t="shared" si="42"/>
        <v>9831.0537889054885</v>
      </c>
      <c r="P108" s="586">
        <f t="shared" si="43"/>
        <v>1.570694608299281</v>
      </c>
      <c r="Q108" s="595">
        <f t="shared" si="44"/>
        <v>4.2165682136141571</v>
      </c>
      <c r="R108" s="596">
        <f t="shared" si="45"/>
        <v>1.3313552484150157</v>
      </c>
      <c r="S108" s="583">
        <f t="shared" si="46"/>
        <v>1.0003728071185387</v>
      </c>
      <c r="T108" s="586">
        <f t="shared" si="47"/>
        <v>2.7301697178612042E-2</v>
      </c>
      <c r="U108" s="587">
        <f t="shared" si="60"/>
        <v>0.99806616529484138</v>
      </c>
      <c r="V108" s="588">
        <f t="shared" si="61"/>
        <v>-6.8219349660801926E-2</v>
      </c>
      <c r="W108" s="589">
        <f t="shared" si="48"/>
        <v>14.862365372104385</v>
      </c>
      <c r="X108" s="590">
        <f t="shared" si="49"/>
        <v>-100.98059147884859</v>
      </c>
      <c r="Y108" s="593">
        <f t="shared" si="50"/>
        <v>79.019408521151405</v>
      </c>
      <c r="AA108" s="150">
        <f t="shared" si="51"/>
        <v>1000000000</v>
      </c>
      <c r="AB108" s="150">
        <f t="shared" si="52"/>
        <v>29515859.122500002</v>
      </c>
      <c r="AD108" s="592">
        <f t="shared" si="53"/>
        <v>27.852393275469272</v>
      </c>
      <c r="AE108" s="593">
        <f t="shared" si="54"/>
        <v>-15.277407232066796</v>
      </c>
      <c r="AG108" s="592">
        <f t="shared" si="55"/>
        <v>12.431541726892512</v>
      </c>
      <c r="AH108" s="593">
        <f t="shared" si="56"/>
        <v>-77.885822604466824</v>
      </c>
      <c r="AJ108" s="150">
        <f t="shared" si="57"/>
        <v>0</v>
      </c>
      <c r="AK108" s="150">
        <f t="shared" si="68"/>
        <v>0</v>
      </c>
      <c r="AM108" s="150" t="str">
        <f t="shared" si="62"/>
        <v>0.00475231037028401+0.0973757479391658i</v>
      </c>
      <c r="AN108" s="150" t="str">
        <f t="shared" si="63"/>
        <v>0.0975302950203i</v>
      </c>
      <c r="AO108" s="150" t="str">
        <f t="shared" si="64"/>
        <v>0.998415394097782-0.0487265046137189i</v>
      </c>
      <c r="AP108" s="150" t="str">
        <f t="shared" si="65"/>
        <v>0.165874614938286-0.0162292913231943i</v>
      </c>
      <c r="AQ108" s="150" t="str">
        <f t="shared" si="66"/>
        <v>0.834125385061714+0.0162292913231943i</v>
      </c>
      <c r="AR108" s="150" t="str">
        <f t="shared" si="67"/>
        <v>0.998272912586096-0.0194230534264519i</v>
      </c>
    </row>
    <row r="109" spans="7:44" x14ac:dyDescent="0.25">
      <c r="G109" s="594">
        <v>5495.4</v>
      </c>
      <c r="H109" s="582">
        <f t="shared" si="59"/>
        <v>5.4954000000000001</v>
      </c>
      <c r="I109" s="583">
        <f t="shared" si="36"/>
        <v>5.4539866199495046</v>
      </c>
      <c r="J109" s="584">
        <f t="shared" si="37"/>
        <v>1.3864010268689166</v>
      </c>
      <c r="K109" s="584">
        <f t="shared" si="38"/>
        <v>1.000004408839652</v>
      </c>
      <c r="L109" s="585">
        <f t="shared" si="39"/>
        <v>2.9694522909039316E-3</v>
      </c>
      <c r="M109" s="584">
        <f t="shared" si="40"/>
        <v>1.001092535157063</v>
      </c>
      <c r="N109" s="585">
        <f t="shared" si="41"/>
        <v>-4.6723471388743297E-2</v>
      </c>
      <c r="O109" s="583">
        <f t="shared" si="42"/>
        <v>9944.2416015949148</v>
      </c>
      <c r="P109" s="586">
        <f t="shared" si="43"/>
        <v>1.5706957660843117</v>
      </c>
      <c r="Q109" s="595">
        <f t="shared" si="44"/>
        <v>4.2623989893312322</v>
      </c>
      <c r="R109" s="596">
        <f t="shared" si="45"/>
        <v>1.3339793201037518</v>
      </c>
      <c r="S109" s="583">
        <f t="shared" si="46"/>
        <v>1.0003814393663215</v>
      </c>
      <c r="T109" s="586">
        <f t="shared" si="47"/>
        <v>2.761587076719501E-2</v>
      </c>
      <c r="U109" s="587">
        <f t="shared" si="60"/>
        <v>0.99803072215494071</v>
      </c>
      <c r="V109" s="588">
        <f t="shared" si="61"/>
        <v>-6.900356659936073E-2</v>
      </c>
      <c r="W109" s="589">
        <f t="shared" si="48"/>
        <v>14.760612822004733</v>
      </c>
      <c r="X109" s="590">
        <f t="shared" si="49"/>
        <v>-101.04058757474394</v>
      </c>
      <c r="Y109" s="593">
        <f t="shared" si="50"/>
        <v>78.959412425256062</v>
      </c>
      <c r="AA109" s="150">
        <f t="shared" si="51"/>
        <v>1000000000</v>
      </c>
      <c r="AB109" s="150">
        <f t="shared" si="52"/>
        <v>30199421.159999996</v>
      </c>
      <c r="AD109" s="592">
        <f t="shared" si="53"/>
        <v>27.846785819115741</v>
      </c>
      <c r="AE109" s="593">
        <f t="shared" si="54"/>
        <v>-15.145126155867432</v>
      </c>
      <c r="AG109" s="592">
        <f t="shared" si="55"/>
        <v>12.336013547492723</v>
      </c>
      <c r="AH109" s="593">
        <f t="shared" si="56"/>
        <v>-77.988235134854648</v>
      </c>
      <c r="AJ109" s="150">
        <f t="shared" si="57"/>
        <v>0</v>
      </c>
      <c r="AK109" s="150">
        <f t="shared" si="68"/>
        <v>0</v>
      </c>
      <c r="AM109" s="150" t="str">
        <f t="shared" si="62"/>
        <v>0.00486228053556503+0.0984932449415889i</v>
      </c>
      <c r="AN109" s="150" t="str">
        <f t="shared" si="63"/>
        <v>0.0986531899932i</v>
      </c>
      <c r="AO109" s="150" t="str">
        <f t="shared" si="64"/>
        <v>0.998378713839642-0.0492866022467209i</v>
      </c>
      <c r="AP109" s="150" t="str">
        <f t="shared" si="65"/>
        <v>0.165856286577406-0.0164155408235982i</v>
      </c>
      <c r="AQ109" s="150" t="str">
        <f t="shared" si="66"/>
        <v>0.834143713422594+0.0164155408235982i</v>
      </c>
      <c r="AR109" s="150" t="str">
        <f t="shared" si="67"/>
        <v>0.998242274813022-0.0196449203540696i</v>
      </c>
    </row>
    <row r="110" spans="7:44" x14ac:dyDescent="0.25">
      <c r="G110" s="594">
        <v>5559.4</v>
      </c>
      <c r="H110" s="582">
        <f t="shared" si="59"/>
        <v>5.5593999999999992</v>
      </c>
      <c r="I110" s="583">
        <f t="shared" si="36"/>
        <v>5.5153808600029972</v>
      </c>
      <c r="J110" s="584">
        <f t="shared" si="37"/>
        <v>1.388476799994766</v>
      </c>
      <c r="K110" s="584">
        <f t="shared" si="38"/>
        <v>1.000004512129008</v>
      </c>
      <c r="L110" s="585">
        <f t="shared" si="39"/>
        <v>3.0040346342933349E-3</v>
      </c>
      <c r="M110" s="584">
        <f t="shared" si="40"/>
        <v>1.0011181166019516</v>
      </c>
      <c r="N110" s="585">
        <f t="shared" si="41"/>
        <v>-4.7266812340171188E-2</v>
      </c>
      <c r="O110" s="583">
        <f t="shared" si="42"/>
        <v>10060.053272465686</v>
      </c>
      <c r="P110" s="586">
        <f t="shared" si="43"/>
        <v>1.5706969237425903</v>
      </c>
      <c r="Q110" s="595">
        <f t="shared" si="44"/>
        <v>4.3093219135971097</v>
      </c>
      <c r="R110" s="596">
        <f t="shared" si="45"/>
        <v>1.3366064318694575</v>
      </c>
      <c r="S110" s="583">
        <f t="shared" si="46"/>
        <v>1.0003903739231004</v>
      </c>
      <c r="T110" s="586">
        <f t="shared" si="47"/>
        <v>2.7937321712118726E-2</v>
      </c>
      <c r="U110" s="587">
        <f t="shared" si="60"/>
        <v>0.99799404120695434</v>
      </c>
      <c r="V110" s="588">
        <f t="shared" si="61"/>
        <v>-6.9805919834819416E-2</v>
      </c>
      <c r="W110" s="589">
        <f t="shared" si="48"/>
        <v>14.657734553154274</v>
      </c>
      <c r="X110" s="590">
        <f t="shared" si="49"/>
        <v>-101.10260348416863</v>
      </c>
      <c r="Y110" s="593">
        <f t="shared" si="50"/>
        <v>78.897396515831375</v>
      </c>
      <c r="AA110" s="150">
        <f t="shared" si="51"/>
        <v>1000000000</v>
      </c>
      <c r="AB110" s="150">
        <f t="shared" si="52"/>
        <v>30906928.359999996</v>
      </c>
      <c r="AD110" s="592">
        <f t="shared" si="53"/>
        <v>27.841232731703954</v>
      </c>
      <c r="AE110" s="593">
        <f t="shared" si="54"/>
        <v>-15.013087850630567</v>
      </c>
      <c r="AG110" s="592">
        <f t="shared" si="55"/>
        <v>12.239326848445483</v>
      </c>
      <c r="AH110" s="593">
        <f t="shared" si="56"/>
        <v>-78.090346441270299</v>
      </c>
      <c r="AJ110" s="150">
        <f t="shared" si="57"/>
        <v>0</v>
      </c>
      <c r="AK110" s="150">
        <f t="shared" si="68"/>
        <v>0</v>
      </c>
      <c r="AM110" s="150" t="str">
        <f t="shared" si="62"/>
        <v>0.00497609869828097+0.0996365185978864i</v>
      </c>
      <c r="AN110" s="150" t="str">
        <f t="shared" si="63"/>
        <v>0.0998021153052i</v>
      </c>
      <c r="AO110" s="150" t="str">
        <f t="shared" si="64"/>
        <v>0.998340749524124-0.0498596516022111i</v>
      </c>
      <c r="AP110" s="150" t="str">
        <f t="shared" si="65"/>
        <v>0.16583731688362-0.0166060864329811i</v>
      </c>
      <c r="AQ110" s="150" t="str">
        <f t="shared" si="66"/>
        <v>0.83416268311638+0.0166060864329811i</v>
      </c>
      <c r="AR110" s="150" t="str">
        <f t="shared" si="67"/>
        <v>0.998210568382989-0.019871868296667i</v>
      </c>
    </row>
    <row r="111" spans="7:44" x14ac:dyDescent="0.25">
      <c r="G111" s="594">
        <v>5623.4</v>
      </c>
      <c r="H111" s="582">
        <f t="shared" si="59"/>
        <v>5.6233999999999993</v>
      </c>
      <c r="I111" s="583">
        <f t="shared" si="36"/>
        <v>5.5767983416100302</v>
      </c>
      <c r="J111" s="584">
        <f t="shared" si="37"/>
        <v>1.3905068605791375</v>
      </c>
      <c r="K111" s="584">
        <f t="shared" si="38"/>
        <v>1.0000046166143075</v>
      </c>
      <c r="L111" s="585">
        <f t="shared" si="39"/>
        <v>3.0386169704974372E-3</v>
      </c>
      <c r="M111" s="584">
        <f t="shared" si="40"/>
        <v>1.001143993581165</v>
      </c>
      <c r="N111" s="585">
        <f t="shared" si="41"/>
        <v>-4.7810125364076111E-2</v>
      </c>
      <c r="O111" s="583">
        <f t="shared" si="42"/>
        <v>10175.86494334963</v>
      </c>
      <c r="P111" s="586">
        <f t="shared" si="43"/>
        <v>1.5706980550502168</v>
      </c>
      <c r="Q111" s="595">
        <f t="shared" si="44"/>
        <v>4.3562739387452405</v>
      </c>
      <c r="R111" s="596">
        <f t="shared" si="45"/>
        <v>1.3391769309113677</v>
      </c>
      <c r="S111" s="583">
        <f t="shared" si="46"/>
        <v>1.0003994118490738</v>
      </c>
      <c r="T111" s="586">
        <f t="shared" si="47"/>
        <v>2.825876688207727E-2</v>
      </c>
      <c r="U111" s="587">
        <f t="shared" si="60"/>
        <v>0.99795693943714503</v>
      </c>
      <c r="V111" s="588">
        <f t="shared" si="61"/>
        <v>-7.060822908887153E-2</v>
      </c>
      <c r="W111" s="589">
        <f t="shared" si="48"/>
        <v>14.556073733774397</v>
      </c>
      <c r="X111" s="590">
        <f t="shared" si="49"/>
        <v>-101.16523796770801</v>
      </c>
      <c r="Y111" s="593">
        <f t="shared" si="50"/>
        <v>78.834762032291991</v>
      </c>
      <c r="AA111" s="150">
        <f t="shared" si="51"/>
        <v>1000000000</v>
      </c>
      <c r="AB111" s="150">
        <f t="shared" si="52"/>
        <v>31622627.559999995</v>
      </c>
      <c r="AD111" s="592">
        <f t="shared" si="53"/>
        <v>27.835858068307804</v>
      </c>
      <c r="AE111" s="593">
        <f t="shared" si="54"/>
        <v>-14.884291374875332</v>
      </c>
      <c r="AG111" s="592">
        <f t="shared" si="55"/>
        <v>12.143686523709317</v>
      </c>
      <c r="AH111" s="593">
        <f t="shared" si="56"/>
        <v>-78.189839532216894</v>
      </c>
      <c r="AJ111" s="150">
        <f t="shared" si="57"/>
        <v>0</v>
      </c>
      <c r="AK111" s="150">
        <f t="shared" si="68"/>
        <v>0</v>
      </c>
      <c r="AM111" s="150" t="str">
        <f t="shared" si="62"/>
        <v>0.00509123032162795+0.100779660731067i</v>
      </c>
      <c r="AN111" s="150" t="str">
        <f t="shared" si="63"/>
        <v>0.1009510406172i</v>
      </c>
      <c r="AO111" s="150" t="str">
        <f t="shared" si="64"/>
        <v>0.998302346512872-0.0504326680587036i</v>
      </c>
      <c r="AP111" s="150" t="str">
        <f t="shared" si="65"/>
        <v>0.165818128279729-0.0167966101218445i</v>
      </c>
      <c r="AQ111" s="150" t="str">
        <f t="shared" si="66"/>
        <v>0.834181871720271+0.0167966101218445i</v>
      </c>
      <c r="AR111" s="150" t="str">
        <f t="shared" si="67"/>
        <v>0.998178499577047-0.0200987526315192i</v>
      </c>
    </row>
    <row r="112" spans="7:44" x14ac:dyDescent="0.25">
      <c r="G112" s="594">
        <v>5688.9</v>
      </c>
      <c r="H112" s="582">
        <f t="shared" si="59"/>
        <v>5.6888999999999994</v>
      </c>
      <c r="I112" s="583">
        <f t="shared" si="36"/>
        <v>5.6396785680990673</v>
      </c>
      <c r="J112" s="584">
        <f t="shared" si="37"/>
        <v>1.3925387098199624</v>
      </c>
      <c r="K112" s="584">
        <f t="shared" si="38"/>
        <v>1.0000047247867978</v>
      </c>
      <c r="L112" s="585">
        <f t="shared" si="39"/>
        <v>3.0740098226801262E-3</v>
      </c>
      <c r="M112" s="584">
        <f t="shared" si="40"/>
        <v>1.0011707830335379</v>
      </c>
      <c r="N112" s="585">
        <f t="shared" si="41"/>
        <v>-4.836614303751216E-2</v>
      </c>
      <c r="O112" s="583">
        <f t="shared" si="42"/>
        <v>10294.390950283097</v>
      </c>
      <c r="P112" s="586">
        <f t="shared" si="43"/>
        <v>1.5706991865166224</v>
      </c>
      <c r="Q112" s="595">
        <f t="shared" si="44"/>
        <v>4.4043555627511788</v>
      </c>
      <c r="R112" s="596">
        <f t="shared" si="45"/>
        <v>1.341750911925786</v>
      </c>
      <c r="S112" s="583">
        <f t="shared" si="46"/>
        <v>1.0004087686301733</v>
      </c>
      <c r="T112" s="586">
        <f t="shared" si="47"/>
        <v>2.8587739874474719E-2</v>
      </c>
      <c r="U112" s="587">
        <f t="shared" si="60"/>
        <v>0.99791853250233253</v>
      </c>
      <c r="V112" s="588">
        <f t="shared" si="61"/>
        <v>-7.1429296404927595E-2</v>
      </c>
      <c r="W112" s="589">
        <f t="shared" si="48"/>
        <v>14.453260676599395</v>
      </c>
      <c r="X112" s="590">
        <f t="shared" si="49"/>
        <v>-101.22996299437676</v>
      </c>
      <c r="Y112" s="593">
        <f t="shared" si="50"/>
        <v>78.770037005623237</v>
      </c>
      <c r="AA112" s="150">
        <f t="shared" si="51"/>
        <v>1000000000</v>
      </c>
      <c r="AB112" s="150">
        <f t="shared" si="52"/>
        <v>32363583.209999997</v>
      </c>
      <c r="AD112" s="592">
        <f t="shared" si="53"/>
        <v>27.830534170431282</v>
      </c>
      <c r="AE112" s="593">
        <f t="shared" si="54"/>
        <v>-14.755726718343322</v>
      </c>
      <c r="AG112" s="592">
        <f t="shared" si="55"/>
        <v>12.046865939984512</v>
      </c>
      <c r="AH112" s="593">
        <f t="shared" si="56"/>
        <v>-78.289041831497784</v>
      </c>
      <c r="AJ112" s="150">
        <f t="shared" si="57"/>
        <v>0</v>
      </c>
      <c r="AK112" s="150">
        <f t="shared" si="68"/>
        <v>0</v>
      </c>
      <c r="AM112" s="150" t="str">
        <f t="shared" si="62"/>
        <v>0.00521042018153095+0.101949457500243i</v>
      </c>
      <c r="AN112" s="150" t="str">
        <f t="shared" si="63"/>
        <v>0.1021268938662i</v>
      </c>
      <c r="AO112" s="150" t="str">
        <f t="shared" si="64"/>
        <v>0.998262589223663-0.0510190801294447i</v>
      </c>
      <c r="AP112" s="150" t="str">
        <f t="shared" si="65"/>
        <v>0.165798263303078-0.0169915762500405i</v>
      </c>
      <c r="AQ112" s="150" t="str">
        <f t="shared" si="66"/>
        <v>0.834201736696922+0.0169915762500405i</v>
      </c>
      <c r="AR112" s="150" t="str">
        <f t="shared" si="67"/>
        <v>0.998145304113099-0.0203308879583638i</v>
      </c>
    </row>
    <row r="113" spans="7:44" x14ac:dyDescent="0.25">
      <c r="G113" s="594">
        <v>5754.4</v>
      </c>
      <c r="H113" s="582">
        <f t="shared" si="59"/>
        <v>5.7543999999999995</v>
      </c>
      <c r="I113" s="583">
        <f t="shared" si="36"/>
        <v>5.7025815639818198</v>
      </c>
      <c r="J113" s="584">
        <f t="shared" si="37"/>
        <v>1.3945257420104444</v>
      </c>
      <c r="K113" s="584">
        <f t="shared" si="38"/>
        <v>1.0000048342119479</v>
      </c>
      <c r="L113" s="585">
        <f t="shared" si="39"/>
        <v>3.1094026671614513E-3</v>
      </c>
      <c r="M113" s="584">
        <f t="shared" si="40"/>
        <v>1.0011978819868983</v>
      </c>
      <c r="N113" s="585">
        <f t="shared" si="41"/>
        <v>-4.8922130783888233E-2</v>
      </c>
      <c r="O113" s="583">
        <f t="shared" si="42"/>
        <v>10412.916957229445</v>
      </c>
      <c r="P113" s="586">
        <f t="shared" si="43"/>
        <v>1.5707002922249826</v>
      </c>
      <c r="Q113" s="595">
        <f t="shared" si="44"/>
        <v>4.4524657369337319</v>
      </c>
      <c r="R113" s="596">
        <f t="shared" si="45"/>
        <v>1.3442692841144159</v>
      </c>
      <c r="S113" s="583">
        <f t="shared" si="46"/>
        <v>1.0004182336767085</v>
      </c>
      <c r="T113" s="586">
        <f t="shared" si="47"/>
        <v>2.8916706677587552E-2</v>
      </c>
      <c r="U113" s="587">
        <f t="shared" si="60"/>
        <v>0.99787968507373481</v>
      </c>
      <c r="V113" s="588">
        <f t="shared" si="61"/>
        <v>-7.225031659497981E-2</v>
      </c>
      <c r="W113" s="589">
        <f t="shared" si="48"/>
        <v>14.351662672138863</v>
      </c>
      <c r="X113" s="590">
        <f t="shared" si="49"/>
        <v>-101.29530009941135</v>
      </c>
      <c r="Y113" s="593">
        <f t="shared" si="50"/>
        <v>78.704699900588651</v>
      </c>
      <c r="AA113" s="150">
        <f t="shared" si="51"/>
        <v>1000000000</v>
      </c>
      <c r="AB113" s="150">
        <f t="shared" si="52"/>
        <v>33113119.359999996</v>
      </c>
      <c r="AD113" s="592">
        <f t="shared" si="53"/>
        <v>27.825381320452408</v>
      </c>
      <c r="AE113" s="593">
        <f t="shared" si="54"/>
        <v>-14.630346382389121</v>
      </c>
      <c r="AG113" s="592">
        <f t="shared" si="55"/>
        <v>11.951097055227107</v>
      </c>
      <c r="AH113" s="593">
        <f t="shared" si="56"/>
        <v>-78.385677288809049</v>
      </c>
      <c r="AJ113" s="150">
        <f t="shared" si="57"/>
        <v>0</v>
      </c>
      <c r="AK113" s="150">
        <f t="shared" si="68"/>
        <v>0</v>
      </c>
      <c r="AM113" s="150" t="str">
        <f t="shared" si="62"/>
        <v>0.005330985468051+0.103119113310969i</v>
      </c>
      <c r="AN113" s="150" t="str">
        <f t="shared" si="63"/>
        <v>0.1033027471152i</v>
      </c>
      <c r="AO113" s="150" t="str">
        <f t="shared" si="64"/>
        <v>0.998222372498708-0.0516054569401339i</v>
      </c>
      <c r="AP113" s="150" t="str">
        <f t="shared" si="65"/>
        <v>0.165778169088658-0.0171865188851615i</v>
      </c>
      <c r="AQ113" s="150" t="str">
        <f t="shared" si="66"/>
        <v>0.834221830911342+0.0171865188851615i</v>
      </c>
      <c r="AR113" s="150" t="str">
        <f t="shared" si="67"/>
        <v>0.998111729434721-0.0205629551419089i</v>
      </c>
    </row>
    <row r="114" spans="7:44" x14ac:dyDescent="0.25">
      <c r="G114" s="594">
        <v>5821.4</v>
      </c>
      <c r="H114" s="582">
        <f t="shared" si="59"/>
        <v>5.8213999999999997</v>
      </c>
      <c r="I114" s="583">
        <f t="shared" si="36"/>
        <v>5.7669478672598906</v>
      </c>
      <c r="J114" s="584">
        <f t="shared" si="37"/>
        <v>1.3965134232216139</v>
      </c>
      <c r="K114" s="584">
        <f t="shared" si="38"/>
        <v>1.0000049474390353</v>
      </c>
      <c r="L114" s="585">
        <f t="shared" si="39"/>
        <v>3.1456060267384656E-3</v>
      </c>
      <c r="M114" s="584">
        <f t="shared" si="40"/>
        <v>1.0012259217146358</v>
      </c>
      <c r="N114" s="585">
        <f t="shared" si="41"/>
        <v>-4.9490819755337631E-2</v>
      </c>
      <c r="O114" s="583">
        <f t="shared" si="42"/>
        <v>10534.157300225603</v>
      </c>
      <c r="P114" s="586">
        <f t="shared" si="43"/>
        <v>1.5707013975117083</v>
      </c>
      <c r="Q114" s="595">
        <f t="shared" si="44"/>
        <v>4.5017062549532021</v>
      </c>
      <c r="R114" s="596">
        <f t="shared" si="45"/>
        <v>1.3467896212424806</v>
      </c>
      <c r="S114" s="583">
        <f t="shared" si="46"/>
        <v>1.0004280274896982</v>
      </c>
      <c r="T114" s="586">
        <f t="shared" si="47"/>
        <v>2.9253200594051159E-2</v>
      </c>
      <c r="U114" s="587">
        <f t="shared" si="60"/>
        <v>0.99783949242154768</v>
      </c>
      <c r="V114" s="588">
        <f t="shared" si="61"/>
        <v>-7.3090089458997892E-2</v>
      </c>
      <c r="W114" s="589">
        <f t="shared" si="48"/>
        <v>14.248965080272491</v>
      </c>
      <c r="X114" s="590">
        <f t="shared" si="49"/>
        <v>-101.36274879209697</v>
      </c>
      <c r="Y114" s="593">
        <f t="shared" si="50"/>
        <v>78.637251207903034</v>
      </c>
      <c r="AA114" s="150">
        <f t="shared" si="51"/>
        <v>1000000000</v>
      </c>
      <c r="AB114" s="150">
        <f t="shared" si="52"/>
        <v>33888697.959999993</v>
      </c>
      <c r="AD114" s="592">
        <f t="shared" si="53"/>
        <v>27.820279742473417</v>
      </c>
      <c r="AE114" s="593">
        <f t="shared" si="54"/>
        <v>-14.505284711367718</v>
      </c>
      <c r="AG114" s="592">
        <f t="shared" si="55"/>
        <v>11.854200756901196</v>
      </c>
      <c r="AH114" s="593">
        <f t="shared" si="56"/>
        <v>-78.481956770690402</v>
      </c>
      <c r="AJ114" s="150">
        <f t="shared" si="57"/>
        <v>0</v>
      </c>
      <c r="AK114" s="150">
        <f t="shared" si="68"/>
        <v>0</v>
      </c>
      <c r="AM114" s="150" t="str">
        <f t="shared" si="62"/>
        <v>0.00545573465263505+0.104315407609181i</v>
      </c>
      <c r="AN114" s="150" t="str">
        <f t="shared" si="63"/>
        <v>0.1045055283012i</v>
      </c>
      <c r="AO114" s="150" t="str">
        <f t="shared" si="64"/>
        <v>0.998180759476465-0.0522052253246435i</v>
      </c>
      <c r="AP114" s="150" t="str">
        <f t="shared" si="65"/>
        <v>0.165757377557894-0.0173859012681968i</v>
      </c>
      <c r="AQ114" s="150" t="str">
        <f t="shared" si="66"/>
        <v>0.834242622442106+0.0173859012681968i</v>
      </c>
      <c r="AR114" s="150" t="str">
        <f t="shared" si="67"/>
        <v>0.998076993716259-0.0208002655390744i</v>
      </c>
    </row>
    <row r="115" spans="7:44" x14ac:dyDescent="0.25">
      <c r="G115" s="594">
        <v>5888.4</v>
      </c>
      <c r="H115" s="582">
        <f t="shared" si="59"/>
        <v>5.8883999999999999</v>
      </c>
      <c r="I115" s="583">
        <f t="shared" si="36"/>
        <v>5.8313364519948028</v>
      </c>
      <c r="J115" s="584">
        <f t="shared" si="37"/>
        <v>1.3984572167237108</v>
      </c>
      <c r="K115" s="584">
        <f t="shared" si="38"/>
        <v>1.0000050619768122</v>
      </c>
      <c r="L115" s="585">
        <f t="shared" si="39"/>
        <v>3.1818093780696692E-3</v>
      </c>
      <c r="M115" s="584">
        <f t="shared" si="40"/>
        <v>1.0012542852277939</v>
      </c>
      <c r="N115" s="585">
        <f t="shared" si="41"/>
        <v>-5.0059476691064461E-2</v>
      </c>
      <c r="O115" s="583">
        <f t="shared" si="42"/>
        <v>10655.397643234335</v>
      </c>
      <c r="P115" s="586">
        <f t="shared" si="43"/>
        <v>1.5707024776458596</v>
      </c>
      <c r="Q115" s="595">
        <f t="shared" si="44"/>
        <v>4.5509747493639088</v>
      </c>
      <c r="R115" s="596">
        <f t="shared" si="45"/>
        <v>1.3492554038094022</v>
      </c>
      <c r="S115" s="583">
        <f t="shared" si="46"/>
        <v>1.0004379345770831</v>
      </c>
      <c r="T115" s="586">
        <f t="shared" si="47"/>
        <v>2.9589687884183292E-2</v>
      </c>
      <c r="U115" s="587">
        <f t="shared" si="60"/>
        <v>0.99779883918152545</v>
      </c>
      <c r="V115" s="588">
        <f t="shared" si="61"/>
        <v>-7.3929811881385685E-2</v>
      </c>
      <c r="W115" s="589">
        <f t="shared" si="48"/>
        <v>14.147478958634176</v>
      </c>
      <c r="X115" s="590">
        <f t="shared" si="49"/>
        <v>-101.43080210445859</v>
      </c>
      <c r="Y115" s="593">
        <f t="shared" si="50"/>
        <v>78.569197895541407</v>
      </c>
      <c r="AA115" s="150">
        <f t="shared" si="51"/>
        <v>1000000000</v>
      </c>
      <c r="AB115" s="150">
        <f t="shared" si="52"/>
        <v>34673254.559999995</v>
      </c>
      <c r="AD115" s="592">
        <f t="shared" si="53"/>
        <v>27.815341935947711</v>
      </c>
      <c r="AE115" s="593">
        <f t="shared" si="54"/>
        <v>-14.383346965659378</v>
      </c>
      <c r="AG115" s="592">
        <f t="shared" si="55"/>
        <v>11.758360204414153</v>
      </c>
      <c r="AH115" s="593">
        <f t="shared" si="56"/>
        <v>-78.57572272711981</v>
      </c>
      <c r="AJ115" s="150">
        <f t="shared" si="57"/>
        <v>0</v>
      </c>
      <c r="AK115" s="150">
        <f t="shared" si="68"/>
        <v>0</v>
      </c>
      <c r="AM115" s="150" t="str">
        <f t="shared" si="62"/>
        <v>0.00558192262691104+0.105511550996127i</v>
      </c>
      <c r="AN115" s="150" t="str">
        <f t="shared" si="63"/>
        <v>0.1057083094872i</v>
      </c>
      <c r="AO115" s="150" t="str">
        <f t="shared" si="64"/>
        <v>0.998138665805673-0.0528049559584239i</v>
      </c>
      <c r="AP115" s="150" t="str">
        <f t="shared" si="65"/>
        <v>0.165736346228848-0.0175852584993545i</v>
      </c>
      <c r="AQ115" s="150" t="str">
        <f t="shared" si="66"/>
        <v>0.834263653771152+0.0175852584993545i</v>
      </c>
      <c r="AR115" s="150" t="str">
        <f t="shared" si="67"/>
        <v>0.998041861595646-0.021037503012388i</v>
      </c>
    </row>
    <row r="116" spans="7:44" x14ac:dyDescent="0.25">
      <c r="G116" s="594">
        <v>5957</v>
      </c>
      <c r="H116" s="582">
        <f t="shared" si="59"/>
        <v>5.9569999999999999</v>
      </c>
      <c r="I116" s="583">
        <f t="shared" si="36"/>
        <v>5.8972849983241229</v>
      </c>
      <c r="J116" s="584">
        <f t="shared" si="37"/>
        <v>1.4004034430758991</v>
      </c>
      <c r="K116" s="584">
        <f t="shared" si="38"/>
        <v>1.0000051806078323</v>
      </c>
      <c r="L116" s="585">
        <f t="shared" si="39"/>
        <v>3.2188772784019592E-3</v>
      </c>
      <c r="M116" s="584">
        <f t="shared" si="40"/>
        <v>1.0012836615258711</v>
      </c>
      <c r="N116" s="585">
        <f t="shared" si="41"/>
        <v>-5.0641679920281908E-2</v>
      </c>
      <c r="O116" s="583">
        <f t="shared" si="42"/>
        <v>10779.533278028997</v>
      </c>
      <c r="P116" s="586">
        <f t="shared" si="43"/>
        <v>1.5707035583998612</v>
      </c>
      <c r="Q116" s="595">
        <f t="shared" si="44"/>
        <v>4.601447852837679</v>
      </c>
      <c r="R116" s="596">
        <f t="shared" si="45"/>
        <v>1.3517253457272722</v>
      </c>
      <c r="S116" s="583">
        <f t="shared" si="46"/>
        <v>1.0004481956123994</v>
      </c>
      <c r="T116" s="586">
        <f t="shared" si="47"/>
        <v>2.9934203746740239E-2</v>
      </c>
      <c r="U116" s="587">
        <f t="shared" si="60"/>
        <v>0.9977567380677298</v>
      </c>
      <c r="V116" s="588">
        <f t="shared" si="61"/>
        <v>-7.4789534516052511E-2</v>
      </c>
      <c r="W116" s="589">
        <f t="shared" si="48"/>
        <v>14.04479455841286</v>
      </c>
      <c r="X116" s="590">
        <f t="shared" si="49"/>
        <v>-101.50108907262975</v>
      </c>
      <c r="Y116" s="593">
        <f t="shared" si="50"/>
        <v>78.498910927370247</v>
      </c>
      <c r="AA116" s="150">
        <f t="shared" si="51"/>
        <v>1000000000</v>
      </c>
      <c r="AB116" s="150">
        <f t="shared" si="52"/>
        <v>35485849</v>
      </c>
      <c r="AD116" s="592">
        <f t="shared" si="53"/>
        <v>27.810448503808711</v>
      </c>
      <c r="AE116" s="593">
        <f t="shared" si="54"/>
        <v>-14.26163094552671</v>
      </c>
      <c r="AG116" s="592">
        <f t="shared" si="55"/>
        <v>11.66130223646932</v>
      </c>
      <c r="AH116" s="593">
        <f t="shared" si="56"/>
        <v>-78.669208758274479</v>
      </c>
      <c r="AJ116" s="150">
        <f t="shared" si="57"/>
        <v>0</v>
      </c>
      <c r="AK116" s="150">
        <f t="shared" si="68"/>
        <v>0</v>
      </c>
      <c r="AM116" s="150" t="str">
        <f t="shared" si="62"/>
        <v>0.00571261459337002+0.106736100834007i</v>
      </c>
      <c r="AN116" s="150" t="str">
        <f t="shared" si="63"/>
        <v>0.106939813806i</v>
      </c>
      <c r="AO116" s="150" t="str">
        <f t="shared" si="64"/>
        <v>0.998095068948198-0.0534189689513889i</v>
      </c>
      <c r="AP116" s="150" t="str">
        <f t="shared" si="65"/>
        <v>0.165714564234438-0.0177893501390012i</v>
      </c>
      <c r="AQ116" s="150" t="str">
        <f t="shared" si="66"/>
        <v>0.834285435765562+0.0177893501390012i</v>
      </c>
      <c r="AR116" s="150" t="str">
        <f t="shared" si="67"/>
        <v>0.998005479988269-0.0212803294448762i</v>
      </c>
    </row>
    <row r="117" spans="7:44" x14ac:dyDescent="0.25">
      <c r="G117" s="594">
        <v>6025.6</v>
      </c>
      <c r="H117" s="582">
        <f t="shared" si="59"/>
        <v>6.0256000000000007</v>
      </c>
      <c r="I117" s="583">
        <f t="shared" si="36"/>
        <v>5.9632553882508015</v>
      </c>
      <c r="J117" s="584">
        <f t="shared" si="37"/>
        <v>1.4023066150212464</v>
      </c>
      <c r="K117" s="584">
        <f t="shared" si="38"/>
        <v>1.0000053006128884</v>
      </c>
      <c r="L117" s="585">
        <f t="shared" si="39"/>
        <v>3.2559451698885582E-3</v>
      </c>
      <c r="M117" s="584">
        <f t="shared" si="40"/>
        <v>1.0013133771996781</v>
      </c>
      <c r="N117" s="585">
        <f t="shared" si="41"/>
        <v>-5.1223848791084173E-2</v>
      </c>
      <c r="O117" s="583">
        <f t="shared" si="42"/>
        <v>10903.668912835965</v>
      </c>
      <c r="P117" s="586">
        <f t="shared" si="43"/>
        <v>1.5707046145456165</v>
      </c>
      <c r="Q117" s="595">
        <f t="shared" si="44"/>
        <v>4.651948418717387</v>
      </c>
      <c r="R117" s="596">
        <f t="shared" si="45"/>
        <v>1.3541416757890206</v>
      </c>
      <c r="S117" s="583">
        <f t="shared" si="46"/>
        <v>1.0004585753896484</v>
      </c>
      <c r="T117" s="586">
        <f t="shared" si="47"/>
        <v>3.0278712501469032E-2</v>
      </c>
      <c r="U117" s="587">
        <f t="shared" si="60"/>
        <v>0.99771415444781764</v>
      </c>
      <c r="V117" s="588">
        <f t="shared" si="61"/>
        <v>-7.5649203057377545E-2</v>
      </c>
      <c r="W117" s="589">
        <f t="shared" si="48"/>
        <v>13.943320439027662</v>
      </c>
      <c r="X117" s="590">
        <f t="shared" si="49"/>
        <v>-101.57197405348498</v>
      </c>
      <c r="Y117" s="593">
        <f t="shared" si="50"/>
        <v>78.428025946515021</v>
      </c>
      <c r="AA117" s="150">
        <f t="shared" si="51"/>
        <v>1000000000</v>
      </c>
      <c r="AB117" s="150">
        <f t="shared" si="52"/>
        <v>36307855.360000007</v>
      </c>
      <c r="AD117" s="592">
        <f t="shared" si="53"/>
        <v>27.805712142185783</v>
      </c>
      <c r="AE117" s="593">
        <f t="shared" si="54"/>
        <v>-14.142984841287962</v>
      </c>
      <c r="AG117" s="592">
        <f t="shared" si="55"/>
        <v>11.565305910966259</v>
      </c>
      <c r="AH117" s="593">
        <f t="shared" si="56"/>
        <v>-78.760229084859731</v>
      </c>
      <c r="AJ117" s="150">
        <f t="shared" si="57"/>
        <v>0</v>
      </c>
      <c r="AK117" s="150">
        <f t="shared" si="68"/>
        <v>0</v>
      </c>
      <c r="AM117" s="150" t="str">
        <f t="shared" si="62"/>
        <v>0.00584481449875796+0.107960488795629i</v>
      </c>
      <c r="AN117" s="150" t="str">
        <f t="shared" si="63"/>
        <v>0.1081713181248i</v>
      </c>
      <c r="AO117" s="150" t="str">
        <f t="shared" si="64"/>
        <v>0.998050968289692-0.0540329414495499i</v>
      </c>
      <c r="AP117" s="150" t="str">
        <f t="shared" si="65"/>
        <v>0.165692530916874-0.0179934147992715i</v>
      </c>
      <c r="AQ117" s="150" t="str">
        <f t="shared" si="66"/>
        <v>0.834307469083126+0.0179934147992715i</v>
      </c>
      <c r="AR117" s="150" t="str">
        <f t="shared" si="67"/>
        <v>0.99796868323663-0.0215230776896837i</v>
      </c>
    </row>
    <row r="118" spans="7:44" x14ac:dyDescent="0.25">
      <c r="G118" s="594">
        <v>6095.8</v>
      </c>
      <c r="H118" s="582">
        <f t="shared" si="59"/>
        <v>6.0958000000000006</v>
      </c>
      <c r="I118" s="583">
        <f t="shared" si="36"/>
        <v>6.0307863120283276</v>
      </c>
      <c r="J118" s="584">
        <f t="shared" si="37"/>
        <v>1.4042110633762381</v>
      </c>
      <c r="K118" s="584">
        <f t="shared" si="38"/>
        <v>1.0000054248393766</v>
      </c>
      <c r="L118" s="585">
        <f t="shared" si="39"/>
        <v>3.2938776093471554E-3</v>
      </c>
      <c r="M118" s="584">
        <f t="shared" si="40"/>
        <v>1.0013441372601419</v>
      </c>
      <c r="N118" s="585">
        <f t="shared" si="41"/>
        <v>-5.1819559966286427E-2</v>
      </c>
      <c r="O118" s="583">
        <f t="shared" si="42"/>
        <v>11030.699839429162</v>
      </c>
      <c r="P118" s="586">
        <f t="shared" si="43"/>
        <v>1.5707056707154161</v>
      </c>
      <c r="Q118" s="595">
        <f t="shared" si="44"/>
        <v>4.70365434816493</v>
      </c>
      <c r="R118" s="596">
        <f t="shared" si="45"/>
        <v>1.3565606339638869</v>
      </c>
      <c r="S118" s="583">
        <f t="shared" si="46"/>
        <v>1.0004693201854375</v>
      </c>
      <c r="T118" s="586">
        <f t="shared" si="47"/>
        <v>3.0631249002294518E-2</v>
      </c>
      <c r="U118" s="587">
        <f t="shared" si="60"/>
        <v>0.99767007828978271</v>
      </c>
      <c r="V118" s="588">
        <f t="shared" si="61"/>
        <v>-7.652886553623596E-2</v>
      </c>
      <c r="W118" s="589">
        <f t="shared" si="48"/>
        <v>13.840702666576652</v>
      </c>
      <c r="X118" s="590">
        <f t="shared" si="49"/>
        <v>-101.64511349496016</v>
      </c>
      <c r="Y118" s="593">
        <f t="shared" si="50"/>
        <v>78.354886505039843</v>
      </c>
      <c r="AA118" s="150">
        <f t="shared" si="51"/>
        <v>1000000000</v>
      </c>
      <c r="AB118" s="150">
        <f t="shared" si="52"/>
        <v>37158777.640000001</v>
      </c>
      <c r="AD118" s="592">
        <f t="shared" si="53"/>
        <v>27.801020816679216</v>
      </c>
      <c r="AE118" s="593">
        <f t="shared" si="54"/>
        <v>-14.024648114607807</v>
      </c>
      <c r="AG118" s="592">
        <f t="shared" si="55"/>
        <v>11.468146916501674</v>
      </c>
      <c r="AH118" s="593">
        <f t="shared" si="56"/>
        <v>-78.850903358030664</v>
      </c>
      <c r="AJ118" s="150">
        <f t="shared" si="57"/>
        <v>0</v>
      </c>
      <c r="AK118" s="150">
        <f t="shared" si="68"/>
        <v>0</v>
      </c>
      <c r="AM118" s="150" t="str">
        <f t="shared" si="62"/>
        <v>0.00598165867963496+0.109213264389954i</v>
      </c>
      <c r="AN118" s="150" t="str">
        <f t="shared" si="63"/>
        <v>0.1094315455764i</v>
      </c>
      <c r="AO118" s="150" t="str">
        <f t="shared" si="64"/>
        <v>0.998005317522509-0.0546611915981653i</v>
      </c>
      <c r="AP118" s="150" t="str">
        <f t="shared" si="65"/>
        <v>0.165669723553394-0.018202210731659i</v>
      </c>
      <c r="AQ118" s="150" t="str">
        <f t="shared" si="66"/>
        <v>0.834330276446606+0.018202210731659i</v>
      </c>
      <c r="AR118" s="150" t="str">
        <f t="shared" si="67"/>
        <v>0.997930598694103-0.0217714058398589i</v>
      </c>
    </row>
    <row r="119" spans="7:44" x14ac:dyDescent="0.25">
      <c r="G119" s="594">
        <v>6166</v>
      </c>
      <c r="H119" s="582">
        <f t="shared" si="59"/>
        <v>6.1660000000000004</v>
      </c>
      <c r="I119" s="583">
        <f t="shared" si="36"/>
        <v>6.0983386245282576</v>
      </c>
      <c r="J119" s="584">
        <f t="shared" si="37"/>
        <v>1.406073326578237</v>
      </c>
      <c r="K119" s="584">
        <f t="shared" si="38"/>
        <v>1.0000055505047423</v>
      </c>
      <c r="L119" s="585">
        <f t="shared" si="39"/>
        <v>3.3318100393267976E-3</v>
      </c>
      <c r="M119" s="584">
        <f t="shared" si="40"/>
        <v>1.0013752526475022</v>
      </c>
      <c r="N119" s="585">
        <f t="shared" si="41"/>
        <v>-5.2415234332210653E-2</v>
      </c>
      <c r="O119" s="583">
        <f t="shared" si="42"/>
        <v>11157.730766034379</v>
      </c>
      <c r="P119" s="586">
        <f t="shared" si="43"/>
        <v>1.5707067028361985</v>
      </c>
      <c r="Q119" s="595">
        <f t="shared" si="44"/>
        <v>4.7553872017711791</v>
      </c>
      <c r="R119" s="596">
        <f t="shared" si="45"/>
        <v>1.3589269750643755</v>
      </c>
      <c r="S119" s="583">
        <f t="shared" si="46"/>
        <v>1.0004801893188595</v>
      </c>
      <c r="T119" s="586">
        <f t="shared" si="47"/>
        <v>3.0983777887077853E-2</v>
      </c>
      <c r="U119" s="587">
        <f t="shared" si="60"/>
        <v>0.99762549723110705</v>
      </c>
      <c r="V119" s="588">
        <f t="shared" si="61"/>
        <v>-7.7408470069283516E-2</v>
      </c>
      <c r="W119" s="589">
        <f t="shared" si="48"/>
        <v>13.739292726327587</v>
      </c>
      <c r="X119" s="590">
        <f t="shared" si="49"/>
        <v>-101.71884339870572</v>
      </c>
      <c r="Y119" s="593">
        <f t="shared" si="50"/>
        <v>78.281156601294285</v>
      </c>
      <c r="AA119" s="150">
        <f t="shared" si="51"/>
        <v>1000000000</v>
      </c>
      <c r="AB119" s="150">
        <f t="shared" si="52"/>
        <v>38019556</v>
      </c>
      <c r="AD119" s="592">
        <f t="shared" si="53"/>
        <v>27.796479935543076</v>
      </c>
      <c r="AE119" s="593">
        <f t="shared" si="54"/>
        <v>-13.909324309949014</v>
      </c>
      <c r="AG119" s="592">
        <f t="shared" si="55"/>
        <v>11.372054135671375</v>
      </c>
      <c r="AH119" s="593">
        <f t="shared" si="56"/>
        <v>-78.939161811551458</v>
      </c>
      <c r="AJ119" s="150">
        <f t="shared" si="57"/>
        <v>0</v>
      </c>
      <c r="AK119" s="150">
        <f t="shared" si="68"/>
        <v>0</v>
      </c>
      <c r="AM119" s="150" t="str">
        <f t="shared" si="62"/>
        <v>0.00612008153362198+0.110465866534719i</v>
      </c>
      <c r="AN119" s="150" t="str">
        <f t="shared" si="63"/>
        <v>0.110691773028i</v>
      </c>
      <c r="AO119" s="150" t="str">
        <f t="shared" si="64"/>
        <v>0.997959139264814-0.0552893983555027i</v>
      </c>
      <c r="AP119" s="150" t="str">
        <f t="shared" si="65"/>
        <v>0.16564665307773-0.0184109777557865i</v>
      </c>
      <c r="AQ119" s="150" t="str">
        <f t="shared" si="66"/>
        <v>0.83435334692227+0.0184109777557865i</v>
      </c>
      <c r="AR119" s="150" t="str">
        <f t="shared" si="67"/>
        <v>0.997892079872725-0.0220196502512788i</v>
      </c>
    </row>
    <row r="120" spans="7:44" x14ac:dyDescent="0.25">
      <c r="G120" s="594">
        <v>6237.8</v>
      </c>
      <c r="H120" s="582">
        <f t="shared" si="59"/>
        <v>6.2378</v>
      </c>
      <c r="I120" s="583">
        <f t="shared" si="36"/>
        <v>6.1674519838412447</v>
      </c>
      <c r="J120" s="584">
        <f t="shared" si="37"/>
        <v>1.4079358277617151</v>
      </c>
      <c r="K120" s="584">
        <f t="shared" si="38"/>
        <v>1.0000056805227189</v>
      </c>
      <c r="L120" s="585">
        <f t="shared" si="39"/>
        <v>3.3706070161958349E-3</v>
      </c>
      <c r="M120" s="584">
        <f t="shared" si="40"/>
        <v>1.0014074447500707</v>
      </c>
      <c r="N120" s="585">
        <f t="shared" si="41"/>
        <v>-5.3024446807574045E-2</v>
      </c>
      <c r="O120" s="583">
        <f t="shared" si="42"/>
        <v>11287.656984426092</v>
      </c>
      <c r="P120" s="586">
        <f t="shared" si="43"/>
        <v>1.5707077344499407</v>
      </c>
      <c r="Q120" s="595">
        <f t="shared" si="44"/>
        <v>4.8083260975910171</v>
      </c>
      <c r="R120" s="596">
        <f t="shared" si="45"/>
        <v>1.3612945632583979</v>
      </c>
      <c r="S120" s="583">
        <f t="shared" si="46"/>
        <v>1.0004914347983811</v>
      </c>
      <c r="T120" s="586">
        <f t="shared" si="47"/>
        <v>3.1344333648771261E-2</v>
      </c>
      <c r="U120" s="587">
        <f t="shared" si="60"/>
        <v>0.99757937798787355</v>
      </c>
      <c r="V120" s="588">
        <f t="shared" si="61"/>
        <v>-7.8308061942371443E-2</v>
      </c>
      <c r="W120" s="589">
        <f t="shared" si="48"/>
        <v>13.6367911498963</v>
      </c>
      <c r="X120" s="590">
        <f t="shared" si="49"/>
        <v>-101.79484669358395</v>
      </c>
      <c r="Y120" s="593">
        <f t="shared" si="50"/>
        <v>78.205153306416051</v>
      </c>
      <c r="AA120" s="150">
        <f t="shared" si="51"/>
        <v>1000000000</v>
      </c>
      <c r="AB120" s="150">
        <f t="shared" si="52"/>
        <v>38910148.840000004</v>
      </c>
      <c r="AD120" s="592">
        <f t="shared" si="53"/>
        <v>27.791984372576756</v>
      </c>
      <c r="AE120" s="593">
        <f t="shared" si="54"/>
        <v>-13.794388929212873</v>
      </c>
      <c r="AG120" s="592">
        <f t="shared" si="55"/>
        <v>11.274851220999849</v>
      </c>
      <c r="AH120" s="593">
        <f t="shared" si="56"/>
        <v>-79.027014851823608</v>
      </c>
      <c r="AJ120" s="150">
        <f t="shared" si="57"/>
        <v>0</v>
      </c>
      <c r="AK120" s="150">
        <f t="shared" si="68"/>
        <v>0</v>
      </c>
      <c r="AM120" s="150" t="str">
        <f t="shared" si="62"/>
        <v>0.00626329215017996+0.111746836518095i</v>
      </c>
      <c r="AN120" s="150" t="str">
        <f t="shared" si="63"/>
        <v>0.1119807236124i</v>
      </c>
      <c r="AO120" s="150" t="str">
        <f t="shared" si="64"/>
        <v>0.997911362895684-0.0559318778101413i</v>
      </c>
      <c r="AP120" s="150" t="str">
        <f t="shared" si="65"/>
        <v>0.165622784641637-0.0186244727530158i</v>
      </c>
      <c r="AQ120" s="150" t="str">
        <f t="shared" si="66"/>
        <v>0.834377215358363+0.0186244727530158i</v>
      </c>
      <c r="AR120" s="150" t="str">
        <f t="shared" si="67"/>
        <v>0.997852234135416-0.0222734650516661i</v>
      </c>
    </row>
    <row r="121" spans="7:44" x14ac:dyDescent="0.25">
      <c r="G121" s="594">
        <v>6309.6</v>
      </c>
      <c r="H121" s="582">
        <f t="shared" si="59"/>
        <v>6.3096000000000005</v>
      </c>
      <c r="I121" s="583">
        <f t="shared" si="36"/>
        <v>6.2365862632706373</v>
      </c>
      <c r="J121" s="584">
        <f t="shared" si="37"/>
        <v>1.4097570424676544</v>
      </c>
      <c r="K121" s="584">
        <f t="shared" si="38"/>
        <v>1.000005812045909</v>
      </c>
      <c r="L121" s="585">
        <f t="shared" si="39"/>
        <v>3.4094039829179242E-3</v>
      </c>
      <c r="M121" s="584">
        <f t="shared" si="40"/>
        <v>1.0014400084908632</v>
      </c>
      <c r="N121" s="585">
        <f t="shared" si="41"/>
        <v>-5.3633619889591685E-2</v>
      </c>
      <c r="O121" s="583">
        <f t="shared" si="42"/>
        <v>11417.583202829546</v>
      </c>
      <c r="P121" s="586">
        <f t="shared" si="43"/>
        <v>1.5707087425852164</v>
      </c>
      <c r="Q121" s="595">
        <f t="shared" si="44"/>
        <v>4.8612913592412079</v>
      </c>
      <c r="R121" s="596">
        <f t="shared" si="45"/>
        <v>1.3636105729997627</v>
      </c>
      <c r="S121" s="583">
        <f t="shared" si="46"/>
        <v>1.0005028103393132</v>
      </c>
      <c r="T121" s="586">
        <f t="shared" si="47"/>
        <v>3.1704881258424002E-2</v>
      </c>
      <c r="U121" s="587">
        <f t="shared" si="60"/>
        <v>0.9975327309772738</v>
      </c>
      <c r="V121" s="588">
        <f t="shared" si="61"/>
        <v>-7.9207591808645381E-2</v>
      </c>
      <c r="W121" s="589">
        <f t="shared" si="48"/>
        <v>13.535493794205104</v>
      </c>
      <c r="X121" s="590">
        <f t="shared" si="49"/>
        <v>-101.87143205368562</v>
      </c>
      <c r="Y121" s="593">
        <f t="shared" si="50"/>
        <v>78.128567946314377</v>
      </c>
      <c r="AA121" s="150">
        <f t="shared" si="51"/>
        <v>1000000000</v>
      </c>
      <c r="AB121" s="150">
        <f t="shared" si="52"/>
        <v>39811052.160000004</v>
      </c>
      <c r="AD121" s="592">
        <f t="shared" si="53"/>
        <v>27.787632730715714</v>
      </c>
      <c r="AE121" s="593">
        <f t="shared" si="54"/>
        <v>-13.68240696383663</v>
      </c>
      <c r="AG121" s="592">
        <f t="shared" si="55"/>
        <v>11.178717834024443</v>
      </c>
      <c r="AH121" s="593">
        <f t="shared" si="56"/>
        <v>-79.112503647416816</v>
      </c>
      <c r="AJ121" s="150">
        <f t="shared" si="57"/>
        <v>0</v>
      </c>
      <c r="AK121" s="150">
        <f t="shared" si="68"/>
        <v>0</v>
      </c>
      <c r="AM121" s="150" t="str">
        <f t="shared" si="62"/>
        <v>0.00640815375432502+0.113027620846017i</v>
      </c>
      <c r="AN121" s="150" t="str">
        <f t="shared" si="63"/>
        <v>0.1132696741968i</v>
      </c>
      <c r="AO121" s="150" t="str">
        <f t="shared" si="64"/>
        <v>0.997863034810514-0.0565743108185444i</v>
      </c>
      <c r="AP121" s="150" t="str">
        <f t="shared" si="65"/>
        <v>0.165598641040946-0.0188379368076695i</v>
      </c>
      <c r="AQ121" s="150" t="str">
        <f t="shared" si="66"/>
        <v>0.834401358959054+0.0188379368076695i</v>
      </c>
      <c r="AR121" s="150" t="str">
        <f t="shared" si="67"/>
        <v>0.997811934597062-0.0225271902640805i</v>
      </c>
    </row>
    <row r="122" spans="7:44" x14ac:dyDescent="0.25">
      <c r="G122" s="594">
        <v>6383.05</v>
      </c>
      <c r="H122" s="582">
        <f t="shared" si="59"/>
        <v>6.3830499999999999</v>
      </c>
      <c r="I122" s="583">
        <f t="shared" si="36"/>
        <v>6.3073302126164803</v>
      </c>
      <c r="J122" s="584">
        <f t="shared" si="37"/>
        <v>1.411578792194085</v>
      </c>
      <c r="K122" s="584">
        <f t="shared" si="38"/>
        <v>1.0000059481490644</v>
      </c>
      <c r="L122" s="585">
        <f t="shared" si="39"/>
        <v>3.4490925127666325E-3</v>
      </c>
      <c r="M122" s="584">
        <f t="shared" si="40"/>
        <v>1.0014737050719495</v>
      </c>
      <c r="N122" s="585">
        <f t="shared" si="41"/>
        <v>-5.4256750845427928E-2</v>
      </c>
      <c r="O122" s="583">
        <f t="shared" si="42"/>
        <v>11550.495190887708</v>
      </c>
      <c r="P122" s="586">
        <f t="shared" si="43"/>
        <v>1.5707097504200553</v>
      </c>
      <c r="Q122" s="595">
        <f t="shared" si="44"/>
        <v>4.9155001821533908</v>
      </c>
      <c r="R122" s="596">
        <f t="shared" si="45"/>
        <v>1.3659281487349177</v>
      </c>
      <c r="S122" s="583">
        <f t="shared" si="46"/>
        <v>1.0005145818703216</v>
      </c>
      <c r="T122" s="586">
        <f t="shared" si="47"/>
        <v>3.2073705900276521E-2</v>
      </c>
      <c r="U122" s="587">
        <f t="shared" si="60"/>
        <v>0.99748446611602215</v>
      </c>
      <c r="V122" s="588">
        <f t="shared" si="61"/>
        <v>-8.012772842971444E-2</v>
      </c>
      <c r="W122" s="589">
        <f t="shared" si="48"/>
        <v>13.433085014168899</v>
      </c>
      <c r="X122" s="590">
        <f t="shared" si="49"/>
        <v>-101.95036188970502</v>
      </c>
      <c r="Y122" s="593">
        <f t="shared" si="50"/>
        <v>78.049638110294978</v>
      </c>
      <c r="AA122" s="150">
        <f t="shared" si="51"/>
        <v>1000000000</v>
      </c>
      <c r="AB122" s="150">
        <f t="shared" si="52"/>
        <v>40743327.302500002</v>
      </c>
      <c r="AD122" s="592">
        <f t="shared" si="53"/>
        <v>27.783323474810157</v>
      </c>
      <c r="AE122" s="593">
        <f t="shared" si="54"/>
        <v>-13.570809495424088</v>
      </c>
      <c r="AG122" s="592">
        <f t="shared" si="55"/>
        <v>11.081458850534585</v>
      </c>
      <c r="AH122" s="593">
        <f t="shared" si="56"/>
        <v>-79.19759106180291</v>
      </c>
      <c r="AJ122" s="150">
        <f t="shared" si="57"/>
        <v>0</v>
      </c>
      <c r="AK122" s="150">
        <f t="shared" si="68"/>
        <v>0</v>
      </c>
      <c r="AM122" s="150" t="str">
        <f t="shared" si="62"/>
        <v>0.00655805243412699+0.114337643917148i</v>
      </c>
      <c r="AN122" s="150" t="str">
        <f t="shared" si="63"/>
        <v>0.1145882455119i</v>
      </c>
      <c r="AO122" s="150" t="str">
        <f t="shared" si="64"/>
        <v>0.997813025292145-0.0572314586442109i</v>
      </c>
      <c r="AP122" s="150" t="str">
        <f t="shared" si="65"/>
        <v>0.165573657927646-0.0190562739861913i</v>
      </c>
      <c r="AQ122" s="150" t="str">
        <f t="shared" si="66"/>
        <v>0.834426342072354+0.0190562739861913i</v>
      </c>
      <c r="AR122" s="150" t="str">
        <f t="shared" si="67"/>
        <v>0.997770239659161-0.0227866524623261i</v>
      </c>
    </row>
    <row r="123" spans="7:44" x14ac:dyDescent="0.25">
      <c r="G123" s="594">
        <v>6456.5</v>
      </c>
      <c r="H123" s="582">
        <f t="shared" si="59"/>
        <v>6.4565000000000001</v>
      </c>
      <c r="I123" s="583">
        <f t="shared" si="36"/>
        <v>6.3780946301573582</v>
      </c>
      <c r="J123" s="584">
        <f t="shared" si="37"/>
        <v>1.4133601234069346</v>
      </c>
      <c r="K123" s="584">
        <f t="shared" si="38"/>
        <v>1.000006085827408</v>
      </c>
      <c r="L123" s="585">
        <f t="shared" si="39"/>
        <v>3.4887810317494215E-3</v>
      </c>
      <c r="M123" s="584">
        <f t="shared" si="40"/>
        <v>1.0015077904911964</v>
      </c>
      <c r="N123" s="585">
        <f t="shared" si="41"/>
        <v>-5.4879839627784817E-2</v>
      </c>
      <c r="O123" s="583">
        <f t="shared" si="42"/>
        <v>11683.407178957335</v>
      </c>
      <c r="P123" s="586">
        <f t="shared" si="43"/>
        <v>1.570710735324369</v>
      </c>
      <c r="Q123" s="595">
        <f t="shared" si="44"/>
        <v>4.9697348309352565</v>
      </c>
      <c r="R123" s="596">
        <f t="shared" si="45"/>
        <v>1.3681951530809475</v>
      </c>
      <c r="S123" s="583">
        <f t="shared" si="46"/>
        <v>1.0005264894997326</v>
      </c>
      <c r="T123" s="586">
        <f t="shared" si="47"/>
        <v>3.2442521813266442E-2</v>
      </c>
      <c r="U123" s="587">
        <f t="shared" si="60"/>
        <v>0.99743564940179119</v>
      </c>
      <c r="V123" s="588">
        <f t="shared" si="61"/>
        <v>-8.1047798675609933E-2</v>
      </c>
      <c r="W123" s="589">
        <f t="shared" si="48"/>
        <v>13.331877388547575</v>
      </c>
      <c r="X123" s="590">
        <f t="shared" si="49"/>
        <v>-102.02986540993729</v>
      </c>
      <c r="Y123" s="593">
        <f t="shared" si="50"/>
        <v>77.970134590062713</v>
      </c>
      <c r="AA123" s="150">
        <f t="shared" si="51"/>
        <v>1000000000</v>
      </c>
      <c r="AB123" s="150">
        <f t="shared" si="52"/>
        <v>41686392.25</v>
      </c>
      <c r="AD123" s="592">
        <f t="shared" si="53"/>
        <v>27.779151926594565</v>
      </c>
      <c r="AE123" s="593">
        <f t="shared" si="54"/>
        <v>-13.462107740226545</v>
      </c>
      <c r="AG123" s="592">
        <f t="shared" si="55"/>
        <v>10.985272965753794</v>
      </c>
      <c r="AH123" s="593">
        <f t="shared" si="56"/>
        <v>-79.280364053221462</v>
      </c>
      <c r="AJ123" s="150">
        <f t="shared" si="57"/>
        <v>0</v>
      </c>
      <c r="AK123" s="150">
        <f t="shared" si="68"/>
        <v>0</v>
      </c>
      <c r="AM123" s="150" t="str">
        <f t="shared" si="62"/>
        <v>0.00670967834196201+0.115647468197414i</v>
      </c>
      <c r="AN123" s="150" t="str">
        <f t="shared" si="63"/>
        <v>0.115906816827i</v>
      </c>
      <c r="AO123" s="150" t="str">
        <f t="shared" si="64"/>
        <v>0.997762438511506-0.0578885567358539i</v>
      </c>
      <c r="AP123" s="150" t="str">
        <f t="shared" si="65"/>
        <v>0.165548386943006-0.0192745780329023i</v>
      </c>
      <c r="AQ123" s="150" t="str">
        <f t="shared" si="66"/>
        <v>0.834451613056994+0.0192745780329023i</v>
      </c>
      <c r="AR123" s="150" t="str">
        <f t="shared" si="67"/>
        <v>0.997728070370158-0.0230460187829407i</v>
      </c>
    </row>
    <row r="124" spans="7:44" x14ac:dyDescent="0.25">
      <c r="G124" s="594">
        <v>6531.7</v>
      </c>
      <c r="H124" s="582">
        <f t="shared" si="59"/>
        <v>6.5316999999999998</v>
      </c>
      <c r="I124" s="583">
        <f t="shared" si="36"/>
        <v>6.450565563806073</v>
      </c>
      <c r="J124" s="584">
        <f t="shared" si="37"/>
        <v>1.4151433991145463</v>
      </c>
      <c r="K124" s="584">
        <f t="shared" si="38"/>
        <v>1.0000062284179687</v>
      </c>
      <c r="L124" s="585">
        <f t="shared" si="39"/>
        <v>3.529415147352753E-3</v>
      </c>
      <c r="M124" s="584">
        <f t="shared" si="40"/>
        <v>1.0015430908240976</v>
      </c>
      <c r="N124" s="585">
        <f t="shared" si="41"/>
        <v>-5.5517729762980229E-2</v>
      </c>
      <c r="O124" s="583">
        <f t="shared" si="42"/>
        <v>11819.485892417903</v>
      </c>
      <c r="P124" s="586">
        <f t="shared" si="43"/>
        <v>1.5707117207460131</v>
      </c>
      <c r="Q124" s="595">
        <f t="shared" si="44"/>
        <v>5.0252875429246773</v>
      </c>
      <c r="R124" s="596">
        <f t="shared" si="45"/>
        <v>1.3704654632478126</v>
      </c>
      <c r="S124" s="583">
        <f t="shared" si="46"/>
        <v>1.0005388218330511</v>
      </c>
      <c r="T124" s="586">
        <f t="shared" si="47"/>
        <v>3.2820115887532801E-2</v>
      </c>
      <c r="U124" s="587">
        <f t="shared" si="60"/>
        <v>0.99738509810308162</v>
      </c>
      <c r="V124" s="588">
        <f t="shared" si="61"/>
        <v>-8.1989720718411305E-2</v>
      </c>
      <c r="W124" s="589">
        <f t="shared" si="48"/>
        <v>13.229473304365911</v>
      </c>
      <c r="X124" s="590">
        <f t="shared" si="49"/>
        <v>-102.11183980525844</v>
      </c>
      <c r="Y124" s="593">
        <f t="shared" si="50"/>
        <v>77.888160194741559</v>
      </c>
      <c r="AA124" s="150">
        <f t="shared" si="51"/>
        <v>1000000000</v>
      </c>
      <c r="AB124" s="150">
        <f t="shared" si="52"/>
        <v>42663104.890000001</v>
      </c>
      <c r="AD124" s="592">
        <f t="shared" si="53"/>
        <v>27.775017385272896</v>
      </c>
      <c r="AE124" s="593">
        <f t="shared" si="54"/>
        <v>-13.353719556681536</v>
      </c>
      <c r="AG124" s="592">
        <f t="shared" si="55"/>
        <v>10.887883868923435</v>
      </c>
      <c r="AH124" s="593">
        <f t="shared" si="56"/>
        <v>-79.362790316598563</v>
      </c>
      <c r="AJ124" s="150">
        <f t="shared" si="57"/>
        <v>0</v>
      </c>
      <c r="AK124" s="150">
        <f t="shared" si="68"/>
        <v>0</v>
      </c>
      <c r="AM124" s="150" t="str">
        <f t="shared" si="62"/>
        <v>0.00686670601969097+0.11698829166981i</v>
      </c>
      <c r="AN124" s="150" t="str">
        <f t="shared" si="63"/>
        <v>0.1172568040686i</v>
      </c>
      <c r="AO124" s="150" t="str">
        <f t="shared" si="64"/>
        <v>0.997710048462237-0.0585612585490021i</v>
      </c>
      <c r="AP124" s="150" t="str">
        <f t="shared" si="65"/>
        <v>0.165522215663385-0.019498048611635i</v>
      </c>
      <c r="AQ124" s="150" t="str">
        <f t="shared" si="66"/>
        <v>0.834477784336615+0.019498048611635i</v>
      </c>
      <c r="AR124" s="150" t="str">
        <f t="shared" si="67"/>
        <v>0.997684405222133-0.023311464244139i</v>
      </c>
    </row>
    <row r="125" spans="7:44" x14ac:dyDescent="0.25">
      <c r="G125" s="594">
        <v>6606.9</v>
      </c>
      <c r="H125" s="582">
        <f t="shared" si="59"/>
        <v>6.6068999999999996</v>
      </c>
      <c r="I125" s="583">
        <f t="shared" si="36"/>
        <v>6.5230565548784503</v>
      </c>
      <c r="J125" s="584">
        <f t="shared" si="37"/>
        <v>1.4168870450348539</v>
      </c>
      <c r="K125" s="584">
        <f t="shared" si="38"/>
        <v>1.0000063726596706</v>
      </c>
      <c r="L125" s="585">
        <f t="shared" si="39"/>
        <v>3.570049251300984E-3</v>
      </c>
      <c r="M125" s="584">
        <f t="shared" si="40"/>
        <v>1.0015787986598894</v>
      </c>
      <c r="N125" s="585">
        <f t="shared" si="41"/>
        <v>-5.6155574674158791E-2</v>
      </c>
      <c r="O125" s="583">
        <f t="shared" si="42"/>
        <v>11955.564605889689</v>
      </c>
      <c r="P125" s="586">
        <f t="shared" si="43"/>
        <v>1.5707126837354402</v>
      </c>
      <c r="Q125" s="595">
        <f t="shared" si="44"/>
        <v>5.0808655903109621</v>
      </c>
      <c r="R125" s="596">
        <f t="shared" si="45"/>
        <v>1.3726861161844792</v>
      </c>
      <c r="S125" s="583">
        <f t="shared" si="46"/>
        <v>1.0005512968169501</v>
      </c>
      <c r="T125" s="586">
        <f t="shared" si="47"/>
        <v>3.3197700599863947E-2</v>
      </c>
      <c r="U125" s="587">
        <f t="shared" si="60"/>
        <v>0.99733396883493153</v>
      </c>
      <c r="V125" s="588">
        <f t="shared" si="61"/>
        <v>-8.2931571593568523E-2</v>
      </c>
      <c r="W125" s="589">
        <f t="shared" si="48"/>
        <v>13.128269357631815</v>
      </c>
      <c r="X125" s="590">
        <f t="shared" si="49"/>
        <v>-102.19438024098348</v>
      </c>
      <c r="Y125" s="593">
        <f t="shared" si="50"/>
        <v>77.805619759016523</v>
      </c>
      <c r="AA125" s="150">
        <f t="shared" si="51"/>
        <v>1000000000</v>
      </c>
      <c r="AB125" s="150">
        <f t="shared" si="52"/>
        <v>43651127.609999992</v>
      </c>
      <c r="AD125" s="592">
        <f t="shared" si="53"/>
        <v>27.771014795507433</v>
      </c>
      <c r="AE125" s="593">
        <f t="shared" si="54"/>
        <v>-13.248174701181737</v>
      </c>
      <c r="AG125" s="592">
        <f t="shared" si="55"/>
        <v>10.791573069804048</v>
      </c>
      <c r="AH125" s="593">
        <f t="shared" si="56"/>
        <v>-79.442947447545663</v>
      </c>
      <c r="AJ125" s="150">
        <f t="shared" si="57"/>
        <v>0</v>
      </c>
      <c r="AK125" s="150">
        <f t="shared" si="68"/>
        <v>0</v>
      </c>
      <c r="AM125" s="150" t="str">
        <f t="shared" si="62"/>
        <v>0.00702554364836205+0.118328901935107i</v>
      </c>
      <c r="AN125" s="150" t="str">
        <f t="shared" si="63"/>
        <v>0.1186067913102i</v>
      </c>
      <c r="AO125" s="150" t="str">
        <f t="shared" si="64"/>
        <v>0.997657053428195-0.0592339070196047i</v>
      </c>
      <c r="AP125" s="150" t="str">
        <f t="shared" si="65"/>
        <v>0.165495742725273-0.0197214836558512i</v>
      </c>
      <c r="AQ125" s="150" t="str">
        <f t="shared" si="66"/>
        <v>0.834504257274727+0.0197214836558512i</v>
      </c>
      <c r="AR125" s="150" t="str">
        <f t="shared" si="67"/>
        <v>0.997640243449835-0.023576806929504i</v>
      </c>
    </row>
    <row r="126" spans="7:44" x14ac:dyDescent="0.25">
      <c r="G126" s="594">
        <v>6683.85</v>
      </c>
      <c r="H126" s="582">
        <f t="shared" si="59"/>
        <v>6.6838500000000005</v>
      </c>
      <c r="I126" s="583">
        <f t="shared" si="36"/>
        <v>6.5972545771071633</v>
      </c>
      <c r="J126" s="584">
        <f t="shared" si="37"/>
        <v>1.4186315958837343</v>
      </c>
      <c r="K126" s="584">
        <f t="shared" si="38"/>
        <v>1.0000065219672847</v>
      </c>
      <c r="L126" s="585">
        <f t="shared" si="39"/>
        <v>3.6116289505163371E-3</v>
      </c>
      <c r="M126" s="584">
        <f t="shared" si="40"/>
        <v>1.0016157592550372</v>
      </c>
      <c r="N126" s="585">
        <f t="shared" si="41"/>
        <v>-5.6808215699438891E-2</v>
      </c>
      <c r="O126" s="583">
        <f t="shared" si="42"/>
        <v>12094.810044752687</v>
      </c>
      <c r="P126" s="586">
        <f t="shared" si="43"/>
        <v>1.5707136467033995</v>
      </c>
      <c r="Q126" s="595">
        <f t="shared" si="44"/>
        <v>5.1377623787192004</v>
      </c>
      <c r="R126" s="596">
        <f t="shared" si="45"/>
        <v>1.3749087011647005</v>
      </c>
      <c r="S126" s="583">
        <f t="shared" si="46"/>
        <v>1.0005642097727814</v>
      </c>
      <c r="T126" s="586">
        <f t="shared" si="47"/>
        <v>3.3584062387258515E-2</v>
      </c>
      <c r="U126" s="587">
        <f t="shared" si="60"/>
        <v>0.997281051687123</v>
      </c>
      <c r="V126" s="588">
        <f t="shared" si="61"/>
        <v>-8.389526603043572E-2</v>
      </c>
      <c r="W126" s="589">
        <f t="shared" si="48"/>
        <v>13.025923158407387</v>
      </c>
      <c r="X126" s="590">
        <f t="shared" si="49"/>
        <v>-102.27940983565419</v>
      </c>
      <c r="Y126" s="593">
        <f t="shared" si="50"/>
        <v>77.720590164345808</v>
      </c>
      <c r="AA126" s="150">
        <f t="shared" si="51"/>
        <v>1000000000</v>
      </c>
      <c r="AB126" s="150">
        <f t="shared" si="52"/>
        <v>44673850.822500005</v>
      </c>
      <c r="AD126" s="592">
        <f t="shared" si="53"/>
        <v>27.767049633874379</v>
      </c>
      <c r="AE126" s="593">
        <f t="shared" si="54"/>
        <v>-13.143022035868446</v>
      </c>
      <c r="AG126" s="592">
        <f t="shared" si="55"/>
        <v>10.694113779018355</v>
      </c>
      <c r="AH126" s="593">
        <f t="shared" si="56"/>
        <v>-79.52269845945807</v>
      </c>
      <c r="AJ126" s="150">
        <f t="shared" si="57"/>
        <v>0</v>
      </c>
      <c r="AK126" s="150">
        <f t="shared" si="68"/>
        <v>0</v>
      </c>
      <c r="AM126" s="150" t="str">
        <f t="shared" si="62"/>
        <v>0.00718995095025698+0.119700486656683i</v>
      </c>
      <c r="AN126" s="150" t="str">
        <f t="shared" si="63"/>
        <v>0.1199881944783i</v>
      </c>
      <c r="AO126" s="150" t="str">
        <f t="shared" si="64"/>
        <v>0.997602198925753-0.0599221530211232i</v>
      </c>
      <c r="AP126" s="150" t="str">
        <f t="shared" si="65"/>
        <v>0.165468341508291-0.0199500811094472i</v>
      </c>
      <c r="AQ126" s="150" t="str">
        <f t="shared" si="66"/>
        <v>0.834531658491709+0.0199500811094472i</v>
      </c>
      <c r="AR126" s="150" t="str">
        <f t="shared" si="67"/>
        <v>0.997594540204066-0.0238482168877606i</v>
      </c>
    </row>
    <row r="127" spans="7:44" x14ac:dyDescent="0.25">
      <c r="G127" s="594">
        <v>6760.8</v>
      </c>
      <c r="H127" s="582">
        <f t="shared" si="59"/>
        <v>6.7608000000000006</v>
      </c>
      <c r="I127" s="583">
        <f t="shared" si="36"/>
        <v>6.6714722311529204</v>
      </c>
      <c r="J127" s="584">
        <f t="shared" si="37"/>
        <v>1.420337336865912</v>
      </c>
      <c r="K127" s="584">
        <f t="shared" si="38"/>
        <v>1.0000066730037809</v>
      </c>
      <c r="L127" s="585">
        <f t="shared" si="39"/>
        <v>3.653208637243555E-3</v>
      </c>
      <c r="M127" s="584">
        <f t="shared" si="40"/>
        <v>1.001653146447119</v>
      </c>
      <c r="N127" s="585">
        <f t="shared" si="41"/>
        <v>-5.746080828237829E-2</v>
      </c>
      <c r="O127" s="583">
        <f t="shared" si="42"/>
        <v>12234.055483626642</v>
      </c>
      <c r="P127" s="586">
        <f t="shared" si="43"/>
        <v>1.5707145877507627</v>
      </c>
      <c r="Q127" s="595">
        <f t="shared" si="44"/>
        <v>5.1946839910379223</v>
      </c>
      <c r="R127" s="596">
        <f t="shared" si="45"/>
        <v>1.3770825880005642</v>
      </c>
      <c r="S127" s="583">
        <f t="shared" si="46"/>
        <v>1.000577272084398</v>
      </c>
      <c r="T127" s="586">
        <f t="shared" si="47"/>
        <v>3.3970414144591884E-2</v>
      </c>
      <c r="U127" s="587">
        <f t="shared" si="60"/>
        <v>0.99722752989737784</v>
      </c>
      <c r="V127" s="588">
        <f t="shared" si="61"/>
        <v>-8.4858884244778776E-2</v>
      </c>
      <c r="W127" s="589">
        <f t="shared" si="48"/>
        <v>12.92477483369694</v>
      </c>
      <c r="X127" s="590">
        <f t="shared" si="49"/>
        <v>-102.36499701420895</v>
      </c>
      <c r="Y127" s="593">
        <f t="shared" si="50"/>
        <v>77.635002985791047</v>
      </c>
      <c r="AA127" s="150">
        <f t="shared" si="51"/>
        <v>1000000000</v>
      </c>
      <c r="AB127" s="150">
        <f t="shared" si="52"/>
        <v>45708416.640000001</v>
      </c>
      <c r="AD127" s="592">
        <f t="shared" si="53"/>
        <v>27.763210742116943</v>
      </c>
      <c r="AE127" s="593">
        <f t="shared" si="54"/>
        <v>-13.040657738062333</v>
      </c>
      <c r="AG127" s="592">
        <f t="shared" si="55"/>
        <v>10.597736674686761</v>
      </c>
      <c r="AH127" s="593">
        <f t="shared" si="56"/>
        <v>-79.600227422205165</v>
      </c>
      <c r="AJ127" s="150">
        <f t="shared" si="57"/>
        <v>0</v>
      </c>
      <c r="AK127" s="150">
        <f t="shared" si="68"/>
        <v>0</v>
      </c>
      <c r="AM127" s="150" t="str">
        <f t="shared" si="62"/>
        <v>0.00735625280616203+0.121071842956884i</v>
      </c>
      <c r="AN127" s="150" t="str">
        <f t="shared" si="63"/>
        <v>0.1213695976464i</v>
      </c>
      <c r="AO127" s="150" t="str">
        <f t="shared" si="64"/>
        <v>0.997546711076826-0.0606103418715603i</v>
      </c>
      <c r="AP127" s="150" t="str">
        <f t="shared" si="65"/>
        <v>0.165440624532306-0.020178640492814i</v>
      </c>
      <c r="AQ127" s="150" t="str">
        <f t="shared" si="66"/>
        <v>0.834559375467694+0.020178640492814i</v>
      </c>
      <c r="AR127" s="150" t="str">
        <f t="shared" si="67"/>
        <v>0.997548317607879-0.0241195167976398i</v>
      </c>
    </row>
    <row r="128" spans="7:44" x14ac:dyDescent="0.25">
      <c r="G128" s="594">
        <v>6839.55</v>
      </c>
      <c r="H128" s="582">
        <f t="shared" si="59"/>
        <v>6.83955</v>
      </c>
      <c r="I128" s="583">
        <f t="shared" si="36"/>
        <v>6.7474456207460021</v>
      </c>
      <c r="J128" s="584">
        <f t="shared" si="37"/>
        <v>1.4220441220821554</v>
      </c>
      <c r="K128" s="584">
        <f t="shared" si="38"/>
        <v>1.0000068293633115</v>
      </c>
      <c r="L128" s="585">
        <f t="shared" si="39"/>
        <v>3.6957609351419606E-3</v>
      </c>
      <c r="M128" s="584">
        <f t="shared" si="40"/>
        <v>1.0016918498255163</v>
      </c>
      <c r="N128" s="585">
        <f t="shared" si="41"/>
        <v>-5.8128615459272767E-2</v>
      </c>
      <c r="O128" s="583">
        <f t="shared" si="42"/>
        <v>12376.558125760075</v>
      </c>
      <c r="P128" s="586">
        <f t="shared" si="43"/>
        <v>1.5707155288871968</v>
      </c>
      <c r="Q128" s="595">
        <f t="shared" si="44"/>
        <v>5.2529619627406028</v>
      </c>
      <c r="R128" s="596">
        <f t="shared" si="45"/>
        <v>1.3792585365882888</v>
      </c>
      <c r="S128" s="583">
        <f t="shared" si="46"/>
        <v>1.0005907945782608</v>
      </c>
      <c r="T128" s="586">
        <f t="shared" si="47"/>
        <v>3.4365792865258801E-2</v>
      </c>
      <c r="U128" s="587">
        <f t="shared" si="60"/>
        <v>0.99717213040316532</v>
      </c>
      <c r="V128" s="588">
        <f t="shared" si="61"/>
        <v>-8.5844963419840686E-2</v>
      </c>
      <c r="W128" s="589">
        <f t="shared" si="48"/>
        <v>12.82247131889287</v>
      </c>
      <c r="X128" s="590">
        <f t="shared" si="49"/>
        <v>-102.45314602905404</v>
      </c>
      <c r="Y128" s="593">
        <f t="shared" si="50"/>
        <v>77.546853970945961</v>
      </c>
      <c r="AA128" s="150">
        <f t="shared" si="51"/>
        <v>1000000000</v>
      </c>
      <c r="AB128" s="150">
        <f t="shared" si="52"/>
        <v>46779444.202500001</v>
      </c>
      <c r="AD128" s="592">
        <f t="shared" si="53"/>
        <v>27.759407011779484</v>
      </c>
      <c r="AE128" s="593">
        <f t="shared" si="54"/>
        <v>-12.938692522580867</v>
      </c>
      <c r="AG128" s="592">
        <f t="shared" si="55"/>
        <v>10.500201980422357</v>
      </c>
      <c r="AH128" s="593">
        <f t="shared" si="56"/>
        <v>-79.677345302409009</v>
      </c>
      <c r="AJ128" s="150">
        <f t="shared" si="57"/>
        <v>0</v>
      </c>
      <c r="AK128" s="150">
        <f t="shared" si="68"/>
        <v>0</v>
      </c>
      <c r="AM128" s="150" t="str">
        <f t="shared" si="62"/>
        <v>0.00752840598072202+0.122475038537791i</v>
      </c>
      <c r="AN128" s="150" t="str">
        <f t="shared" si="63"/>
        <v>0.1227833143389i</v>
      </c>
      <c r="AO128" s="150" t="str">
        <f t="shared" si="64"/>
        <v>0.997489269590344-0.0613145688504752i</v>
      </c>
      <c r="AP128" s="150" t="str">
        <f t="shared" si="65"/>
        <v>0.165411932336546-0.0204125064229652i</v>
      </c>
      <c r="AQ128" s="150" t="str">
        <f t="shared" si="66"/>
        <v>0.834588067663454+0.0204125064229652i</v>
      </c>
      <c r="AR128" s="150" t="str">
        <f t="shared" si="67"/>
        <v>0.997500476418493-0.0243970476822274i</v>
      </c>
    </row>
    <row r="129" spans="7:44" x14ac:dyDescent="0.25">
      <c r="G129" s="594">
        <v>6918.3</v>
      </c>
      <c r="H129" s="582">
        <f t="shared" si="59"/>
        <v>6.9183000000000003</v>
      </c>
      <c r="I129" s="583">
        <f t="shared" si="36"/>
        <v>6.8234382286875022</v>
      </c>
      <c r="J129" s="584">
        <f t="shared" si="37"/>
        <v>1.4237128951478111</v>
      </c>
      <c r="K129" s="584">
        <f t="shared" si="38"/>
        <v>1.0000069875335518</v>
      </c>
      <c r="L129" s="585">
        <f t="shared" si="39"/>
        <v>3.7383132196564953E-3</v>
      </c>
      <c r="M129" s="584">
        <f t="shared" si="40"/>
        <v>1.0017309998902113</v>
      </c>
      <c r="N129" s="585">
        <f t="shared" si="41"/>
        <v>-5.8796370734912548E-2</v>
      </c>
      <c r="O129" s="583">
        <f t="shared" si="42"/>
        <v>12519.060767904219</v>
      </c>
      <c r="P129" s="586">
        <f t="shared" si="43"/>
        <v>1.5707164485979932</v>
      </c>
      <c r="Q129" s="595">
        <f t="shared" si="44"/>
        <v>5.3112642600433322</v>
      </c>
      <c r="R129" s="596">
        <f t="shared" si="45"/>
        <v>1.3813867238433903</v>
      </c>
      <c r="S129" s="583">
        <f t="shared" si="46"/>
        <v>1.0006044734845703</v>
      </c>
      <c r="T129" s="586">
        <f t="shared" si="47"/>
        <v>3.4761160837567452E-2</v>
      </c>
      <c r="U129" s="587">
        <f t="shared" si="60"/>
        <v>0.99711609824129221</v>
      </c>
      <c r="V129" s="588">
        <f t="shared" si="61"/>
        <v>-8.6830960940749963E-2</v>
      </c>
      <c r="W129" s="589">
        <f t="shared" si="48"/>
        <v>12.721363763775841</v>
      </c>
      <c r="X129" s="590">
        <f t="shared" si="49"/>
        <v>-102.54184413605556</v>
      </c>
      <c r="Y129" s="593">
        <f t="shared" si="50"/>
        <v>77.458155863944441</v>
      </c>
      <c r="AA129" s="150">
        <f t="shared" si="51"/>
        <v>1000000000</v>
      </c>
      <c r="AB129" s="150">
        <f t="shared" si="52"/>
        <v>47862874.890000001</v>
      </c>
      <c r="AD129" s="592">
        <f t="shared" si="53"/>
        <v>27.755724116855411</v>
      </c>
      <c r="AE129" s="593">
        <f t="shared" si="54"/>
        <v>-12.839461986451575</v>
      </c>
      <c r="AG129" s="592">
        <f t="shared" si="55"/>
        <v>10.403753486397061</v>
      </c>
      <c r="AH129" s="593">
        <f t="shared" si="56"/>
        <v>-79.752286952293773</v>
      </c>
      <c r="AJ129" s="150">
        <f t="shared" si="57"/>
        <v>0</v>
      </c>
      <c r="AK129" s="150">
        <f t="shared" si="68"/>
        <v>0</v>
      </c>
      <c r="AM129" s="150" t="str">
        <f t="shared" si="62"/>
        <v>0.00770254270360404+0.123877989340753i</v>
      </c>
      <c r="AN129" s="150" t="str">
        <f t="shared" si="63"/>
        <v>0.1241970310314i</v>
      </c>
      <c r="AO129" s="150" t="str">
        <f t="shared" si="64"/>
        <v>0.997431164915961-0.0620187345835719i</v>
      </c>
      <c r="AP129" s="150" t="str">
        <f t="shared" si="65"/>
        <v>0.165382909549399-0.0206463315567922i</v>
      </c>
      <c r="AQ129" s="150" t="str">
        <f t="shared" si="66"/>
        <v>0.834617090450601+0.0206463315567922i</v>
      </c>
      <c r="AR129" s="150" t="str">
        <f t="shared" si="67"/>
        <v>0.997452092017195-0.0246744607071066i</v>
      </c>
    </row>
    <row r="130" spans="7:44" x14ac:dyDescent="0.25">
      <c r="G130" s="594">
        <v>6998.9</v>
      </c>
      <c r="H130" s="582">
        <f t="shared" si="59"/>
        <v>6.9988999999999999</v>
      </c>
      <c r="I130" s="583">
        <f t="shared" si="36"/>
        <v>6.9012352981079461</v>
      </c>
      <c r="J130" s="584">
        <f t="shared" si="37"/>
        <v>1.4253828099693227</v>
      </c>
      <c r="K130" s="584">
        <f t="shared" si="38"/>
        <v>1.0000071512945523</v>
      </c>
      <c r="L130" s="585">
        <f t="shared" si="39"/>
        <v>3.7818651311205772E-3</v>
      </c>
      <c r="M130" s="584">
        <f t="shared" si="40"/>
        <v>1.0017715321659837</v>
      </c>
      <c r="N130" s="585">
        <f t="shared" si="41"/>
        <v>-5.9479758600318462E-2</v>
      </c>
      <c r="O130" s="583">
        <f t="shared" si="42"/>
        <v>12664.911091176114</v>
      </c>
      <c r="P130" s="586">
        <f t="shared" si="43"/>
        <v>1.5707173684829243</v>
      </c>
      <c r="Q130" s="595">
        <f t="shared" si="44"/>
        <v>5.3709605613873617</v>
      </c>
      <c r="R130" s="596">
        <f t="shared" si="45"/>
        <v>1.3835170525062468</v>
      </c>
      <c r="S130" s="583">
        <f t="shared" si="46"/>
        <v>1.0006186356972033</v>
      </c>
      <c r="T130" s="586">
        <f t="shared" si="47"/>
        <v>3.5165805560774782E-2</v>
      </c>
      <c r="U130" s="587">
        <f t="shared" si="60"/>
        <v>0.99705809495002462</v>
      </c>
      <c r="V130" s="588">
        <f t="shared" si="61"/>
        <v>-8.7840036062216076E-2</v>
      </c>
      <c r="W130" s="589">
        <f t="shared" si="48"/>
        <v>12.619090107124251</v>
      </c>
      <c r="X130" s="590">
        <f t="shared" si="49"/>
        <v>-102.63317715200088</v>
      </c>
      <c r="Y130" s="593">
        <f t="shared" si="50"/>
        <v>77.366822847999117</v>
      </c>
      <c r="AA130" s="150">
        <f t="shared" si="51"/>
        <v>1000000000</v>
      </c>
      <c r="AB130" s="150">
        <f t="shared" si="52"/>
        <v>48984601.209999993</v>
      </c>
      <c r="AD130" s="592">
        <f t="shared" si="53"/>
        <v>27.752074289286995</v>
      </c>
      <c r="AE130" s="593">
        <f t="shared" si="54"/>
        <v>-12.740640285347441</v>
      </c>
      <c r="AG130" s="592">
        <f t="shared" si="55"/>
        <v>10.306140221362813</v>
      </c>
      <c r="AH130" s="593">
        <f t="shared" si="56"/>
        <v>-79.826810177867827</v>
      </c>
      <c r="AJ130" s="150">
        <f t="shared" si="57"/>
        <v>0</v>
      </c>
      <c r="AK130" s="150">
        <f t="shared" si="68"/>
        <v>0</v>
      </c>
      <c r="AM130" s="150" t="str">
        <f t="shared" si="62"/>
        <v>0.007882823886326+0.125313641955815i</v>
      </c>
      <c r="AN130" s="150" t="str">
        <f t="shared" si="63"/>
        <v>0.1256439588462i</v>
      </c>
      <c r="AO130" s="150" t="str">
        <f t="shared" si="64"/>
        <v>0.997371008575197-0.0627393784684492i</v>
      </c>
      <c r="AP130" s="150" t="str">
        <f t="shared" si="65"/>
        <v>0.165352862685612-0.0208856069926358i</v>
      </c>
      <c r="AQ130" s="150" t="str">
        <f t="shared" si="66"/>
        <v>0.834647137314388+0.0208856069926358i</v>
      </c>
      <c r="AR130" s="150" t="str">
        <f t="shared" si="67"/>
        <v>0.997402008849134-0.0249582673194288i</v>
      </c>
    </row>
    <row r="131" spans="7:44" x14ac:dyDescent="0.25">
      <c r="G131" s="594">
        <v>7079.5</v>
      </c>
      <c r="H131" s="582">
        <f t="shared" si="59"/>
        <v>7.0795000000000003</v>
      </c>
      <c r="I131" s="583">
        <f t="shared" si="36"/>
        <v>6.9790511833349331</v>
      </c>
      <c r="J131" s="584">
        <f t="shared" si="37"/>
        <v>1.4270154904152594</v>
      </c>
      <c r="K131" s="584">
        <f t="shared" si="38"/>
        <v>1.0000073169523345</v>
      </c>
      <c r="L131" s="585">
        <f t="shared" si="39"/>
        <v>3.8254170282379465E-3</v>
      </c>
      <c r="M131" s="584">
        <f t="shared" si="40"/>
        <v>1.0018125322500848</v>
      </c>
      <c r="N131" s="585">
        <f t="shared" si="41"/>
        <v>-6.0163090848298718E-2</v>
      </c>
      <c r="O131" s="583">
        <f t="shared" si="42"/>
        <v>12810.761414458488</v>
      </c>
      <c r="P131" s="586">
        <f t="shared" si="43"/>
        <v>1.5707182674221034</v>
      </c>
      <c r="Q131" s="595">
        <f t="shared" si="44"/>
        <v>5.430680701818182</v>
      </c>
      <c r="R131" s="596">
        <f t="shared" si="45"/>
        <v>1.3856005368313602</v>
      </c>
      <c r="S131" s="583">
        <f t="shared" si="46"/>
        <v>1.0006329617438288</v>
      </c>
      <c r="T131" s="586">
        <f t="shared" si="47"/>
        <v>3.5570438763649646E-2</v>
      </c>
      <c r="U131" s="587">
        <f t="shared" si="60"/>
        <v>0.99699942956599363</v>
      </c>
      <c r="V131" s="588">
        <f t="shared" si="61"/>
        <v>-8.8849023695236992E-2</v>
      </c>
      <c r="W131" s="589">
        <f t="shared" si="48"/>
        <v>12.518010786683737</v>
      </c>
      <c r="X131" s="590">
        <f t="shared" si="49"/>
        <v>-102.72505071951036</v>
      </c>
      <c r="Y131" s="593">
        <f t="shared" si="50"/>
        <v>77.274949280489636</v>
      </c>
      <c r="AA131" s="150">
        <f t="shared" si="51"/>
        <v>1000000000</v>
      </c>
      <c r="AB131" s="150">
        <f t="shared" si="52"/>
        <v>50119320.25</v>
      </c>
      <c r="AD131" s="592">
        <f t="shared" si="53"/>
        <v>27.748540092993039</v>
      </c>
      <c r="AE131" s="593">
        <f t="shared" si="54"/>
        <v>-12.644500706923518</v>
      </c>
      <c r="AG131" s="592">
        <f t="shared" si="55"/>
        <v>10.209617256397019</v>
      </c>
      <c r="AH131" s="593">
        <f t="shared" si="56"/>
        <v>-79.899201857763103</v>
      </c>
      <c r="AJ131" s="150">
        <f t="shared" si="57"/>
        <v>0</v>
      </c>
      <c r="AK131" s="150">
        <f t="shared" si="68"/>
        <v>0</v>
      </c>
      <c r="AM131" s="150" t="str">
        <f t="shared" si="62"/>
        <v>0.00806518216530705+0.126749032214269i</v>
      </c>
      <c r="AN131" s="150" t="str">
        <f t="shared" si="63"/>
        <v>0.127090886661i</v>
      </c>
      <c r="AO131" s="150" t="str">
        <f t="shared" si="64"/>
        <v>0.99731015766974-0.0634599567065731i</v>
      </c>
      <c r="AP131" s="150" t="str">
        <f t="shared" si="65"/>
        <v>0.165322469639115-0.0211248387023782i</v>
      </c>
      <c r="AQ131" s="150" t="str">
        <f t="shared" si="66"/>
        <v>0.834677530360885+0.0211248387023782i</v>
      </c>
      <c r="AR131" s="150" t="str">
        <f t="shared" si="67"/>
        <v>0.99735135743583-0.0252419476852581i</v>
      </c>
    </row>
    <row r="132" spans="7:44" x14ac:dyDescent="0.25">
      <c r="G132" s="594">
        <v>7161.95</v>
      </c>
      <c r="H132" s="582">
        <f t="shared" si="59"/>
        <v>7.16195</v>
      </c>
      <c r="I132" s="583">
        <f t="shared" si="36"/>
        <v>7.0586719849598554</v>
      </c>
      <c r="J132" s="584">
        <f t="shared" si="37"/>
        <v>1.4286483943809907</v>
      </c>
      <c r="K132" s="584">
        <f t="shared" si="38"/>
        <v>1.000007488375021</v>
      </c>
      <c r="L132" s="585">
        <f t="shared" si="39"/>
        <v>3.8699685506570799E-3</v>
      </c>
      <c r="M132" s="584">
        <f t="shared" si="40"/>
        <v>1.0018549573810909</v>
      </c>
      <c r="N132" s="585">
        <f t="shared" si="41"/>
        <v>-6.0862049316198298E-2</v>
      </c>
      <c r="O132" s="583">
        <f t="shared" si="42"/>
        <v>12959.959418868846</v>
      </c>
      <c r="P132" s="586">
        <f t="shared" si="43"/>
        <v>1.5707191660593827</v>
      </c>
      <c r="Q132" s="595">
        <f t="shared" si="44"/>
        <v>5.4917954451695135</v>
      </c>
      <c r="R132" s="596">
        <f t="shared" si="45"/>
        <v>1.3876849483609572</v>
      </c>
      <c r="S132" s="583">
        <f t="shared" si="46"/>
        <v>1.0006477861246037</v>
      </c>
      <c r="T132" s="586">
        <f t="shared" si="47"/>
        <v>3.5984347395560827E-2</v>
      </c>
      <c r="U132" s="587">
        <f t="shared" si="60"/>
        <v>0.99693873292962931</v>
      </c>
      <c r="V132" s="588">
        <f t="shared" si="61"/>
        <v>-8.9881078921269897E-2</v>
      </c>
      <c r="W132" s="589">
        <f t="shared" si="48"/>
        <v>12.415817962477949</v>
      </c>
      <c r="X132" s="590">
        <f t="shared" si="49"/>
        <v>-102.81957511236277</v>
      </c>
      <c r="Y132" s="593">
        <f t="shared" si="50"/>
        <v>77.18042488763723</v>
      </c>
      <c r="AA132" s="150">
        <f t="shared" si="51"/>
        <v>1000000000</v>
      </c>
      <c r="AB132" s="150">
        <f t="shared" si="52"/>
        <v>51293527.802499995</v>
      </c>
      <c r="AD132" s="592">
        <f t="shared" si="53"/>
        <v>27.745039109380095</v>
      </c>
      <c r="AE132" s="593">
        <f t="shared" si="54"/>
        <v>-12.548839429235841</v>
      </c>
      <c r="AG132" s="592">
        <f t="shared" si="55"/>
        <v>10.111983029916676</v>
      </c>
      <c r="AH132" s="593">
        <f t="shared" si="56"/>
        <v>-79.971122710815848</v>
      </c>
      <c r="AJ132" s="150">
        <f t="shared" si="57"/>
        <v>0</v>
      </c>
      <c r="AK132" s="150">
        <f t="shared" si="68"/>
        <v>0</v>
      </c>
      <c r="AM132" s="150" t="str">
        <f t="shared" si="62"/>
        <v>0.00825387484541695+0.128217094183541i</v>
      </c>
      <c r="AN132" s="150" t="str">
        <f t="shared" si="63"/>
        <v>0.1285710255981i</v>
      </c>
      <c r="AO132" s="150" t="str">
        <f t="shared" si="64"/>
        <v>0.997247191481031-0.0641970055618731i</v>
      </c>
      <c r="AP132" s="150" t="str">
        <f t="shared" si="65"/>
        <v>0.165291020859097-0.0213695156972568i</v>
      </c>
      <c r="AQ132" s="150" t="str">
        <f t="shared" si="66"/>
        <v>0.834708979140903+0.0213695156972568i</v>
      </c>
      <c r="AR132" s="150" t="str">
        <f t="shared" si="67"/>
        <v>0.997298955891706-0.0255320072328922i</v>
      </c>
    </row>
    <row r="133" spans="7:44" x14ac:dyDescent="0.25">
      <c r="G133" s="594">
        <v>7244.4</v>
      </c>
      <c r="H133" s="582">
        <f t="shared" si="59"/>
        <v>7.2443999999999997</v>
      </c>
      <c r="I133" s="583">
        <f t="shared" si="36"/>
        <v>7.1383111877641303</v>
      </c>
      <c r="J133" s="584">
        <f t="shared" si="37"/>
        <v>1.4302448672484647</v>
      </c>
      <c r="K133" s="584">
        <f t="shared" si="38"/>
        <v>1.00000766178256</v>
      </c>
      <c r="L133" s="585">
        <f t="shared" si="39"/>
        <v>3.9145200577136198E-3</v>
      </c>
      <c r="M133" s="584">
        <f t="shared" si="40"/>
        <v>1.0018978719196723</v>
      </c>
      <c r="N133" s="585">
        <f t="shared" si="41"/>
        <v>-6.1560948248194983E-2</v>
      </c>
      <c r="O133" s="583">
        <f t="shared" si="42"/>
        <v>13109.157423289435</v>
      </c>
      <c r="P133" s="586">
        <f t="shared" si="43"/>
        <v>1.5707200442415119</v>
      </c>
      <c r="Q133" s="595">
        <f t="shared" si="44"/>
        <v>5.5529335238448851</v>
      </c>
      <c r="R133" s="596">
        <f t="shared" si="45"/>
        <v>1.3897234696331584</v>
      </c>
      <c r="S133" s="583">
        <f t="shared" si="46"/>
        <v>1.0006627819316165</v>
      </c>
      <c r="T133" s="586">
        <f t="shared" si="47"/>
        <v>3.6398243692813366E-2</v>
      </c>
      <c r="U133" s="587">
        <f t="shared" si="60"/>
        <v>0.99687734416870322</v>
      </c>
      <c r="V133" s="588">
        <f t="shared" si="61"/>
        <v>-9.0913040508594695E-2</v>
      </c>
      <c r="W133" s="589">
        <f t="shared" si="48"/>
        <v>12.31481666163436</v>
      </c>
      <c r="X133" s="590">
        <f t="shared" si="49"/>
        <v>-102.91463082101599</v>
      </c>
      <c r="Y133" s="593">
        <f t="shared" si="50"/>
        <v>77.08536917898401</v>
      </c>
      <c r="AA133" s="150">
        <f t="shared" si="51"/>
        <v>1000000000</v>
      </c>
      <c r="AB133" s="150">
        <f t="shared" si="52"/>
        <v>52481331.359999992</v>
      </c>
      <c r="AD133" s="592">
        <f t="shared" si="53"/>
        <v>27.741648637141783</v>
      </c>
      <c r="AE133" s="593">
        <f t="shared" si="54"/>
        <v>-12.455805590903084</v>
      </c>
      <c r="AG133" s="592">
        <f t="shared" si="55"/>
        <v>10.015441940910181</v>
      </c>
      <c r="AH133" s="593">
        <f t="shared" si="56"/>
        <v>-80.040958170520042</v>
      </c>
      <c r="AJ133" s="150">
        <f t="shared" si="57"/>
        <v>0</v>
      </c>
      <c r="AK133" s="150">
        <f t="shared" si="68"/>
        <v>0</v>
      </c>
      <c r="AM133" s="150" t="str">
        <f t="shared" si="62"/>
        <v>0.00844474025372199+0.129684875253408i</v>
      </c>
      <c r="AN133" s="150" t="str">
        <f t="shared" si="63"/>
        <v>0.1300511645352i</v>
      </c>
      <c r="AO133" s="150" t="str">
        <f t="shared" si="64"/>
        <v>0.997183498639931-0.0649339841277339i</v>
      </c>
      <c r="AP133" s="150" t="str">
        <f t="shared" si="65"/>
        <v>0.165259209957713-0.021614145875568i</v>
      </c>
      <c r="AQ133" s="150" t="str">
        <f t="shared" si="66"/>
        <v>0.834740790042287+0.021614145875568i</v>
      </c>
      <c r="AR133" s="150" t="str">
        <f t="shared" si="67"/>
        <v>0.997245960580559-0.0258219316977636i</v>
      </c>
    </row>
    <row r="134" spans="7:44" x14ac:dyDescent="0.25">
      <c r="G134" s="594">
        <v>7328.75</v>
      </c>
      <c r="H134" s="582">
        <f t="shared" si="59"/>
        <v>7.3287500000000003</v>
      </c>
      <c r="I134" s="583">
        <f t="shared" si="36"/>
        <v>7.2198040249459146</v>
      </c>
      <c r="J134" s="584">
        <f t="shared" si="37"/>
        <v>1.4318416784135453</v>
      </c>
      <c r="K134" s="584">
        <f t="shared" si="38"/>
        <v>1.0000078412401361</v>
      </c>
      <c r="L134" s="585">
        <f t="shared" si="39"/>
        <v>3.9600982056123314E-3</v>
      </c>
      <c r="M134" s="584">
        <f t="shared" si="40"/>
        <v>1.0019422817814374</v>
      </c>
      <c r="N134" s="585">
        <f t="shared" si="41"/>
        <v>-6.2275890481757301E-2</v>
      </c>
      <c r="O134" s="583">
        <f t="shared" si="42"/>
        <v>13261.79358670629</v>
      </c>
      <c r="P134" s="586">
        <f t="shared" si="43"/>
        <v>1.5707209222129741</v>
      </c>
      <c r="Q134" s="595">
        <f t="shared" si="44"/>
        <v>5.6155038382156421</v>
      </c>
      <c r="R134" s="596">
        <f t="shared" si="45"/>
        <v>1.3917630240593342</v>
      </c>
      <c r="S134" s="583">
        <f t="shared" si="46"/>
        <v>1.0006783006953504</v>
      </c>
      <c r="T134" s="586">
        <f t="shared" si="47"/>
        <v>3.6821665016190303E-2</v>
      </c>
      <c r="U134" s="587">
        <f t="shared" si="60"/>
        <v>0.99681382489713255</v>
      </c>
      <c r="V134" s="588">
        <f t="shared" si="61"/>
        <v>-9.1968684896498412E-2</v>
      </c>
      <c r="W134" s="589">
        <f t="shared" si="48"/>
        <v>12.212691773755067</v>
      </c>
      <c r="X134" s="590">
        <f t="shared" si="49"/>
        <v>-103.01240976486349</v>
      </c>
      <c r="Y134" s="593">
        <f t="shared" si="50"/>
        <v>76.987590235136508</v>
      </c>
      <c r="AA134" s="150">
        <f t="shared" si="51"/>
        <v>1000000000</v>
      </c>
      <c r="AB134" s="150">
        <f t="shared" si="52"/>
        <v>53710576.5625</v>
      </c>
      <c r="AD134" s="592">
        <f t="shared" si="53"/>
        <v>27.7382893082208</v>
      </c>
      <c r="AE134" s="593">
        <f t="shared" si="54"/>
        <v>-12.363258288934896</v>
      </c>
      <c r="AG134" s="592">
        <f t="shared" si="55"/>
        <v>9.9177833164490501</v>
      </c>
      <c r="AH134" s="593">
        <f t="shared" si="56"/>
        <v>-80.110316480010383</v>
      </c>
      <c r="AJ134" s="150">
        <f t="shared" si="57"/>
        <v>0</v>
      </c>
      <c r="AK134" s="150">
        <f t="shared" si="68"/>
        <v>0</v>
      </c>
      <c r="AM134" s="150" t="str">
        <f t="shared" si="62"/>
        <v>0.00864225198831603+0.13118618622859i</v>
      </c>
      <c r="AN134" s="150" t="str">
        <f t="shared" si="63"/>
        <v>0.1315654121925i</v>
      </c>
      <c r="AO134" s="150" t="str">
        <f t="shared" si="64"/>
        <v>0.997117586168049-0.0656878722476931i</v>
      </c>
      <c r="AP134" s="150" t="str">
        <f t="shared" si="65"/>
        <v>0.165226291335281-0.0218643643714317i</v>
      </c>
      <c r="AQ134" s="150" t="str">
        <f t="shared" si="66"/>
        <v>0.834773708664719+0.0218643643714317i</v>
      </c>
      <c r="AR134" s="150" t="str">
        <f t="shared" si="67"/>
        <v>0.997191130044851-0.0261183959065215i</v>
      </c>
    </row>
    <row r="135" spans="7:44" x14ac:dyDescent="0.25">
      <c r="G135" s="594">
        <v>7413.1</v>
      </c>
      <c r="H135" s="582">
        <f t="shared" si="59"/>
        <v>7.4131</v>
      </c>
      <c r="I135" s="583">
        <f t="shared" si="36"/>
        <v>7.301314860257218</v>
      </c>
      <c r="J135" s="584">
        <f t="shared" si="37"/>
        <v>1.4334028403424208</v>
      </c>
      <c r="K135" s="584">
        <f t="shared" si="38"/>
        <v>1.0000080227750958</v>
      </c>
      <c r="L135" s="585">
        <f t="shared" si="39"/>
        <v>4.0056763370578032E-3</v>
      </c>
      <c r="M135" s="584">
        <f t="shared" si="40"/>
        <v>1.0019872037328326</v>
      </c>
      <c r="N135" s="585">
        <f t="shared" si="41"/>
        <v>-6.2990768974887923E-2</v>
      </c>
      <c r="O135" s="583">
        <f t="shared" si="42"/>
        <v>13414.429750133137</v>
      </c>
      <c r="P135" s="586">
        <f t="shared" si="43"/>
        <v>1.57072178020443</v>
      </c>
      <c r="Q135" s="595">
        <f t="shared" si="44"/>
        <v>5.6780969969843476</v>
      </c>
      <c r="R135" s="596">
        <f t="shared" si="45"/>
        <v>1.3937576201027768</v>
      </c>
      <c r="S135" s="583">
        <f t="shared" si="46"/>
        <v>1.0006939988607275</v>
      </c>
      <c r="T135" s="586">
        <f t="shared" si="47"/>
        <v>3.7245073130819865E-2</v>
      </c>
      <c r="U135" s="587">
        <f t="shared" si="60"/>
        <v>0.99674958201252262</v>
      </c>
      <c r="V135" s="588">
        <f t="shared" si="61"/>
        <v>-9.3024229048060167E-2</v>
      </c>
      <c r="W135" s="589">
        <f t="shared" si="48"/>
        <v>12.111755890394583</v>
      </c>
      <c r="X135" s="590">
        <f t="shared" si="49"/>
        <v>-103.11071078770863</v>
      </c>
      <c r="Y135" s="593">
        <f t="shared" si="50"/>
        <v>76.889289212291374</v>
      </c>
      <c r="AA135" s="150">
        <f t="shared" si="51"/>
        <v>1000000000</v>
      </c>
      <c r="AB135" s="150">
        <f t="shared" si="52"/>
        <v>54954051.610000007</v>
      </c>
      <c r="AD135" s="592">
        <f t="shared" si="53"/>
        <v>27.735035595587508</v>
      </c>
      <c r="AE135" s="593">
        <f t="shared" si="54"/>
        <v>-12.273285010978471</v>
      </c>
      <c r="AG135" s="592">
        <f t="shared" si="55"/>
        <v>9.821220762191567</v>
      </c>
      <c r="AH135" s="593">
        <f t="shared" si="56"/>
        <v>-80.177634330725311</v>
      </c>
      <c r="AJ135" s="150">
        <f t="shared" si="57"/>
        <v>0</v>
      </c>
      <c r="AK135" s="150">
        <f t="shared" si="68"/>
        <v>0</v>
      </c>
      <c r="AM135" s="150" t="str">
        <f t="shared" si="62"/>
        <v>0.00884203685222595+0.132687196400993i</v>
      </c>
      <c r="AN135" s="150" t="str">
        <f t="shared" si="63"/>
        <v>0.1330796598498i</v>
      </c>
      <c r="AO135" s="150" t="str">
        <f t="shared" si="64"/>
        <v>0.997050913345811-0.0664416850945178i</v>
      </c>
      <c r="AP135" s="150" t="str">
        <f t="shared" si="65"/>
        <v>0.165192993857962-0.0221145327334988i</v>
      </c>
      <c r="AQ135" s="150" t="str">
        <f t="shared" si="66"/>
        <v>0.834807006142038+0.0221145327334988i</v>
      </c>
      <c r="AR135" s="150" t="str">
        <f t="shared" si="67"/>
        <v>0.997135679005687-0.0264147155580519i</v>
      </c>
    </row>
    <row r="136" spans="7:44" x14ac:dyDescent="0.25">
      <c r="G136" s="594">
        <v>7499.45</v>
      </c>
      <c r="H136" s="582">
        <f t="shared" si="59"/>
        <v>7.4994499999999995</v>
      </c>
      <c r="I136" s="583">
        <f t="shared" si="36"/>
        <v>7.3847763979986754</v>
      </c>
      <c r="J136" s="584">
        <f t="shared" si="37"/>
        <v>1.434965316022903</v>
      </c>
      <c r="K136" s="584">
        <f t="shared" si="38"/>
        <v>1.0000082107662318</v>
      </c>
      <c r="L136" s="585">
        <f t="shared" si="39"/>
        <v>4.0523351419903507E-3</v>
      </c>
      <c r="M136" s="584">
        <f t="shared" si="40"/>
        <v>1.0020337211911436</v>
      </c>
      <c r="N136" s="585">
        <f t="shared" si="41"/>
        <v>-6.3722530979115288E-2</v>
      </c>
      <c r="O136" s="583">
        <f t="shared" si="42"/>
        <v>13570.685028292604</v>
      </c>
      <c r="P136" s="586">
        <f t="shared" si="43"/>
        <v>1.5707226385471169</v>
      </c>
      <c r="Q136" s="595">
        <f t="shared" si="44"/>
        <v>5.7421971685425035</v>
      </c>
      <c r="R136" s="596">
        <f t="shared" si="45"/>
        <v>1.3957544581204289</v>
      </c>
      <c r="S136" s="583">
        <f t="shared" si="46"/>
        <v>1.0007102550649252</v>
      </c>
      <c r="T136" s="586">
        <f t="shared" si="47"/>
        <v>3.7678506720467866E-2</v>
      </c>
      <c r="U136" s="587">
        <f t="shared" si="60"/>
        <v>0.99668306674736307</v>
      </c>
      <c r="V136" s="588">
        <f t="shared" si="61"/>
        <v>-9.4104695914357495E-2</v>
      </c>
      <c r="W136" s="589">
        <f t="shared" si="48"/>
        <v>12.009629320989694</v>
      </c>
      <c r="X136" s="590">
        <f t="shared" si="49"/>
        <v>-103.21186646711736</v>
      </c>
      <c r="Y136" s="593">
        <f t="shared" si="50"/>
        <v>76.78813353288264</v>
      </c>
      <c r="AA136" s="150">
        <f t="shared" si="51"/>
        <v>1000000000</v>
      </c>
      <c r="AB136" s="150">
        <f t="shared" si="52"/>
        <v>56241750.302499995</v>
      </c>
      <c r="AD136" s="592">
        <f t="shared" si="53"/>
        <v>27.731809259713202</v>
      </c>
      <c r="AE136" s="593">
        <f t="shared" si="54"/>
        <v>-12.183757714892817</v>
      </c>
      <c r="AG136" s="592">
        <f t="shared" si="55"/>
        <v>9.7234798239158255</v>
      </c>
      <c r="AH136" s="593">
        <f t="shared" si="56"/>
        <v>-80.244504923393123</v>
      </c>
      <c r="AJ136" s="150">
        <f t="shared" si="57"/>
        <v>0</v>
      </c>
      <c r="AK136" s="150">
        <f t="shared" si="68"/>
        <v>0</v>
      </c>
      <c r="AM136" s="150" t="str">
        <f t="shared" si="62"/>
        <v>0.00904891289724497+0.13422348143998i</v>
      </c>
      <c r="AN136" s="150" t="str">
        <f t="shared" si="63"/>
        <v>0.1346298114231i</v>
      </c>
      <c r="AO136" s="150" t="str">
        <f t="shared" si="64"/>
        <v>0.99698187215131-0.0672132925211269i</v>
      </c>
      <c r="AP136" s="150" t="str">
        <f t="shared" si="65"/>
        <v>0.165158514517126-0.0223705802399967i</v>
      </c>
      <c r="AQ136" s="150" t="str">
        <f t="shared" si="66"/>
        <v>0.834841485482874+0.0223705802399967i</v>
      </c>
      <c r="AR136" s="150" t="str">
        <f t="shared" si="67"/>
        <v>0.997078270942182-0.0267179097511761i</v>
      </c>
    </row>
    <row r="137" spans="7:44" x14ac:dyDescent="0.25">
      <c r="G137" s="594">
        <v>7585.8</v>
      </c>
      <c r="H137" s="582">
        <f t="shared" si="59"/>
        <v>7.5857999999999999</v>
      </c>
      <c r="I137" s="583">
        <f t="shared" si="36"/>
        <v>7.4682555614336099</v>
      </c>
      <c r="J137" s="584">
        <f t="shared" si="37"/>
        <v>1.4364928650744386</v>
      </c>
      <c r="K137" s="584">
        <f t="shared" si="38"/>
        <v>1.0000084009344288</v>
      </c>
      <c r="L137" s="585">
        <f t="shared" si="39"/>
        <v>4.0989939292785851E-3</v>
      </c>
      <c r="M137" s="584">
        <f t="shared" si="40"/>
        <v>1.0020807751641108</v>
      </c>
      <c r="N137" s="585">
        <f t="shared" si="41"/>
        <v>-6.4454224653491377E-2</v>
      </c>
      <c r="O137" s="583">
        <f t="shared" si="42"/>
        <v>13726.940306461844</v>
      </c>
      <c r="P137" s="586">
        <f t="shared" si="43"/>
        <v>1.5707234773485845</v>
      </c>
      <c r="Q137" s="595">
        <f t="shared" si="44"/>
        <v>5.8063197307313654</v>
      </c>
      <c r="R137" s="596">
        <f t="shared" si="45"/>
        <v>1.3977071992969725</v>
      </c>
      <c r="S137" s="583">
        <f t="shared" si="46"/>
        <v>1.0007266992611026</v>
      </c>
      <c r="T137" s="586">
        <f t="shared" si="47"/>
        <v>3.811192614695541E-2</v>
      </c>
      <c r="U137" s="587">
        <f t="shared" si="60"/>
        <v>0.99661579400057831</v>
      </c>
      <c r="V137" s="588">
        <f t="shared" si="61"/>
        <v>-9.5185055344311986E-2</v>
      </c>
      <c r="W137" s="589">
        <f t="shared" si="48"/>
        <v>11.908690840731674</v>
      </c>
      <c r="X137" s="590">
        <f t="shared" si="49"/>
        <v>-103.31353556021195</v>
      </c>
      <c r="Y137" s="593">
        <f t="shared" si="50"/>
        <v>76.686464439788054</v>
      </c>
      <c r="AA137" s="150">
        <f t="shared" si="51"/>
        <v>1000000000</v>
      </c>
      <c r="AB137" s="150">
        <f t="shared" si="52"/>
        <v>57544361.640000001</v>
      </c>
      <c r="AD137" s="592">
        <f t="shared" si="53"/>
        <v>27.728683969515181</v>
      </c>
      <c r="AE137" s="593">
        <f t="shared" si="54"/>
        <v>-12.096755050576695</v>
      </c>
      <c r="AG137" s="592">
        <f t="shared" si="55"/>
        <v>9.6268392099626023</v>
      </c>
      <c r="AH137" s="593">
        <f t="shared" si="56"/>
        <v>-80.309376609275247</v>
      </c>
      <c r="AJ137" s="150">
        <f t="shared" si="57"/>
        <v>0</v>
      </c>
      <c r="AK137" s="150">
        <f t="shared" si="68"/>
        <v>0</v>
      </c>
      <c r="AM137" s="150" t="str">
        <f t="shared" si="62"/>
        <v>0.00925817016742303+0.135759443944045i</v>
      </c>
      <c r="AN137" s="150" t="str">
        <f t="shared" si="63"/>
        <v>0.1361799629964i</v>
      </c>
      <c r="AO137" s="150" t="str">
        <f t="shared" si="64"/>
        <v>0.996912034317661-0.067984819232678i</v>
      </c>
      <c r="AP137" s="150" t="str">
        <f t="shared" si="65"/>
        <v>0.16512363830543-0.0226265739906742i</v>
      </c>
      <c r="AQ137" s="150" t="str">
        <f t="shared" si="66"/>
        <v>0.83487636169457+0.0226265739906742i</v>
      </c>
      <c r="AR137" s="150" t="str">
        <f t="shared" si="67"/>
        <v>0.997020213636731-0.0270209490519775i</v>
      </c>
    </row>
    <row r="138" spans="7:44" x14ac:dyDescent="0.25">
      <c r="G138" s="594">
        <v>7674.15</v>
      </c>
      <c r="H138" s="582">
        <f t="shared" si="59"/>
        <v>7.67415</v>
      </c>
      <c r="I138" s="583">
        <f t="shared" si="36"/>
        <v>7.553685865119836</v>
      </c>
      <c r="J138" s="584">
        <f t="shared" si="37"/>
        <v>1.438020845557374</v>
      </c>
      <c r="K138" s="584">
        <f t="shared" si="38"/>
        <v>1.0000085977604964</v>
      </c>
      <c r="L138" s="585">
        <f t="shared" si="39"/>
        <v>4.1467333880127058E-3</v>
      </c>
      <c r="M138" s="584">
        <f t="shared" si="40"/>
        <v>1.0021294741996138</v>
      </c>
      <c r="N138" s="585">
        <f t="shared" si="41"/>
        <v>-6.5202793959656308E-2</v>
      </c>
      <c r="O138" s="583">
        <f t="shared" si="42"/>
        <v>13886.814699363938</v>
      </c>
      <c r="P138" s="586">
        <f t="shared" si="43"/>
        <v>1.5707243160406299</v>
      </c>
      <c r="Q138" s="595">
        <f t="shared" si="44"/>
        <v>5.8719498804354204</v>
      </c>
      <c r="R138" s="596">
        <f t="shared" si="45"/>
        <v>1.3996610197744617</v>
      </c>
      <c r="S138" s="583">
        <f t="shared" si="46"/>
        <v>1.0007437188943997</v>
      </c>
      <c r="T138" s="586">
        <f t="shared" si="47"/>
        <v>3.8555369411823109E-2</v>
      </c>
      <c r="U138" s="587">
        <f t="shared" si="60"/>
        <v>0.99654617956863356</v>
      </c>
      <c r="V138" s="588">
        <f t="shared" si="61"/>
        <v>-9.6290325117799377E-2</v>
      </c>
      <c r="W138" s="589">
        <f t="shared" si="48"/>
        <v>11.806615171039672</v>
      </c>
      <c r="X138" s="590">
        <f t="shared" si="49"/>
        <v>-103.4180740925993</v>
      </c>
      <c r="Y138" s="593">
        <f t="shared" si="50"/>
        <v>76.581925907400702</v>
      </c>
      <c r="AA138" s="150">
        <f t="shared" si="51"/>
        <v>1000000000</v>
      </c>
      <c r="AB138" s="150">
        <f t="shared" si="52"/>
        <v>58892578.222499996</v>
      </c>
      <c r="AD138" s="592">
        <f t="shared" si="53"/>
        <v>27.725586200496068</v>
      </c>
      <c r="AE138" s="593">
        <f t="shared" si="54"/>
        <v>-12.010264864236431</v>
      </c>
      <c r="AG138" s="592">
        <f t="shared" si="55"/>
        <v>9.52907478472493</v>
      </c>
      <c r="AH138" s="593">
        <f t="shared" si="56"/>
        <v>-80.373750741369747</v>
      </c>
      <c r="AJ138" s="150">
        <f t="shared" si="57"/>
        <v>0</v>
      </c>
      <c r="AK138" s="150">
        <f t="shared" si="68"/>
        <v>0</v>
      </c>
      <c r="AM138" s="150" t="str">
        <f t="shared" si="62"/>
        <v>0.00947473822938705+0.13733064404662i</v>
      </c>
      <c r="AN138" s="150" t="str">
        <f t="shared" si="63"/>
        <v>0.1377660184857i</v>
      </c>
      <c r="AO138" s="150" t="str">
        <f t="shared" si="64"/>
        <v>0.996839754506477-0.0687741311938293i</v>
      </c>
      <c r="AP138" s="150" t="str">
        <f t="shared" si="65"/>
        <v>0.165087543628436-0.0228884406744367i</v>
      </c>
      <c r="AQ138" s="150" t="str">
        <f t="shared" si="66"/>
        <v>0.834912456371564+0.0228884406744367i</v>
      </c>
      <c r="AR138" s="150" t="str">
        <f t="shared" si="67"/>
        <v>0.996960140217049-0.0273308451083653i</v>
      </c>
    </row>
    <row r="139" spans="7:44" x14ac:dyDescent="0.25">
      <c r="G139" s="594">
        <v>7762.5</v>
      </c>
      <c r="H139" s="582">
        <f t="shared" si="59"/>
        <v>7.7625000000000002</v>
      </c>
      <c r="I139" s="583">
        <f t="shared" si="36"/>
        <v>7.6391334101063446</v>
      </c>
      <c r="J139" s="584">
        <f t="shared" si="37"/>
        <v>1.439514647004527</v>
      </c>
      <c r="K139" s="584">
        <f t="shared" si="38"/>
        <v>1.0000087968656386</v>
      </c>
      <c r="L139" s="585">
        <f t="shared" si="39"/>
        <v>4.1944728278454505E-3</v>
      </c>
      <c r="M139" s="584">
        <f t="shared" si="40"/>
        <v>1.0021787347296285</v>
      </c>
      <c r="N139" s="585">
        <f t="shared" si="41"/>
        <v>-6.5951290095701845E-2</v>
      </c>
      <c r="O139" s="583">
        <f t="shared" si="42"/>
        <v>14046.689092275577</v>
      </c>
      <c r="P139" s="586">
        <f t="shared" si="43"/>
        <v>1.5707251356412892</v>
      </c>
      <c r="Q139" s="595">
        <f t="shared" si="44"/>
        <v>5.937601950222005</v>
      </c>
      <c r="R139" s="596">
        <f t="shared" si="45"/>
        <v>1.4015716406224425</v>
      </c>
      <c r="S139" s="583">
        <f t="shared" si="46"/>
        <v>1.000760935309156</v>
      </c>
      <c r="T139" s="586">
        <f t="shared" si="47"/>
        <v>3.8998797506488443E-2</v>
      </c>
      <c r="U139" s="587">
        <f t="shared" si="60"/>
        <v>0.9964757730940218</v>
      </c>
      <c r="V139" s="588">
        <f t="shared" si="61"/>
        <v>-9.7395479863749287E-2</v>
      </c>
      <c r="W139" s="589">
        <f t="shared" si="48"/>
        <v>11.705725449311746</v>
      </c>
      <c r="X139" s="590">
        <f t="shared" si="49"/>
        <v>-103.52311672204355</v>
      </c>
      <c r="Y139" s="593">
        <f t="shared" si="50"/>
        <v>76.476883277956446</v>
      </c>
      <c r="AA139" s="150">
        <f t="shared" si="51"/>
        <v>1000000000</v>
      </c>
      <c r="AB139" s="150">
        <f t="shared" si="52"/>
        <v>60256406.25</v>
      </c>
      <c r="AD139" s="592">
        <f t="shared" si="53"/>
        <v>27.722584976609252</v>
      </c>
      <c r="AE139" s="593">
        <f t="shared" si="54"/>
        <v>-11.926247871301943</v>
      </c>
      <c r="AG139" s="592">
        <f t="shared" si="55"/>
        <v>9.4324136549370809</v>
      </c>
      <c r="AH139" s="593">
        <f t="shared" si="56"/>
        <v>-80.436168958300215</v>
      </c>
      <c r="AJ139" s="150">
        <f t="shared" si="57"/>
        <v>0</v>
      </c>
      <c r="AK139" s="150">
        <f t="shared" si="68"/>
        <v>0</v>
      </c>
      <c r="AM139" s="150" t="str">
        <f t="shared" si="62"/>
        <v>0.00969379802845904+0.138901498684143i</v>
      </c>
      <c r="AN139" s="150" t="str">
        <f t="shared" si="63"/>
        <v>0.139352073975i</v>
      </c>
      <c r="AO139" s="150" t="str">
        <f t="shared" si="64"/>
        <v>0.99676664094043-0.0695633566974979i</v>
      </c>
      <c r="AP139" s="150" t="str">
        <f t="shared" si="65"/>
        <v>0.165051033661924-0.0231502497806905i</v>
      </c>
      <c r="AQ139" s="150" t="str">
        <f t="shared" si="66"/>
        <v>0.834948966338076+0.0231502497806905i</v>
      </c>
      <c r="AR139" s="150" t="str">
        <f t="shared" si="67"/>
        <v>0.996899388266068-0.0276405753824629i</v>
      </c>
    </row>
    <row r="140" spans="7:44" x14ac:dyDescent="0.25">
      <c r="G140" s="594">
        <v>7852.9</v>
      </c>
      <c r="H140" s="582">
        <f t="shared" si="59"/>
        <v>7.8529</v>
      </c>
      <c r="I140" s="583">
        <f t="shared" si="36"/>
        <v>7.7265808583062929</v>
      </c>
      <c r="J140" s="584">
        <f t="shared" si="37"/>
        <v>1.44100890751264</v>
      </c>
      <c r="K140" s="584">
        <f t="shared" si="38"/>
        <v>1.0000090029496607</v>
      </c>
      <c r="L140" s="585">
        <f t="shared" si="39"/>
        <v>4.2433199541875005E-3</v>
      </c>
      <c r="M140" s="584">
        <f t="shared" si="40"/>
        <v>1.0022297193620304</v>
      </c>
      <c r="N140" s="585">
        <f t="shared" si="41"/>
        <v>-6.6717077114270468E-2</v>
      </c>
      <c r="O140" s="583">
        <f t="shared" si="42"/>
        <v>14210.273077788372</v>
      </c>
      <c r="P140" s="586">
        <f t="shared" si="43"/>
        <v>1.570725955170414</v>
      </c>
      <c r="Q140" s="595">
        <f t="shared" si="44"/>
        <v>6.0047992950505655</v>
      </c>
      <c r="R140" s="596">
        <f t="shared" si="45"/>
        <v>1.4034833427926723</v>
      </c>
      <c r="S140" s="583">
        <f t="shared" si="46"/>
        <v>1.0007787548720655</v>
      </c>
      <c r="T140" s="586">
        <f t="shared" si="47"/>
        <v>3.9452498654915132E-2</v>
      </c>
      <c r="U140" s="587">
        <f t="shared" si="60"/>
        <v>0.99640291364428213</v>
      </c>
      <c r="V140" s="588">
        <f t="shared" si="61"/>
        <v>-9.8526157293233732E-2</v>
      </c>
      <c r="W140" s="589">
        <f t="shared" si="48"/>
        <v>11.603693408460828</v>
      </c>
      <c r="X140" s="590">
        <f t="shared" si="49"/>
        <v>-103.63110186794916</v>
      </c>
      <c r="Y140" s="593">
        <f t="shared" si="50"/>
        <v>76.368898132050845</v>
      </c>
      <c r="AA140" s="150">
        <f t="shared" si="51"/>
        <v>1000000000</v>
      </c>
      <c r="AB140" s="150">
        <f t="shared" si="52"/>
        <v>61668038.409999996</v>
      </c>
      <c r="AD140" s="592">
        <f t="shared" si="53"/>
        <v>27.719609567454206</v>
      </c>
      <c r="AE140" s="593">
        <f t="shared" si="54"/>
        <v>-11.842757521691503</v>
      </c>
      <c r="AG140" s="592">
        <f t="shared" si="55"/>
        <v>9.3346272443420109</v>
      </c>
      <c r="AH140" s="593">
        <f t="shared" si="56"/>
        <v>-80.498078364267897</v>
      </c>
      <c r="AJ140" s="150">
        <f t="shared" si="57"/>
        <v>0</v>
      </c>
      <c r="AK140" s="150">
        <f t="shared" si="68"/>
        <v>0</v>
      </c>
      <c r="AM140" s="150" t="str">
        <f t="shared" si="62"/>
        <v>0.00992051926644+0.14050844042393i</v>
      </c>
      <c r="AN140" s="150" t="str">
        <f t="shared" si="63"/>
        <v>0.1409749309782i</v>
      </c>
      <c r="AO140" s="150" t="str">
        <f t="shared" si="64"/>
        <v>0.996690968025073-0.0703708042103889i</v>
      </c>
      <c r="AP140" s="150" t="str">
        <f t="shared" si="65"/>
        <v>0.165013246788927-0.0234180734039883i</v>
      </c>
      <c r="AQ140" s="150" t="str">
        <f t="shared" si="66"/>
        <v>0.834986753211073+0.0234180734039883i</v>
      </c>
      <c r="AR140" s="150" t="str">
        <f t="shared" si="67"/>
        <v>0.996836524955119-0.0279573188717098i</v>
      </c>
    </row>
    <row r="141" spans="7:44" x14ac:dyDescent="0.25">
      <c r="G141" s="594">
        <v>7943.3</v>
      </c>
      <c r="H141" s="582">
        <f t="shared" si="59"/>
        <v>7.9432999999999998</v>
      </c>
      <c r="I141" s="583">
        <f t="shared" ref="I141:I204" si="69">SQRT(1+(G141/pole1)^2)</f>
        <v>7.8140451723687674</v>
      </c>
      <c r="J141" s="584">
        <f t="shared" ref="J141:J204" si="70">ATAN(G141/pole1)</f>
        <v>1.4424697200535312</v>
      </c>
      <c r="K141" s="584">
        <f t="shared" ref="K141:K204" si="71">SQRT(1+(G141/Zero1)^2)</f>
        <v>1.0000092114197447</v>
      </c>
      <c r="L141" s="585">
        <f t="shared" ref="L141:L204" si="72">ATAN(G141/Zero1)</f>
        <v>4.2921670602799611E-3</v>
      </c>
      <c r="M141" s="584">
        <f t="shared" ref="M141:M204" si="73">SQRT(1+(G141/z_RHP)^2)</f>
        <v>1.0022812916717683</v>
      </c>
      <c r="N141" s="585">
        <f t="shared" ref="N141:N204" si="74">-ATAN(G141/z_RHP)</f>
        <v>-6.7482785774806306E-2</v>
      </c>
      <c r="O141" s="583">
        <f t="shared" ref="O141:O204" si="75">SQRT(1+(G141/Pole2)^2)</f>
        <v>14373.857063310496</v>
      </c>
      <c r="P141" s="586">
        <f t="shared" ref="P141:P204" si="76">ATAN(G141/Pole2)</f>
        <v>1.5707267560459737</v>
      </c>
      <c r="Q141" s="595">
        <f t="shared" ref="Q141:Q147" si="77">SQRT(1+(G141/Zero2)^2)</f>
        <v>6.0720180992813404</v>
      </c>
      <c r="R141" s="596">
        <f t="shared" ref="R141:R147" si="78">ATAN(G141/Zero2)</f>
        <v>1.4053527255985019</v>
      </c>
      <c r="S141" s="583">
        <f t="shared" ref="S141:S204" si="79">SQRT(1+(G141/pole4)^2)</f>
        <v>1.0007967804326487</v>
      </c>
      <c r="T141" s="586">
        <f t="shared" ref="T141:T204" si="80">ATAN(G141/pole4)</f>
        <v>3.9906183553314725E-2</v>
      </c>
      <c r="U141" s="587">
        <f t="shared" si="60"/>
        <v>0.99632922599252405</v>
      </c>
      <c r="V141" s="588">
        <f t="shared" si="61"/>
        <v>-9.9656711561060263E-2</v>
      </c>
      <c r="W141" s="589">
        <f t="shared" ref="W141:W204" si="81">20*LOG10(((K141*Q141*M141*U141)/(I141*O141*S141))*Adc)</f>
        <v>11.50284533331542</v>
      </c>
      <c r="X141" s="590">
        <f t="shared" ref="X141:X204" si="82">((L141+R141+N141+V141)-(J141+P141+T141))*radconv</f>
        <v>-103.73958176257597</v>
      </c>
      <c r="Y141" s="593">
        <f t="shared" ref="Y141:Y204" si="83">IF(X141&gt;0,X141,X141+180)</f>
        <v>76.260418237424034</v>
      </c>
      <c r="AA141" s="150">
        <f t="shared" ref="AA141:AA204" si="84">IF(W141&lt;0,G141,1000000000)</f>
        <v>1000000000</v>
      </c>
      <c r="AB141" s="150">
        <f t="shared" ref="AB141:AB204" si="85">G141^2</f>
        <v>63096014.890000001</v>
      </c>
      <c r="AD141" s="592">
        <f t="shared" ref="AD141:AD204" si="86">20*LOG10((Q141/(O141*S141))*Aea)</f>
        <v>27.716726389157984</v>
      </c>
      <c r="AE141" s="593">
        <f t="shared" ref="AE141:AE204" si="87">(R141-(P141+T141))*radconv</f>
        <v>-11.761689893227111</v>
      </c>
      <c r="AG141" s="592">
        <f t="shared" ref="AG141:AG204" si="88">20*LOG10((K141*M141/(I141*U141))*Acs*Am)</f>
        <v>9.2379471018226678</v>
      </c>
      <c r="AH141" s="593">
        <f t="shared" ref="AH141:AH204" si="89">(L141+N141-(J141+V141))*radconv</f>
        <v>-80.558073911097125</v>
      </c>
      <c r="AJ141" s="150">
        <f t="shared" ref="AJ141:AJ204" si="90">SUM((W142&lt;0)*(W141&gt;0))*G141</f>
        <v>0</v>
      </c>
      <c r="AK141" s="150">
        <f t="shared" si="68"/>
        <v>0</v>
      </c>
      <c r="AM141" s="150" t="str">
        <f t="shared" si="62"/>
        <v>0.01014984804138+0.142115012111656i</v>
      </c>
      <c r="AN141" s="150" t="str">
        <f t="shared" si="63"/>
        <v>0.1425977879814i</v>
      </c>
      <c r="AO141" s="150" t="str">
        <f t="shared" si="64"/>
        <v>0.996614422449478-0.0711781591079373i</v>
      </c>
      <c r="AP141" s="150" t="str">
        <f t="shared" si="65"/>
        <v>0.164975025326437-0.0236858353519427i</v>
      </c>
      <c r="AQ141" s="150" t="str">
        <f t="shared" si="66"/>
        <v>0.835024974673563+0.0236858353519427i</v>
      </c>
      <c r="AR141" s="150" t="str">
        <f t="shared" si="67"/>
        <v>0.996772952500606-0.0282738849163509i</v>
      </c>
    </row>
    <row r="142" spans="7:44" x14ac:dyDescent="0.25">
      <c r="G142" s="594">
        <v>8035.8</v>
      </c>
      <c r="H142" s="582">
        <f t="shared" ref="H142:H205" si="91">G142/1000</f>
        <v>8.0358000000000001</v>
      </c>
      <c r="I142" s="583">
        <f t="shared" si="69"/>
        <v>7.9035581642072437</v>
      </c>
      <c r="J142" s="584">
        <f t="shared" si="70"/>
        <v>1.4439309968595389</v>
      </c>
      <c r="K142" s="584">
        <f t="shared" si="71"/>
        <v>1.0000094272024544</v>
      </c>
      <c r="L142" s="585">
        <f t="shared" si="72"/>
        <v>4.3421488677659057E-3</v>
      </c>
      <c r="M142" s="584">
        <f t="shared" si="73"/>
        <v>1.0023346702297915</v>
      </c>
      <c r="N142" s="585">
        <f t="shared" si="74"/>
        <v>-6.8266199881799119E-2</v>
      </c>
      <c r="O142" s="583">
        <f t="shared" si="75"/>
        <v>14541.241119302082</v>
      </c>
      <c r="P142" s="586">
        <f t="shared" si="76"/>
        <v>1.5707275568740497</v>
      </c>
      <c r="Q142" s="595">
        <f t="shared" si="77"/>
        <v>6.1408198801375011</v>
      </c>
      <c r="R142" s="596">
        <f t="shared" si="78"/>
        <v>1.4072231651763265</v>
      </c>
      <c r="S142" s="583">
        <f t="shared" si="79"/>
        <v>1.0008154379482606</v>
      </c>
      <c r="T142" s="586">
        <f t="shared" si="80"/>
        <v>4.0370390577509602E-2</v>
      </c>
      <c r="U142" s="587">
        <f t="shared" ref="U142:U205" si="92">IMABS(IMPRODUCT(AO142, AR142))</f>
        <v>0.99625296983432754</v>
      </c>
      <c r="V142" s="588">
        <f t="shared" ref="V142:V205" si="93">IMARGUMENT(IMPRODUCT(AO142, AR142))</f>
        <v>-0.10081339977759421</v>
      </c>
      <c r="W142" s="589">
        <f t="shared" si="81"/>
        <v>11.40085126267261</v>
      </c>
      <c r="X142" s="590">
        <f t="shared" si="82"/>
        <v>-103.85107737846019</v>
      </c>
      <c r="Y142" s="593">
        <f t="shared" si="83"/>
        <v>76.148922621539811</v>
      </c>
      <c r="AA142" s="150">
        <f t="shared" si="84"/>
        <v>1000000000</v>
      </c>
      <c r="AB142" s="150">
        <f t="shared" si="85"/>
        <v>64574081.640000001</v>
      </c>
      <c r="AD142" s="592">
        <f t="shared" si="86"/>
        <v>27.713867413960568</v>
      </c>
      <c r="AE142" s="593">
        <f t="shared" si="87"/>
        <v>-11.681164586867085</v>
      </c>
      <c r="AG142" s="592">
        <f t="shared" si="88"/>
        <v>9.140141643018671</v>
      </c>
      <c r="AH142" s="593">
        <f t="shared" si="89"/>
        <v>-80.617548127150101</v>
      </c>
      <c r="AJ142" s="150">
        <f t="shared" si="90"/>
        <v>0</v>
      </c>
      <c r="AK142" s="150">
        <f t="shared" si="68"/>
        <v>0</v>
      </c>
      <c r="AM142" s="150" t="str">
        <f t="shared" ref="AM142:AM205" si="94">IMSUB(1,IMEXP(COMPLEX(0,-2*Pi*G142*Tsw)))</f>
        <v>0.01038720261448+0.143758517141787i</v>
      </c>
      <c r="AN142" s="150" t="str">
        <f t="shared" ref="AN142:AN205" si="95">COMPLEX(0, 2*Pi*G142*Tsw)</f>
        <v>0.1442583440964i</v>
      </c>
      <c r="AO142" s="150" t="str">
        <f t="shared" ref="AO142:AO205" si="96">IMDIV(AM142, AN142)</f>
        <v>0.996535195535871-0.0720041719565199i</v>
      </c>
      <c r="AP142" s="150" t="str">
        <f t="shared" ref="AP142:AP205" si="97">IMDIV(IMEXP(COMPLEX(0,-2*Pi*G142*Tsw)),6)</f>
        <v>0.16493546623092-0.0239597528569645i</v>
      </c>
      <c r="AQ142" s="150" t="str">
        <f t="shared" ref="AQ142:AQ205" si="98">IMSUB(1, AP142)</f>
        <v>0.83506453376908+0.0239597528569645i</v>
      </c>
      <c r="AR142" s="150" t="str">
        <f t="shared" ref="AR142:AR205" si="99">IMDIV(0.833, AQ142)</f>
        <v>0.996707169872716-0.0285976191003204i</v>
      </c>
    </row>
    <row r="143" spans="7:44" x14ac:dyDescent="0.25">
      <c r="G143" s="594">
        <v>8128.3</v>
      </c>
      <c r="H143" s="582">
        <f t="shared" si="91"/>
        <v>8.1282999999999994</v>
      </c>
      <c r="I143" s="583">
        <f t="shared" si="69"/>
        <v>7.9930876547313945</v>
      </c>
      <c r="J143" s="584">
        <f t="shared" si="70"/>
        <v>1.4453595415327238</v>
      </c>
      <c r="K143" s="584">
        <f t="shared" si="71"/>
        <v>1.0000096454833678</v>
      </c>
      <c r="L143" s="585">
        <f t="shared" si="72"/>
        <v>4.392130653556774E-3</v>
      </c>
      <c r="M143" s="584">
        <f t="shared" si="73"/>
        <v>1.0023886638926152</v>
      </c>
      <c r="N143" s="585">
        <f t="shared" si="74"/>
        <v>-6.9049530072310503E-2</v>
      </c>
      <c r="O143" s="583">
        <f t="shared" si="75"/>
        <v>14708.625175302781</v>
      </c>
      <c r="P143" s="586">
        <f t="shared" si="76"/>
        <v>1.5707283394752898</v>
      </c>
      <c r="Q143" s="595">
        <f t="shared" si="77"/>
        <v>6.2096426688037027</v>
      </c>
      <c r="R143" s="596">
        <f t="shared" si="78"/>
        <v>1.4090521500770086</v>
      </c>
      <c r="S143" s="583">
        <f t="shared" si="79"/>
        <v>1.0008343111196829</v>
      </c>
      <c r="T143" s="586">
        <f t="shared" si="80"/>
        <v>4.0834580194217943E-2</v>
      </c>
      <c r="U143" s="587">
        <f t="shared" si="92"/>
        <v>0.99617584766880762</v>
      </c>
      <c r="V143" s="588">
        <f t="shared" si="93"/>
        <v>-0.10196995611997089</v>
      </c>
      <c r="W143" s="589">
        <f t="shared" si="81"/>
        <v>11.300039295669515</v>
      </c>
      <c r="X143" s="590">
        <f t="shared" si="82"/>
        <v>-103.96305835497499</v>
      </c>
      <c r="Y143" s="593">
        <f t="shared" si="83"/>
        <v>76.03694164502501</v>
      </c>
      <c r="AA143" s="150">
        <f t="shared" si="84"/>
        <v>1000000000</v>
      </c>
      <c r="AB143" s="150">
        <f t="shared" si="85"/>
        <v>66069260.890000001</v>
      </c>
      <c r="AD143" s="592">
        <f t="shared" si="86"/>
        <v>27.711096530871401</v>
      </c>
      <c r="AE143" s="593">
        <f t="shared" si="87"/>
        <v>-11.603012416854828</v>
      </c>
      <c r="AG143" s="592">
        <f t="shared" si="88"/>
        <v>9.0434453993576138</v>
      </c>
      <c r="AH143" s="593">
        <f t="shared" si="89"/>
        <v>-80.675149679151176</v>
      </c>
      <c r="AJ143" s="150">
        <f t="shared" si="90"/>
        <v>0</v>
      </c>
      <c r="AK143" s="150">
        <f t="shared" si="68"/>
        <v>0</v>
      </c>
      <c r="AM143" s="150" t="str">
        <f t="shared" si="94"/>
        <v>0.0106272859914071+0.145401625765574i</v>
      </c>
      <c r="AN143" s="150" t="str">
        <f t="shared" si="95"/>
        <v>0.1459189002114i</v>
      </c>
      <c r="AO143" s="150" t="str">
        <f t="shared" si="96"/>
        <v>0.996455055204798-0.0728300855887128i</v>
      </c>
      <c r="AP143" s="150" t="str">
        <f t="shared" si="97"/>
        <v>0.164895452334765-0.0242336042942623i</v>
      </c>
      <c r="AQ143" s="150" t="str">
        <f t="shared" si="98"/>
        <v>0.835104547665235+0.0242336042942623i</v>
      </c>
      <c r="AR143" s="150" t="str">
        <f t="shared" si="99"/>
        <v>0.996640646130399-0.0289211633554459i</v>
      </c>
    </row>
    <row r="144" spans="7:44" x14ac:dyDescent="0.25">
      <c r="G144" s="594">
        <v>8222.9500000000007</v>
      </c>
      <c r="H144" s="582">
        <f t="shared" si="91"/>
        <v>8.2229500000000009</v>
      </c>
      <c r="I144" s="583">
        <f t="shared" si="69"/>
        <v>8.0847146075781477</v>
      </c>
      <c r="J144" s="584">
        <f t="shared" si="70"/>
        <v>1.4467885364091921</v>
      </c>
      <c r="K144" s="584">
        <f t="shared" si="71"/>
        <v>1.0000098714238137</v>
      </c>
      <c r="L144" s="585">
        <f t="shared" si="72"/>
        <v>4.4432741554346917E-3</v>
      </c>
      <c r="M144" s="584">
        <f t="shared" si="73"/>
        <v>1.00244454915609</v>
      </c>
      <c r="N144" s="585">
        <f t="shared" si="74"/>
        <v>-6.9850979543526162E-2</v>
      </c>
      <c r="O144" s="583">
        <f t="shared" si="75"/>
        <v>14879.899779641259</v>
      </c>
      <c r="P144" s="586">
        <f t="shared" si="76"/>
        <v>1.5707291220411306</v>
      </c>
      <c r="Q144" s="595">
        <f t="shared" si="77"/>
        <v>6.2800861477328347</v>
      </c>
      <c r="R144" s="596">
        <f t="shared" si="78"/>
        <v>1.4108821444896664</v>
      </c>
      <c r="S144" s="583">
        <f t="shared" si="79"/>
        <v>1.0008538461849672</v>
      </c>
      <c r="T144" s="586">
        <f t="shared" si="80"/>
        <v>4.1309540856361106E-2</v>
      </c>
      <c r="U144" s="587">
        <f t="shared" si="92"/>
        <v>0.99609603710014372</v>
      </c>
      <c r="V144" s="588">
        <f t="shared" si="93"/>
        <v>-0.10315325653478274</v>
      </c>
      <c r="W144" s="589">
        <f t="shared" si="81"/>
        <v>11.198079013225779</v>
      </c>
      <c r="X144" s="590">
        <f t="shared" si="82"/>
        <v>-104.07812833824283</v>
      </c>
      <c r="Y144" s="593">
        <f t="shared" si="83"/>
        <v>75.921871661757166</v>
      </c>
      <c r="AA144" s="150">
        <f t="shared" si="84"/>
        <v>1000000000</v>
      </c>
      <c r="AB144" s="150">
        <f t="shared" si="85"/>
        <v>67616906.702500015</v>
      </c>
      <c r="AD144" s="592">
        <f t="shared" si="86"/>
        <v>27.708348321867511</v>
      </c>
      <c r="AE144" s="593">
        <f t="shared" si="87"/>
        <v>-11.525419539483751</v>
      </c>
      <c r="AG144" s="592">
        <f t="shared" si="88"/>
        <v>8.9456251556113635</v>
      </c>
      <c r="AH144" s="593">
        <f t="shared" si="89"/>
        <v>-80.732216300305552</v>
      </c>
      <c r="AJ144" s="150">
        <f t="shared" si="90"/>
        <v>0</v>
      </c>
      <c r="AK144" s="150">
        <f t="shared" si="68"/>
        <v>0</v>
      </c>
      <c r="AM144" s="150" t="str">
        <f t="shared" si="94"/>
        <v>0.010875773674352+0.147082510502398i</v>
      </c>
      <c r="AN144" s="150" t="str">
        <f t="shared" si="95"/>
        <v>0.1476180530361i</v>
      </c>
      <c r="AO144" s="150" t="str">
        <f t="shared" si="96"/>
        <v>0.996372106780388-0.073675092244255i</v>
      </c>
      <c r="AP144" s="150" t="str">
        <f t="shared" si="97"/>
        <v>0.164854037720941-0.0245137517503997i</v>
      </c>
      <c r="AQ144" s="150" t="str">
        <f t="shared" si="98"/>
        <v>0.835145962279059+0.0245137517503997i</v>
      </c>
      <c r="AR144" s="150" t="str">
        <f t="shared" si="99"/>
        <v>0.996571809735573-0.0292520290448837i</v>
      </c>
    </row>
    <row r="145" spans="7:44" x14ac:dyDescent="0.25">
      <c r="G145" s="594">
        <v>8270.2750000000015</v>
      </c>
      <c r="H145" s="582">
        <f t="shared" si="91"/>
        <v>8.2702750000000016</v>
      </c>
      <c r="I145" s="583">
        <f t="shared" si="69"/>
        <v>8.1305341702950003</v>
      </c>
      <c r="J145" s="584">
        <f t="shared" si="70"/>
        <v>1.4474909551013979</v>
      </c>
      <c r="K145" s="584">
        <f t="shared" si="71"/>
        <v>1.0000099853749176</v>
      </c>
      <c r="L145" s="585">
        <f t="shared" si="72"/>
        <v>4.4688458976737547E-3</v>
      </c>
      <c r="M145" s="584">
        <f t="shared" si="73"/>
        <v>1.0024727332268846</v>
      </c>
      <c r="N145" s="585">
        <f t="shared" si="74"/>
        <v>-7.0251670641396494E-2</v>
      </c>
      <c r="O145" s="583">
        <f t="shared" si="75"/>
        <v>14965.537081813858</v>
      </c>
      <c r="P145" s="586">
        <f t="shared" si="76"/>
        <v>1.5707295066069356</v>
      </c>
      <c r="Q145" s="595">
        <f t="shared" si="77"/>
        <v>6.3153156419525507</v>
      </c>
      <c r="R145" s="596">
        <f t="shared" si="78"/>
        <v>1.4117818308413259</v>
      </c>
      <c r="S145" s="583">
        <f t="shared" si="79"/>
        <v>1.0008636983827182</v>
      </c>
      <c r="T145" s="586">
        <f t="shared" si="80"/>
        <v>4.1547014207861679E-2</v>
      </c>
      <c r="U145" s="587">
        <f t="shared" si="92"/>
        <v>0.99605579221165852</v>
      </c>
      <c r="V145" s="588">
        <f t="shared" si="93"/>
        <v>-0.1037448538899902</v>
      </c>
      <c r="W145" s="589">
        <f t="shared" si="81"/>
        <v>11.147543236305893</v>
      </c>
      <c r="X145" s="590">
        <f t="shared" si="82"/>
        <v>-104.13584277628885</v>
      </c>
      <c r="Y145" s="593">
        <f t="shared" si="83"/>
        <v>75.864157223711146</v>
      </c>
      <c r="AA145" s="150">
        <f t="shared" si="84"/>
        <v>1000000000</v>
      </c>
      <c r="AB145" s="150">
        <f t="shared" si="85"/>
        <v>68397448.575625017</v>
      </c>
      <c r="AD145" s="592">
        <f t="shared" si="86"/>
        <v>27.707006002818098</v>
      </c>
      <c r="AE145" s="593">
        <f t="shared" si="87"/>
        <v>-11.487499563390196</v>
      </c>
      <c r="AG145" s="592">
        <f t="shared" si="88"/>
        <v>8.8971335772960227</v>
      </c>
      <c r="AH145" s="593">
        <f t="shared" si="89"/>
        <v>-80.760058651118712</v>
      </c>
      <c r="AJ145" s="150">
        <f t="shared" si="90"/>
        <v>0</v>
      </c>
      <c r="AK145" s="150">
        <f t="shared" si="68"/>
        <v>0</v>
      </c>
      <c r="AM145" s="150" t="str">
        <f t="shared" si="94"/>
        <v>0.011001088455972+0.147922793932269i</v>
      </c>
      <c r="AN145" s="150" t="str">
        <f t="shared" si="95"/>
        <v>0.14846762944845i</v>
      </c>
      <c r="AO145" s="150" t="str">
        <f t="shared" si="96"/>
        <v>0.996330274025355-0.0740975557893698i</v>
      </c>
      <c r="AP145" s="150" t="str">
        <f t="shared" si="97"/>
        <v>0.164833151924005-0.0246537989887115i</v>
      </c>
      <c r="AQ145" s="150" t="str">
        <f t="shared" si="98"/>
        <v>0.835166848075995+0.0246537989887115i</v>
      </c>
      <c r="AR145" s="150" t="str">
        <f t="shared" si="99"/>
        <v>0.996537101060873-0.0294173857965594i</v>
      </c>
    </row>
    <row r="146" spans="7:44" x14ac:dyDescent="0.25">
      <c r="G146" s="594">
        <v>8317.6</v>
      </c>
      <c r="H146" s="582">
        <f t="shared" si="91"/>
        <v>8.3176000000000005</v>
      </c>
      <c r="I146" s="583">
        <f t="shared" si="69"/>
        <v>8.1763576995907581</v>
      </c>
      <c r="J146" s="584">
        <f t="shared" si="70"/>
        <v>1.4481855008710123</v>
      </c>
      <c r="K146" s="584">
        <f t="shared" si="71"/>
        <v>1.0000100999799419</v>
      </c>
      <c r="L146" s="585">
        <f t="shared" si="72"/>
        <v>4.4944176340682975E-3</v>
      </c>
      <c r="M146" s="584">
        <f t="shared" si="73"/>
        <v>1.0025010782389758</v>
      </c>
      <c r="N146" s="585">
        <f t="shared" si="74"/>
        <v>-7.0652339145075155E-2</v>
      </c>
      <c r="O146" s="583">
        <f t="shared" si="75"/>
        <v>15051.17438398864</v>
      </c>
      <c r="P146" s="586">
        <f t="shared" si="76"/>
        <v>1.57072988679658</v>
      </c>
      <c r="Q146" s="595">
        <f t="shared" si="77"/>
        <v>6.3505501912951603</v>
      </c>
      <c r="R146" s="596">
        <f t="shared" si="78"/>
        <v>1.4126715345059444</v>
      </c>
      <c r="S146" s="583">
        <f t="shared" si="79"/>
        <v>1.000873607021656</v>
      </c>
      <c r="T146" s="586">
        <f t="shared" si="80"/>
        <v>4.1784482870786011E-2</v>
      </c>
      <c r="U146" s="587">
        <f t="shared" si="92"/>
        <v>0.99601532102502222</v>
      </c>
      <c r="V146" s="588">
        <f t="shared" si="93"/>
        <v>-0.10433641574714203</v>
      </c>
      <c r="W146" s="589">
        <f t="shared" si="81"/>
        <v>11.097299057057782</v>
      </c>
      <c r="X146" s="590">
        <f t="shared" si="82"/>
        <v>-104.19367424745687</v>
      </c>
      <c r="Y146" s="593">
        <f t="shared" si="83"/>
        <v>75.806325752543131</v>
      </c>
      <c r="AA146" s="150">
        <f t="shared" si="84"/>
        <v>1000000000</v>
      </c>
      <c r="AB146" s="150">
        <f t="shared" si="85"/>
        <v>69182469.760000005</v>
      </c>
      <c r="AD146" s="592">
        <f t="shared" si="86"/>
        <v>27.70568423202554</v>
      </c>
      <c r="AE146" s="593">
        <f t="shared" si="87"/>
        <v>-11.450151033761774</v>
      </c>
      <c r="AG146" s="592">
        <f t="shared" si="88"/>
        <v>8.8489170236834145</v>
      </c>
      <c r="AH146" s="593">
        <f t="shared" si="89"/>
        <v>-80.787450656366232</v>
      </c>
      <c r="AJ146" s="150">
        <f t="shared" si="90"/>
        <v>0</v>
      </c>
      <c r="AK146" s="150">
        <f t="shared" si="68"/>
        <v>0</v>
      </c>
      <c r="AM146" s="150" t="str">
        <f t="shared" si="94"/>
        <v>0.011127117077264+0.148762970594419i</v>
      </c>
      <c r="AN146" s="150" t="str">
        <f t="shared" si="95"/>
        <v>0.1493172058608i</v>
      </c>
      <c r="AO146" s="150" t="str">
        <f t="shared" si="96"/>
        <v>0.996288202265868-0.074519992609808i</v>
      </c>
      <c r="AP146" s="150" t="str">
        <f t="shared" si="97"/>
        <v>0.164812147153789-0.0247938284324032i</v>
      </c>
      <c r="AQ146" s="150" t="str">
        <f t="shared" si="98"/>
        <v>0.835187852846211+0.0247938284324032i</v>
      </c>
      <c r="AR146" s="150" t="str">
        <f t="shared" si="99"/>
        <v>0.996502198861534-0.0295826914470641i</v>
      </c>
    </row>
    <row r="147" spans="7:44" x14ac:dyDescent="0.25">
      <c r="G147" s="594">
        <v>8366.0499999999993</v>
      </c>
      <c r="H147" s="582">
        <f t="shared" si="91"/>
        <v>8.3660499999999995</v>
      </c>
      <c r="I147" s="583">
        <f t="shared" si="69"/>
        <v>8.2232745761398345</v>
      </c>
      <c r="J147" s="584">
        <f t="shared" si="70"/>
        <v>1.4488885380907439</v>
      </c>
      <c r="K147" s="584">
        <f t="shared" si="71"/>
        <v>1.0000102179867552</v>
      </c>
      <c r="L147" s="585">
        <f t="shared" si="72"/>
        <v>4.5205972503415239E-3</v>
      </c>
      <c r="M147" s="584">
        <f t="shared" si="73"/>
        <v>1.0025302637740754</v>
      </c>
      <c r="N147" s="585">
        <f t="shared" si="74"/>
        <v>-7.1062508718059261E-2</v>
      </c>
      <c r="O147" s="583">
        <f t="shared" si="75"/>
        <v>15138.847438198332</v>
      </c>
      <c r="P147" s="586">
        <f t="shared" si="76"/>
        <v>1.570730271568116</v>
      </c>
      <c r="Q147" s="595">
        <f t="shared" si="77"/>
        <v>6.3866274784191033</v>
      </c>
      <c r="R147" s="596">
        <f t="shared" si="78"/>
        <v>1.4135722176102699</v>
      </c>
      <c r="S147" s="583">
        <f t="shared" si="79"/>
        <v>1.0008838096746318</v>
      </c>
      <c r="T147" s="586">
        <f t="shared" si="80"/>
        <v>4.2027591704185192E-2</v>
      </c>
      <c r="U147" s="587">
        <f t="shared" si="92"/>
        <v>0.99597365341696698</v>
      </c>
      <c r="V147" s="588">
        <f t="shared" si="93"/>
        <v>-0.1049420031091004</v>
      </c>
      <c r="W147" s="589">
        <f t="shared" si="81"/>
        <v>11.046159003987416</v>
      </c>
      <c r="X147" s="590">
        <f t="shared" si="82"/>
        <v>-104.25299973226215</v>
      </c>
      <c r="Y147" s="593">
        <f t="shared" si="83"/>
        <v>75.747000267737846</v>
      </c>
      <c r="AA147" s="150">
        <f t="shared" si="84"/>
        <v>1000000000</v>
      </c>
      <c r="AB147" s="150">
        <f t="shared" si="85"/>
        <v>69990792.602499992</v>
      </c>
      <c r="AD147" s="592">
        <f t="shared" si="86"/>
        <v>27.704351841715148</v>
      </c>
      <c r="AE147" s="593">
        <f t="shared" si="87"/>
        <v>-11.412496849063368</v>
      </c>
      <c r="AG147" s="592">
        <f t="shared" si="88"/>
        <v>8.7998361124260711</v>
      </c>
      <c r="AH147" s="593">
        <f t="shared" si="89"/>
        <v>-80.815035125857264</v>
      </c>
      <c r="AJ147" s="150">
        <f t="shared" si="90"/>
        <v>0</v>
      </c>
      <c r="AK147" s="150">
        <f t="shared" si="68"/>
        <v>0</v>
      </c>
      <c r="AM147" s="150" t="str">
        <f t="shared" si="94"/>
        <v>0.011256881024829+0.149623008522253i</v>
      </c>
      <c r="AN147" s="150" t="str">
        <f t="shared" si="95"/>
        <v>0.1501869782259i</v>
      </c>
      <c r="AO147" s="150" t="str">
        <f t="shared" si="96"/>
        <v>0.996244882810022-0.0749524436659032i</v>
      </c>
      <c r="AP147" s="150" t="str">
        <f t="shared" si="97"/>
        <v>0.164790519829195-0.0249371680870422i</v>
      </c>
      <c r="AQ147" s="150" t="str">
        <f t="shared" si="98"/>
        <v>0.835209480170805+0.0249371680870422i</v>
      </c>
      <c r="AR147" s="150" t="str">
        <f t="shared" si="99"/>
        <v>0.996466266594495-0.0297518734797557i</v>
      </c>
    </row>
    <row r="148" spans="7:44" x14ac:dyDescent="0.25">
      <c r="G148" s="597">
        <v>8414.5</v>
      </c>
      <c r="H148" s="582">
        <f t="shared" si="91"/>
        <v>8.4145000000000003</v>
      </c>
      <c r="I148" s="583">
        <f t="shared" si="69"/>
        <v>8.2701954710191288</v>
      </c>
      <c r="J148" s="584">
        <f t="shared" si="70"/>
        <v>1.4495835982974961</v>
      </c>
      <c r="K148" s="584">
        <f t="shared" si="71"/>
        <v>1.0000103366789477</v>
      </c>
      <c r="L148" s="585">
        <f t="shared" si="72"/>
        <v>4.5467768604181263E-3</v>
      </c>
      <c r="M148" s="584">
        <f t="shared" si="73"/>
        <v>1.0025596179641061</v>
      </c>
      <c r="N148" s="585">
        <f t="shared" si="74"/>
        <v>-7.1472654341130606E-2</v>
      </c>
      <c r="O148" s="583">
        <f t="shared" si="75"/>
        <v>15226.520492410244</v>
      </c>
      <c r="P148" s="586">
        <f t="shared" si="76"/>
        <v>1.5707306519086863</v>
      </c>
      <c r="Q148" s="595">
        <f t="shared" ref="Q148:Q157" si="100">SQRT(1+(G148/Zero2)^2)</f>
        <v>6.4227098883596501</v>
      </c>
      <c r="R148" s="596">
        <f t="shared" ref="R148:R157" si="101">ATAN(G148/Zero2)</f>
        <v>1.4144627814598933</v>
      </c>
      <c r="S148" s="583">
        <f t="shared" si="79"/>
        <v>1.000894071480539</v>
      </c>
      <c r="T148" s="586">
        <f t="shared" si="80"/>
        <v>4.2270695566937661E-2</v>
      </c>
      <c r="U148" s="587">
        <f t="shared" si="92"/>
        <v>0.99593174879191471</v>
      </c>
      <c r="V148" s="588">
        <f t="shared" si="93"/>
        <v>-0.10554755284678334</v>
      </c>
      <c r="W148" s="589">
        <f t="shared" si="81"/>
        <v>10.995317414230074</v>
      </c>
      <c r="X148" s="590">
        <f t="shared" si="82"/>
        <v>-104.31244389221817</v>
      </c>
      <c r="Y148" s="593">
        <f t="shared" si="83"/>
        <v>75.68755610778183</v>
      </c>
      <c r="AA148" s="150">
        <f t="shared" si="84"/>
        <v>1000000000</v>
      </c>
      <c r="AB148" s="150">
        <f t="shared" si="85"/>
        <v>70803810.25</v>
      </c>
      <c r="AD148" s="592">
        <f t="shared" si="86"/>
        <v>27.70304001580039</v>
      </c>
      <c r="AE148" s="593">
        <f t="shared" si="87"/>
        <v>-11.375421916279153</v>
      </c>
      <c r="AG148" s="592">
        <f t="shared" si="88"/>
        <v>8.7510372647167145</v>
      </c>
      <c r="AH148" s="593">
        <f t="shared" si="89"/>
        <v>-80.842163330009228</v>
      </c>
      <c r="AJ148" s="150">
        <f t="shared" si="90"/>
        <v>0</v>
      </c>
      <c r="AK148" s="150">
        <f t="shared" si="68"/>
        <v>0</v>
      </c>
      <c r="AM148" s="150" t="str">
        <f t="shared" si="94"/>
        <v>0.011387392960439+0.150482933259694i</v>
      </c>
      <c r="AN148" s="150" t="str">
        <f t="shared" si="95"/>
        <v>0.151056750591i</v>
      </c>
      <c r="AO148" s="150" t="str">
        <f t="shared" si="96"/>
        <v>0.996201312890282-0.0753848663888674i</v>
      </c>
      <c r="AP148" s="150" t="str">
        <f t="shared" si="97"/>
        <v>0.164768767839927-0.0250804888766157i</v>
      </c>
      <c r="AQ148" s="150" t="str">
        <f t="shared" si="98"/>
        <v>0.835231232160073+0.0250804888766157i</v>
      </c>
      <c r="AR148" s="150" t="str">
        <f t="shared" si="99"/>
        <v>0.996430131696372-0.0299210013611488i</v>
      </c>
    </row>
    <row r="149" spans="7:44" x14ac:dyDescent="0.25">
      <c r="G149" s="597">
        <v>8462.9500000000007</v>
      </c>
      <c r="H149" s="582">
        <f t="shared" si="91"/>
        <v>8.4629500000000011</v>
      </c>
      <c r="I149" s="583">
        <f t="shared" si="69"/>
        <v>8.3171203162206133</v>
      </c>
      <c r="J149" s="584">
        <f t="shared" si="70"/>
        <v>1.4502708158318629</v>
      </c>
      <c r="K149" s="584">
        <f t="shared" si="71"/>
        <v>1.0000104560565188</v>
      </c>
      <c r="L149" s="585">
        <f t="shared" si="72"/>
        <v>4.5729564642622202E-3</v>
      </c>
      <c r="M149" s="584">
        <f t="shared" si="73"/>
        <v>1.0025891407942544</v>
      </c>
      <c r="N149" s="585">
        <f t="shared" si="74"/>
        <v>-7.188277587840998E-2</v>
      </c>
      <c r="O149" s="583">
        <f t="shared" si="75"/>
        <v>15314.193546624332</v>
      </c>
      <c r="P149" s="586">
        <f t="shared" si="76"/>
        <v>1.570731027894392</v>
      </c>
      <c r="Q149" s="595">
        <f t="shared" si="100"/>
        <v>6.4587973352601491</v>
      </c>
      <c r="R149" s="596">
        <f t="shared" si="101"/>
        <v>1.41534339424914</v>
      </c>
      <c r="S149" s="583">
        <f t="shared" si="79"/>
        <v>1.0009043924375587</v>
      </c>
      <c r="T149" s="586">
        <f t="shared" si="80"/>
        <v>4.2513794430462125E-2</v>
      </c>
      <c r="U149" s="587">
        <f t="shared" si="92"/>
        <v>0.99588960723557718</v>
      </c>
      <c r="V149" s="588">
        <f t="shared" si="93"/>
        <v>-0.10615306474866183</v>
      </c>
      <c r="W149" s="589">
        <f t="shared" si="81"/>
        <v>10.944770759915418</v>
      </c>
      <c r="X149" s="590">
        <f t="shared" si="82"/>
        <v>-104.37200477046878</v>
      </c>
      <c r="Y149" s="593">
        <f t="shared" si="83"/>
        <v>75.627995229531223</v>
      </c>
      <c r="AA149" s="150">
        <f t="shared" si="84"/>
        <v>1000000000</v>
      </c>
      <c r="AB149" s="150">
        <f t="shared" si="85"/>
        <v>71621522.702500015</v>
      </c>
      <c r="AD149" s="592">
        <f t="shared" si="86"/>
        <v>27.701748282677595</v>
      </c>
      <c r="AE149" s="593">
        <f t="shared" si="87"/>
        <v>-11.338916601306835</v>
      </c>
      <c r="AG149" s="592">
        <f t="shared" si="88"/>
        <v>8.7025174233179712</v>
      </c>
      <c r="AH149" s="593">
        <f t="shared" si="89"/>
        <v>-80.868842970307668</v>
      </c>
      <c r="AJ149" s="150">
        <f t="shared" si="90"/>
        <v>0</v>
      </c>
      <c r="AK149" s="150">
        <f t="shared" si="68"/>
        <v>0</v>
      </c>
      <c r="AM149" s="150" t="str">
        <f t="shared" si="94"/>
        <v>0.01151865278536+0.151342744156207i</v>
      </c>
      <c r="AN149" s="150" t="str">
        <f t="shared" si="95"/>
        <v>0.1519265229561i</v>
      </c>
      <c r="AO149" s="150" t="str">
        <f t="shared" si="96"/>
        <v>0.996157492526425-0.0758172606154383i</v>
      </c>
      <c r="AP149" s="150" t="str">
        <f t="shared" si="97"/>
        <v>0.16474689120244-0.0252237906927012i</v>
      </c>
      <c r="AQ149" s="150" t="str">
        <f t="shared" si="98"/>
        <v>0.83525310879756+0.0252237906927012i</v>
      </c>
      <c r="AR149" s="150" t="str">
        <f t="shared" si="99"/>
        <v>0.996393794271075-0.0300900747922764i</v>
      </c>
    </row>
    <row r="150" spans="7:44" x14ac:dyDescent="0.25">
      <c r="G150" s="597">
        <v>8511.4</v>
      </c>
      <c r="H150" s="582">
        <f t="shared" si="91"/>
        <v>8.5114000000000001</v>
      </c>
      <c r="I150" s="583">
        <f t="shared" si="69"/>
        <v>8.364049045256774</v>
      </c>
      <c r="J150" s="584">
        <f t="shared" si="70"/>
        <v>1.4509503220494364</v>
      </c>
      <c r="K150" s="584">
        <f t="shared" si="71"/>
        <v>1.0000105761194689</v>
      </c>
      <c r="L150" s="585">
        <f t="shared" si="72"/>
        <v>4.5991360618379221E-3</v>
      </c>
      <c r="M150" s="584">
        <f t="shared" si="73"/>
        <v>1.002618832249623</v>
      </c>
      <c r="N150" s="585">
        <f t="shared" si="74"/>
        <v>-7.2292873194066562E-2</v>
      </c>
      <c r="O150" s="583">
        <f t="shared" si="75"/>
        <v>15401.866600840556</v>
      </c>
      <c r="P150" s="586">
        <f t="shared" si="76"/>
        <v>1.5707313995996015</v>
      </c>
      <c r="Q150" s="595">
        <f t="shared" si="100"/>
        <v>6.494889735160271</v>
      </c>
      <c r="R150" s="596">
        <f t="shared" si="101"/>
        <v>1.4162142204962025</v>
      </c>
      <c r="S150" s="583">
        <f t="shared" si="79"/>
        <v>1.0009147725438607</v>
      </c>
      <c r="T150" s="586">
        <f t="shared" si="80"/>
        <v>4.275688826618082E-2</v>
      </c>
      <c r="U150" s="587">
        <f t="shared" si="92"/>
        <v>0.9958472288341168</v>
      </c>
      <c r="V150" s="588">
        <f t="shared" si="93"/>
        <v>-0.10675853860334114</v>
      </c>
      <c r="W150" s="589">
        <f t="shared" si="81"/>
        <v>10.894515575455932</v>
      </c>
      <c r="X150" s="590">
        <f t="shared" si="82"/>
        <v>-104.43168044966794</v>
      </c>
      <c r="Y150" s="593">
        <f t="shared" si="83"/>
        <v>75.568319550332063</v>
      </c>
      <c r="AA150" s="150">
        <f t="shared" si="84"/>
        <v>1000000000</v>
      </c>
      <c r="AB150" s="150">
        <f t="shared" si="85"/>
        <v>72443929.959999993</v>
      </c>
      <c r="AD150" s="592">
        <f t="shared" si="86"/>
        <v>27.700476183810419</v>
      </c>
      <c r="AE150" s="593">
        <f t="shared" si="87"/>
        <v>-11.302971480571923</v>
      </c>
      <c r="AG150" s="592">
        <f t="shared" si="88"/>
        <v>8.6542735802029043</v>
      </c>
      <c r="AH150" s="593">
        <f t="shared" si="89"/>
        <v>-80.895081577205204</v>
      </c>
      <c r="AJ150" s="150">
        <f t="shared" si="90"/>
        <v>0</v>
      </c>
      <c r="AK150" s="150">
        <f t="shared" si="68"/>
        <v>0</v>
      </c>
      <c r="AM150" s="150" t="str">
        <f t="shared" si="94"/>
        <v>0.0116506604002961+0.15220244056134i</v>
      </c>
      <c r="AN150" s="150" t="str">
        <f t="shared" si="95"/>
        <v>0.1527962953212i</v>
      </c>
      <c r="AO150" s="150" t="str">
        <f t="shared" si="96"/>
        <v>0.996113421738324-0.0762496261823935i</v>
      </c>
      <c r="AP150" s="150" t="str">
        <f t="shared" si="97"/>
        <v>0.164724889933284-0.02536707342689i</v>
      </c>
      <c r="AQ150" s="150" t="str">
        <f t="shared" si="98"/>
        <v>0.835275110066716+0.02536707342689i</v>
      </c>
      <c r="AR150" s="150" t="str">
        <f t="shared" si="99"/>
        <v>0.996357254423073-0.0302590934744193i</v>
      </c>
    </row>
    <row r="151" spans="7:44" x14ac:dyDescent="0.25">
      <c r="G151" s="597">
        <v>8560.9500000000007</v>
      </c>
      <c r="H151" s="582">
        <f t="shared" si="91"/>
        <v>8.5609500000000001</v>
      </c>
      <c r="I151" s="583">
        <f t="shared" si="69"/>
        <v>8.4120471849956733</v>
      </c>
      <c r="J151" s="584">
        <f t="shared" si="70"/>
        <v>1.4516374135829786</v>
      </c>
      <c r="K151" s="584">
        <f t="shared" si="71"/>
        <v>1.0000106996172022</v>
      </c>
      <c r="L151" s="585">
        <f t="shared" si="72"/>
        <v>4.6259100297210906E-3</v>
      </c>
      <c r="M151" s="584">
        <f t="shared" si="73"/>
        <v>1.002649372210124</v>
      </c>
      <c r="N151" s="585">
        <f t="shared" si="74"/>
        <v>-7.2712256090437216E-2</v>
      </c>
      <c r="O151" s="583">
        <f t="shared" si="75"/>
        <v>15491.530168157782</v>
      </c>
      <c r="P151" s="586">
        <f t="shared" si="76"/>
        <v>1.5707317753923018</v>
      </c>
      <c r="Q151" s="595">
        <f t="shared" si="100"/>
        <v>6.5318066077408901</v>
      </c>
      <c r="R151" s="596">
        <f t="shared" si="101"/>
        <v>1.417094863174537</v>
      </c>
      <c r="S151" s="583">
        <f t="shared" si="79"/>
        <v>1.0009254494951922</v>
      </c>
      <c r="T151" s="586">
        <f t="shared" si="80"/>
        <v>4.3005496030086902E-2</v>
      </c>
      <c r="U151" s="587">
        <f t="shared" si="92"/>
        <v>0.99580364339932803</v>
      </c>
      <c r="V151" s="588">
        <f t="shared" si="93"/>
        <v>-0.10737771945348179</v>
      </c>
      <c r="W151" s="589">
        <f t="shared" si="81"/>
        <v>10.843417329716287</v>
      </c>
      <c r="X151" s="590">
        <f t="shared" si="82"/>
        <v>-104.49282777705281</v>
      </c>
      <c r="Y151" s="593">
        <f t="shared" si="83"/>
        <v>75.50717222294719</v>
      </c>
      <c r="AA151" s="150">
        <f t="shared" si="84"/>
        <v>1000000000</v>
      </c>
      <c r="AB151" s="150">
        <f t="shared" si="85"/>
        <v>73289864.902500018</v>
      </c>
      <c r="AD151" s="592">
        <f t="shared" si="86"/>
        <v>27.699195046799154</v>
      </c>
      <c r="AE151" s="593">
        <f t="shared" si="87"/>
        <v>-11.266780078764606</v>
      </c>
      <c r="AG151" s="592">
        <f t="shared" si="88"/>
        <v>8.6052168020761179</v>
      </c>
      <c r="AH151" s="593">
        <f t="shared" si="89"/>
        <v>-80.921467407379609</v>
      </c>
      <c r="AJ151" s="150">
        <f t="shared" si="90"/>
        <v>0</v>
      </c>
      <c r="AK151" s="150">
        <f t="shared" si="68"/>
        <v>0</v>
      </c>
      <c r="AM151" s="150" t="str">
        <f t="shared" si="94"/>
        <v>0.0117864384373429+0.153081536259764i</v>
      </c>
      <c r="AN151" s="150" t="str">
        <f t="shared" si="95"/>
        <v>0.1536858148401i</v>
      </c>
      <c r="AO151" s="150" t="str">
        <f t="shared" si="96"/>
        <v>0.996068091378735-0.076691778285497i</v>
      </c>
      <c r="AP151" s="150" t="str">
        <f t="shared" si="97"/>
        <v>0.164702260260443-0.0255135893766273i</v>
      </c>
      <c r="AQ151" s="150" t="str">
        <f t="shared" si="98"/>
        <v>0.835297739739557+0.0255135893766273i</v>
      </c>
      <c r="AR151" s="150" t="str">
        <f t="shared" si="99"/>
        <v>0.996319675721925-0.0304318925873658i</v>
      </c>
    </row>
    <row r="152" spans="7:44" x14ac:dyDescent="0.25">
      <c r="G152" s="597">
        <v>8610.5</v>
      </c>
      <c r="H152" s="582">
        <f t="shared" si="91"/>
        <v>8.6105</v>
      </c>
      <c r="I152" s="583">
        <f t="shared" si="69"/>
        <v>8.4600492509548104</v>
      </c>
      <c r="J152" s="584">
        <f t="shared" si="70"/>
        <v>1.452316708360639</v>
      </c>
      <c r="K152" s="584">
        <f t="shared" si="71"/>
        <v>1.0000108238317884</v>
      </c>
      <c r="L152" s="585">
        <f t="shared" si="72"/>
        <v>4.6526839909720894E-3</v>
      </c>
      <c r="M152" s="584">
        <f t="shared" si="73"/>
        <v>1.0026800885078548</v>
      </c>
      <c r="N152" s="585">
        <f t="shared" si="74"/>
        <v>-7.3131613365646345E-2</v>
      </c>
      <c r="O152" s="583">
        <f t="shared" si="75"/>
        <v>15581.193735477167</v>
      </c>
      <c r="P152" s="586">
        <f t="shared" si="76"/>
        <v>1.5707321468599273</v>
      </c>
      <c r="Q152" s="595">
        <f t="shared" si="100"/>
        <v>6.5687284890026385</v>
      </c>
      <c r="R152" s="596">
        <f t="shared" si="101"/>
        <v>1.4179656065893256</v>
      </c>
      <c r="S152" s="583">
        <f t="shared" si="79"/>
        <v>1.00093618830822</v>
      </c>
      <c r="T152" s="586">
        <f t="shared" si="80"/>
        <v>4.3254098474847305E-2</v>
      </c>
      <c r="U152" s="587">
        <f t="shared" si="92"/>
        <v>0.99575981042654815</v>
      </c>
      <c r="V152" s="588">
        <f t="shared" si="93"/>
        <v>-0.10799686006226349</v>
      </c>
      <c r="W152" s="589">
        <f t="shared" si="81"/>
        <v>10.792616800413459</v>
      </c>
      <c r="X152" s="590">
        <f t="shared" si="82"/>
        <v>-104.55409124341587</v>
      </c>
      <c r="Y152" s="593">
        <f t="shared" si="83"/>
        <v>75.445908756584132</v>
      </c>
      <c r="AA152" s="150">
        <f t="shared" si="84"/>
        <v>1000000000</v>
      </c>
      <c r="AB152" s="150">
        <f t="shared" si="85"/>
        <v>74140710.25</v>
      </c>
      <c r="AD152" s="592">
        <f t="shared" si="86"/>
        <v>27.69793351563489</v>
      </c>
      <c r="AE152" s="593">
        <f t="shared" si="87"/>
        <v>-11.231155310406276</v>
      </c>
      <c r="AG152" s="592">
        <f t="shared" si="88"/>
        <v>8.556442486304876</v>
      </c>
      <c r="AH152" s="593">
        <f t="shared" si="89"/>
        <v>-80.947407354403168</v>
      </c>
      <c r="AJ152" s="150">
        <f t="shared" si="90"/>
        <v>0</v>
      </c>
      <c r="AK152" s="150">
        <f t="shared" si="68"/>
        <v>0</v>
      </c>
      <c r="AM152" s="150" t="str">
        <f t="shared" si="94"/>
        <v>0.011922998393354+0.1539605108332i</v>
      </c>
      <c r="AN152" s="150" t="str">
        <f t="shared" si="95"/>
        <v>0.154575334359i</v>
      </c>
      <c r="AO152" s="150" t="str">
        <f t="shared" si="96"/>
        <v>0.996022499137074-0.077133900067542i</v>
      </c>
      <c r="AP152" s="150" t="str">
        <f t="shared" si="97"/>
        <v>0.164679500267774-0.0256600851388667i</v>
      </c>
      <c r="AQ152" s="150" t="str">
        <f t="shared" si="98"/>
        <v>0.835320499732226+0.0256600851388667i</v>
      </c>
      <c r="AR152" s="150" t="str">
        <f t="shared" si="99"/>
        <v>0.996281885524987-0.0306046338059187i</v>
      </c>
    </row>
    <row r="153" spans="7:44" x14ac:dyDescent="0.25">
      <c r="G153" s="597">
        <v>8660.0499999999993</v>
      </c>
      <c r="H153" s="582">
        <f t="shared" si="91"/>
        <v>8.66005</v>
      </c>
      <c r="I153" s="583">
        <f t="shared" si="69"/>
        <v>8.5080551766795107</v>
      </c>
      <c r="J153" s="584">
        <f t="shared" si="70"/>
        <v>1.4529883377275949</v>
      </c>
      <c r="K153" s="584">
        <f t="shared" si="71"/>
        <v>1.0000109487632274</v>
      </c>
      <c r="L153" s="585">
        <f t="shared" si="72"/>
        <v>4.6794579455525353E-3</v>
      </c>
      <c r="M153" s="584">
        <f t="shared" si="73"/>
        <v>1.0027109811266106</v>
      </c>
      <c r="N153" s="585">
        <f t="shared" si="74"/>
        <v>-7.3550944874558558E-2</v>
      </c>
      <c r="O153" s="583">
        <f t="shared" si="75"/>
        <v>15670.857302798677</v>
      </c>
      <c r="P153" s="586">
        <f t="shared" si="76"/>
        <v>1.5707325140767181</v>
      </c>
      <c r="Q153" s="595">
        <f t="shared" si="100"/>
        <v>6.6056552949584244</v>
      </c>
      <c r="R153" s="596">
        <f t="shared" si="101"/>
        <v>1.4188266154250004</v>
      </c>
      <c r="S153" s="583">
        <f t="shared" si="79"/>
        <v>1.000946988980953</v>
      </c>
      <c r="T153" s="586">
        <f t="shared" si="80"/>
        <v>4.3502695569904888E-2</v>
      </c>
      <c r="U153" s="587">
        <f t="shared" si="92"/>
        <v>0.99571573000945768</v>
      </c>
      <c r="V153" s="588">
        <f t="shared" si="93"/>
        <v>-0.10861596020388536</v>
      </c>
      <c r="W153" s="589">
        <f t="shared" si="81"/>
        <v>10.742110473257307</v>
      </c>
      <c r="X153" s="590">
        <f t="shared" si="82"/>
        <v>-104.61546891981035</v>
      </c>
      <c r="Y153" s="593">
        <f t="shared" si="83"/>
        <v>75.384531080189646</v>
      </c>
      <c r="AA153" s="150">
        <f t="shared" si="84"/>
        <v>1000000000</v>
      </c>
      <c r="AB153" s="150">
        <f t="shared" si="85"/>
        <v>74996466.002499983</v>
      </c>
      <c r="AD153" s="592">
        <f t="shared" si="86"/>
        <v>27.69669113949675</v>
      </c>
      <c r="AE153" s="593">
        <f t="shared" si="87"/>
        <v>-11.196087742276855</v>
      </c>
      <c r="AG153" s="592">
        <f t="shared" si="88"/>
        <v>8.5079475683587429</v>
      </c>
      <c r="AH153" s="593">
        <f t="shared" si="89"/>
        <v>-80.972908948424234</v>
      </c>
      <c r="AJ153" s="150">
        <f t="shared" si="90"/>
        <v>0</v>
      </c>
      <c r="AK153" s="150">
        <f t="shared" si="68"/>
        <v>0</v>
      </c>
      <c r="AM153" s="150" t="str">
        <f t="shared" si="94"/>
        <v>0.012060340160275+0.154839363586163i</v>
      </c>
      <c r="AN153" s="150" t="str">
        <f t="shared" si="95"/>
        <v>0.1554648538779i</v>
      </c>
      <c r="AO153" s="150" t="str">
        <f t="shared" si="96"/>
        <v>0.995976645034972-0.0775759913539496i</v>
      </c>
      <c r="AP153" s="150" t="str">
        <f t="shared" si="97"/>
        <v>0.164656609973287-0.0258065605976938i</v>
      </c>
      <c r="AQ153" s="150" t="str">
        <f t="shared" si="98"/>
        <v>0.835343390026713+0.0258065605976938i</v>
      </c>
      <c r="AR153" s="150" t="str">
        <f t="shared" si="99"/>
        <v>0.996243883945811-0.0307773168113622i</v>
      </c>
    </row>
    <row r="154" spans="7:44" x14ac:dyDescent="0.25">
      <c r="G154" s="597">
        <v>8709.6</v>
      </c>
      <c r="H154" s="582">
        <f t="shared" si="91"/>
        <v>8.7096</v>
      </c>
      <c r="I154" s="583">
        <f t="shared" si="69"/>
        <v>8.5560648972012601</v>
      </c>
      <c r="J154" s="584">
        <f t="shared" si="70"/>
        <v>1.4536524301090306</v>
      </c>
      <c r="K154" s="584">
        <f t="shared" si="71"/>
        <v>1.0000110744115185</v>
      </c>
      <c r="L154" s="585">
        <f t="shared" si="72"/>
        <v>4.7062318934240456E-3</v>
      </c>
      <c r="M154" s="584">
        <f t="shared" si="73"/>
        <v>1.0027420500500948</v>
      </c>
      <c r="N154" s="585">
        <f t="shared" si="74"/>
        <v>-7.3970250472092547E-2</v>
      </c>
      <c r="O154" s="583">
        <f t="shared" si="75"/>
        <v>15760.52087012228</v>
      </c>
      <c r="P154" s="586">
        <f t="shared" si="76"/>
        <v>1.5707328771152247</v>
      </c>
      <c r="Q154" s="595">
        <f t="shared" si="100"/>
        <v>6.6425869434776486</v>
      </c>
      <c r="R154" s="596">
        <f t="shared" si="101"/>
        <v>1.4196780507619937</v>
      </c>
      <c r="S154" s="583">
        <f t="shared" si="79"/>
        <v>1.0009578515113891</v>
      </c>
      <c r="T154" s="586">
        <f t="shared" si="80"/>
        <v>4.375128728470648E-2</v>
      </c>
      <c r="U154" s="587">
        <f t="shared" si="92"/>
        <v>0.99567140224224315</v>
      </c>
      <c r="V154" s="588">
        <f t="shared" si="93"/>
        <v>-0.10923501965268616</v>
      </c>
      <c r="W154" s="589">
        <f t="shared" si="81"/>
        <v>10.69189489590287</v>
      </c>
      <c r="X154" s="590">
        <f t="shared" si="82"/>
        <v>-104.67695891639487</v>
      </c>
      <c r="Y154" s="593">
        <f t="shared" si="83"/>
        <v>75.323041083605133</v>
      </c>
      <c r="AA154" s="150">
        <f t="shared" si="84"/>
        <v>1000000000</v>
      </c>
      <c r="AB154" s="150">
        <f t="shared" si="85"/>
        <v>75857132.160000011</v>
      </c>
      <c r="AD154" s="592">
        <f t="shared" si="86"/>
        <v>27.69546748006168</v>
      </c>
      <c r="AE154" s="593">
        <f t="shared" si="87"/>
        <v>-11.161568147553679</v>
      </c>
      <c r="AG154" s="592">
        <f t="shared" si="88"/>
        <v>8.4597290331488555</v>
      </c>
      <c r="AH154" s="593">
        <f t="shared" si="89"/>
        <v>-80.997979552282928</v>
      </c>
      <c r="AJ154" s="150">
        <f t="shared" si="90"/>
        <v>0</v>
      </c>
      <c r="AK154" s="150">
        <f t="shared" ref="AK154:AK217" si="102">IF(AJ154&gt;0,Y154,0)</f>
        <v>0</v>
      </c>
      <c r="AM154" s="150" t="str">
        <f t="shared" si="94"/>
        <v>0.012198463629435+0.155718093823265i</v>
      </c>
      <c r="AN154" s="150" t="str">
        <f t="shared" si="95"/>
        <v>0.1563543733968i</v>
      </c>
      <c r="AO154" s="150" t="str">
        <f t="shared" si="96"/>
        <v>0.995930529094186-0.0780180519701706i</v>
      </c>
      <c r="AP154" s="150" t="str">
        <f t="shared" si="97"/>
        <v>0.164633589395094-0.0259530156372108i</v>
      </c>
      <c r="AQ154" s="150" t="str">
        <f t="shared" si="98"/>
        <v>0.835366410604906+0.0259530156372108i</v>
      </c>
      <c r="AR154" s="150" t="str">
        <f t="shared" si="99"/>
        <v>0.996205671098557-0.0309499412852584i</v>
      </c>
    </row>
    <row r="155" spans="7:44" x14ac:dyDescent="0.25">
      <c r="G155" s="597">
        <v>8760.3250000000007</v>
      </c>
      <c r="H155" s="582">
        <f t="shared" si="91"/>
        <v>8.7603249999999999</v>
      </c>
      <c r="I155" s="583">
        <f t="shared" si="69"/>
        <v>8.6052169569607333</v>
      </c>
      <c r="J155" s="584">
        <f t="shared" si="70"/>
        <v>1.4543245942953409</v>
      </c>
      <c r="K155" s="584">
        <f t="shared" si="71"/>
        <v>1.0000112037819127</v>
      </c>
      <c r="L155" s="585">
        <f t="shared" si="72"/>
        <v>4.7336407361980304E-3</v>
      </c>
      <c r="M155" s="584">
        <f t="shared" si="73"/>
        <v>1.0027740383324062</v>
      </c>
      <c r="N155" s="585">
        <f t="shared" si="74"/>
        <v>-7.4399472247951112E-2</v>
      </c>
      <c r="O155" s="583">
        <f t="shared" si="75"/>
        <v>15852.310667349226</v>
      </c>
      <c r="P155" s="586">
        <f t="shared" si="76"/>
        <v>1.5707332445085569</v>
      </c>
      <c r="Q155" s="595">
        <f t="shared" si="100"/>
        <v>6.6803993000428399</v>
      </c>
      <c r="R155" s="596">
        <f t="shared" si="101"/>
        <v>1.4205399243142729</v>
      </c>
      <c r="S155" s="583">
        <f t="shared" si="79"/>
        <v>1.0009690357028591</v>
      </c>
      <c r="T155" s="586">
        <f t="shared" si="80"/>
        <v>4.4005768354405651E-2</v>
      </c>
      <c r="U155" s="587">
        <f t="shared" si="92"/>
        <v>0.9956257671929668</v>
      </c>
      <c r="V155" s="588">
        <f t="shared" si="93"/>
        <v>-0.10986871673150601</v>
      </c>
      <c r="W155" s="589">
        <f t="shared" si="81"/>
        <v>10.640786168132397</v>
      </c>
      <c r="X155" s="590">
        <f t="shared" si="82"/>
        <v>-104.74002146513556</v>
      </c>
      <c r="Y155" s="593">
        <f t="shared" si="83"/>
        <v>75.259978534864445</v>
      </c>
      <c r="AA155" s="150">
        <f t="shared" si="84"/>
        <v>1000000000</v>
      </c>
      <c r="AB155" s="150">
        <f t="shared" si="85"/>
        <v>76743294.105625018</v>
      </c>
      <c r="AD155" s="592">
        <f t="shared" si="86"/>
        <v>27.694233746261183</v>
      </c>
      <c r="AE155" s="593">
        <f t="shared" si="87"/>
        <v>-11.126788171841484</v>
      </c>
      <c r="AG155" s="592">
        <f t="shared" si="88"/>
        <v>8.4106502658954128</v>
      </c>
      <c r="AH155" s="593">
        <f t="shared" si="89"/>
        <v>-81.023205740440545</v>
      </c>
      <c r="AJ155" s="150">
        <f t="shared" si="90"/>
        <v>0</v>
      </c>
      <c r="AK155" s="150">
        <f t="shared" si="102"/>
        <v>0</v>
      </c>
      <c r="AM155" s="150" t="str">
        <f t="shared" si="94"/>
        <v>0.01234067209171+0.156617534126116i</v>
      </c>
      <c r="AN155" s="150" t="str">
        <f t="shared" si="95"/>
        <v>0.15726498646635i</v>
      </c>
      <c r="AO155" s="150" t="str">
        <f t="shared" si="96"/>
        <v>0.995883048383611-0.0784705634038288i</v>
      </c>
      <c r="AP155" s="150" t="str">
        <f t="shared" si="97"/>
        <v>0.164609887984715-0.0261029223543527i</v>
      </c>
      <c r="AQ155" s="150" t="str">
        <f t="shared" si="98"/>
        <v>0.835390112015285+0.0261029223543527i</v>
      </c>
      <c r="AR155" s="150" t="str">
        <f t="shared" si="99"/>
        <v>0.996166333371484-0.0311265983137951i</v>
      </c>
    </row>
    <row r="156" spans="7:44" x14ac:dyDescent="0.25">
      <c r="G156" s="597">
        <v>8811.0499999999993</v>
      </c>
      <c r="H156" s="582">
        <f t="shared" si="91"/>
        <v>8.8110499999999998</v>
      </c>
      <c r="I156" s="583">
        <f t="shared" si="69"/>
        <v>8.6543728604346004</v>
      </c>
      <c r="J156" s="584">
        <f t="shared" si="70"/>
        <v>1.4549891231390375</v>
      </c>
      <c r="K156" s="584">
        <f t="shared" si="71"/>
        <v>1.0000113339035597</v>
      </c>
      <c r="L156" s="585">
        <f t="shared" si="72"/>
        <v>4.7610495718597191E-3</v>
      </c>
      <c r="M156" s="584">
        <f t="shared" si="73"/>
        <v>1.0028062113453096</v>
      </c>
      <c r="N156" s="585">
        <f t="shared" si="74"/>
        <v>-7.4828666561448084E-2</v>
      </c>
      <c r="O156" s="583">
        <f t="shared" si="75"/>
        <v>15944.10046457828</v>
      </c>
      <c r="P156" s="586">
        <f t="shared" si="76"/>
        <v>1.5707336076717402</v>
      </c>
      <c r="Q156" s="595">
        <f t="shared" si="100"/>
        <v>6.7182165631205306</v>
      </c>
      <c r="R156" s="596">
        <f t="shared" si="101"/>
        <v>1.4213920954129031</v>
      </c>
      <c r="S156" s="583">
        <f t="shared" si="79"/>
        <v>1.0009802847162483</v>
      </c>
      <c r="T156" s="586">
        <f t="shared" si="80"/>
        <v>4.4260243720869528E-2</v>
      </c>
      <c r="U156" s="587">
        <f t="shared" si="92"/>
        <v>0.99557987312483398</v>
      </c>
      <c r="V156" s="588">
        <f t="shared" si="93"/>
        <v>-0.11050237068648999</v>
      </c>
      <c r="W156" s="589">
        <f t="shared" si="81"/>
        <v>10.589975013833214</v>
      </c>
      <c r="X156" s="590">
        <f t="shared" si="82"/>
        <v>-104.80319783758981</v>
      </c>
      <c r="Y156" s="593">
        <f t="shared" si="83"/>
        <v>75.196802162410194</v>
      </c>
      <c r="AA156" s="150">
        <f t="shared" si="84"/>
        <v>1000000000</v>
      </c>
      <c r="AB156" s="150">
        <f t="shared" si="85"/>
        <v>77634602.102499992</v>
      </c>
      <c r="AD156" s="592">
        <f t="shared" si="86"/>
        <v>27.693018736120329</v>
      </c>
      <c r="AE156" s="593">
        <f t="shared" si="87"/>
        <v>-11.092563536633934</v>
      </c>
      <c r="AG156" s="592">
        <f t="shared" si="88"/>
        <v>8.3618549045449306</v>
      </c>
      <c r="AH156" s="593">
        <f t="shared" si="89"/>
        <v>-81.047995353434644</v>
      </c>
      <c r="AJ156" s="150">
        <f t="shared" si="90"/>
        <v>0</v>
      </c>
      <c r="AK156" s="150">
        <f t="shared" si="102"/>
        <v>0</v>
      </c>
      <c r="AM156" s="150" t="str">
        <f t="shared" si="94"/>
        <v>0.012483699537006+0.157516844559186i</v>
      </c>
      <c r="AN156" s="150" t="str">
        <f t="shared" si="95"/>
        <v>0.1581755995359i</v>
      </c>
      <c r="AO156" s="150" t="str">
        <f t="shared" si="96"/>
        <v>0.995835293315487-0.0789230423253282i</v>
      </c>
      <c r="AP156" s="150" t="str">
        <f t="shared" si="97"/>
        <v>0.164586050077166-0.026252807426531i</v>
      </c>
      <c r="AQ156" s="150" t="str">
        <f t="shared" si="98"/>
        <v>0.835413949922834+0.026252807426531i</v>
      </c>
      <c r="AR156" s="150" t="str">
        <f t="shared" si="99"/>
        <v>0.996126774481808-0.0313031933274491i</v>
      </c>
    </row>
    <row r="157" spans="7:44" x14ac:dyDescent="0.25">
      <c r="G157" s="597">
        <v>8861.7749999999996</v>
      </c>
      <c r="H157" s="582">
        <f t="shared" si="91"/>
        <v>8.8617749999999997</v>
      </c>
      <c r="I157" s="583">
        <f t="shared" si="69"/>
        <v>8.7035325424971539</v>
      </c>
      <c r="J157" s="584">
        <f t="shared" si="70"/>
        <v>1.4556461454270326</v>
      </c>
      <c r="K157" s="584">
        <f t="shared" si="71"/>
        <v>1.0000114647764591</v>
      </c>
      <c r="L157" s="585">
        <f t="shared" si="72"/>
        <v>4.7884584003679339E-3</v>
      </c>
      <c r="M157" s="584">
        <f t="shared" si="73"/>
        <v>1.0028385690710249</v>
      </c>
      <c r="N157" s="585">
        <f t="shared" si="74"/>
        <v>-7.5257833257112425E-2</v>
      </c>
      <c r="O157" s="583">
        <f t="shared" si="75"/>
        <v>16035.890261809418</v>
      </c>
      <c r="P157" s="586">
        <f t="shared" si="76"/>
        <v>1.5707339666774149</v>
      </c>
      <c r="Q157" s="595">
        <f t="shared" si="100"/>
        <v>6.7560386503173833</v>
      </c>
      <c r="R157" s="596">
        <f t="shared" si="101"/>
        <v>1.4222347257603769</v>
      </c>
      <c r="S157" s="583">
        <f t="shared" si="79"/>
        <v>1.0009915985493714</v>
      </c>
      <c r="T157" s="586">
        <f t="shared" si="80"/>
        <v>4.4514713351332461E-2</v>
      </c>
      <c r="U157" s="587">
        <f t="shared" si="92"/>
        <v>0.99553372014053443</v>
      </c>
      <c r="V157" s="588">
        <f t="shared" si="93"/>
        <v>-0.11113598127594222</v>
      </c>
      <c r="W157" s="589">
        <f t="shared" si="81"/>
        <v>10.539457921562176</v>
      </c>
      <c r="X157" s="590">
        <f t="shared" si="82"/>
        <v>-104.86648612736478</v>
      </c>
      <c r="Y157" s="593">
        <f t="shared" si="83"/>
        <v>75.13351387263522</v>
      </c>
      <c r="AA157" s="150">
        <f t="shared" si="84"/>
        <v>1000000000</v>
      </c>
      <c r="AB157" s="150">
        <f t="shared" si="85"/>
        <v>78531056.15062499</v>
      </c>
      <c r="AD157" s="592">
        <f t="shared" si="86"/>
        <v>27.691822017449997</v>
      </c>
      <c r="AE157" s="593">
        <f t="shared" si="87"/>
        <v>-11.058884979345324</v>
      </c>
      <c r="AG157" s="592">
        <f t="shared" si="88"/>
        <v>8.3133398686798881</v>
      </c>
      <c r="AH157" s="593">
        <f t="shared" si="89"/>
        <v>-81.072355775154435</v>
      </c>
      <c r="AJ157" s="150">
        <f t="shared" si="90"/>
        <v>0</v>
      </c>
      <c r="AK157" s="150">
        <f t="shared" si="102"/>
        <v>0</v>
      </c>
      <c r="AM157" s="150" t="str">
        <f t="shared" si="94"/>
        <v>0.012627545846723+0.158416024376751i</v>
      </c>
      <c r="AN157" s="150" t="str">
        <f t="shared" si="95"/>
        <v>0.15908621260545i</v>
      </c>
      <c r="AO157" s="150" t="str">
        <f t="shared" si="96"/>
        <v>0.995787263913554-0.079375488547462i</v>
      </c>
      <c r="AP157" s="150" t="str">
        <f t="shared" si="97"/>
        <v>0.164562075692213-0.0264026707294585i</v>
      </c>
      <c r="AQ157" s="150" t="str">
        <f t="shared" si="98"/>
        <v>0.835437924307787+0.0264026707294585i</v>
      </c>
      <c r="AR157" s="150" t="str">
        <f t="shared" si="99"/>
        <v>0.996086994553971-0.0314797259855005i</v>
      </c>
    </row>
    <row r="158" spans="7:44" x14ac:dyDescent="0.25">
      <c r="G158" s="594">
        <v>8912.5</v>
      </c>
      <c r="H158" s="582">
        <f t="shared" si="91"/>
        <v>8.9124999999999996</v>
      </c>
      <c r="I158" s="583">
        <f t="shared" si="69"/>
        <v>8.7526959394808443</v>
      </c>
      <c r="J158" s="584">
        <f t="shared" si="70"/>
        <v>1.4562957870789421</v>
      </c>
      <c r="K158" s="584">
        <f t="shared" si="71"/>
        <v>1.0000115964006111</v>
      </c>
      <c r="L158" s="585">
        <f t="shared" si="72"/>
        <v>4.8158672216814958E-3</v>
      </c>
      <c r="M158" s="584">
        <f t="shared" si="73"/>
        <v>1.0028711114916731</v>
      </c>
      <c r="N158" s="585">
        <f t="shared" si="74"/>
        <v>-7.5686972179533768E-2</v>
      </c>
      <c r="O158" s="583">
        <f t="shared" si="75"/>
        <v>16127.680059042599</v>
      </c>
      <c r="P158" s="586">
        <f t="shared" si="76"/>
        <v>1.5707343215965681</v>
      </c>
      <c r="Q158" s="595">
        <f t="shared" ref="Q158:Q214" si="103">SQRT(1+(G158/Zero2)^2)</f>
        <v>6.7938654810644188</v>
      </c>
      <c r="R158" s="596">
        <f t="shared" ref="R158:R214" si="104">ATAN(G158/Zero2)</f>
        <v>1.4230679735127691</v>
      </c>
      <c r="S158" s="583">
        <f t="shared" si="79"/>
        <v>1.0010029772000304</v>
      </c>
      <c r="T158" s="586">
        <f t="shared" si="80"/>
        <v>4.4769177213033244E-2</v>
      </c>
      <c r="U158" s="587">
        <f t="shared" si="92"/>
        <v>0.99548730834332289</v>
      </c>
      <c r="V158" s="588">
        <f t="shared" si="93"/>
        <v>-0.11176954825829488</v>
      </c>
      <c r="W158" s="589">
        <f t="shared" si="81"/>
        <v>10.48923144173536</v>
      </c>
      <c r="X158" s="590">
        <f t="shared" si="82"/>
        <v>-104.92988446689478</v>
      </c>
      <c r="Y158" s="593">
        <f t="shared" si="83"/>
        <v>75.070115533105223</v>
      </c>
      <c r="AA158" s="150">
        <f t="shared" si="84"/>
        <v>1000000000</v>
      </c>
      <c r="AB158" s="150">
        <f t="shared" si="85"/>
        <v>79432656.25</v>
      </c>
      <c r="AD158" s="592">
        <f t="shared" si="86"/>
        <v>27.690643170059587</v>
      </c>
      <c r="AE158" s="593">
        <f t="shared" si="87"/>
        <v>-11.025743440490219</v>
      </c>
      <c r="AG158" s="592">
        <f t="shared" si="88"/>
        <v>8.2651021277369239</v>
      </c>
      <c r="AH158" s="593">
        <f t="shared" si="89"/>
        <v>-81.096294225201319</v>
      </c>
      <c r="AJ158" s="150">
        <f t="shared" si="90"/>
        <v>0</v>
      </c>
      <c r="AK158" s="150">
        <f t="shared" si="102"/>
        <v>0</v>
      </c>
      <c r="AM158" s="150" t="str">
        <f t="shared" si="94"/>
        <v>0.012772210901581+0.159315072833197i</v>
      </c>
      <c r="AN158" s="150" t="str">
        <f t="shared" si="95"/>
        <v>0.159996825675i</v>
      </c>
      <c r="AO158" s="150" t="str">
        <f t="shared" si="96"/>
        <v>0.995738960201699-0.0798279018830353i</v>
      </c>
      <c r="AP158" s="150" t="str">
        <f t="shared" si="97"/>
        <v>0.164537964849737-0.0265525121388662i</v>
      </c>
      <c r="AQ158" s="150" t="str">
        <f t="shared" si="98"/>
        <v>0.835462035150263+0.0265525121388662i</v>
      </c>
      <c r="AR158" s="150" t="str">
        <f t="shared" si="99"/>
        <v>0.996046993713082-0.0316561959475406i</v>
      </c>
    </row>
    <row r="159" spans="7:44" x14ac:dyDescent="0.25">
      <c r="G159" s="594">
        <v>8964.4</v>
      </c>
      <c r="H159" s="582">
        <f t="shared" si="91"/>
        <v>8.9643999999999995</v>
      </c>
      <c r="I159" s="583">
        <f t="shared" si="69"/>
        <v>8.8030019433830216</v>
      </c>
      <c r="J159" s="584">
        <f t="shared" si="70"/>
        <v>1.4569529664533221</v>
      </c>
      <c r="K159" s="584">
        <f t="shared" si="71"/>
        <v>1.0000117318512773</v>
      </c>
      <c r="L159" s="585">
        <f t="shared" si="72"/>
        <v>4.8439109367385269E-3</v>
      </c>
      <c r="M159" s="584">
        <f t="shared" si="73"/>
        <v>1.0029045988720413</v>
      </c>
      <c r="N159" s="585">
        <f t="shared" si="74"/>
        <v>-7.6126022819822448E-2</v>
      </c>
      <c r="O159" s="583">
        <f t="shared" si="75"/>
        <v>16221.596086179268</v>
      </c>
      <c r="P159" s="586">
        <f t="shared" si="76"/>
        <v>1.5707346805798559</v>
      </c>
      <c r="Q159" s="595">
        <f t="shared" si="103"/>
        <v>6.8325733645381579</v>
      </c>
      <c r="R159" s="596">
        <f t="shared" si="104"/>
        <v>1.4239109729331549</v>
      </c>
      <c r="S159" s="583">
        <f t="shared" si="79"/>
        <v>1.0010146865119034</v>
      </c>
      <c r="T159" s="586">
        <f t="shared" si="80"/>
        <v>4.5029529501309597E-2</v>
      </c>
      <c r="U159" s="587">
        <f t="shared" si="92"/>
        <v>0.99543955369082715</v>
      </c>
      <c r="V159" s="588">
        <f t="shared" si="93"/>
        <v>-0.11241774587662202</v>
      </c>
      <c r="W159" s="589">
        <f t="shared" si="81"/>
        <v>10.438138763202776</v>
      </c>
      <c r="X159" s="590">
        <f t="shared" si="82"/>
        <v>-104.99486336810308</v>
      </c>
      <c r="Y159" s="593">
        <f t="shared" si="83"/>
        <v>75.005136631896917</v>
      </c>
      <c r="AA159" s="150">
        <f t="shared" si="84"/>
        <v>1000000000</v>
      </c>
      <c r="AB159" s="150">
        <f t="shared" si="85"/>
        <v>80360467.359999999</v>
      </c>
      <c r="AD159" s="592">
        <f t="shared" si="86"/>
        <v>27.689455086648017</v>
      </c>
      <c r="AE159" s="593">
        <f t="shared" si="87"/>
        <v>-10.992380787064137</v>
      </c>
      <c r="AG159" s="592">
        <f t="shared" si="88"/>
        <v>8.2160308965114286</v>
      </c>
      <c r="AH159" s="593">
        <f t="shared" si="89"/>
        <v>-81.120357804109673</v>
      </c>
      <c r="AJ159" s="150">
        <f t="shared" si="90"/>
        <v>0</v>
      </c>
      <c r="AK159" s="150">
        <f t="shared" si="102"/>
        <v>0</v>
      </c>
      <c r="AM159" s="150" t="str">
        <f t="shared" si="94"/>
        <v>0.012921074283111+0.16023481021798i</v>
      </c>
      <c r="AN159" s="150" t="str">
        <f t="shared" si="95"/>
        <v>0.1609285322952i</v>
      </c>
      <c r="AO159" s="150" t="str">
        <f t="shared" si="96"/>
        <v>0.995689253687174-0.0802907607422229i</v>
      </c>
      <c r="AP159" s="150" t="str">
        <f t="shared" si="97"/>
        <v>0.164513154286148-0.0267058017029967i</v>
      </c>
      <c r="AQ159" s="150" t="str">
        <f t="shared" si="98"/>
        <v>0.835486845713852+0.0267058017029967i</v>
      </c>
      <c r="AR159" s="150" t="str">
        <f t="shared" si="99"/>
        <v>0.996005837770879-0.0318366884350041i</v>
      </c>
    </row>
    <row r="160" spans="7:44" x14ac:dyDescent="0.25">
      <c r="G160" s="594">
        <v>9016.2999999999993</v>
      </c>
      <c r="H160" s="582">
        <f t="shared" si="91"/>
        <v>9.0162999999999993</v>
      </c>
      <c r="I160" s="583">
        <f t="shared" si="69"/>
        <v>8.8533117059605022</v>
      </c>
      <c r="J160" s="584">
        <f t="shared" si="70"/>
        <v>1.4576026771405008</v>
      </c>
      <c r="K160" s="584">
        <f t="shared" si="71"/>
        <v>1.0000118680884025</v>
      </c>
      <c r="L160" s="585">
        <f t="shared" si="72"/>
        <v>4.8719546441765146E-3</v>
      </c>
      <c r="M160" s="584">
        <f t="shared" si="73"/>
        <v>1.0029382795648492</v>
      </c>
      <c r="N160" s="585">
        <f t="shared" si="74"/>
        <v>-7.6565044056320253E-2</v>
      </c>
      <c r="O160" s="583">
        <f t="shared" si="75"/>
        <v>16315.512113318002</v>
      </c>
      <c r="P160" s="586">
        <f t="shared" si="76"/>
        <v>1.5707350354303546</v>
      </c>
      <c r="Q160" s="595">
        <f t="shared" si="103"/>
        <v>6.8712860488592415</v>
      </c>
      <c r="R160" s="596">
        <f t="shared" si="104"/>
        <v>1.4247444740575141</v>
      </c>
      <c r="S160" s="583">
        <f t="shared" si="79"/>
        <v>1.0010264636742794</v>
      </c>
      <c r="T160" s="586">
        <f t="shared" si="80"/>
        <v>4.5289875681098643E-2</v>
      </c>
      <c r="U160" s="587">
        <f t="shared" si="92"/>
        <v>0.995391528316664</v>
      </c>
      <c r="V160" s="588">
        <f t="shared" si="93"/>
        <v>-0.11306589733302318</v>
      </c>
      <c r="W160" s="589">
        <f t="shared" si="81"/>
        <v>10.387343202567656</v>
      </c>
      <c r="X160" s="590">
        <f t="shared" si="82"/>
        <v>-105.05995364138924</v>
      </c>
      <c r="Y160" s="593">
        <f t="shared" si="83"/>
        <v>74.940046358610758</v>
      </c>
      <c r="AA160" s="150">
        <f t="shared" si="84"/>
        <v>1000000000</v>
      </c>
      <c r="AB160" s="150">
        <f t="shared" si="85"/>
        <v>81293665.689999983</v>
      </c>
      <c r="AD160" s="592">
        <f t="shared" si="86"/>
        <v>27.688284858869451</v>
      </c>
      <c r="AE160" s="593">
        <f t="shared" si="87"/>
        <v>-10.959561759131644</v>
      </c>
      <c r="AG160" s="592">
        <f t="shared" si="88"/>
        <v>8.167243692220703</v>
      </c>
      <c r="AH160" s="593">
        <f t="shared" si="89"/>
        <v>-81.143994419369363</v>
      </c>
      <c r="AJ160" s="150">
        <f t="shared" si="90"/>
        <v>0</v>
      </c>
      <c r="AK160" s="150">
        <f t="shared" si="102"/>
        <v>0</v>
      </c>
      <c r="AM160" s="150" t="str">
        <f t="shared" si="94"/>
        <v>0.013070794525315+0.161154408506583i</v>
      </c>
      <c r="AN160" s="150" t="str">
        <f t="shared" si="95"/>
        <v>0.1618602389154i</v>
      </c>
      <c r="AO160" s="150" t="str">
        <f t="shared" si="96"/>
        <v>0.995639260058266-0.0807535847772148i</v>
      </c>
      <c r="AP160" s="150" t="str">
        <f t="shared" si="97"/>
        <v>0.164488200912448-0.0268590680844305i</v>
      </c>
      <c r="AQ160" s="150" t="str">
        <f t="shared" si="98"/>
        <v>0.835511799087552+0.0268590680844305i</v>
      </c>
      <c r="AR160" s="150" t="str">
        <f t="shared" si="99"/>
        <v>0.995964450829671-0.0320171145682449i</v>
      </c>
    </row>
    <row r="161" spans="7:44" x14ac:dyDescent="0.25">
      <c r="G161" s="594">
        <v>9068.2000000000007</v>
      </c>
      <c r="H161" s="582">
        <f t="shared" si="91"/>
        <v>9.0682000000000009</v>
      </c>
      <c r="I161" s="583">
        <f t="shared" si="69"/>
        <v>8.9036251634983188</v>
      </c>
      <c r="J161" s="584">
        <f t="shared" si="70"/>
        <v>1.4582450452015774</v>
      </c>
      <c r="K161" s="584">
        <f t="shared" si="71"/>
        <v>1.0000120051119863</v>
      </c>
      <c r="L161" s="585">
        <f t="shared" si="72"/>
        <v>4.8999983439513509E-3</v>
      </c>
      <c r="M161" s="584">
        <f t="shared" si="73"/>
        <v>1.0029721535506213</v>
      </c>
      <c r="N161" s="585">
        <f t="shared" si="74"/>
        <v>-7.7004035722764402E-2</v>
      </c>
      <c r="O161" s="583">
        <f t="shared" si="75"/>
        <v>16409.428140458771</v>
      </c>
      <c r="P161" s="586">
        <f t="shared" si="76"/>
        <v>1.5707353862190241</v>
      </c>
      <c r="Q161" s="595">
        <f t="shared" si="103"/>
        <v>6.910003453338704</v>
      </c>
      <c r="R161" s="596">
        <f t="shared" si="104"/>
        <v>1.425568635377457</v>
      </c>
      <c r="S161" s="583">
        <f t="shared" si="79"/>
        <v>1.0010383086847632</v>
      </c>
      <c r="T161" s="586">
        <f t="shared" si="80"/>
        <v>4.5550215717324011E-2</v>
      </c>
      <c r="U161" s="587">
        <f t="shared" si="92"/>
        <v>0.99534323233322952</v>
      </c>
      <c r="V161" s="588">
        <f t="shared" si="93"/>
        <v>-0.11371400236920007</v>
      </c>
      <c r="W161" s="589">
        <f t="shared" si="81"/>
        <v>10.336841256681893</v>
      </c>
      <c r="X161" s="590">
        <f t="shared" si="82"/>
        <v>-105.12515340635477</v>
      </c>
      <c r="Y161" s="593">
        <f t="shared" si="83"/>
        <v>74.874846593645231</v>
      </c>
      <c r="AA161" s="150">
        <f t="shared" si="84"/>
        <v>1000000000</v>
      </c>
      <c r="AB161" s="150">
        <f t="shared" si="85"/>
        <v>82232251.24000001</v>
      </c>
      <c r="AD161" s="592">
        <f t="shared" si="86"/>
        <v>27.687132073120708</v>
      </c>
      <c r="AE161" s="593">
        <f t="shared" si="87"/>
        <v>-10.927277277848349</v>
      </c>
      <c r="AG161" s="592">
        <f t="shared" si="88"/>
        <v>8.1187374240458823</v>
      </c>
      <c r="AH161" s="593">
        <f t="shared" si="89"/>
        <v>-81.167211299025112</v>
      </c>
      <c r="AJ161" s="150">
        <f t="shared" si="90"/>
        <v>0</v>
      </c>
      <c r="AK161" s="150">
        <f t="shared" si="102"/>
        <v>0</v>
      </c>
      <c r="AM161" s="150" t="str">
        <f t="shared" si="94"/>
        <v>0.013221371498224+0.162073866900725i</v>
      </c>
      <c r="AN161" s="150" t="str">
        <f t="shared" si="95"/>
        <v>0.1627919455356i</v>
      </c>
      <c r="AO161" s="150" t="str">
        <f t="shared" si="96"/>
        <v>0.995588979341008-0.0812163737875637i</v>
      </c>
      <c r="AP161" s="150" t="str">
        <f t="shared" si="97"/>
        <v>0.164463104750296-0.0270123111501208i</v>
      </c>
      <c r="AQ161" s="150" t="str">
        <f t="shared" si="98"/>
        <v>0.835536895249704+0.0270123111501208i</v>
      </c>
      <c r="AR161" s="150" t="str">
        <f t="shared" si="99"/>
        <v>0.995922833025607-0.0321974739836685i</v>
      </c>
    </row>
    <row r="162" spans="7:44" x14ac:dyDescent="0.25">
      <c r="G162" s="594">
        <v>9120.1</v>
      </c>
      <c r="H162" s="582">
        <f t="shared" si="91"/>
        <v>9.1201000000000008</v>
      </c>
      <c r="I162" s="583">
        <f t="shared" si="69"/>
        <v>8.9539422537089646</v>
      </c>
      <c r="J162" s="584">
        <f t="shared" si="70"/>
        <v>1.4588801938885778</v>
      </c>
      <c r="K162" s="584">
        <f t="shared" si="71"/>
        <v>1.0000121429220286</v>
      </c>
      <c r="L162" s="585">
        <f t="shared" si="72"/>
        <v>4.9280420360189288E-3</v>
      </c>
      <c r="M162" s="584">
        <f t="shared" si="73"/>
        <v>1.0030062208097743</v>
      </c>
      <c r="N162" s="585">
        <f t="shared" si="74"/>
        <v>-7.7442997652960005E-2</v>
      </c>
      <c r="O162" s="583">
        <f t="shared" si="75"/>
        <v>16503.344167601528</v>
      </c>
      <c r="P162" s="586">
        <f t="shared" si="76"/>
        <v>1.5707357330152083</v>
      </c>
      <c r="Q162" s="595">
        <f t="shared" si="103"/>
        <v>6.948725499076196</v>
      </c>
      <c r="R162" s="596">
        <f t="shared" si="104"/>
        <v>1.4263836119031921</v>
      </c>
      <c r="S162" s="583">
        <f t="shared" si="79"/>
        <v>1.0010502215409467</v>
      </c>
      <c r="T162" s="586">
        <f t="shared" si="80"/>
        <v>4.5810549574914303E-2</v>
      </c>
      <c r="U162" s="587">
        <f t="shared" si="92"/>
        <v>0.99529466585351734</v>
      </c>
      <c r="V162" s="588">
        <f t="shared" si="93"/>
        <v>-0.11436206072701409</v>
      </c>
      <c r="W162" s="589">
        <f t="shared" si="81"/>
        <v>10.286629484042857</v>
      </c>
      <c r="X162" s="590">
        <f t="shared" si="82"/>
        <v>-105.19046082104357</v>
      </c>
      <c r="Y162" s="593">
        <f t="shared" si="83"/>
        <v>74.809539178956427</v>
      </c>
      <c r="AA162" s="150">
        <f t="shared" si="84"/>
        <v>1000000000</v>
      </c>
      <c r="AB162" s="150">
        <f t="shared" si="85"/>
        <v>83176224.010000005</v>
      </c>
      <c r="AD162" s="592">
        <f t="shared" si="86"/>
        <v>27.685996327291058</v>
      </c>
      <c r="AE162" s="593">
        <f t="shared" si="87"/>
        <v>-10.895518463747203</v>
      </c>
      <c r="AG162" s="592">
        <f t="shared" si="88"/>
        <v>8.0705090513143318</v>
      </c>
      <c r="AH162" s="593">
        <f t="shared" si="89"/>
        <v>-81.190015510168337</v>
      </c>
      <c r="AJ162" s="150">
        <f t="shared" si="90"/>
        <v>0</v>
      </c>
      <c r="AK162" s="150">
        <f t="shared" si="102"/>
        <v>0</v>
      </c>
      <c r="AM162" s="150" t="str">
        <f t="shared" si="94"/>
        <v>0.013372805071126+0.162993184602244i</v>
      </c>
      <c r="AN162" s="150" t="str">
        <f t="shared" si="95"/>
        <v>0.1637236521558i</v>
      </c>
      <c r="AO162" s="150" t="str">
        <f t="shared" si="96"/>
        <v>0.995538411561569-0.0816791275728469i</v>
      </c>
      <c r="AP162" s="150" t="str">
        <f t="shared" si="97"/>
        <v>0.164437865821479-0.0271655307670407i</v>
      </c>
      <c r="AQ162" s="150" t="str">
        <f t="shared" si="98"/>
        <v>0.835562134178521+0.0271655307670407i</v>
      </c>
      <c r="AR162" s="150" t="str">
        <f t="shared" si="99"/>
        <v>0.995880984495563-0.0323777663180281i</v>
      </c>
    </row>
    <row r="163" spans="7:44" x14ac:dyDescent="0.25">
      <c r="G163" s="594">
        <v>9173.2000000000007</v>
      </c>
      <c r="H163" s="582">
        <f t="shared" si="91"/>
        <v>9.1732000000000014</v>
      </c>
      <c r="I163" s="583">
        <f t="shared" si="69"/>
        <v>9.0054264409761835</v>
      </c>
      <c r="J163" s="584">
        <f t="shared" si="70"/>
        <v>1.4595226820854008</v>
      </c>
      <c r="K163" s="584">
        <f t="shared" si="71"/>
        <v>1.0000122847323742</v>
      </c>
      <c r="L163" s="585">
        <f t="shared" si="72"/>
        <v>4.9567341291290312E-3</v>
      </c>
      <c r="M163" s="584">
        <f t="shared" si="73"/>
        <v>1.0030412757588463</v>
      </c>
      <c r="N163" s="585">
        <f t="shared" si="74"/>
        <v>-7.7892078043177118E-2</v>
      </c>
      <c r="O163" s="583">
        <f t="shared" si="75"/>
        <v>16599.431663581996</v>
      </c>
      <c r="P163" s="586">
        <f t="shared" si="76"/>
        <v>1.5707360837684563</v>
      </c>
      <c r="Q163" s="595">
        <f t="shared" si="103"/>
        <v>6.9883475752340241</v>
      </c>
      <c r="R163" s="596">
        <f t="shared" si="104"/>
        <v>1.4272080841314909</v>
      </c>
      <c r="S163" s="583">
        <f t="shared" si="79"/>
        <v>1.00106248005323</v>
      </c>
      <c r="T163" s="586">
        <f t="shared" si="80"/>
        <v>4.6076896281302737E-2</v>
      </c>
      <c r="U163" s="587">
        <f t="shared" si="92"/>
        <v>0.99524469661794845</v>
      </c>
      <c r="V163" s="588">
        <f t="shared" si="93"/>
        <v>-0.11502505451428691</v>
      </c>
      <c r="W163" s="589">
        <f t="shared" si="81"/>
        <v>10.235553534095452</v>
      </c>
      <c r="X163" s="590">
        <f t="shared" si="82"/>
        <v>-105.25738776405677</v>
      </c>
      <c r="Y163" s="593">
        <f t="shared" si="83"/>
        <v>74.742612235943227</v>
      </c>
      <c r="AA163" s="150">
        <f t="shared" si="84"/>
        <v>1000000000</v>
      </c>
      <c r="AB163" s="150">
        <f t="shared" si="85"/>
        <v>84147598.24000001</v>
      </c>
      <c r="AD163" s="592">
        <f t="shared" si="86"/>
        <v>27.684851549179221</v>
      </c>
      <c r="AE163" s="593">
        <f t="shared" si="87"/>
        <v>-10.863560323547439</v>
      </c>
      <c r="AG163" s="592">
        <f t="shared" si="88"/>
        <v>8.0214500597003084</v>
      </c>
      <c r="AH163" s="593">
        <f t="shared" si="89"/>
        <v>-81.212927101586232</v>
      </c>
      <c r="AJ163" s="150">
        <f t="shared" si="90"/>
        <v>0</v>
      </c>
      <c r="AK163" s="150">
        <f t="shared" si="102"/>
        <v>0</v>
      </c>
      <c r="AM163" s="150" t="str">
        <f t="shared" si="94"/>
        <v>0.013528626398842+0.163933611762339i</v>
      </c>
      <c r="AN163" s="150" t="str">
        <f t="shared" si="95"/>
        <v>0.1646769011256i</v>
      </c>
      <c r="AO163" s="150" t="str">
        <f t="shared" si="96"/>
        <v>0.995486377517548-0.0821525442024418i</v>
      </c>
      <c r="AP163" s="150" t="str">
        <f t="shared" si="97"/>
        <v>0.164411895600193-0.0273222686270565i</v>
      </c>
      <c r="AQ163" s="150" t="str">
        <f t="shared" si="98"/>
        <v>0.835588104399807+0.0273222686270565i</v>
      </c>
      <c r="AR163" s="150" t="str">
        <f t="shared" si="99"/>
        <v>0.995837929723246-0.0325621574572964i</v>
      </c>
    </row>
    <row r="164" spans="7:44" x14ac:dyDescent="0.25">
      <c r="G164" s="594">
        <v>9226.2999999999993</v>
      </c>
      <c r="H164" s="582">
        <f t="shared" si="91"/>
        <v>9.2262999999999984</v>
      </c>
      <c r="I164" s="583">
        <f t="shared" si="69"/>
        <v>9.0569143033394521</v>
      </c>
      <c r="J164" s="584">
        <f t="shared" si="70"/>
        <v>1.4601578655498144</v>
      </c>
      <c r="K164" s="584">
        <f t="shared" si="71"/>
        <v>1.0000124273659661</v>
      </c>
      <c r="L164" s="585">
        <f t="shared" si="72"/>
        <v>4.9854262140779423E-3</v>
      </c>
      <c r="M164" s="584">
        <f t="shared" si="73"/>
        <v>1.0030765329802962</v>
      </c>
      <c r="N164" s="585">
        <f t="shared" si="74"/>
        <v>-7.8341126954421192E-2</v>
      </c>
      <c r="O164" s="583">
        <f t="shared" si="75"/>
        <v>16695.519159564472</v>
      </c>
      <c r="P164" s="586">
        <f t="shared" si="76"/>
        <v>1.5707364304843332</v>
      </c>
      <c r="Q164" s="595">
        <f t="shared" si="103"/>
        <v>7.0279743481875361</v>
      </c>
      <c r="R164" s="596">
        <f t="shared" si="104"/>
        <v>1.4280232594434188</v>
      </c>
      <c r="S164" s="583">
        <f t="shared" si="79"/>
        <v>1.0010748095797122</v>
      </c>
      <c r="T164" s="586">
        <f t="shared" si="80"/>
        <v>4.634323644577918E-2</v>
      </c>
      <c r="U164" s="587">
        <f t="shared" si="92"/>
        <v>0.99519444447423733</v>
      </c>
      <c r="V164" s="588">
        <f t="shared" si="93"/>
        <v>-0.11568799889352055</v>
      </c>
      <c r="W164" s="589">
        <f t="shared" si="81"/>
        <v>10.184774234090373</v>
      </c>
      <c r="X164" s="590">
        <f t="shared" si="82"/>
        <v>-105.32442361063801</v>
      </c>
      <c r="Y164" s="593">
        <f t="shared" si="83"/>
        <v>74.675576389361993</v>
      </c>
      <c r="AA164" s="150">
        <f t="shared" si="84"/>
        <v>1000000000</v>
      </c>
      <c r="AB164" s="150">
        <f t="shared" si="85"/>
        <v>85124611.689999983</v>
      </c>
      <c r="AD164" s="592">
        <f t="shared" si="86"/>
        <v>27.683723791713003</v>
      </c>
      <c r="AE164" s="593">
        <f t="shared" si="87"/>
        <v>-10.83213425127056</v>
      </c>
      <c r="AG164" s="592">
        <f t="shared" si="88"/>
        <v>7.9726756795231282</v>
      </c>
      <c r="AH164" s="593">
        <f t="shared" si="89"/>
        <v>-81.235421190393566</v>
      </c>
      <c r="AJ164" s="150">
        <f t="shared" si="90"/>
        <v>0</v>
      </c>
      <c r="AK164" s="150">
        <f t="shared" si="102"/>
        <v>0</v>
      </c>
      <c r="AM164" s="150" t="str">
        <f t="shared" si="94"/>
        <v>0.013685344116849+0.164873889958661i</v>
      </c>
      <c r="AN164" s="150" t="str">
        <f t="shared" si="95"/>
        <v>0.1656301500954i</v>
      </c>
      <c r="AO164" s="150" t="str">
        <f t="shared" si="96"/>
        <v>0.995434043039245-0.0826259235348545i</v>
      </c>
      <c r="AP164" s="150" t="str">
        <f t="shared" si="97"/>
        <v>0.164385775980525-0.0274789816597768i</v>
      </c>
      <c r="AQ164" s="150" t="str">
        <f t="shared" si="98"/>
        <v>0.835614224019475+0.0274789816597768i</v>
      </c>
      <c r="AR164" s="150" t="str">
        <f t="shared" si="99"/>
        <v>0.99579463372437-0.0327464776094792i</v>
      </c>
    </row>
    <row r="165" spans="7:44" x14ac:dyDescent="0.25">
      <c r="G165" s="594">
        <v>9279.4</v>
      </c>
      <c r="H165" s="582">
        <f t="shared" si="91"/>
        <v>9.279399999999999</v>
      </c>
      <c r="I165" s="583">
        <f t="shared" si="69"/>
        <v>9.108405778475186</v>
      </c>
      <c r="J165" s="584">
        <f t="shared" si="70"/>
        <v>1.4607858676498275</v>
      </c>
      <c r="K165" s="584">
        <f t="shared" si="71"/>
        <v>1.0000125708228038</v>
      </c>
      <c r="L165" s="585">
        <f t="shared" si="72"/>
        <v>5.0141182908184255E-3</v>
      </c>
      <c r="M165" s="584">
        <f t="shared" si="73"/>
        <v>1.003111992452796</v>
      </c>
      <c r="N165" s="585">
        <f t="shared" si="74"/>
        <v>-7.8790144208924273E-2</v>
      </c>
      <c r="O165" s="583">
        <f t="shared" si="75"/>
        <v>16791.606655548941</v>
      </c>
      <c r="P165" s="586">
        <f t="shared" si="76"/>
        <v>1.5707367732321491</v>
      </c>
      <c r="Q165" s="595">
        <f t="shared" si="103"/>
        <v>7.067605738934513</v>
      </c>
      <c r="R165" s="596">
        <f t="shared" si="104"/>
        <v>1.4288292931429285</v>
      </c>
      <c r="S165" s="583">
        <f t="shared" si="79"/>
        <v>1.0010872101177692</v>
      </c>
      <c r="T165" s="586">
        <f t="shared" si="80"/>
        <v>4.6609570030799276E-2</v>
      </c>
      <c r="U165" s="587">
        <f t="shared" si="92"/>
        <v>0.9951439095453658</v>
      </c>
      <c r="V165" s="588">
        <f t="shared" si="93"/>
        <v>-0.11635089358873905</v>
      </c>
      <c r="W165" s="589">
        <f t="shared" si="81"/>
        <v>10.134288089317366</v>
      </c>
      <c r="X165" s="590">
        <f t="shared" si="82"/>
        <v>-105.39156650681767</v>
      </c>
      <c r="Y165" s="593">
        <f t="shared" si="83"/>
        <v>74.608433493182332</v>
      </c>
      <c r="AA165" s="150">
        <f t="shared" si="84"/>
        <v>1000000000</v>
      </c>
      <c r="AB165" s="150">
        <f t="shared" si="85"/>
        <v>86107264.359999999</v>
      </c>
      <c r="AD165" s="592">
        <f t="shared" si="86"/>
        <v>27.682612659163194</v>
      </c>
      <c r="AE165" s="593">
        <f t="shared" si="87"/>
        <v>-10.801231350475557</v>
      </c>
      <c r="AG165" s="592">
        <f t="shared" si="88"/>
        <v>7.924182810407415</v>
      </c>
      <c r="AH165" s="593">
        <f t="shared" si="89"/>
        <v>-81.257504850686161</v>
      </c>
      <c r="AJ165" s="150">
        <f t="shared" si="90"/>
        <v>0</v>
      </c>
      <c r="AK165" s="150">
        <f t="shared" si="102"/>
        <v>0</v>
      </c>
      <c r="AM165" s="150" t="str">
        <f t="shared" si="94"/>
        <v>0.0138429580827381+0.165814018336795i</v>
      </c>
      <c r="AN165" s="150" t="str">
        <f t="shared" si="95"/>
        <v>0.1665833990652i</v>
      </c>
      <c r="AO165" s="150" t="str">
        <f t="shared" si="96"/>
        <v>0.99538140815518-0.0830992653554874i</v>
      </c>
      <c r="AP165" s="150" t="str">
        <f t="shared" si="97"/>
        <v>0.16435950698621-0.0276356697227992i</v>
      </c>
      <c r="AQ165" s="150" t="str">
        <f t="shared" si="98"/>
        <v>0.83564049301379+0.0276356697227992i</v>
      </c>
      <c r="AR165" s="150" t="str">
        <f t="shared" si="99"/>
        <v>0.995751096647867-0.0329307263866896i</v>
      </c>
    </row>
    <row r="166" spans="7:44" x14ac:dyDescent="0.25">
      <c r="G166" s="594">
        <v>9332.5</v>
      </c>
      <c r="H166" s="582">
        <f t="shared" si="91"/>
        <v>9.3324999999999996</v>
      </c>
      <c r="I166" s="583">
        <f t="shared" si="69"/>
        <v>9.1599008054568589</v>
      </c>
      <c r="J166" s="584">
        <f t="shared" si="70"/>
        <v>1.4614068090022041</v>
      </c>
      <c r="K166" s="584">
        <f t="shared" si="71"/>
        <v>1.0000127151028866</v>
      </c>
      <c r="L166" s="585">
        <f t="shared" si="72"/>
        <v>5.0428103593032451E-3</v>
      </c>
      <c r="M166" s="584">
        <f t="shared" si="73"/>
        <v>1.003147654154898</v>
      </c>
      <c r="N166" s="585">
        <f t="shared" si="74"/>
        <v>-7.9239129628994445E-2</v>
      </c>
      <c r="O166" s="583">
        <f t="shared" si="75"/>
        <v>16887.694151535357</v>
      </c>
      <c r="P166" s="586">
        <f t="shared" si="76"/>
        <v>1.5707371120796365</v>
      </c>
      <c r="Q166" s="595">
        <f t="shared" si="103"/>
        <v>7.1072416702257515</v>
      </c>
      <c r="R166" s="596">
        <f t="shared" si="104"/>
        <v>1.4296263371176756</v>
      </c>
      <c r="S166" s="583">
        <f t="shared" si="79"/>
        <v>1.0010996816647624</v>
      </c>
      <c r="T166" s="586">
        <f t="shared" si="80"/>
        <v>4.6875896998824218E-2</v>
      </c>
      <c r="U166" s="587">
        <f t="shared" si="92"/>
        <v>0.99509309195497397</v>
      </c>
      <c r="V166" s="588">
        <f t="shared" si="93"/>
        <v>-0.11701373832414673</v>
      </c>
      <c r="W166" s="589">
        <f t="shared" si="81"/>
        <v>10.084091666495038</v>
      </c>
      <c r="X166" s="590">
        <f t="shared" si="82"/>
        <v>-105.45881463665535</v>
      </c>
      <c r="Y166" s="593">
        <f t="shared" si="83"/>
        <v>74.541185363344653</v>
      </c>
      <c r="AA166" s="150">
        <f t="shared" si="84"/>
        <v>1000000000</v>
      </c>
      <c r="AB166" s="150">
        <f t="shared" si="85"/>
        <v>87095556.25</v>
      </c>
      <c r="AD166" s="592">
        <f t="shared" si="86"/>
        <v>27.681517766805015</v>
      </c>
      <c r="AE166" s="593">
        <f t="shared" si="87"/>
        <v>-10.770842920370754</v>
      </c>
      <c r="AG166" s="592">
        <f t="shared" si="88"/>
        <v>7.8759684023946663</v>
      </c>
      <c r="AH166" s="593">
        <f t="shared" si="89"/>
        <v>-81.279184998919163</v>
      </c>
      <c r="AJ166" s="150">
        <f t="shared" si="90"/>
        <v>0</v>
      </c>
      <c r="AK166" s="150">
        <f t="shared" si="102"/>
        <v>0</v>
      </c>
      <c r="AM166" s="150" t="str">
        <f t="shared" si="94"/>
        <v>0.014001468153288+0.166753996042462i</v>
      </c>
      <c r="AN166" s="150" t="str">
        <f t="shared" si="95"/>
        <v>0.167536648035i</v>
      </c>
      <c r="AO166" s="150" t="str">
        <f t="shared" si="96"/>
        <v>0.995328472894035-0.0835725694497777i</v>
      </c>
      <c r="AP166" s="150" t="str">
        <f t="shared" si="97"/>
        <v>0.164333088641119-0.0277923326737437i</v>
      </c>
      <c r="AQ166" s="150" t="str">
        <f t="shared" si="98"/>
        <v>0.835666911358881+0.0277923326737437i</v>
      </c>
      <c r="AR166" s="150" t="str">
        <f t="shared" si="99"/>
        <v>0.995707318643454-0.0331149034014294i</v>
      </c>
    </row>
    <row r="167" spans="7:44" x14ac:dyDescent="0.25">
      <c r="G167" s="594">
        <v>9386.85</v>
      </c>
      <c r="H167" s="582">
        <f t="shared" si="91"/>
        <v>9.3868500000000008</v>
      </c>
      <c r="I167" s="583">
        <f t="shared" si="69"/>
        <v>9.2126116666720979</v>
      </c>
      <c r="J167" s="584">
        <f t="shared" si="70"/>
        <v>1.4620351786749506</v>
      </c>
      <c r="K167" s="584">
        <f t="shared" si="71"/>
        <v>1.0000128636319359</v>
      </c>
      <c r="L167" s="585">
        <f t="shared" si="72"/>
        <v>5.0721778445302762E-3</v>
      </c>
      <c r="M167" s="584">
        <f t="shared" si="73"/>
        <v>1.0031843647549297</v>
      </c>
      <c r="N167" s="585">
        <f t="shared" si="74"/>
        <v>-7.9698651232965392E-2</v>
      </c>
      <c r="O167" s="583">
        <f t="shared" si="75"/>
        <v>16986.043594227773</v>
      </c>
      <c r="P167" s="586">
        <f t="shared" si="76"/>
        <v>1.5707374549337108</v>
      </c>
      <c r="Q167" s="595">
        <f t="shared" si="103"/>
        <v>7.1478152740429284</v>
      </c>
      <c r="R167" s="596">
        <f t="shared" si="104"/>
        <v>1.4304329892869334</v>
      </c>
      <c r="S167" s="583">
        <f t="shared" si="79"/>
        <v>1.0011125203312972</v>
      </c>
      <c r="T167" s="586">
        <f t="shared" si="80"/>
        <v>4.7148486542428016E-2</v>
      </c>
      <c r="U167" s="587">
        <f t="shared" si="92"/>
        <v>0.99504078550252606</v>
      </c>
      <c r="V167" s="588">
        <f t="shared" si="93"/>
        <v>-0.11769213472375777</v>
      </c>
      <c r="W167" s="589">
        <f t="shared" si="81"/>
        <v>10.033010107435558</v>
      </c>
      <c r="X167" s="590">
        <f t="shared" si="82"/>
        <v>-105.52775294268108</v>
      </c>
      <c r="Y167" s="593">
        <f t="shared" si="83"/>
        <v>74.472247057318924</v>
      </c>
      <c r="AA167" s="150">
        <f t="shared" si="84"/>
        <v>1000000000</v>
      </c>
      <c r="AB167" s="150">
        <f t="shared" si="85"/>
        <v>88112952.922499999</v>
      </c>
      <c r="AD167" s="592">
        <f t="shared" si="86"/>
        <v>27.680413527915817</v>
      </c>
      <c r="AE167" s="593">
        <f t="shared" si="87"/>
        <v>-10.740263029981616</v>
      </c>
      <c r="AG167" s="592">
        <f t="shared" si="88"/>
        <v>7.8269042430495359</v>
      </c>
      <c r="AH167" s="593">
        <f t="shared" si="89"/>
        <v>-81.300964694176059</v>
      </c>
      <c r="AJ167" s="150">
        <f t="shared" si="90"/>
        <v>0</v>
      </c>
      <c r="AK167" s="150">
        <f t="shared" si="102"/>
        <v>0</v>
      </c>
      <c r="AM167" s="150" t="str">
        <f t="shared" si="94"/>
        <v>0.014164637473242+0.167715944357522i</v>
      </c>
      <c r="AN167" s="150" t="str">
        <f t="shared" si="95"/>
        <v>0.1685123369523i</v>
      </c>
      <c r="AO167" s="150" t="str">
        <f t="shared" si="96"/>
        <v>0.995273980474181-0.0840569760613522i</v>
      </c>
      <c r="AP167" s="150" t="str">
        <f t="shared" si="97"/>
        <v>0.16430589375446-0.0279526573929203i</v>
      </c>
      <c r="AQ167" s="150" t="str">
        <f t="shared" si="98"/>
        <v>0.83569410624554+0.0279526573929203i</v>
      </c>
      <c r="AR167" s="150" t="str">
        <f t="shared" si="99"/>
        <v>0.99566226073846-0.0333033413129102i</v>
      </c>
    </row>
    <row r="168" spans="7:44" x14ac:dyDescent="0.25">
      <c r="G168" s="594">
        <v>9441.2000000000007</v>
      </c>
      <c r="H168" s="582">
        <f t="shared" si="91"/>
        <v>9.4412000000000003</v>
      </c>
      <c r="I168" s="583">
        <f t="shared" si="69"/>
        <v>9.2653261240831242</v>
      </c>
      <c r="J168" s="584">
        <f t="shared" si="70"/>
        <v>1.4626563984556538</v>
      </c>
      <c r="K168" s="584">
        <f t="shared" si="71"/>
        <v>1.0000130130234453</v>
      </c>
      <c r="L168" s="585">
        <f t="shared" si="72"/>
        <v>5.1015453210082433E-3</v>
      </c>
      <c r="M168" s="584">
        <f t="shared" si="73"/>
        <v>1.0032212871719475</v>
      </c>
      <c r="N168" s="585">
        <f t="shared" si="74"/>
        <v>-8.0158139109617235E-2</v>
      </c>
      <c r="O168" s="583">
        <f t="shared" si="75"/>
        <v>17084.39303692216</v>
      </c>
      <c r="P168" s="586">
        <f t="shared" si="76"/>
        <v>1.5707377938403801</v>
      </c>
      <c r="Q168" s="595">
        <f t="shared" si="103"/>
        <v>7.1883934763505613</v>
      </c>
      <c r="R168" s="596">
        <f t="shared" si="104"/>
        <v>1.4312305349298688</v>
      </c>
      <c r="S168" s="583">
        <f t="shared" si="79"/>
        <v>1.0011254333836459</v>
      </c>
      <c r="T168" s="586">
        <f t="shared" si="80"/>
        <v>4.7421069074273604E-2</v>
      </c>
      <c r="U168" s="587">
        <f t="shared" si="92"/>
        <v>0.99498818318815441</v>
      </c>
      <c r="V168" s="588">
        <f t="shared" si="93"/>
        <v>-0.11837047819960486</v>
      </c>
      <c r="W168" s="589">
        <f t="shared" si="81"/>
        <v>9.9822249839290826</v>
      </c>
      <c r="X168" s="590">
        <f t="shared" si="82"/>
        <v>-105.59679776343933</v>
      </c>
      <c r="Y168" s="593">
        <f t="shared" si="83"/>
        <v>74.403202236560674</v>
      </c>
      <c r="AA168" s="150">
        <f t="shared" si="84"/>
        <v>1000000000</v>
      </c>
      <c r="AB168" s="150">
        <f t="shared" si="85"/>
        <v>89136257.440000013</v>
      </c>
      <c r="AD168" s="592">
        <f t="shared" si="86"/>
        <v>27.679325520991537</v>
      </c>
      <c r="AE168" s="593">
        <f t="shared" si="87"/>
        <v>-10.710204277203562</v>
      </c>
      <c r="AG168" s="592">
        <f t="shared" si="88"/>
        <v>7.7781255008320072</v>
      </c>
      <c r="AH168" s="593">
        <f t="shared" si="89"/>
        <v>-81.322335831170975</v>
      </c>
      <c r="AJ168" s="150">
        <f t="shared" si="90"/>
        <v>0</v>
      </c>
      <c r="AK168" s="150">
        <f t="shared" si="102"/>
        <v>0</v>
      </c>
      <c r="AM168" s="150" t="str">
        <f t="shared" si="94"/>
        <v>0.01432874527769+0.168677733012238i</v>
      </c>
      <c r="AN168" s="150" t="str">
        <f t="shared" si="95"/>
        <v>0.1694880258696i</v>
      </c>
      <c r="AO168" s="150" t="str">
        <f t="shared" si="96"/>
        <v>0.995219173430072-0.0845413426946998i</v>
      </c>
      <c r="AP168" s="150" t="str">
        <f t="shared" si="97"/>
        <v>0.164278542453718-0.0281129555020397i</v>
      </c>
      <c r="AQ168" s="150" t="str">
        <f t="shared" si="98"/>
        <v>0.835721457546282+0.0281129555020397i</v>
      </c>
      <c r="AR168" s="150" t="str">
        <f t="shared" si="99"/>
        <v>0.995616950748829-0.0334917032232934i</v>
      </c>
    </row>
    <row r="169" spans="7:44" x14ac:dyDescent="0.25">
      <c r="G169" s="594">
        <v>9495.5499999999993</v>
      </c>
      <c r="H169" s="582">
        <f t="shared" si="91"/>
        <v>9.4955499999999997</v>
      </c>
      <c r="I169" s="583">
        <f t="shared" si="69"/>
        <v>9.3180441166562549</v>
      </c>
      <c r="J169" s="584">
        <f t="shared" si="70"/>
        <v>1.4632705892149309</v>
      </c>
      <c r="K169" s="584">
        <f t="shared" si="71"/>
        <v>1.0000131632774141</v>
      </c>
      <c r="L169" s="585">
        <f t="shared" si="72"/>
        <v>5.1309127886864942E-3</v>
      </c>
      <c r="M169" s="584">
        <f t="shared" si="73"/>
        <v>1.0032584213825653</v>
      </c>
      <c r="N169" s="585">
        <f t="shared" si="74"/>
        <v>-8.0617593068661952E-2</v>
      </c>
      <c r="O169" s="583">
        <f t="shared" si="75"/>
        <v>17182.742479618482</v>
      </c>
      <c r="P169" s="586">
        <f t="shared" si="76"/>
        <v>1.5707381288674267</v>
      </c>
      <c r="Q169" s="595">
        <f t="shared" si="103"/>
        <v>7.2289761997109299</v>
      </c>
      <c r="R169" s="596">
        <f t="shared" si="104"/>
        <v>1.4320191263925233</v>
      </c>
      <c r="S169" s="583">
        <f t="shared" si="79"/>
        <v>1.0011384208189302</v>
      </c>
      <c r="T169" s="586">
        <f t="shared" si="80"/>
        <v>4.7693644554126648E-2</v>
      </c>
      <c r="U169" s="587">
        <f t="shared" si="92"/>
        <v>0.9949352851465828</v>
      </c>
      <c r="V169" s="588">
        <f t="shared" si="93"/>
        <v>-0.11904876845653325</v>
      </c>
      <c r="W169" s="589">
        <f t="shared" si="81"/>
        <v>9.9317328051602711</v>
      </c>
      <c r="X169" s="590">
        <f t="shared" si="82"/>
        <v>-105.66594726928857</v>
      </c>
      <c r="Y169" s="593">
        <f t="shared" si="83"/>
        <v>74.334052730711434</v>
      </c>
      <c r="AA169" s="150">
        <f t="shared" si="84"/>
        <v>1000000000</v>
      </c>
      <c r="AB169" s="150">
        <f t="shared" si="85"/>
        <v>90165469.80249998</v>
      </c>
      <c r="AD169" s="592">
        <f t="shared" si="86"/>
        <v>27.678253366979035</v>
      </c>
      <c r="AE169" s="593">
        <f t="shared" si="87"/>
        <v>-10.680657934829782</v>
      </c>
      <c r="AG169" s="592">
        <f t="shared" si="88"/>
        <v>7.7296290624519166</v>
      </c>
      <c r="AH169" s="593">
        <f t="shared" si="89"/>
        <v>-81.343305341291497</v>
      </c>
      <c r="AJ169" s="150">
        <f t="shared" si="90"/>
        <v>0</v>
      </c>
      <c r="AK169" s="150">
        <f t="shared" si="102"/>
        <v>0</v>
      </c>
      <c r="AM169" s="150" t="str">
        <f t="shared" si="94"/>
        <v>0.014493791410409+0.169639361091017i</v>
      </c>
      <c r="AN169" s="150" t="str">
        <f t="shared" si="95"/>
        <v>0.1704637147869i</v>
      </c>
      <c r="AO169" s="150" t="str">
        <f t="shared" si="96"/>
        <v>0.995164051792996-0.0850256691198357i</v>
      </c>
      <c r="AP169" s="150" t="str">
        <f t="shared" si="97"/>
        <v>0.164251034764932-0.0282732268485028i</v>
      </c>
      <c r="AQ169" s="150" t="str">
        <f t="shared" si="98"/>
        <v>0.835748965235068+0.0282732268485028i</v>
      </c>
      <c r="AR169" s="150" t="str">
        <f t="shared" si="99"/>
        <v>0.995571388837657-0.0336799887183456i</v>
      </c>
    </row>
    <row r="170" spans="7:44" x14ac:dyDescent="0.25">
      <c r="G170" s="594">
        <v>9549.9</v>
      </c>
      <c r="H170" s="582">
        <f t="shared" si="91"/>
        <v>9.5498999999999992</v>
      </c>
      <c r="I170" s="583">
        <f t="shared" si="69"/>
        <v>9.3707655847272182</v>
      </c>
      <c r="J170" s="584">
        <f t="shared" si="70"/>
        <v>1.4638778691247361</v>
      </c>
      <c r="K170" s="584">
        <f t="shared" si="71"/>
        <v>1.0000133143938423</v>
      </c>
      <c r="L170" s="585">
        <f t="shared" si="72"/>
        <v>5.1602802475143794E-3</v>
      </c>
      <c r="M170" s="584">
        <f t="shared" si="73"/>
        <v>1.0032957673632663</v>
      </c>
      <c r="N170" s="585">
        <f t="shared" si="74"/>
        <v>-8.1077012919896899E-2</v>
      </c>
      <c r="O170" s="583">
        <f t="shared" si="75"/>
        <v>17281.091922316715</v>
      </c>
      <c r="P170" s="586">
        <f t="shared" si="76"/>
        <v>1.5707384600810887</v>
      </c>
      <c r="Q170" s="595">
        <f t="shared" si="103"/>
        <v>7.2695633684069874</v>
      </c>
      <c r="R170" s="596">
        <f t="shared" si="104"/>
        <v>1.432798912663765</v>
      </c>
      <c r="S170" s="583">
        <f t="shared" si="79"/>
        <v>1.0011514826342556</v>
      </c>
      <c r="T170" s="586">
        <f t="shared" si="80"/>
        <v>4.7966212941759109E-2</v>
      </c>
      <c r="U170" s="587">
        <f t="shared" si="92"/>
        <v>0.99488209151325191</v>
      </c>
      <c r="V170" s="588">
        <f t="shared" si="93"/>
        <v>-0.11972700519954457</v>
      </c>
      <c r="W170" s="589">
        <f t="shared" si="81"/>
        <v>9.8815301416324246</v>
      </c>
      <c r="X170" s="590">
        <f t="shared" si="82"/>
        <v>-105.73519966824288</v>
      </c>
      <c r="Y170" s="593">
        <f t="shared" si="83"/>
        <v>74.264800331757115</v>
      </c>
      <c r="AA170" s="150">
        <f t="shared" si="84"/>
        <v>1000000000</v>
      </c>
      <c r="AB170" s="150">
        <f t="shared" si="85"/>
        <v>91200590.00999999</v>
      </c>
      <c r="AD170" s="592">
        <f t="shared" si="86"/>
        <v>27.677196697378026</v>
      </c>
      <c r="AE170" s="593">
        <f t="shared" si="87"/>
        <v>-10.651615467917171</v>
      </c>
      <c r="AG170" s="592">
        <f t="shared" si="88"/>
        <v>7.6814118653766741</v>
      </c>
      <c r="AH170" s="593">
        <f t="shared" si="89"/>
        <v>-81.363880001299108</v>
      </c>
      <c r="AJ170" s="150">
        <f t="shared" si="90"/>
        <v>0</v>
      </c>
      <c r="AK170" s="150">
        <f t="shared" si="102"/>
        <v>0</v>
      </c>
      <c r="AM170" s="150" t="str">
        <f t="shared" si="94"/>
        <v>0.014659775714277+0.17060082767842i</v>
      </c>
      <c r="AN170" s="150" t="str">
        <f t="shared" si="95"/>
        <v>0.1714394037042i</v>
      </c>
      <c r="AO170" s="150" t="str">
        <f t="shared" si="96"/>
        <v>0.995108615594424-0.0855099551067667i</v>
      </c>
      <c r="AP170" s="150" t="str">
        <f t="shared" si="97"/>
        <v>0.164223370714287-0.0284334712797367i</v>
      </c>
      <c r="AQ170" s="150" t="str">
        <f t="shared" si="98"/>
        <v>0.835776629285713+0.0284334712797367i</v>
      </c>
      <c r="AR170" s="150" t="str">
        <f t="shared" si="99"/>
        <v>0.995525575168893-0.0338681973842696i</v>
      </c>
    </row>
    <row r="171" spans="7:44" x14ac:dyDescent="0.25">
      <c r="G171" s="594">
        <v>9605.5249999999996</v>
      </c>
      <c r="H171" s="582">
        <f t="shared" si="91"/>
        <v>9.6055250000000001</v>
      </c>
      <c r="I171" s="583">
        <f t="shared" si="69"/>
        <v>9.4247273868532986</v>
      </c>
      <c r="J171" s="584">
        <f t="shared" si="70"/>
        <v>1.4644923598827679</v>
      </c>
      <c r="K171" s="584">
        <f t="shared" si="71"/>
        <v>1.0000134699483652</v>
      </c>
      <c r="L171" s="585">
        <f t="shared" si="72"/>
        <v>5.1903366301519508E-3</v>
      </c>
      <c r="M171" s="584">
        <f t="shared" si="73"/>
        <v>1.0033342087011976</v>
      </c>
      <c r="N171" s="585">
        <f t="shared" si="74"/>
        <v>-8.1547174813940707E-2</v>
      </c>
      <c r="O171" s="583">
        <f t="shared" si="75"/>
        <v>17381.748550655164</v>
      </c>
      <c r="P171" s="586">
        <f t="shared" si="76"/>
        <v>1.5707387951836413</v>
      </c>
      <c r="Q171" s="595">
        <f t="shared" si="103"/>
        <v>7.3111071997201034</v>
      </c>
      <c r="R171" s="596">
        <f t="shared" si="104"/>
        <v>1.4335880265839385</v>
      </c>
      <c r="S171" s="583">
        <f t="shared" si="79"/>
        <v>1.00116492788231</v>
      </c>
      <c r="T171" s="586">
        <f t="shared" si="80"/>
        <v>4.8245168142286313E-2</v>
      </c>
      <c r="U171" s="587">
        <f t="shared" si="92"/>
        <v>0.9948273440747295</v>
      </c>
      <c r="V171" s="588">
        <f t="shared" si="93"/>
        <v>-0.12042109702078807</v>
      </c>
      <c r="W171" s="589">
        <f t="shared" si="81"/>
        <v>9.8304460372316989</v>
      </c>
      <c r="X171" s="590">
        <f t="shared" si="82"/>
        <v>-105.80618137404926</v>
      </c>
      <c r="Y171" s="593">
        <f t="shared" si="83"/>
        <v>74.19381862595074</v>
      </c>
      <c r="AA171" s="150">
        <f t="shared" si="84"/>
        <v>1000000000</v>
      </c>
      <c r="AB171" s="150">
        <f t="shared" si="85"/>
        <v>92266110.52562499</v>
      </c>
      <c r="AD171" s="592">
        <f t="shared" si="86"/>
        <v>27.676130899002796</v>
      </c>
      <c r="AE171" s="593">
        <f t="shared" si="87"/>
        <v>-10.622404726328242</v>
      </c>
      <c r="AG171" s="592">
        <f t="shared" si="88"/>
        <v>7.6323495385521314</v>
      </c>
      <c r="AH171" s="593">
        <f t="shared" si="89"/>
        <v>-81.384535384699944</v>
      </c>
      <c r="AJ171" s="150">
        <f t="shared" si="90"/>
        <v>0</v>
      </c>
      <c r="AK171" s="150">
        <f t="shared" si="102"/>
        <v>0</v>
      </c>
      <c r="AM171" s="150" t="str">
        <f t="shared" si="94"/>
        <v>0.014830625131485+0.171584681196135i</v>
      </c>
      <c r="AN171" s="150" t="str">
        <f t="shared" si="95"/>
        <v>0.17243798136795i</v>
      </c>
      <c r="AO171" s="150" t="str">
        <f t="shared" si="96"/>
        <v>0.995051553230641-0.0860055598762737i</v>
      </c>
      <c r="AP171" s="150" t="str">
        <f t="shared" si="97"/>
        <v>0.164194895811419-0.0285974468660225i</v>
      </c>
      <c r="AQ171" s="150" t="str">
        <f t="shared" si="98"/>
        <v>0.835805104188581+0.0285974468660225i</v>
      </c>
      <c r="AR171" s="150" t="str">
        <f t="shared" si="99"/>
        <v>0.99547842624058-0.0340607412637474i</v>
      </c>
    </row>
    <row r="172" spans="7:44" x14ac:dyDescent="0.25">
      <c r="G172" s="594">
        <v>9661.15</v>
      </c>
      <c r="H172" s="582">
        <f t="shared" si="91"/>
        <v>9.6611499999999992</v>
      </c>
      <c r="I172" s="583">
        <f t="shared" si="69"/>
        <v>9.4786927072253988</v>
      </c>
      <c r="J172" s="584">
        <f t="shared" si="70"/>
        <v>1.4650998538713542</v>
      </c>
      <c r="K172" s="584">
        <f t="shared" si="71"/>
        <v>1.0000136264062858</v>
      </c>
      <c r="L172" s="585">
        <f t="shared" si="72"/>
        <v>5.2203930034116844E-3</v>
      </c>
      <c r="M172" s="584">
        <f t="shared" si="73"/>
        <v>1.0033728718113468</v>
      </c>
      <c r="N172" s="585">
        <f t="shared" si="74"/>
        <v>-8.201730057826942E-2</v>
      </c>
      <c r="O172" s="583">
        <f t="shared" si="75"/>
        <v>17482.405178995545</v>
      </c>
      <c r="P172" s="586">
        <f t="shared" si="76"/>
        <v>1.570739126427424</v>
      </c>
      <c r="Q172" s="595">
        <f t="shared" si="103"/>
        <v>7.3526555322173381</v>
      </c>
      <c r="R172" s="596">
        <f t="shared" si="104"/>
        <v>1.4343682227469541</v>
      </c>
      <c r="S172" s="583">
        <f t="shared" si="79"/>
        <v>1.0011784510349224</v>
      </c>
      <c r="T172" s="586">
        <f t="shared" si="80"/>
        <v>4.8524115828692725E-2</v>
      </c>
      <c r="U172" s="587">
        <f t="shared" si="92"/>
        <v>0.99477228730252998</v>
      </c>
      <c r="V172" s="588">
        <f t="shared" si="93"/>
        <v>-0.12111513216330605</v>
      </c>
      <c r="W172" s="589">
        <f t="shared" si="81"/>
        <v>9.7796581126605346</v>
      </c>
      <c r="X172" s="590">
        <f t="shared" si="82"/>
        <v>-105.87726717573091</v>
      </c>
      <c r="Y172" s="593">
        <f t="shared" si="83"/>
        <v>74.122732824269093</v>
      </c>
      <c r="AA172" s="150">
        <f t="shared" si="84"/>
        <v>1000000000</v>
      </c>
      <c r="AB172" s="150">
        <f t="shared" si="85"/>
        <v>93337819.32249999</v>
      </c>
      <c r="AD172" s="592">
        <f t="shared" si="86"/>
        <v>27.675080571385415</v>
      </c>
      <c r="AE172" s="593">
        <f t="shared" si="87"/>
        <v>-10.593704282969103</v>
      </c>
      <c r="AG172" s="592">
        <f t="shared" si="88"/>
        <v>7.5835733753254857</v>
      </c>
      <c r="AH172" s="593">
        <f t="shared" si="89"/>
        <v>-81.404791060649785</v>
      </c>
      <c r="AJ172" s="150">
        <f t="shared" si="90"/>
        <v>0</v>
      </c>
      <c r="AK172" s="150">
        <f t="shared" si="102"/>
        <v>0</v>
      </c>
      <c r="AM172" s="150" t="str">
        <f t="shared" si="94"/>
        <v>0.015002456917494+0.172568363616938i</v>
      </c>
      <c r="AN172" s="150" t="str">
        <f t="shared" si="95"/>
        <v>0.1734365590317i</v>
      </c>
      <c r="AO172" s="150" t="str">
        <f t="shared" si="96"/>
        <v>0.99499416144088-0.0865011218006921i</v>
      </c>
      <c r="AP172" s="150" t="str">
        <f t="shared" si="97"/>
        <v>0.164166257180418-0.0287613939361563i</v>
      </c>
      <c r="AQ172" s="150" t="str">
        <f t="shared" si="98"/>
        <v>0.835833742819582+0.0287613939361563i</v>
      </c>
      <c r="AR172" s="150" t="str">
        <f t="shared" si="99"/>
        <v>0.995431013954375-0.0342532037914976i</v>
      </c>
    </row>
    <row r="173" spans="7:44" x14ac:dyDescent="0.25">
      <c r="G173" s="594">
        <v>9716.7749999999996</v>
      </c>
      <c r="H173" s="582">
        <f t="shared" si="91"/>
        <v>9.7167750000000002</v>
      </c>
      <c r="I173" s="583">
        <f t="shared" si="69"/>
        <v>9.5326614860921222</v>
      </c>
      <c r="J173" s="584">
        <f t="shared" si="70"/>
        <v>1.4657004694740376</v>
      </c>
      <c r="K173" s="584">
        <f t="shared" si="71"/>
        <v>1.000013783767604</v>
      </c>
      <c r="L173" s="585">
        <f t="shared" si="72"/>
        <v>5.2504493672392806E-3</v>
      </c>
      <c r="M173" s="584">
        <f t="shared" si="73"/>
        <v>1.0034117566680782</v>
      </c>
      <c r="N173" s="585">
        <f t="shared" si="74"/>
        <v>-8.248739000925874E-2</v>
      </c>
      <c r="O173" s="583">
        <f t="shared" si="75"/>
        <v>17583.061807337817</v>
      </c>
      <c r="P173" s="586">
        <f t="shared" si="76"/>
        <v>1.5707394538787063</v>
      </c>
      <c r="Q173" s="595">
        <f t="shared" si="103"/>
        <v>7.3942082900217265</v>
      </c>
      <c r="R173" s="596">
        <f t="shared" si="104"/>
        <v>1.4351396505385381</v>
      </c>
      <c r="S173" s="583">
        <f t="shared" si="79"/>
        <v>1.0011920520889359</v>
      </c>
      <c r="T173" s="586">
        <f t="shared" si="80"/>
        <v>4.8803055957872869E-2</v>
      </c>
      <c r="U173" s="587">
        <f t="shared" si="92"/>
        <v>0.99471692134418643</v>
      </c>
      <c r="V173" s="588">
        <f t="shared" si="93"/>
        <v>-0.12180911031151141</v>
      </c>
      <c r="W173" s="589">
        <f t="shared" si="81"/>
        <v>9.729162881650856</v>
      </c>
      <c r="X173" s="590">
        <f t="shared" si="82"/>
        <v>-105.94845526857523</v>
      </c>
      <c r="Y173" s="593">
        <f t="shared" si="83"/>
        <v>74.051544731424769</v>
      </c>
      <c r="AA173" s="150">
        <f t="shared" si="84"/>
        <v>1000000000</v>
      </c>
      <c r="AB173" s="150">
        <f t="shared" si="85"/>
        <v>94415716.40062499</v>
      </c>
      <c r="AD173" s="592">
        <f t="shared" si="86"/>
        <v>27.67404535157867</v>
      </c>
      <c r="AE173" s="593">
        <f t="shared" si="87"/>
        <v>-10.565505579995357</v>
      </c>
      <c r="AG173" s="592">
        <f t="shared" si="88"/>
        <v>7.5350802507021069</v>
      </c>
      <c r="AH173" s="593">
        <f t="shared" si="89"/>
        <v>-81.424653818444028</v>
      </c>
      <c r="AJ173" s="150">
        <f t="shared" si="90"/>
        <v>0</v>
      </c>
      <c r="AK173" s="150">
        <f t="shared" si="102"/>
        <v>0</v>
      </c>
      <c r="AM173" s="150" t="str">
        <f t="shared" si="94"/>
        <v>0.015175270900963+0.173551873959943i</v>
      </c>
      <c r="AN173" s="150" t="str">
        <f t="shared" si="95"/>
        <v>0.17443513669545i</v>
      </c>
      <c r="AO173" s="150" t="str">
        <f t="shared" si="96"/>
        <v>0.994936440259458-0.0869966406335773i</v>
      </c>
      <c r="AP173" s="150" t="str">
        <f t="shared" si="97"/>
        <v>0.164137454849839-0.0289253123266572i</v>
      </c>
      <c r="AQ173" s="150" t="str">
        <f t="shared" si="98"/>
        <v>0.835862545150161+0.0289253123266572i</v>
      </c>
      <c r="AR173" s="150" t="str">
        <f t="shared" si="99"/>
        <v>0.995383338488821-0.034445584525345i</v>
      </c>
    </row>
    <row r="174" spans="7:44" x14ac:dyDescent="0.25">
      <c r="G174" s="594">
        <v>9772.4</v>
      </c>
      <c r="H174" s="582">
        <f t="shared" si="91"/>
        <v>9.7723999999999993</v>
      </c>
      <c r="I174" s="583">
        <f t="shared" si="69"/>
        <v>9.5866336650437898</v>
      </c>
      <c r="J174" s="584">
        <f t="shared" si="70"/>
        <v>1.4662943224285001</v>
      </c>
      <c r="K174" s="584">
        <f t="shared" si="71"/>
        <v>1.0000139420323195</v>
      </c>
      <c r="L174" s="585">
        <f t="shared" si="72"/>
        <v>5.2805057215804382E-3</v>
      </c>
      <c r="M174" s="584">
        <f t="shared" si="73"/>
        <v>1.0034508632456127</v>
      </c>
      <c r="N174" s="585">
        <f t="shared" si="74"/>
        <v>-8.2957442903380155E-2</v>
      </c>
      <c r="O174" s="583">
        <f t="shared" si="75"/>
        <v>17683.718435681956</v>
      </c>
      <c r="P174" s="586">
        <f t="shared" si="76"/>
        <v>1.5707397776022498</v>
      </c>
      <c r="Q174" s="595">
        <f t="shared" si="103"/>
        <v>7.4357653989443842</v>
      </c>
      <c r="R174" s="596">
        <f t="shared" si="104"/>
        <v>1.4359024560471407</v>
      </c>
      <c r="S174" s="583">
        <f t="shared" si="79"/>
        <v>1.0012057310411757</v>
      </c>
      <c r="T174" s="586">
        <f t="shared" si="80"/>
        <v>4.908198848672829E-2</v>
      </c>
      <c r="U174" s="587">
        <f t="shared" si="92"/>
        <v>0.99466124634801467</v>
      </c>
      <c r="V174" s="588">
        <f t="shared" si="93"/>
        <v>-0.12250303115000943</v>
      </c>
      <c r="W174" s="589">
        <f t="shared" si="81"/>
        <v>9.6789569191280087</v>
      </c>
      <c r="X174" s="590">
        <f t="shared" si="82"/>
        <v>-106.01974388512349</v>
      </c>
      <c r="Y174" s="593">
        <f t="shared" si="83"/>
        <v>73.980256114876511</v>
      </c>
      <c r="AA174" s="150">
        <f t="shared" si="84"/>
        <v>1000000000</v>
      </c>
      <c r="AB174" s="150">
        <f t="shared" si="85"/>
        <v>95499801.75999999</v>
      </c>
      <c r="AD174" s="592">
        <f t="shared" si="86"/>
        <v>27.673024886750209</v>
      </c>
      <c r="AE174" s="593">
        <f t="shared" si="87"/>
        <v>-10.537800248396527</v>
      </c>
      <c r="AG174" s="592">
        <f t="shared" si="88"/>
        <v>7.4868670907569248</v>
      </c>
      <c r="AH174" s="593">
        <f t="shared" si="89"/>
        <v>-81.444130295776006</v>
      </c>
      <c r="AJ174" s="150">
        <f t="shared" si="90"/>
        <v>0</v>
      </c>
      <c r="AK174" s="150">
        <f t="shared" si="102"/>
        <v>0</v>
      </c>
      <c r="AM174" s="150" t="str">
        <f t="shared" si="94"/>
        <v>0.0153490669095671+0.174535211244435i</v>
      </c>
      <c r="AN174" s="150" t="str">
        <f t="shared" si="95"/>
        <v>0.1754337143592i</v>
      </c>
      <c r="AO174" s="150" t="str">
        <f t="shared" si="96"/>
        <v>0.994878389720887-0.0874921161284879i</v>
      </c>
      <c r="AP174" s="150" t="str">
        <f t="shared" si="97"/>
        <v>0.164108488848405-0.0290892018740725i</v>
      </c>
      <c r="AQ174" s="150" t="str">
        <f t="shared" si="98"/>
        <v>0.835891511151595+0.0290892018740725i</v>
      </c>
      <c r="AR174" s="150" t="str">
        <f t="shared" si="99"/>
        <v>0.995335400023399-0.0346378830236026i</v>
      </c>
    </row>
    <row r="175" spans="7:44" x14ac:dyDescent="0.25">
      <c r="G175" s="594">
        <v>9829.2999999999993</v>
      </c>
      <c r="H175" s="582">
        <f t="shared" si="91"/>
        <v>9.8292999999999999</v>
      </c>
      <c r="I175" s="583">
        <f t="shared" si="69"/>
        <v>9.6418464174609113</v>
      </c>
      <c r="J175" s="584">
        <f t="shared" si="70"/>
        <v>1.4668949083203129</v>
      </c>
      <c r="K175" s="584">
        <f t="shared" si="71"/>
        <v>1.0000141048593703</v>
      </c>
      <c r="L175" s="585">
        <f t="shared" si="72"/>
        <v>5.311250998216813E-3</v>
      </c>
      <c r="M175" s="584">
        <f t="shared" si="73"/>
        <v>1.0034910955738643</v>
      </c>
      <c r="N175" s="585">
        <f t="shared" si="74"/>
        <v>-8.3438232028848869E-2</v>
      </c>
      <c r="O175" s="583">
        <f t="shared" si="75"/>
        <v>17786.682249666439</v>
      </c>
      <c r="P175" s="586">
        <f t="shared" si="76"/>
        <v>1.5707401049550678</v>
      </c>
      <c r="Q175" s="595">
        <f t="shared" si="103"/>
        <v>7.4782794790725706</v>
      </c>
      <c r="R175" s="596">
        <f t="shared" si="104"/>
        <v>1.436673974028873</v>
      </c>
      <c r="S175" s="583">
        <f t="shared" si="79"/>
        <v>1.0012198041271039</v>
      </c>
      <c r="T175" s="586">
        <f t="shared" si="80"/>
        <v>4.9367306616673212E-2</v>
      </c>
      <c r="U175" s="587">
        <f t="shared" si="92"/>
        <v>0.99460397561696634</v>
      </c>
      <c r="V175" s="588">
        <f t="shared" si="93"/>
        <v>-0.12321279796599104</v>
      </c>
      <c r="W175" s="589">
        <f t="shared" si="81"/>
        <v>9.6278959502096431</v>
      </c>
      <c r="X175" s="590">
        <f t="shared" si="82"/>
        <v>-106.09276873459856</v>
      </c>
      <c r="Y175" s="593">
        <f t="shared" si="83"/>
        <v>73.907231265401435</v>
      </c>
      <c r="AA175" s="150">
        <f t="shared" si="84"/>
        <v>1000000000</v>
      </c>
      <c r="AB175" s="150">
        <f t="shared" si="85"/>
        <v>96615138.48999998</v>
      </c>
      <c r="AD175" s="592">
        <f t="shared" si="86"/>
        <v>27.671995940059517</v>
      </c>
      <c r="AE175" s="593">
        <f t="shared" si="87"/>
        <v>-10.50996180479231</v>
      </c>
      <c r="AG175" s="592">
        <f t="shared" si="88"/>
        <v>7.4378353318305326</v>
      </c>
      <c r="AH175" s="593">
        <f t="shared" si="89"/>
        <v>-81.463660302774031</v>
      </c>
      <c r="AJ175" s="150">
        <f t="shared" si="90"/>
        <v>0</v>
      </c>
      <c r="AK175" s="150">
        <f t="shared" si="102"/>
        <v>0</v>
      </c>
      <c r="AM175" s="150" t="str">
        <f t="shared" si="94"/>
        <v>0.0155278624234571+0.175540907868998i</v>
      </c>
      <c r="AN175" s="150" t="str">
        <f t="shared" si="95"/>
        <v>0.1764551807694i</v>
      </c>
      <c r="AO175" s="150" t="str">
        <f t="shared" si="96"/>
        <v>0.994818667854265-0.0879989034935146i</v>
      </c>
      <c r="AP175" s="150" t="str">
        <f t="shared" si="97"/>
        <v>0.16407868959609-0.0292568179781663i</v>
      </c>
      <c r="AQ175" s="150" t="str">
        <f t="shared" si="98"/>
        <v>0.83592131040391+0.0292568179781663i</v>
      </c>
      <c r="AR175" s="150" t="str">
        <f t="shared" si="99"/>
        <v>0.995286090820382-0.0348345037181342i</v>
      </c>
    </row>
    <row r="176" spans="7:44" x14ac:dyDescent="0.25">
      <c r="G176" s="594">
        <v>9886.2000000000007</v>
      </c>
      <c r="H176" s="582">
        <f t="shared" si="91"/>
        <v>9.8862000000000005</v>
      </c>
      <c r="I176" s="583">
        <f t="shared" si="69"/>
        <v>9.6970626081201701</v>
      </c>
      <c r="J176" s="584">
        <f t="shared" si="70"/>
        <v>1.4674886548138688</v>
      </c>
      <c r="K176" s="584">
        <f t="shared" si="71"/>
        <v>1.0000142686317062</v>
      </c>
      <c r="L176" s="585">
        <f t="shared" si="72"/>
        <v>5.3419962648119422E-3</v>
      </c>
      <c r="M176" s="584">
        <f t="shared" si="73"/>
        <v>1.0035315598486638</v>
      </c>
      <c r="N176" s="585">
        <f t="shared" si="74"/>
        <v>-8.3918982492800873E-2</v>
      </c>
      <c r="O176" s="583">
        <f t="shared" si="75"/>
        <v>17889.64606365281</v>
      </c>
      <c r="P176" s="586">
        <f t="shared" si="76"/>
        <v>1.5707404285397293</v>
      </c>
      <c r="Q176" s="595">
        <f t="shared" si="103"/>
        <v>7.5207979602442441</v>
      </c>
      <c r="R176" s="596">
        <f t="shared" si="104"/>
        <v>1.4374367689783925</v>
      </c>
      <c r="S176" s="583">
        <f t="shared" si="79"/>
        <v>1.0012339587164722</v>
      </c>
      <c r="T176" s="586">
        <f t="shared" si="80"/>
        <v>4.9652616702676289E-2</v>
      </c>
      <c r="U176" s="587">
        <f t="shared" si="92"/>
        <v>0.99454638183505883</v>
      </c>
      <c r="V176" s="588">
        <f t="shared" si="93"/>
        <v>-0.12392250414803621</v>
      </c>
      <c r="W176" s="589">
        <f t="shared" si="81"/>
        <v>9.5771306026051626</v>
      </c>
      <c r="X176" s="590">
        <f t="shared" si="82"/>
        <v>-106.16589514293118</v>
      </c>
      <c r="Y176" s="593">
        <f t="shared" si="83"/>
        <v>73.834104857068823</v>
      </c>
      <c r="AA176" s="150">
        <f t="shared" si="84"/>
        <v>1000000000</v>
      </c>
      <c r="AB176" s="150">
        <f t="shared" si="85"/>
        <v>97736950.440000013</v>
      </c>
      <c r="AD176" s="592">
        <f t="shared" si="86"/>
        <v>27.670981716633172</v>
      </c>
      <c r="AE176" s="593">
        <f t="shared" si="87"/>
        <v>-10.482622477335614</v>
      </c>
      <c r="AG176" s="592">
        <f t="shared" si="88"/>
        <v>7.3890901712926116</v>
      </c>
      <c r="AH176" s="593">
        <f t="shared" si="89"/>
        <v>-81.48279970061931</v>
      </c>
      <c r="AJ176" s="150">
        <f t="shared" si="90"/>
        <v>0</v>
      </c>
      <c r="AK176" s="150">
        <f t="shared" si="102"/>
        <v>0</v>
      </c>
      <c r="AM176" s="150" t="str">
        <f t="shared" si="94"/>
        <v>0.0157076851292119+0.176546421335312i</v>
      </c>
      <c r="AN176" s="150" t="str">
        <f t="shared" si="95"/>
        <v>0.1774766471796i</v>
      </c>
      <c r="AO176" s="150" t="str">
        <f t="shared" si="96"/>
        <v>0.994758601432522-0.0885056449895421i</v>
      </c>
      <c r="AP176" s="150" t="str">
        <f t="shared" si="97"/>
        <v>0.164048719145131-0.0294244035558853i</v>
      </c>
      <c r="AQ176" s="150" t="str">
        <f t="shared" si="98"/>
        <v>0.835951280854869+0.0294244035558853i</v>
      </c>
      <c r="AR176" s="150" t="str">
        <f t="shared" si="99"/>
        <v>0.995236506805592-0.0350310374306148i</v>
      </c>
    </row>
    <row r="177" spans="7:44" x14ac:dyDescent="0.25">
      <c r="G177" s="594">
        <v>9943.1</v>
      </c>
      <c r="H177" s="582">
        <f t="shared" si="91"/>
        <v>9.9431000000000012</v>
      </c>
      <c r="I177" s="583">
        <f t="shared" si="69"/>
        <v>9.7522821786208791</v>
      </c>
      <c r="J177" s="584">
        <f t="shared" si="70"/>
        <v>1.4680756776654786</v>
      </c>
      <c r="K177" s="584">
        <f t="shared" si="71"/>
        <v>1.0000144333493266</v>
      </c>
      <c r="L177" s="585">
        <f t="shared" si="72"/>
        <v>5.3727415213077057E-3</v>
      </c>
      <c r="M177" s="584">
        <f t="shared" si="73"/>
        <v>1.0035722560419547</v>
      </c>
      <c r="N177" s="585">
        <f t="shared" si="74"/>
        <v>-8.4399694077703077E-2</v>
      </c>
      <c r="O177" s="583">
        <f t="shared" si="75"/>
        <v>17992.609877641025</v>
      </c>
      <c r="P177" s="586">
        <f t="shared" si="76"/>
        <v>1.5707407484209244</v>
      </c>
      <c r="Q177" s="595">
        <f t="shared" si="103"/>
        <v>7.5633207682357781</v>
      </c>
      <c r="R177" s="596">
        <f t="shared" si="104"/>
        <v>1.4381909871294087</v>
      </c>
      <c r="S177" s="583">
        <f t="shared" si="79"/>
        <v>1.0012481948058238</v>
      </c>
      <c r="T177" s="586">
        <f t="shared" si="80"/>
        <v>4.9937918698630103E-2</v>
      </c>
      <c r="U177" s="587">
        <f t="shared" si="92"/>
        <v>0.99448846516359612</v>
      </c>
      <c r="V177" s="588">
        <f t="shared" si="93"/>
        <v>-0.12463214935928069</v>
      </c>
      <c r="W177" s="589">
        <f t="shared" si="81"/>
        <v>9.5266573998423159</v>
      </c>
      <c r="X177" s="590">
        <f t="shared" si="82"/>
        <v>-106.23912133319833</v>
      </c>
      <c r="Y177" s="593">
        <f t="shared" si="83"/>
        <v>73.760878666801673</v>
      </c>
      <c r="AA177" s="150">
        <f t="shared" si="84"/>
        <v>1000000000</v>
      </c>
      <c r="AB177" s="150">
        <f t="shared" si="85"/>
        <v>98865237.610000014</v>
      </c>
      <c r="AD177" s="592">
        <f t="shared" si="86"/>
        <v>27.669981869525728</v>
      </c>
      <c r="AE177" s="593">
        <f t="shared" si="87"/>
        <v>-10.455773888516783</v>
      </c>
      <c r="AG177" s="592">
        <f t="shared" si="88"/>
        <v>7.3406284777856792</v>
      </c>
      <c r="AH177" s="593">
        <f t="shared" si="89"/>
        <v>-81.501555128500442</v>
      </c>
      <c r="AJ177" s="150">
        <f t="shared" si="90"/>
        <v>0</v>
      </c>
      <c r="AK177" s="150">
        <f t="shared" si="102"/>
        <v>0</v>
      </c>
      <c r="AM177" s="150" t="str">
        <f t="shared" si="94"/>
        <v>0.015888534839206+0.177551750594232i</v>
      </c>
      <c r="AN177" s="150" t="str">
        <f t="shared" si="95"/>
        <v>0.1784981135898i</v>
      </c>
      <c r="AO177" s="150" t="str">
        <f t="shared" si="96"/>
        <v>0.994698190493246-0.0890123403529006i</v>
      </c>
      <c r="AP177" s="150" t="str">
        <f t="shared" si="97"/>
        <v>0.164018577526799-0.029591958432372i</v>
      </c>
      <c r="AQ177" s="150" t="str">
        <f t="shared" si="98"/>
        <v>0.835981422473201+0.029591958432372i</v>
      </c>
      <c r="AR177" s="150" t="str">
        <f t="shared" si="99"/>
        <v>0.995186648174161-0.0352274836898848i</v>
      </c>
    </row>
    <row r="178" spans="7:44" x14ac:dyDescent="0.25">
      <c r="G178" s="594">
        <v>10000</v>
      </c>
      <c r="H178" s="582">
        <f t="shared" si="91"/>
        <v>10</v>
      </c>
      <c r="I178" s="583">
        <f t="shared" si="69"/>
        <v>9.8075050718740933</v>
      </c>
      <c r="J178" s="584">
        <f t="shared" si="70"/>
        <v>1.4686560900430834</v>
      </c>
      <c r="K178" s="584">
        <f t="shared" si="71"/>
        <v>1.0000145990122311</v>
      </c>
      <c r="L178" s="585">
        <f t="shared" si="72"/>
        <v>5.4034867676459822E-3</v>
      </c>
      <c r="M178" s="584">
        <f t="shared" si="73"/>
        <v>1.0036131841255245</v>
      </c>
      <c r="N178" s="585">
        <f t="shared" si="74"/>
        <v>-8.4880366566129531E-2</v>
      </c>
      <c r="O178" s="583">
        <f t="shared" si="75"/>
        <v>18095.573691631067</v>
      </c>
      <c r="P178" s="586">
        <f t="shared" si="76"/>
        <v>1.5707410646618718</v>
      </c>
      <c r="Q178" s="595">
        <f t="shared" si="103"/>
        <v>7.6058478304759669</v>
      </c>
      <c r="R178" s="596">
        <f t="shared" si="104"/>
        <v>1.43893677148458</v>
      </c>
      <c r="S178" s="583">
        <f t="shared" si="79"/>
        <v>1.0012625123916827</v>
      </c>
      <c r="T178" s="586">
        <f t="shared" si="80"/>
        <v>5.0223212558435155E-2</v>
      </c>
      <c r="U178" s="587">
        <f t="shared" si="92"/>
        <v>0.99443022576472062</v>
      </c>
      <c r="V178" s="588">
        <f t="shared" si="93"/>
        <v>-0.12534173326309894</v>
      </c>
      <c r="W178" s="589">
        <f t="shared" si="81"/>
        <v>9.4764729263949405</v>
      </c>
      <c r="X178" s="590">
        <f t="shared" si="82"/>
        <v>-106.31244556523606</v>
      </c>
      <c r="Y178" s="593">
        <f t="shared" si="83"/>
        <v>73.687554434763939</v>
      </c>
      <c r="AA178" s="150">
        <f t="shared" si="84"/>
        <v>1000000000</v>
      </c>
      <c r="AB178" s="150">
        <f t="shared" si="85"/>
        <v>100000000</v>
      </c>
      <c r="AD178" s="592">
        <f t="shared" si="86"/>
        <v>27.668996061465304</v>
      </c>
      <c r="AE178" s="593">
        <f t="shared" si="87"/>
        <v>-10.429407845867878</v>
      </c>
      <c r="AG178" s="592">
        <f t="shared" si="88"/>
        <v>7.292447171215195</v>
      </c>
      <c r="AH178" s="593">
        <f t="shared" si="89"/>
        <v>-81.519933077295747</v>
      </c>
      <c r="AJ178" s="150">
        <f t="shared" si="90"/>
        <v>0</v>
      </c>
      <c r="AK178" s="150">
        <f t="shared" si="102"/>
        <v>0</v>
      </c>
      <c r="AM178" s="150" t="str">
        <f t="shared" si="94"/>
        <v>0.016070411364743+0.178556894596802i</v>
      </c>
      <c r="AN178" s="150" t="str">
        <f t="shared" si="95"/>
        <v>0.17951958i</v>
      </c>
      <c r="AO178" s="150" t="str">
        <f t="shared" si="96"/>
        <v>0.994637435074224-0.0895189893199561i</v>
      </c>
      <c r="AP178" s="150" t="str">
        <f t="shared" si="97"/>
        <v>0.163988264772543-0.0297594824328003i</v>
      </c>
      <c r="AQ178" s="150" t="str">
        <f t="shared" si="98"/>
        <v>0.836011735227457+0.0297594824328003i</v>
      </c>
      <c r="AR178" s="150" t="str">
        <f t="shared" si="99"/>
        <v>0.995136515122236-0.0354238420253286i</v>
      </c>
    </row>
    <row r="179" spans="7:44" x14ac:dyDescent="0.25">
      <c r="G179" s="594">
        <v>10058.25</v>
      </c>
      <c r="H179" s="582">
        <f t="shared" si="91"/>
        <v>10.058249999999999</v>
      </c>
      <c r="I179" s="583">
        <f t="shared" si="69"/>
        <v>9.8640415580447023</v>
      </c>
      <c r="J179" s="584">
        <f t="shared" si="70"/>
        <v>1.4692435411073725</v>
      </c>
      <c r="K179" s="584">
        <f t="shared" si="71"/>
        <v>1.0000147695848176</v>
      </c>
      <c r="L179" s="585">
        <f t="shared" si="72"/>
        <v>5.4349614600371857E-3</v>
      </c>
      <c r="M179" s="584">
        <f t="shared" si="73"/>
        <v>1.0036553234406556</v>
      </c>
      <c r="N179" s="585">
        <f t="shared" si="74"/>
        <v>-8.5372402684840476E-2</v>
      </c>
      <c r="O179" s="583">
        <f t="shared" si="75"/>
        <v>18200.98040806385</v>
      </c>
      <c r="P179" s="586">
        <f t="shared" si="76"/>
        <v>1.5707413846995764</v>
      </c>
      <c r="Q179" s="595">
        <f t="shared" si="103"/>
        <v>7.6493882155372859</v>
      </c>
      <c r="R179" s="596">
        <f t="shared" si="104"/>
        <v>1.4396916598816409</v>
      </c>
      <c r="S179" s="583">
        <f t="shared" si="79"/>
        <v>1.001277254090372</v>
      </c>
      <c r="T179" s="586">
        <f t="shared" si="80"/>
        <v>5.0515266777110233E-2</v>
      </c>
      <c r="U179" s="587">
        <f t="shared" si="92"/>
        <v>0.99437027045397874</v>
      </c>
      <c r="V179" s="588">
        <f t="shared" si="93"/>
        <v>-0.12606808877963915</v>
      </c>
      <c r="W179" s="589">
        <f t="shared" si="81"/>
        <v>9.4253933670050642</v>
      </c>
      <c r="X179" s="590">
        <f t="shared" si="82"/>
        <v>-106.38760925520846</v>
      </c>
      <c r="Y179" s="593">
        <f t="shared" si="83"/>
        <v>73.61239074479154</v>
      </c>
      <c r="AA179" s="150">
        <f t="shared" si="84"/>
        <v>1000000000</v>
      </c>
      <c r="AB179" s="150">
        <f t="shared" si="85"/>
        <v>101168393.0625</v>
      </c>
      <c r="AD179" s="592">
        <f t="shared" si="86"/>
        <v>27.668001064604553</v>
      </c>
      <c r="AE179" s="593">
        <f t="shared" si="87"/>
        <v>-10.402907737611438</v>
      </c>
      <c r="AG179" s="592">
        <f t="shared" si="88"/>
        <v>7.2434100042663996</v>
      </c>
      <c r="AH179" s="593">
        <f t="shared" si="89"/>
        <v>-81.538362664381893</v>
      </c>
      <c r="AJ179" s="150">
        <f t="shared" si="90"/>
        <v>0</v>
      </c>
      <c r="AK179" s="150">
        <f t="shared" si="102"/>
        <v>0</v>
      </c>
      <c r="AM179" s="150" t="str">
        <f t="shared" si="94"/>
        <v>0.016257666512171+0.179585693483422i</v>
      </c>
      <c r="AN179" s="150" t="str">
        <f t="shared" si="95"/>
        <v>0.1805652815535i</v>
      </c>
      <c r="AO179" s="150" t="str">
        <f t="shared" si="96"/>
        <v>0.994574881385557-0.090037610620921i</v>
      </c>
      <c r="AP179" s="150" t="str">
        <f t="shared" si="97"/>
        <v>0.163957055581305-0.0299309489139037i</v>
      </c>
      <c r="AQ179" s="150" t="str">
        <f t="shared" si="98"/>
        <v>0.836042944418695+0.0299309489139037i</v>
      </c>
      <c r="AR179" s="150" t="str">
        <f t="shared" si="99"/>
        <v>0.995084908563647-0.0356247675577526i</v>
      </c>
    </row>
    <row r="180" spans="7:44" x14ac:dyDescent="0.25">
      <c r="G180" s="594">
        <v>10116.5</v>
      </c>
      <c r="H180" s="582">
        <f t="shared" si="91"/>
        <v>10.1165</v>
      </c>
      <c r="I180" s="583">
        <f t="shared" si="69"/>
        <v>9.9205814094841216</v>
      </c>
      <c r="J180" s="584">
        <f t="shared" si="70"/>
        <v>1.4698242963118484</v>
      </c>
      <c r="K180" s="584">
        <f t="shared" si="71"/>
        <v>1.0000149411480745</v>
      </c>
      <c r="L180" s="585">
        <f t="shared" si="72"/>
        <v>5.4664361416599276E-3</v>
      </c>
      <c r="M180" s="584">
        <f t="shared" si="73"/>
        <v>1.0036977057198437</v>
      </c>
      <c r="N180" s="585">
        <f t="shared" si="74"/>
        <v>-8.5864397369083328E-2</v>
      </c>
      <c r="O180" s="583">
        <f t="shared" si="75"/>
        <v>18306.387124498473</v>
      </c>
      <c r="P180" s="586">
        <f t="shared" si="76"/>
        <v>1.5707417010517777</v>
      </c>
      <c r="Q180" s="595">
        <f t="shared" si="103"/>
        <v>7.6929329103080448</v>
      </c>
      <c r="R180" s="596">
        <f t="shared" si="104"/>
        <v>1.4404380028345436</v>
      </c>
      <c r="S180" s="583">
        <f t="shared" si="79"/>
        <v>1.0012920811911534</v>
      </c>
      <c r="T180" s="586">
        <f t="shared" si="80"/>
        <v>5.0807312371236042E-2</v>
      </c>
      <c r="U180" s="587">
        <f t="shared" si="92"/>
        <v>0.994309977266852</v>
      </c>
      <c r="V180" s="588">
        <f t="shared" si="93"/>
        <v>-0.12679437933192647</v>
      </c>
      <c r="W180" s="589">
        <f t="shared" si="81"/>
        <v>9.3746093457765216</v>
      </c>
      <c r="X180" s="590">
        <f t="shared" si="82"/>
        <v>-106.46287211766311</v>
      </c>
      <c r="Y180" s="593">
        <f t="shared" si="83"/>
        <v>73.53712788233689</v>
      </c>
      <c r="AA180" s="150">
        <f t="shared" si="84"/>
        <v>1000000000</v>
      </c>
      <c r="AB180" s="150">
        <f t="shared" si="85"/>
        <v>102343572.25</v>
      </c>
      <c r="AD180" s="592">
        <f t="shared" si="86"/>
        <v>27.667020095240446</v>
      </c>
      <c r="AE180" s="593">
        <f t="shared" si="87"/>
        <v>-10.376896541925834</v>
      </c>
      <c r="AG180" s="592">
        <f t="shared" si="88"/>
        <v>7.1946603142384316</v>
      </c>
      <c r="AH180" s="593">
        <f t="shared" si="89"/>
        <v>-81.556409955734452</v>
      </c>
      <c r="AJ180" s="150">
        <f t="shared" si="90"/>
        <v>0</v>
      </c>
      <c r="AK180" s="150">
        <f t="shared" si="102"/>
        <v>0</v>
      </c>
      <c r="AM180" s="150" t="str">
        <f t="shared" si="94"/>
        <v>0.016445997373617+0.180614295994587i</v>
      </c>
      <c r="AN180" s="150" t="str">
        <f t="shared" si="95"/>
        <v>0.181610983107i</v>
      </c>
      <c r="AO180" s="150" t="str">
        <f t="shared" si="96"/>
        <v>0.994511966757948-0.0905561827388352i</v>
      </c>
      <c r="AP180" s="150" t="str">
        <f t="shared" si="97"/>
        <v>0.163925667104397-0.0301023826657645i</v>
      </c>
      <c r="AQ180" s="150" t="str">
        <f t="shared" si="98"/>
        <v>0.836074332895603+0.0301023826657645i</v>
      </c>
      <c r="AR180" s="150" t="str">
        <f t="shared" si="99"/>
        <v>0.995033014827645-0.0358255999483615i</v>
      </c>
    </row>
    <row r="181" spans="7:44" x14ac:dyDescent="0.25">
      <c r="G181" s="594">
        <v>10174.75</v>
      </c>
      <c r="H181" s="582">
        <f t="shared" si="91"/>
        <v>10.17475</v>
      </c>
      <c r="I181" s="583">
        <f t="shared" si="69"/>
        <v>9.9771245689799368</v>
      </c>
      <c r="J181" s="584">
        <f t="shared" si="70"/>
        <v>1.4703984691033309</v>
      </c>
      <c r="K181" s="584">
        <f t="shared" si="71"/>
        <v>1.0000151137020017</v>
      </c>
      <c r="L181" s="585">
        <f t="shared" si="72"/>
        <v>5.4979108124518549E-3</v>
      </c>
      <c r="M181" s="584">
        <f t="shared" si="73"/>
        <v>1.0037403309323119</v>
      </c>
      <c r="N181" s="585">
        <f t="shared" si="74"/>
        <v>-8.6356350385938599E-2</v>
      </c>
      <c r="O181" s="583">
        <f t="shared" si="75"/>
        <v>18411.793840934908</v>
      </c>
      <c r="P181" s="586">
        <f t="shared" si="76"/>
        <v>1.570742013781774</v>
      </c>
      <c r="Q181" s="595">
        <f t="shared" si="103"/>
        <v>7.7364818420168007</v>
      </c>
      <c r="R181" s="596">
        <f t="shared" si="104"/>
        <v>1.4411759438125487</v>
      </c>
      <c r="S181" s="583">
        <f t="shared" si="79"/>
        <v>1.0013069936902326</v>
      </c>
      <c r="T181" s="586">
        <f t="shared" si="80"/>
        <v>5.1099349291379347E-2</v>
      </c>
      <c r="U181" s="587">
        <f t="shared" si="92"/>
        <v>0.99424934638009521</v>
      </c>
      <c r="V181" s="588">
        <f t="shared" si="93"/>
        <v>-0.12752060455957748</v>
      </c>
      <c r="W181" s="589">
        <f t="shared" si="81"/>
        <v>9.3241173875888421</v>
      </c>
      <c r="X181" s="590">
        <f t="shared" si="82"/>
        <v>-106.53823239924498</v>
      </c>
      <c r="Y181" s="593">
        <f t="shared" si="83"/>
        <v>73.461767600755024</v>
      </c>
      <c r="AA181" s="150">
        <f t="shared" si="84"/>
        <v>1000000000</v>
      </c>
      <c r="AB181" s="150">
        <f t="shared" si="85"/>
        <v>103525537.5625</v>
      </c>
      <c r="AD181" s="592">
        <f t="shared" si="86"/>
        <v>27.666052820969774</v>
      </c>
      <c r="AE181" s="593">
        <f t="shared" si="87"/>
        <v>-10.351366039422345</v>
      </c>
      <c r="AG181" s="592">
        <f t="shared" si="88"/>
        <v>7.1461949564072551</v>
      </c>
      <c r="AH181" s="593">
        <f t="shared" si="89"/>
        <v>-81.574081458684091</v>
      </c>
      <c r="AJ181" s="150">
        <f t="shared" si="90"/>
        <v>0</v>
      </c>
      <c r="AK181" s="150">
        <f t="shared" si="102"/>
        <v>0</v>
      </c>
      <c r="AM181" s="150" t="str">
        <f t="shared" si="94"/>
        <v>0.016635403743141+0.18164270100553i</v>
      </c>
      <c r="AN181" s="150" t="str">
        <f t="shared" si="95"/>
        <v>0.1826566846605i</v>
      </c>
      <c r="AO181" s="150" t="str">
        <f t="shared" si="96"/>
        <v>0.994448691232655-0.0910747053909407i</v>
      </c>
      <c r="AP181" s="150" t="str">
        <f t="shared" si="97"/>
        <v>0.163894099376143-0.0302737835009217i</v>
      </c>
      <c r="AQ181" s="150" t="str">
        <f t="shared" si="98"/>
        <v>0.836105900623857+0.0302737835009217i</v>
      </c>
      <c r="AR181" s="150" t="str">
        <f t="shared" si="99"/>
        <v>0.994980834127974-0.0360263386940356i</v>
      </c>
    </row>
    <row r="182" spans="7:44" x14ac:dyDescent="0.25">
      <c r="G182" s="594">
        <v>10233</v>
      </c>
      <c r="H182" s="582">
        <f t="shared" si="91"/>
        <v>10.233000000000001</v>
      </c>
      <c r="I182" s="583">
        <f t="shared" si="69"/>
        <v>10.033670980606066</v>
      </c>
      <c r="J182" s="584">
        <f t="shared" si="70"/>
        <v>1.4709661703888335</v>
      </c>
      <c r="K182" s="584">
        <f t="shared" si="71"/>
        <v>1.0000152872465984</v>
      </c>
      <c r="L182" s="585">
        <f t="shared" si="72"/>
        <v>5.5293854723506121E-3</v>
      </c>
      <c r="M182" s="584">
        <f t="shared" si="73"/>
        <v>1.0037831990471118</v>
      </c>
      <c r="N182" s="585">
        <f t="shared" si="74"/>
        <v>-8.6848261502606952E-2</v>
      </c>
      <c r="O182" s="583">
        <f t="shared" si="75"/>
        <v>18517.200557373122</v>
      </c>
      <c r="P182" s="586">
        <f t="shared" si="76"/>
        <v>1.5707423229514221</v>
      </c>
      <c r="Q182" s="595">
        <f t="shared" si="103"/>
        <v>7.7800349395144677</v>
      </c>
      <c r="R182" s="596">
        <f t="shared" si="104"/>
        <v>1.441905623109393</v>
      </c>
      <c r="S182" s="583">
        <f t="shared" si="79"/>
        <v>1.0013219915837943</v>
      </c>
      <c r="T182" s="586">
        <f t="shared" si="80"/>
        <v>5.1391377488115723E-2</v>
      </c>
      <c r="U182" s="587">
        <f t="shared" si="92"/>
        <v>0.99418837797138293</v>
      </c>
      <c r="V182" s="588">
        <f t="shared" si="93"/>
        <v>-0.12824676410249636</v>
      </c>
      <c r="W182" s="589">
        <f t="shared" si="81"/>
        <v>9.2739140782177092</v>
      </c>
      <c r="X182" s="590">
        <f t="shared" si="82"/>
        <v>-106.61368838296447</v>
      </c>
      <c r="Y182" s="593">
        <f t="shared" si="83"/>
        <v>73.386311617035531</v>
      </c>
      <c r="AA182" s="150">
        <f t="shared" si="84"/>
        <v>1000000000</v>
      </c>
      <c r="AB182" s="150">
        <f t="shared" si="85"/>
        <v>104714289</v>
      </c>
      <c r="AD182" s="592">
        <f t="shared" si="86"/>
        <v>27.665098918668782</v>
      </c>
      <c r="AE182" s="593">
        <f t="shared" si="87"/>
        <v>-10.326308192574253</v>
      </c>
      <c r="AG182" s="592">
        <f t="shared" si="88"/>
        <v>7.0980108376550017</v>
      </c>
      <c r="AH182" s="593">
        <f t="shared" si="89"/>
        <v>-81.591383535031767</v>
      </c>
      <c r="AJ182" s="150">
        <f t="shared" si="90"/>
        <v>0</v>
      </c>
      <c r="AK182" s="150">
        <f t="shared" si="102"/>
        <v>0</v>
      </c>
      <c r="AM182" s="150" t="str">
        <f t="shared" si="94"/>
        <v>0.0168258854136299+0.182670907391698i</v>
      </c>
      <c r="AN182" s="150" t="str">
        <f t="shared" si="95"/>
        <v>0.183702386214i</v>
      </c>
      <c r="AO182" s="150" t="str">
        <f t="shared" si="96"/>
        <v>0.994385054851163-0.0915931782945321i</v>
      </c>
      <c r="AP182" s="150" t="str">
        <f t="shared" si="97"/>
        <v>0.163862352431062-0.0304451512319497i</v>
      </c>
      <c r="AQ182" s="150" t="str">
        <f t="shared" si="98"/>
        <v>0.836137647568938+0.0304451512319497i</v>
      </c>
      <c r="AR182" s="150" t="str">
        <f t="shared" si="99"/>
        <v>0.994928366679484-0.0362269832922649i</v>
      </c>
    </row>
    <row r="183" spans="7:44" x14ac:dyDescent="0.25">
      <c r="G183" s="594">
        <v>10292.5</v>
      </c>
      <c r="H183" s="582">
        <f t="shared" si="91"/>
        <v>10.2925</v>
      </c>
      <c r="I183" s="583">
        <f t="shared" si="69"/>
        <v>10.091434135258096</v>
      </c>
      <c r="J183" s="584">
        <f t="shared" si="70"/>
        <v>1.4715394855394743</v>
      </c>
      <c r="K183" s="584">
        <f t="shared" si="71"/>
        <v>1.0000154655381135</v>
      </c>
      <c r="L183" s="585">
        <f t="shared" si="72"/>
        <v>5.5615355428244541E-3</v>
      </c>
      <c r="M183" s="584">
        <f t="shared" si="73"/>
        <v>1.0038272378231838</v>
      </c>
      <c r="N183" s="585">
        <f t="shared" si="74"/>
        <v>-8.735068515132953E-2</v>
      </c>
      <c r="O183" s="583">
        <f t="shared" si="75"/>
        <v>18624.869220517827</v>
      </c>
      <c r="P183" s="586">
        <f t="shared" si="76"/>
        <v>1.5707426351426954</v>
      </c>
      <c r="Q183" s="595">
        <f t="shared" si="103"/>
        <v>7.8245268813461433</v>
      </c>
      <c r="R183" s="596">
        <f t="shared" si="104"/>
        <v>1.4426425738924491</v>
      </c>
      <c r="S183" s="583">
        <f t="shared" si="79"/>
        <v>1.0013373994794696</v>
      </c>
      <c r="T183" s="586">
        <f t="shared" si="80"/>
        <v>5.1689663326758645E-2</v>
      </c>
      <c r="U183" s="587">
        <f t="shared" si="92"/>
        <v>0.9941257529493388</v>
      </c>
      <c r="V183" s="588">
        <f t="shared" si="93"/>
        <v>-0.12898843827989237</v>
      </c>
      <c r="W183" s="589">
        <f t="shared" si="81"/>
        <v>9.2229279632058301</v>
      </c>
      <c r="X183" s="590">
        <f t="shared" si="82"/>
        <v>-106.69086065021121</v>
      </c>
      <c r="Y183" s="593">
        <f t="shared" si="83"/>
        <v>73.309139349788794</v>
      </c>
      <c r="AA183" s="150">
        <f t="shared" si="84"/>
        <v>1000000000</v>
      </c>
      <c r="AB183" s="150">
        <f t="shared" si="85"/>
        <v>105935556.25</v>
      </c>
      <c r="AD183" s="592">
        <f t="shared" si="86"/>
        <v>27.664138025229764</v>
      </c>
      <c r="AE183" s="593">
        <f t="shared" si="87"/>
        <v>-10.301192429852707</v>
      </c>
      <c r="AG183" s="592">
        <f t="shared" si="88"/>
        <v>7.049079918077541</v>
      </c>
      <c r="AH183" s="593">
        <f t="shared" si="89"/>
        <v>-81.608681964625688</v>
      </c>
      <c r="AJ183" s="150">
        <f t="shared" si="90"/>
        <v>0</v>
      </c>
      <c r="AK183" s="150">
        <f t="shared" si="102"/>
        <v>0</v>
      </c>
      <c r="AM183" s="150" t="str">
        <f t="shared" si="94"/>
        <v>0.01702156461827+0.183720972059494i</v>
      </c>
      <c r="AN183" s="150" t="str">
        <f t="shared" si="95"/>
        <v>0.184770527715i</v>
      </c>
      <c r="AO183" s="150" t="str">
        <f t="shared" si="96"/>
        <v>0.994319680370644-0.0921227255708496i</v>
      </c>
      <c r="AP183" s="150" t="str">
        <f t="shared" si="97"/>
        <v>0.163829739230288-0.0306201620099157i</v>
      </c>
      <c r="AQ183" s="150" t="str">
        <f t="shared" si="98"/>
        <v>0.836170260769712+0.0306201620099157i</v>
      </c>
      <c r="AR183" s="150" t="str">
        <f t="shared" si="99"/>
        <v>0.994874477499686-0.0364318358470781i</v>
      </c>
    </row>
    <row r="184" spans="7:44" x14ac:dyDescent="0.25">
      <c r="G184" s="594">
        <v>10352</v>
      </c>
      <c r="H184" s="582">
        <f t="shared" si="91"/>
        <v>10.352</v>
      </c>
      <c r="I184" s="583">
        <f t="shared" si="69"/>
        <v>10.149200569109381</v>
      </c>
      <c r="J184" s="584">
        <f t="shared" si="70"/>
        <v>1.4721062745730957</v>
      </c>
      <c r="K184" s="584">
        <f t="shared" si="71"/>
        <v>1.0000156448632713</v>
      </c>
      <c r="L184" s="585">
        <f t="shared" si="72"/>
        <v>5.5936856018010753E-3</v>
      </c>
      <c r="M184" s="584">
        <f t="shared" si="73"/>
        <v>1.0038715299726169</v>
      </c>
      <c r="N184" s="585">
        <f t="shared" si="74"/>
        <v>-8.7853064591656607E-2</v>
      </c>
      <c r="O184" s="583">
        <f t="shared" si="75"/>
        <v>18732.537883664329</v>
      </c>
      <c r="P184" s="586">
        <f t="shared" si="76"/>
        <v>1.5707429437452167</v>
      </c>
      <c r="Q184" s="595">
        <f t="shared" si="103"/>
        <v>7.8690230245957418</v>
      </c>
      <c r="R184" s="596">
        <f t="shared" si="104"/>
        <v>1.4433711907501308</v>
      </c>
      <c r="S184" s="583">
        <f t="shared" si="79"/>
        <v>1.0013528964658345</v>
      </c>
      <c r="T184" s="586">
        <f t="shared" si="80"/>
        <v>5.198793995936745E-2</v>
      </c>
      <c r="U184" s="587">
        <f t="shared" si="92"/>
        <v>0.99406277614172378</v>
      </c>
      <c r="V184" s="588">
        <f t="shared" si="93"/>
        <v>-0.12973004316457012</v>
      </c>
      <c r="W184" s="589">
        <f t="shared" si="81"/>
        <v>9.172236005424768</v>
      </c>
      <c r="X184" s="590">
        <f t="shared" si="82"/>
        <v>-106.76812926168367</v>
      </c>
      <c r="Y184" s="593">
        <f t="shared" si="83"/>
        <v>73.231870738316331</v>
      </c>
      <c r="AA184" s="150">
        <f t="shared" si="84"/>
        <v>1000000000</v>
      </c>
      <c r="AB184" s="150">
        <f t="shared" si="85"/>
        <v>107163904</v>
      </c>
      <c r="AD184" s="592">
        <f t="shared" si="86"/>
        <v>27.66319043060237</v>
      </c>
      <c r="AE184" s="593">
        <f t="shared" si="87"/>
        <v>-10.276553432795181</v>
      </c>
      <c r="AG184" s="592">
        <f t="shared" si="88"/>
        <v>7.0004360734972018</v>
      </c>
      <c r="AH184" s="593">
        <f t="shared" si="89"/>
        <v>-81.625607913141948</v>
      </c>
      <c r="AJ184" s="150">
        <f t="shared" si="90"/>
        <v>0</v>
      </c>
      <c r="AK184" s="150">
        <f t="shared" si="102"/>
        <v>0</v>
      </c>
      <c r="AM184" s="150" t="str">
        <f t="shared" si="94"/>
        <v>0.017218365328719+0.184770827115228i</v>
      </c>
      <c r="AN184" s="150" t="str">
        <f t="shared" si="95"/>
        <v>0.185838669216i</v>
      </c>
      <c r="AO184" s="150" t="str">
        <f t="shared" si="96"/>
        <v>0.994253929468625-0.0926522203444436i</v>
      </c>
      <c r="AP184" s="150" t="str">
        <f t="shared" si="97"/>
        <v>0.16379693911188-0.030795137852538i</v>
      </c>
      <c r="AQ184" s="150" t="str">
        <f t="shared" si="98"/>
        <v>0.83620306088812+0.030795137852538i</v>
      </c>
      <c r="AR184" s="150" t="str">
        <f t="shared" si="99"/>
        <v>0.994820289588887-0.0366365891125223i</v>
      </c>
    </row>
    <row r="185" spans="7:44" x14ac:dyDescent="0.25">
      <c r="G185" s="594">
        <v>10411.5</v>
      </c>
      <c r="H185" s="582">
        <f t="shared" si="91"/>
        <v>10.4115</v>
      </c>
      <c r="I185" s="583">
        <f t="shared" si="69"/>
        <v>10.206970226483952</v>
      </c>
      <c r="J185" s="584">
        <f t="shared" si="70"/>
        <v>1.4726666479324342</v>
      </c>
      <c r="K185" s="584">
        <f t="shared" si="71"/>
        <v>1.0000158252220712</v>
      </c>
      <c r="L185" s="585">
        <f t="shared" si="72"/>
        <v>5.6258356492140177E-3</v>
      </c>
      <c r="M185" s="584">
        <f t="shared" si="73"/>
        <v>1.0039160754618748</v>
      </c>
      <c r="N185" s="585">
        <f t="shared" si="74"/>
        <v>-8.8355399575870214E-2</v>
      </c>
      <c r="O185" s="583">
        <f t="shared" si="75"/>
        <v>18840.206546812587</v>
      </c>
      <c r="P185" s="586">
        <f t="shared" si="76"/>
        <v>1.5707432488205133</v>
      </c>
      <c r="Q185" s="595">
        <f t="shared" si="103"/>
        <v>7.9135232983920911</v>
      </c>
      <c r="R185" s="596">
        <f t="shared" si="104"/>
        <v>1.4440916134952069</v>
      </c>
      <c r="S185" s="583">
        <f t="shared" si="79"/>
        <v>1.0013684825387525</v>
      </c>
      <c r="T185" s="586">
        <f t="shared" si="80"/>
        <v>5.2286207333296059E-2</v>
      </c>
      <c r="U185" s="587">
        <f t="shared" si="92"/>
        <v>0.99399944774090188</v>
      </c>
      <c r="V185" s="588">
        <f t="shared" si="93"/>
        <v>-0.13047157837362475</v>
      </c>
      <c r="W185" s="589">
        <f t="shared" si="81"/>
        <v>9.1218347538205808</v>
      </c>
      <c r="X185" s="590">
        <f t="shared" si="82"/>
        <v>-106.84549249898363</v>
      </c>
      <c r="Y185" s="593">
        <f t="shared" si="83"/>
        <v>73.154507501016369</v>
      </c>
      <c r="AA185" s="150">
        <f t="shared" si="84"/>
        <v>1000000000</v>
      </c>
      <c r="AB185" s="150">
        <f t="shared" si="85"/>
        <v>108399332.25</v>
      </c>
      <c r="AD185" s="592">
        <f t="shared" si="86"/>
        <v>27.66225581844099</v>
      </c>
      <c r="AE185" s="593">
        <f t="shared" si="87"/>
        <v>-10.252383191228965</v>
      </c>
      <c r="AG185" s="592">
        <f t="shared" si="88"/>
        <v>6.9520761670209392</v>
      </c>
      <c r="AH185" s="593">
        <f t="shared" si="89"/>
        <v>-81.642167716232649</v>
      </c>
      <c r="AJ185" s="150">
        <f t="shared" si="90"/>
        <v>0</v>
      </c>
      <c r="AK185" s="150">
        <f t="shared" si="102"/>
        <v>0</v>
      </c>
      <c r="AM185" s="150" t="str">
        <f t="shared" si="94"/>
        <v>0.017416287320443+0.185820471361091i</v>
      </c>
      <c r="AN185" s="150" t="str">
        <f t="shared" si="95"/>
        <v>0.186906810717i</v>
      </c>
      <c r="AO185" s="150" t="str">
        <f t="shared" si="96"/>
        <v>0.994187802190077-0.0931816623141326i</v>
      </c>
      <c r="AP185" s="150" t="str">
        <f t="shared" si="97"/>
        <v>0.16376395211326-0.0309700785601818i</v>
      </c>
      <c r="AQ185" s="150" t="str">
        <f t="shared" si="98"/>
        <v>0.83623604788674+0.0309700785601818i</v>
      </c>
      <c r="AR185" s="150" t="str">
        <f t="shared" si="99"/>
        <v>0.994765803179634-0.0368412425550307i</v>
      </c>
    </row>
    <row r="186" spans="7:44" x14ac:dyDescent="0.25">
      <c r="G186" s="594">
        <v>10471</v>
      </c>
      <c r="H186" s="582">
        <f t="shared" si="91"/>
        <v>10.471</v>
      </c>
      <c r="I186" s="583">
        <f t="shared" si="69"/>
        <v>10.264743052956138</v>
      </c>
      <c r="J186" s="584">
        <f t="shared" si="70"/>
        <v>1.4732207135901429</v>
      </c>
      <c r="K186" s="584">
        <f t="shared" si="71"/>
        <v>1.0000160066145127</v>
      </c>
      <c r="L186" s="585">
        <f t="shared" si="72"/>
        <v>5.6579856849968274E-3</v>
      </c>
      <c r="M186" s="584">
        <f t="shared" si="73"/>
        <v>1.0039608742572359</v>
      </c>
      <c r="N186" s="585">
        <f t="shared" si="74"/>
        <v>-8.885768985638598E-2</v>
      </c>
      <c r="O186" s="583">
        <f t="shared" si="75"/>
        <v>18947.875209962582</v>
      </c>
      <c r="P186" s="586">
        <f t="shared" si="76"/>
        <v>1.5707435504287139</v>
      </c>
      <c r="Q186" s="595">
        <f t="shared" si="103"/>
        <v>7.9580276334427218</v>
      </c>
      <c r="R186" s="596">
        <f t="shared" si="104"/>
        <v>1.4448039788473597</v>
      </c>
      <c r="S186" s="583">
        <f t="shared" si="79"/>
        <v>1.0013841576940643</v>
      </c>
      <c r="T186" s="586">
        <f t="shared" si="80"/>
        <v>5.2584465395908282E-2</v>
      </c>
      <c r="U186" s="587">
        <f t="shared" si="92"/>
        <v>0.99393576794026506</v>
      </c>
      <c r="V186" s="588">
        <f t="shared" si="93"/>
        <v>-0.13121304352444471</v>
      </c>
      <c r="W186" s="589">
        <f t="shared" si="81"/>
        <v>9.0717208176577948</v>
      </c>
      <c r="X186" s="590">
        <f t="shared" si="82"/>
        <v>-106.92294867935315</v>
      </c>
      <c r="Y186" s="593">
        <f t="shared" si="83"/>
        <v>73.077051320646845</v>
      </c>
      <c r="AA186" s="150">
        <f t="shared" si="84"/>
        <v>1000000000</v>
      </c>
      <c r="AB186" s="150">
        <f t="shared" si="85"/>
        <v>109641841</v>
      </c>
      <c r="AD186" s="592">
        <f t="shared" si="86"/>
        <v>27.661333881222575</v>
      </c>
      <c r="AE186" s="593">
        <f t="shared" si="87"/>
        <v>-10.228673872122551</v>
      </c>
      <c r="AG186" s="592">
        <f t="shared" si="88"/>
        <v>6.9039971132396314</v>
      </c>
      <c r="AH186" s="593">
        <f t="shared" si="89"/>
        <v>-81.65836756801545</v>
      </c>
      <c r="AJ186" s="150">
        <f t="shared" si="90"/>
        <v>0</v>
      </c>
      <c r="AK186" s="150">
        <f t="shared" si="102"/>
        <v>0</v>
      </c>
      <c r="AM186" s="150" t="str">
        <f t="shared" si="94"/>
        <v>0.017615330367627+0.186869903599518i</v>
      </c>
      <c r="AN186" s="150" t="str">
        <f t="shared" si="95"/>
        <v>0.187974952218i</v>
      </c>
      <c r="AO186" s="150" t="str">
        <f t="shared" si="96"/>
        <v>0.994121298580247-0.0937110511787655i</v>
      </c>
      <c r="AP186" s="150" t="str">
        <f t="shared" si="97"/>
        <v>0.163730778272062-0.031144983933253i</v>
      </c>
      <c r="AQ186" s="150" t="str">
        <f t="shared" si="98"/>
        <v>0.836269221727938+0.031144983933253i</v>
      </c>
      <c r="AR186" s="150" t="str">
        <f t="shared" si="99"/>
        <v>0.994711018505673-0.0370457956417146i</v>
      </c>
    </row>
    <row r="187" spans="7:44" x14ac:dyDescent="0.25">
      <c r="G187" s="594">
        <v>10532</v>
      </c>
      <c r="H187" s="582">
        <f t="shared" si="91"/>
        <v>10.532</v>
      </c>
      <c r="I187" s="583">
        <f t="shared" si="69"/>
        <v>10.323975571487448</v>
      </c>
      <c r="J187" s="584">
        <f t="shared" si="70"/>
        <v>1.473782309559293</v>
      </c>
      <c r="K187" s="584">
        <f t="shared" si="71"/>
        <v>1.0000161936529295</v>
      </c>
      <c r="L187" s="585">
        <f t="shared" si="72"/>
        <v>5.6909462137402118E-3</v>
      </c>
      <c r="M187" s="584">
        <f t="shared" si="73"/>
        <v>1.0040070653638942</v>
      </c>
      <c r="N187" s="585">
        <f t="shared" si="74"/>
        <v>-8.9372596249659403E-2</v>
      </c>
      <c r="O187" s="583">
        <f t="shared" si="75"/>
        <v>19058.258209160147</v>
      </c>
      <c r="P187" s="586">
        <f t="shared" si="76"/>
        <v>1.5707438561026914</v>
      </c>
      <c r="Q187" s="595">
        <f t="shared" si="103"/>
        <v>8.00365807171924</v>
      </c>
      <c r="R187" s="596">
        <f t="shared" si="104"/>
        <v>1.4455260783022659</v>
      </c>
      <c r="S187" s="583">
        <f t="shared" si="79"/>
        <v>1.0014003204963426</v>
      </c>
      <c r="T187" s="586">
        <f t="shared" si="80"/>
        <v>5.289023284786664E-2</v>
      </c>
      <c r="U187" s="587">
        <f t="shared" si="92"/>
        <v>0.99387011817030291</v>
      </c>
      <c r="V187" s="588">
        <f t="shared" si="93"/>
        <v>-0.13197312794404434</v>
      </c>
      <c r="W187" s="589">
        <f t="shared" si="81"/>
        <v>9.0206382890098773</v>
      </c>
      <c r="X187" s="590">
        <f t="shared" si="82"/>
        <v>-107.00245229875958</v>
      </c>
      <c r="Y187" s="593">
        <f t="shared" si="83"/>
        <v>72.997547701240421</v>
      </c>
      <c r="AA187" s="150">
        <f t="shared" si="84"/>
        <v>1000000000</v>
      </c>
      <c r="AB187" s="150">
        <f t="shared" si="85"/>
        <v>110923024</v>
      </c>
      <c r="AD187" s="592">
        <f t="shared" si="86"/>
        <v>27.660401547216395</v>
      </c>
      <c r="AE187" s="593">
        <f t="shared" si="87"/>
        <v>-10.204837319278994</v>
      </c>
      <c r="AG187" s="592">
        <f t="shared" si="88"/>
        <v>6.8549943679758236</v>
      </c>
      <c r="AH187" s="593">
        <f t="shared" si="89"/>
        <v>-81.674608481532502</v>
      </c>
      <c r="AJ187" s="150">
        <f t="shared" si="90"/>
        <v>0</v>
      </c>
      <c r="AK187" s="150">
        <f t="shared" si="102"/>
        <v>0</v>
      </c>
      <c r="AM187" s="150" t="str">
        <f t="shared" si="94"/>
        <v>0.01782055487357+0.187945570767543i</v>
      </c>
      <c r="AN187" s="150" t="str">
        <f t="shared" si="95"/>
        <v>0.189070021656i</v>
      </c>
      <c r="AO187" s="150" t="str">
        <f t="shared" si="96"/>
        <v>0.994052727774566-0.0942537305358397i</v>
      </c>
      <c r="AP187" s="150" t="str">
        <f t="shared" si="97"/>
        <v>0.163696574187738-0.0313242617945905i</v>
      </c>
      <c r="AQ187" s="150" t="str">
        <f t="shared" si="98"/>
        <v>0.836303425812262+0.0313242617945905i</v>
      </c>
      <c r="AR187" s="150" t="str">
        <f t="shared" si="99"/>
        <v>0.994654543313033-0.0372554007890798i</v>
      </c>
    </row>
    <row r="188" spans="7:44" x14ac:dyDescent="0.25">
      <c r="G188" s="594">
        <v>10593</v>
      </c>
      <c r="H188" s="582">
        <f t="shared" si="91"/>
        <v>10.593</v>
      </c>
      <c r="I188" s="583">
        <f t="shared" si="69"/>
        <v>10.383211308947613</v>
      </c>
      <c r="J188" s="584">
        <f t="shared" si="70"/>
        <v>1.4743374979441293</v>
      </c>
      <c r="K188" s="584">
        <f t="shared" si="71"/>
        <v>1.0000163817777601</v>
      </c>
      <c r="L188" s="585">
        <f t="shared" si="72"/>
        <v>5.7239067301182193E-3</v>
      </c>
      <c r="M188" s="584">
        <f t="shared" si="73"/>
        <v>1.0040535226370007</v>
      </c>
      <c r="N188" s="585">
        <f t="shared" si="74"/>
        <v>-8.9887455130279167E-2</v>
      </c>
      <c r="O188" s="583">
        <f t="shared" si="75"/>
        <v>19168.64120835947</v>
      </c>
      <c r="P188" s="586">
        <f t="shared" si="76"/>
        <v>1.5707441582562096</v>
      </c>
      <c r="Q188" s="595">
        <f t="shared" si="103"/>
        <v>8.0492926360067418</v>
      </c>
      <c r="R188" s="596">
        <f t="shared" si="104"/>
        <v>1.4462399904017305</v>
      </c>
      <c r="S188" s="583">
        <f t="shared" si="79"/>
        <v>1.0014165769202494</v>
      </c>
      <c r="T188" s="586">
        <f t="shared" si="80"/>
        <v>5.3195990401102795E-2</v>
      </c>
      <c r="U188" s="587">
        <f t="shared" si="92"/>
        <v>0.99380409947444348</v>
      </c>
      <c r="V188" s="588">
        <f t="shared" si="93"/>
        <v>-0.13273313791507665</v>
      </c>
      <c r="W188" s="589">
        <f t="shared" si="81"/>
        <v>8.9698507157998506</v>
      </c>
      <c r="X188" s="590">
        <f t="shared" si="82"/>
        <v>-107.08205013552308</v>
      </c>
      <c r="Y188" s="593">
        <f t="shared" si="83"/>
        <v>72.917949864476924</v>
      </c>
      <c r="AA188" s="150">
        <f t="shared" si="84"/>
        <v>1000000000</v>
      </c>
      <c r="AB188" s="150">
        <f t="shared" si="85"/>
        <v>112211649</v>
      </c>
      <c r="AD188" s="592">
        <f t="shared" si="86"/>
        <v>27.659481907874973</v>
      </c>
      <c r="AE188" s="593">
        <f t="shared" si="87"/>
        <v>-10.181469098485682</v>
      </c>
      <c r="AG188" s="592">
        <f t="shared" si="88"/>
        <v>6.8062804081365709</v>
      </c>
      <c r="AH188" s="593">
        <f t="shared" si="89"/>
        <v>-81.690483811533753</v>
      </c>
      <c r="AJ188" s="150">
        <f t="shared" si="90"/>
        <v>0</v>
      </c>
      <c r="AK188" s="150">
        <f t="shared" si="102"/>
        <v>0</v>
      </c>
      <c r="AM188" s="150" t="str">
        <f t="shared" si="94"/>
        <v>0.018026957186468+0.189021012555571i</v>
      </c>
      <c r="AN188" s="150" t="str">
        <f t="shared" si="95"/>
        <v>0.190165091094i</v>
      </c>
      <c r="AO188" s="150" t="str">
        <f t="shared" si="96"/>
        <v>0.993983761520859-0.0947963534356426i</v>
      </c>
      <c r="AP188" s="150" t="str">
        <f t="shared" si="97"/>
        <v>0.163662173802255-0.0315035020925952i</v>
      </c>
      <c r="AQ188" s="150" t="str">
        <f t="shared" si="98"/>
        <v>0.836337826197745+0.0315035020925952i</v>
      </c>
      <c r="AR188" s="150" t="str">
        <f t="shared" si="99"/>
        <v>0.994597755128974-0.0374648993247707i</v>
      </c>
    </row>
    <row r="189" spans="7:44" x14ac:dyDescent="0.25">
      <c r="G189" s="594">
        <v>10654</v>
      </c>
      <c r="H189" s="582">
        <f t="shared" si="91"/>
        <v>10.654</v>
      </c>
      <c r="I189" s="583">
        <f t="shared" si="69"/>
        <v>10.442450210557645</v>
      </c>
      <c r="J189" s="584">
        <f t="shared" si="70"/>
        <v>1.474886387448068</v>
      </c>
      <c r="K189" s="584">
        <f t="shared" si="71"/>
        <v>1.0000165709890034</v>
      </c>
      <c r="L189" s="585">
        <f t="shared" si="72"/>
        <v>5.7568672340592405E-3</v>
      </c>
      <c r="M189" s="584">
        <f t="shared" si="73"/>
        <v>1.0041002460396109</v>
      </c>
      <c r="N189" s="585">
        <f t="shared" si="74"/>
        <v>-9.0402266231901937E-2</v>
      </c>
      <c r="O189" s="583">
        <f t="shared" si="75"/>
        <v>19279.024207560524</v>
      </c>
      <c r="P189" s="586">
        <f t="shared" si="76"/>
        <v>1.5707444569497384</v>
      </c>
      <c r="Q189" s="595">
        <f t="shared" si="103"/>
        <v>8.0949312565249993</v>
      </c>
      <c r="R189" s="596">
        <f t="shared" si="104"/>
        <v>1.4469458528909132</v>
      </c>
      <c r="S189" s="583">
        <f t="shared" si="79"/>
        <v>1.0014329269612257</v>
      </c>
      <c r="T189" s="586">
        <f t="shared" si="80"/>
        <v>5.3501737998931098E-2</v>
      </c>
      <c r="U189" s="587">
        <f t="shared" si="92"/>
        <v>0.9937377120643669</v>
      </c>
      <c r="V189" s="588">
        <f t="shared" si="93"/>
        <v>-0.13349307302625218</v>
      </c>
      <c r="W189" s="589">
        <f t="shared" si="81"/>
        <v>8.919354632684481</v>
      </c>
      <c r="X189" s="590">
        <f t="shared" si="82"/>
        <v>-107.16174048706965</v>
      </c>
      <c r="Y189" s="593">
        <f t="shared" si="83"/>
        <v>72.83825951293035</v>
      </c>
      <c r="AA189" s="150">
        <f t="shared" si="84"/>
        <v>1000000000</v>
      </c>
      <c r="AB189" s="150">
        <f t="shared" si="85"/>
        <v>113507716</v>
      </c>
      <c r="AD189" s="592">
        <f t="shared" si="86"/>
        <v>27.658574658819091</v>
      </c>
      <c r="AE189" s="593">
        <f t="shared" si="87"/>
        <v>-10.158561317743132</v>
      </c>
      <c r="AG189" s="592">
        <f t="shared" si="88"/>
        <v>6.7578520703527358</v>
      </c>
      <c r="AH189" s="593">
        <f t="shared" si="89"/>
        <v>-81.70599979457505</v>
      </c>
      <c r="AJ189" s="150">
        <f t="shared" si="90"/>
        <v>0</v>
      </c>
      <c r="AK189" s="150">
        <f t="shared" si="102"/>
        <v>0</v>
      </c>
      <c r="AM189" s="150" t="str">
        <f t="shared" si="94"/>
        <v>0.018234537058809+0.190096227673957i</v>
      </c>
      <c r="AN189" s="150" t="str">
        <f t="shared" si="95"/>
        <v>0.191260160532i</v>
      </c>
      <c r="AO189" s="150" t="str">
        <f t="shared" si="96"/>
        <v>0.993914399868716-0.0953389195538093i</v>
      </c>
      <c r="AP189" s="150" t="str">
        <f t="shared" si="97"/>
        <v>0.163627577156865-0.0316827046123262i</v>
      </c>
      <c r="AQ189" s="150" t="str">
        <f t="shared" si="98"/>
        <v>0.836372422843135+0.0316827046123262i</v>
      </c>
      <c r="AR189" s="150" t="str">
        <f t="shared" si="99"/>
        <v>0.994540654209275-0.0376742906768124i</v>
      </c>
    </row>
    <row r="190" spans="7:44" x14ac:dyDescent="0.25">
      <c r="G190" s="594">
        <v>10715</v>
      </c>
      <c r="H190" s="582">
        <f t="shared" si="91"/>
        <v>10.715</v>
      </c>
      <c r="I190" s="583">
        <f t="shared" si="69"/>
        <v>10.501692222771672</v>
      </c>
      <c r="J190" s="584">
        <f t="shared" si="70"/>
        <v>1.4754290843370399</v>
      </c>
      <c r="K190" s="584">
        <f t="shared" si="71"/>
        <v>1.0000167612866593</v>
      </c>
      <c r="L190" s="585">
        <f t="shared" si="72"/>
        <v>5.7898277254916676E-3</v>
      </c>
      <c r="M190" s="584">
        <f t="shared" si="73"/>
        <v>1.0041472355345755</v>
      </c>
      <c r="N190" s="585">
        <f t="shared" si="74"/>
        <v>-9.0917029288335116E-2</v>
      </c>
      <c r="O190" s="583">
        <f t="shared" si="75"/>
        <v>19389.407206763277</v>
      </c>
      <c r="P190" s="586">
        <f t="shared" si="76"/>
        <v>1.5707447522423701</v>
      </c>
      <c r="Q190" s="595">
        <f t="shared" si="103"/>
        <v>8.1405738650524899</v>
      </c>
      <c r="R190" s="596">
        <f t="shared" si="104"/>
        <v>1.4476438004582317</v>
      </c>
      <c r="S190" s="583">
        <f t="shared" si="79"/>
        <v>1.0014493706146856</v>
      </c>
      <c r="T190" s="586">
        <f t="shared" si="80"/>
        <v>5.3807475584677009E-2</v>
      </c>
      <c r="U190" s="587">
        <f t="shared" si="92"/>
        <v>0.99367095615285128</v>
      </c>
      <c r="V190" s="588">
        <f t="shared" si="93"/>
        <v>-0.13425293286661177</v>
      </c>
      <c r="W190" s="589">
        <f t="shared" si="81"/>
        <v>8.8691466349533918</v>
      </c>
      <c r="X190" s="590">
        <f t="shared" si="82"/>
        <v>-107.24152168625547</v>
      </c>
      <c r="Y190" s="593">
        <f t="shared" si="83"/>
        <v>72.758478313744533</v>
      </c>
      <c r="AA190" s="150">
        <f t="shared" si="84"/>
        <v>1000000000</v>
      </c>
      <c r="AB190" s="150">
        <f t="shared" si="85"/>
        <v>114811225</v>
      </c>
      <c r="AD190" s="592">
        <f t="shared" si="86"/>
        <v>27.657679504180528</v>
      </c>
      <c r="AE190" s="593">
        <f t="shared" si="87"/>
        <v>-10.136106260111969</v>
      </c>
      <c r="AG190" s="592">
        <f t="shared" si="88"/>
        <v>6.709706243364348</v>
      </c>
      <c r="AH190" s="593">
        <f t="shared" si="89"/>
        <v>-81.721162527544379</v>
      </c>
      <c r="AJ190" s="150">
        <f t="shared" si="90"/>
        <v>0</v>
      </c>
      <c r="AK190" s="150">
        <f t="shared" si="102"/>
        <v>0</v>
      </c>
      <c r="AM190" s="150" t="str">
        <f t="shared" si="94"/>
        <v>0.018443294241667+0.191171214833327i</v>
      </c>
      <c r="AN190" s="150" t="str">
        <f t="shared" si="95"/>
        <v>0.19235522997i</v>
      </c>
      <c r="AO190" s="150" t="str">
        <f t="shared" si="96"/>
        <v>0.993844642868002-0.0958814285660101i</v>
      </c>
      <c r="AP190" s="150" t="str">
        <f t="shared" si="97"/>
        <v>0.163592784293055-0.0318618691388878i</v>
      </c>
      <c r="AQ190" s="150" t="str">
        <f t="shared" si="98"/>
        <v>0.836407215706945+0.0318618691388878i</v>
      </c>
      <c r="AR190" s="150" t="str">
        <f t="shared" si="99"/>
        <v>0.994483240811025-0.0378835742739932i</v>
      </c>
    </row>
    <row r="191" spans="7:44" x14ac:dyDescent="0.25">
      <c r="G191" s="594">
        <v>10777.5</v>
      </c>
      <c r="H191" s="582">
        <f t="shared" si="91"/>
        <v>10.7775</v>
      </c>
      <c r="I191" s="583">
        <f t="shared" si="69"/>
        <v>10.56239417732634</v>
      </c>
      <c r="J191" s="584">
        <f t="shared" si="70"/>
        <v>1.4759788119563286</v>
      </c>
      <c r="K191" s="584">
        <f t="shared" si="71"/>
        <v>1.0000169573905786</v>
      </c>
      <c r="L191" s="585">
        <f t="shared" si="72"/>
        <v>5.8235987077631373E-3</v>
      </c>
      <c r="M191" s="584">
        <f t="shared" si="73"/>
        <v>1.0041956564575483</v>
      </c>
      <c r="N191" s="585">
        <f t="shared" si="74"/>
        <v>-9.1444400342644006E-2</v>
      </c>
      <c r="O191" s="583">
        <f t="shared" si="75"/>
        <v>19502.504542013736</v>
      </c>
      <c r="P191" s="586">
        <f t="shared" si="76"/>
        <v>1.5707450513293131</v>
      </c>
      <c r="Q191" s="595">
        <f t="shared" si="103"/>
        <v>8.1873428993755955</v>
      </c>
      <c r="R191" s="596">
        <f t="shared" si="104"/>
        <v>1.4483508391267985</v>
      </c>
      <c r="S191" s="583">
        <f t="shared" si="79"/>
        <v>1.0014663157091639</v>
      </c>
      <c r="T191" s="586">
        <f t="shared" si="80"/>
        <v>5.4120720864117622E-2</v>
      </c>
      <c r="U191" s="587">
        <f t="shared" si="92"/>
        <v>0.99360217672109441</v>
      </c>
      <c r="V191" s="588">
        <f t="shared" si="93"/>
        <v>-0.13503139928568836</v>
      </c>
      <c r="W191" s="589">
        <f t="shared" si="81"/>
        <v>8.8179993149442932</v>
      </c>
      <c r="X191" s="590">
        <f t="shared" si="82"/>
        <v>-107.32335723723932</v>
      </c>
      <c r="Y191" s="593">
        <f t="shared" si="83"/>
        <v>72.676642762760679</v>
      </c>
      <c r="AA191" s="150">
        <f t="shared" si="84"/>
        <v>1000000000</v>
      </c>
      <c r="AB191" s="150">
        <f t="shared" si="85"/>
        <v>116154506.25</v>
      </c>
      <c r="AD191" s="592">
        <f t="shared" si="86"/>
        <v>27.656774580991183</v>
      </c>
      <c r="AE191" s="593">
        <f t="shared" si="87"/>
        <v>-10.113560697308673</v>
      </c>
      <c r="AG191" s="592">
        <f t="shared" si="88"/>
        <v>6.6606663195091151</v>
      </c>
      <c r="AH191" s="593">
        <f t="shared" si="89"/>
        <v>-81.736337960618087</v>
      </c>
      <c r="AJ191" s="150">
        <f t="shared" si="90"/>
        <v>0</v>
      </c>
      <c r="AK191" s="150">
        <f t="shared" si="102"/>
        <v>0</v>
      </c>
      <c r="AM191" s="150" t="str">
        <f t="shared" si="94"/>
        <v>0.018658405627943+0.192272398318918i</v>
      </c>
      <c r="AN191" s="150" t="str">
        <f t="shared" si="95"/>
        <v>0.193477227345i</v>
      </c>
      <c r="AO191" s="150" t="str">
        <f t="shared" si="96"/>
        <v>0.993772760533034-0.0964372183950732i</v>
      </c>
      <c r="AP191" s="150" t="str">
        <f t="shared" si="97"/>
        <v>0.163556932395343-0.0320453997198197i</v>
      </c>
      <c r="AQ191" s="150" t="str">
        <f t="shared" si="98"/>
        <v>0.836443067604657+0.0320453997198197i</v>
      </c>
      <c r="AR191" s="150" t="str">
        <f t="shared" si="99"/>
        <v>0.994424091779243-0.0380978918306323i</v>
      </c>
    </row>
    <row r="192" spans="7:44" x14ac:dyDescent="0.25">
      <c r="G192" s="594">
        <v>10840</v>
      </c>
      <c r="H192" s="582">
        <f t="shared" si="91"/>
        <v>10.84</v>
      </c>
      <c r="I192" s="583">
        <f t="shared" si="69"/>
        <v>10.623099287362116</v>
      </c>
      <c r="J192" s="584">
        <f t="shared" si="70"/>
        <v>1.4765222569624754</v>
      </c>
      <c r="K192" s="584">
        <f t="shared" si="71"/>
        <v>1.0000171546349961</v>
      </c>
      <c r="L192" s="585">
        <f t="shared" si="72"/>
        <v>5.8573696767510747E-3</v>
      </c>
      <c r="M192" s="584">
        <f t="shared" si="73"/>
        <v>1.0042443566406694</v>
      </c>
      <c r="N192" s="585">
        <f t="shared" si="74"/>
        <v>-9.1971720394560391E-2</v>
      </c>
      <c r="O192" s="583">
        <f t="shared" si="75"/>
        <v>19615.601877265915</v>
      </c>
      <c r="P192" s="586">
        <f t="shared" si="76"/>
        <v>1.5707453469673751</v>
      </c>
      <c r="Q192" s="595">
        <f t="shared" si="103"/>
        <v>8.2341159800859387</v>
      </c>
      <c r="R192" s="596">
        <f t="shared" si="104"/>
        <v>1.4490498456151699</v>
      </c>
      <c r="S192" s="583">
        <f t="shared" si="79"/>
        <v>1.0014833590667951</v>
      </c>
      <c r="T192" s="586">
        <f t="shared" si="80"/>
        <v>5.4433955512605228E-2</v>
      </c>
      <c r="U192" s="587">
        <f t="shared" si="92"/>
        <v>0.99353301089785995</v>
      </c>
      <c r="V192" s="588">
        <f t="shared" si="93"/>
        <v>-0.13580978581423717</v>
      </c>
      <c r="W192" s="589">
        <f t="shared" si="81"/>
        <v>8.7671473754290066</v>
      </c>
      <c r="X192" s="590">
        <f t="shared" si="82"/>
        <v>-107.40528472546556</v>
      </c>
      <c r="Y192" s="593">
        <f t="shared" si="83"/>
        <v>72.594715274534437</v>
      </c>
      <c r="AA192" s="150">
        <f t="shared" si="84"/>
        <v>1000000000</v>
      </c>
      <c r="AB192" s="150">
        <f t="shared" si="85"/>
        <v>117505600</v>
      </c>
      <c r="AD192" s="592">
        <f t="shared" si="86"/>
        <v>27.655881751686668</v>
      </c>
      <c r="AE192" s="593">
        <f t="shared" si="87"/>
        <v>-10.09147453781631</v>
      </c>
      <c r="AG192" s="592">
        <f t="shared" si="88"/>
        <v>6.6119165215008033</v>
      </c>
      <c r="AH192" s="593">
        <f t="shared" si="89"/>
        <v>-81.751155082403358</v>
      </c>
      <c r="AJ192" s="150">
        <f t="shared" si="90"/>
        <v>0</v>
      </c>
      <c r="AK192" s="150">
        <f t="shared" si="102"/>
        <v>0</v>
      </c>
      <c r="AM192" s="150" t="str">
        <f t="shared" si="94"/>
        <v>0.018874752403539+0.19337333975702i</v>
      </c>
      <c r="AN192" s="150" t="str">
        <f t="shared" si="95"/>
        <v>0.19459922472i</v>
      </c>
      <c r="AO192" s="150" t="str">
        <f t="shared" si="96"/>
        <v>0.993700463273973-0.0969929475859784i</v>
      </c>
      <c r="AP192" s="150" t="str">
        <f t="shared" si="97"/>
        <v>0.16352087459941-0.0322288899595033i</v>
      </c>
      <c r="AQ192" s="150" t="str">
        <f t="shared" si="98"/>
        <v>0.83647912540059+0.0322288899595033i</v>
      </c>
      <c r="AR192" s="150" t="str">
        <f t="shared" si="99"/>
        <v>0.994364615262791-0.0383120950562644i</v>
      </c>
    </row>
    <row r="193" spans="7:44" x14ac:dyDescent="0.25">
      <c r="G193" s="594">
        <v>10902.5</v>
      </c>
      <c r="H193" s="582">
        <f t="shared" si="91"/>
        <v>10.9025</v>
      </c>
      <c r="I193" s="583">
        <f t="shared" si="69"/>
        <v>10.683807499090921</v>
      </c>
      <c r="J193" s="584">
        <f t="shared" si="70"/>
        <v>1.4770595261301129</v>
      </c>
      <c r="K193" s="584">
        <f t="shared" si="71"/>
        <v>1.000017353019911</v>
      </c>
      <c r="L193" s="585">
        <f t="shared" si="72"/>
        <v>5.8911406323784591E-3</v>
      </c>
      <c r="M193" s="584">
        <f t="shared" si="73"/>
        <v>1.0042933360433131</v>
      </c>
      <c r="N193" s="585">
        <f t="shared" si="74"/>
        <v>-9.2498989158265293E-2</v>
      </c>
      <c r="O193" s="583">
        <f t="shared" si="75"/>
        <v>19728.69921251979</v>
      </c>
      <c r="P193" s="586">
        <f t="shared" si="76"/>
        <v>1.5707456392158698</v>
      </c>
      <c r="Q193" s="595">
        <f t="shared" si="103"/>
        <v>8.280893038617732</v>
      </c>
      <c r="R193" s="596">
        <f t="shared" si="104"/>
        <v>1.4497409553508018</v>
      </c>
      <c r="S193" s="583">
        <f t="shared" si="79"/>
        <v>1.0015005006825626</v>
      </c>
      <c r="T193" s="586">
        <f t="shared" si="80"/>
        <v>5.4747179469217526E-2</v>
      </c>
      <c r="U193" s="587">
        <f t="shared" si="92"/>
        <v>0.99346345891564247</v>
      </c>
      <c r="V193" s="588">
        <f t="shared" si="93"/>
        <v>-0.13658809201135774</v>
      </c>
      <c r="W193" s="589">
        <f t="shared" si="81"/>
        <v>8.7165873432316729</v>
      </c>
      <c r="X193" s="590">
        <f t="shared" si="82"/>
        <v>-107.48730246752254</v>
      </c>
      <c r="Y193" s="593">
        <f t="shared" si="83"/>
        <v>72.512697532477461</v>
      </c>
      <c r="AA193" s="150">
        <f t="shared" si="84"/>
        <v>1000000000</v>
      </c>
      <c r="AB193" s="150">
        <f t="shared" si="85"/>
        <v>118864506.25</v>
      </c>
      <c r="AD193" s="592">
        <f t="shared" si="86"/>
        <v>27.655000724011774</v>
      </c>
      <c r="AE193" s="593">
        <f t="shared" si="87"/>
        <v>-10.069840022121074</v>
      </c>
      <c r="AG193" s="592">
        <f t="shared" si="88"/>
        <v>6.5634536657759543</v>
      </c>
      <c r="AH193" s="593">
        <f t="shared" si="89"/>
        <v>-81.765620019525926</v>
      </c>
      <c r="AJ193" s="150">
        <f t="shared" si="90"/>
        <v>0</v>
      </c>
      <c r="AK193" s="150">
        <f t="shared" si="102"/>
        <v>0</v>
      </c>
      <c r="AM193" s="150" t="str">
        <f t="shared" si="94"/>
        <v>0.019092334296103+0.194474037761684i</v>
      </c>
      <c r="AN193" s="150" t="str">
        <f t="shared" si="95"/>
        <v>0.195721222095i</v>
      </c>
      <c r="AO193" s="150" t="str">
        <f t="shared" si="96"/>
        <v>0.993627751145399-0.0975486157900439i</v>
      </c>
      <c r="AP193" s="150" t="str">
        <f t="shared" si="97"/>
        <v>0.16348461095065-0.0324123396269473i</v>
      </c>
      <c r="AQ193" s="150" t="str">
        <f t="shared" si="98"/>
        <v>0.83651538904935+0.0324123396269473i</v>
      </c>
      <c r="AR193" s="150" t="str">
        <f t="shared" si="99"/>
        <v>0.994304811542465-0.0385261833390144i</v>
      </c>
    </row>
    <row r="194" spans="7:44" x14ac:dyDescent="0.25">
      <c r="G194" s="594">
        <v>10965</v>
      </c>
      <c r="H194" s="582">
        <f t="shared" si="91"/>
        <v>10.965</v>
      </c>
      <c r="I194" s="583">
        <f t="shared" si="69"/>
        <v>10.744518759937606</v>
      </c>
      <c r="J194" s="584">
        <f t="shared" si="70"/>
        <v>1.4775907238350268</v>
      </c>
      <c r="K194" s="584">
        <f t="shared" si="71"/>
        <v>1.0000175525453225</v>
      </c>
      <c r="L194" s="585">
        <f t="shared" si="72"/>
        <v>5.9249115745682659E-3</v>
      </c>
      <c r="M194" s="584">
        <f t="shared" si="73"/>
        <v>1.0043425946246287</v>
      </c>
      <c r="N194" s="585">
        <f t="shared" si="74"/>
        <v>-9.3026206348109416E-2</v>
      </c>
      <c r="O194" s="583">
        <f t="shared" si="75"/>
        <v>19841.796547775335</v>
      </c>
      <c r="P194" s="586">
        <f t="shared" si="76"/>
        <v>1.5707459281327585</v>
      </c>
      <c r="Q194" s="595">
        <f t="shared" si="103"/>
        <v>8.3276740079399687</v>
      </c>
      <c r="R194" s="596">
        <f t="shared" si="104"/>
        <v>1.4504243007486417</v>
      </c>
      <c r="S194" s="583">
        <f t="shared" si="79"/>
        <v>1.0015177405514208</v>
      </c>
      <c r="T194" s="586">
        <f t="shared" si="80"/>
        <v>5.5060392673044752E-2</v>
      </c>
      <c r="U194" s="587">
        <f t="shared" si="92"/>
        <v>0.9933935210081235</v>
      </c>
      <c r="V194" s="588">
        <f t="shared" si="93"/>
        <v>-0.13736631743651787</v>
      </c>
      <c r="W194" s="589">
        <f t="shared" si="81"/>
        <v>8.666315805974099</v>
      </c>
      <c r="X194" s="590">
        <f t="shared" si="82"/>
        <v>-107.56940881511309</v>
      </c>
      <c r="Y194" s="593">
        <f t="shared" si="83"/>
        <v>72.430591184886907</v>
      </c>
      <c r="AA194" s="150">
        <f t="shared" si="84"/>
        <v>1000000000</v>
      </c>
      <c r="AB194" s="150">
        <f t="shared" si="85"/>
        <v>120231225</v>
      </c>
      <c r="AD194" s="592">
        <f t="shared" si="86"/>
        <v>27.654131213899259</v>
      </c>
      <c r="AE194" s="593">
        <f t="shared" si="87"/>
        <v>-10.048649563236371</v>
      </c>
      <c r="AG194" s="592">
        <f t="shared" si="88"/>
        <v>6.5152746213671806</v>
      </c>
      <c r="AH194" s="593">
        <f t="shared" si="89"/>
        <v>-81.779738761156381</v>
      </c>
      <c r="AJ194" s="150">
        <f t="shared" si="90"/>
        <v>0</v>
      </c>
      <c r="AK194" s="150">
        <f t="shared" si="102"/>
        <v>0</v>
      </c>
      <c r="AM194" s="150" t="str">
        <f t="shared" si="94"/>
        <v>0.019311151031726+0.195574490947264i</v>
      </c>
      <c r="AN194" s="150" t="str">
        <f t="shared" si="95"/>
        <v>0.19684321947i</v>
      </c>
      <c r="AO194" s="150" t="str">
        <f t="shared" si="96"/>
        <v>0.993554624202185-0.0981042226586277i</v>
      </c>
      <c r="AP194" s="150" t="str">
        <f t="shared" si="97"/>
        <v>0.163448141494712-0.0325957484912107i</v>
      </c>
      <c r="AQ194" s="150" t="str">
        <f t="shared" si="98"/>
        <v>0.836551858505288+0.0325957484912107i</v>
      </c>
      <c r="AR194" s="150" t="str">
        <f t="shared" si="99"/>
        <v>0.99424468090049-0.0387401560678638i</v>
      </c>
    </row>
    <row r="195" spans="7:44" x14ac:dyDescent="0.25">
      <c r="G195" s="594">
        <v>11028.75</v>
      </c>
      <c r="H195" s="582">
        <f t="shared" si="91"/>
        <v>11.02875</v>
      </c>
      <c r="I195" s="583">
        <f t="shared" si="69"/>
        <v>10.806447333907132</v>
      </c>
      <c r="J195" s="584">
        <f t="shared" si="70"/>
        <v>1.4781263964876077</v>
      </c>
      <c r="K195" s="584">
        <f t="shared" si="71"/>
        <v>1.0000177572361815</v>
      </c>
      <c r="L195" s="585">
        <f t="shared" si="72"/>
        <v>5.9593579216786017E-3</v>
      </c>
      <c r="M195" s="584">
        <f t="shared" si="73"/>
        <v>1.0043931259448393</v>
      </c>
      <c r="N195" s="585">
        <f t="shared" si="74"/>
        <v>-9.3563914454299069E-2</v>
      </c>
      <c r="O195" s="583">
        <f t="shared" si="75"/>
        <v>19957.155829737672</v>
      </c>
      <c r="P195" s="586">
        <f t="shared" si="76"/>
        <v>1.5707462194545045</v>
      </c>
      <c r="Q195" s="595">
        <f t="shared" si="103"/>
        <v>8.3753945575843733</v>
      </c>
      <c r="R195" s="596">
        <f t="shared" si="104"/>
        <v>1.4511134485038764</v>
      </c>
      <c r="S195" s="583">
        <f t="shared" si="79"/>
        <v>1.0015354264327285</v>
      </c>
      <c r="T195" s="586">
        <f t="shared" si="80"/>
        <v>5.5379859000274957E-2</v>
      </c>
      <c r="U195" s="587">
        <f t="shared" si="92"/>
        <v>0.99332178700583273</v>
      </c>
      <c r="V195" s="588">
        <f t="shared" si="93"/>
        <v>-0.13816002370243596</v>
      </c>
      <c r="W195" s="589">
        <f t="shared" si="81"/>
        <v>8.6153325684765782</v>
      </c>
      <c r="X195" s="590">
        <f t="shared" si="82"/>
        <v>-107.65324689731561</v>
      </c>
      <c r="Y195" s="593">
        <f t="shared" si="83"/>
        <v>72.346753102684389</v>
      </c>
      <c r="AA195" s="150">
        <f t="shared" si="84"/>
        <v>1000000000</v>
      </c>
      <c r="AB195" s="150">
        <f t="shared" si="85"/>
        <v>121633326.5625</v>
      </c>
      <c r="AD195" s="592">
        <f t="shared" si="86"/>
        <v>27.653255892628511</v>
      </c>
      <c r="AE195" s="593">
        <f t="shared" si="87"/>
        <v>-10.027485069129687</v>
      </c>
      <c r="AG195" s="592">
        <f t="shared" si="88"/>
        <v>6.4664211850851716</v>
      </c>
      <c r="AH195" s="593">
        <f t="shared" si="89"/>
        <v>-81.793789298941263</v>
      </c>
      <c r="AJ195" s="150">
        <f t="shared" si="90"/>
        <v>0</v>
      </c>
      <c r="AK195" s="150">
        <f t="shared" si="102"/>
        <v>0</v>
      </c>
      <c r="AM195" s="150" t="str">
        <f t="shared" si="94"/>
        <v>0.0195356159516969+0.19669669954725i</v>
      </c>
      <c r="AN195" s="150" t="str">
        <f t="shared" si="95"/>
        <v>0.1979876567925i</v>
      </c>
      <c r="AO195" s="150" t="str">
        <f t="shared" si="96"/>
        <v>0.993479607435311-0.0986708781152509i</v>
      </c>
      <c r="AP195" s="150" t="str">
        <f t="shared" si="97"/>
        <v>0.163410730674717-0.032782783257875i</v>
      </c>
      <c r="AQ195" s="150" t="str">
        <f t="shared" si="98"/>
        <v>0.836589269325283+0.032782783257875i</v>
      </c>
      <c r="AR195" s="150" t="str">
        <f t="shared" si="99"/>
        <v>0.994183011145175-0.0389582885748936i</v>
      </c>
    </row>
    <row r="196" spans="7:44" x14ac:dyDescent="0.25">
      <c r="G196" s="594">
        <v>11092.5</v>
      </c>
      <c r="H196" s="582">
        <f t="shared" si="91"/>
        <v>11.092499999999999</v>
      </c>
      <c r="I196" s="583">
        <f t="shared" si="69"/>
        <v>10.868378973396544</v>
      </c>
      <c r="J196" s="584">
        <f t="shared" si="70"/>
        <v>1.4786559644087014</v>
      </c>
      <c r="K196" s="584">
        <f t="shared" si="71"/>
        <v>1.0000179631136119</v>
      </c>
      <c r="L196" s="585">
        <f t="shared" si="72"/>
        <v>5.9938042546466138E-3</v>
      </c>
      <c r="M196" s="584">
        <f t="shared" si="73"/>
        <v>1.0044439476359739</v>
      </c>
      <c r="N196" s="585">
        <f t="shared" si="74"/>
        <v>-9.4101568303263924E-2</v>
      </c>
      <c r="O196" s="583">
        <f t="shared" si="75"/>
        <v>20072.515111701687</v>
      </c>
      <c r="P196" s="586">
        <f t="shared" si="76"/>
        <v>1.5707465074277247</v>
      </c>
      <c r="Q196" s="595">
        <f t="shared" si="103"/>
        <v>8.4231190398383244</v>
      </c>
      <c r="R196" s="596">
        <f t="shared" si="104"/>
        <v>1.4517947873062271</v>
      </c>
      <c r="S196" s="583">
        <f t="shared" si="79"/>
        <v>1.0015532145258581</v>
      </c>
      <c r="T196" s="586">
        <f t="shared" si="80"/>
        <v>5.5699314012339338E-2</v>
      </c>
      <c r="U196" s="587">
        <f t="shared" si="92"/>
        <v>0.99324965198183568</v>
      </c>
      <c r="V196" s="588">
        <f t="shared" si="93"/>
        <v>-0.1389536450085877</v>
      </c>
      <c r="W196" s="589">
        <f t="shared" si="81"/>
        <v>8.5646424967970329</v>
      </c>
      <c r="X196" s="590">
        <f t="shared" si="82"/>
        <v>-107.73717380830828</v>
      </c>
      <c r="Y196" s="593">
        <f t="shared" si="83"/>
        <v>72.262826191691715</v>
      </c>
      <c r="AA196" s="150">
        <f t="shared" si="84"/>
        <v>1000000000</v>
      </c>
      <c r="AB196" s="150">
        <f t="shared" si="85"/>
        <v>123043556.25</v>
      </c>
      <c r="AD196" s="592">
        <f t="shared" si="86"/>
        <v>27.65239198209207</v>
      </c>
      <c r="AE196" s="593">
        <f t="shared" si="87"/>
        <v>-10.006767154898537</v>
      </c>
      <c r="AG196" s="592">
        <f t="shared" si="88"/>
        <v>6.4178566082887611</v>
      </c>
      <c r="AH196" s="593">
        <f t="shared" si="89"/>
        <v>-81.807491821312851</v>
      </c>
      <c r="AJ196" s="150">
        <f t="shared" si="90"/>
        <v>0</v>
      </c>
      <c r="AK196" s="150">
        <f t="shared" si="102"/>
        <v>0</v>
      </c>
      <c r="AM196" s="150" t="str">
        <f t="shared" si="94"/>
        <v>0.019761365021798+0.197818650526361i</v>
      </c>
      <c r="AN196" s="150" t="str">
        <f t="shared" si="95"/>
        <v>0.199132094115i</v>
      </c>
      <c r="AO196" s="150" t="str">
        <f t="shared" si="96"/>
        <v>0.993404159211621-0.0992374690258904i</v>
      </c>
      <c r="AP196" s="150" t="str">
        <f t="shared" si="97"/>
        <v>0.1633731058297-0.0329697750877268i</v>
      </c>
      <c r="AQ196" s="150" t="str">
        <f t="shared" si="98"/>
        <v>0.8366268941703+0.0329697750877268i</v>
      </c>
      <c r="AR196" s="150" t="str">
        <f t="shared" si="99"/>
        <v>0.99412100185825-0.0391762995782687i</v>
      </c>
    </row>
    <row r="197" spans="7:44" x14ac:dyDescent="0.25">
      <c r="G197" s="594">
        <v>11156.25</v>
      </c>
      <c r="H197" s="582">
        <f t="shared" si="91"/>
        <v>11.15625</v>
      </c>
      <c r="I197" s="583">
        <f t="shared" si="69"/>
        <v>10.930313626297723</v>
      </c>
      <c r="J197" s="584">
        <f t="shared" si="70"/>
        <v>1.4791795310728117</v>
      </c>
      <c r="K197" s="584">
        <f t="shared" si="71"/>
        <v>1.000018170177613</v>
      </c>
      <c r="L197" s="585">
        <f t="shared" si="72"/>
        <v>6.0282505733905666E-3</v>
      </c>
      <c r="M197" s="584">
        <f t="shared" si="73"/>
        <v>1.0044950596539597</v>
      </c>
      <c r="N197" s="585">
        <f t="shared" si="74"/>
        <v>-9.4639167592422066E-2</v>
      </c>
      <c r="O197" s="583">
        <f t="shared" si="75"/>
        <v>20187.874393667342</v>
      </c>
      <c r="P197" s="586">
        <f t="shared" si="76"/>
        <v>1.5707467921098224</v>
      </c>
      <c r="Q197" s="595">
        <f t="shared" si="103"/>
        <v>8.4708473882332331</v>
      </c>
      <c r="R197" s="596">
        <f t="shared" si="104"/>
        <v>1.4524684485145631</v>
      </c>
      <c r="S197" s="583">
        <f t="shared" si="79"/>
        <v>1.0015711048253637</v>
      </c>
      <c r="T197" s="586">
        <f t="shared" si="80"/>
        <v>5.6018757644640767E-2</v>
      </c>
      <c r="U197" s="587">
        <f t="shared" si="92"/>
        <v>0.99317711618802207</v>
      </c>
      <c r="V197" s="588">
        <f t="shared" si="93"/>
        <v>-0.13974718088870633</v>
      </c>
      <c r="W197" s="589">
        <f t="shared" si="81"/>
        <v>8.5142421561895105</v>
      </c>
      <c r="X197" s="590">
        <f t="shared" si="82"/>
        <v>-107.82118790597529</v>
      </c>
      <c r="Y197" s="593">
        <f t="shared" si="83"/>
        <v>72.178812094024707</v>
      </c>
      <c r="AA197" s="150">
        <f t="shared" si="84"/>
        <v>1000000000</v>
      </c>
      <c r="AB197" s="150">
        <f t="shared" si="85"/>
        <v>124461914.0625</v>
      </c>
      <c r="AD197" s="592">
        <f t="shared" si="86"/>
        <v>27.651539205439256</v>
      </c>
      <c r="AE197" s="593">
        <f t="shared" si="87"/>
        <v>-9.986488293821921</v>
      </c>
      <c r="AG197" s="592">
        <f t="shared" si="88"/>
        <v>6.369577730218178</v>
      </c>
      <c r="AH197" s="593">
        <f t="shared" si="89"/>
        <v>-81.820852266306588</v>
      </c>
      <c r="AJ197" s="150">
        <f t="shared" si="90"/>
        <v>0</v>
      </c>
      <c r="AK197" s="150">
        <f t="shared" si="102"/>
        <v>0</v>
      </c>
      <c r="AM197" s="150" t="str">
        <f t="shared" si="94"/>
        <v>0.019988397946357+0.198940342415138i</v>
      </c>
      <c r="AN197" s="150" t="str">
        <f t="shared" si="95"/>
        <v>0.2002765314375i</v>
      </c>
      <c r="AO197" s="150" t="str">
        <f t="shared" si="96"/>
        <v>0.993328279590367-0.0998039950207284i</v>
      </c>
      <c r="AP197" s="150" t="str">
        <f t="shared" si="97"/>
        <v>0.16333526700894-0.0331567237358563i</v>
      </c>
      <c r="AQ197" s="150" t="str">
        <f t="shared" si="98"/>
        <v>0.83666473299106+0.0331567237358563i</v>
      </c>
      <c r="AR197" s="150" t="str">
        <f t="shared" si="99"/>
        <v>0.994058653343808-0.0393941884323576i</v>
      </c>
    </row>
    <row r="198" spans="7:44" x14ac:dyDescent="0.25">
      <c r="G198" s="594">
        <v>11220</v>
      </c>
      <c r="H198" s="582">
        <f t="shared" si="91"/>
        <v>11.22</v>
      </c>
      <c r="I198" s="583">
        <f t="shared" si="69"/>
        <v>10.992251241674444</v>
      </c>
      <c r="J198" s="584">
        <f t="shared" si="70"/>
        <v>1.4796971976355981</v>
      </c>
      <c r="K198" s="584">
        <f t="shared" si="71"/>
        <v>1.000018378428184</v>
      </c>
      <c r="L198" s="585">
        <f t="shared" si="72"/>
        <v>6.062696877828724E-3</v>
      </c>
      <c r="M198" s="584">
        <f t="shared" si="73"/>
        <v>1.0045464619544802</v>
      </c>
      <c r="N198" s="585">
        <f t="shared" si="74"/>
        <v>-9.5176712019379051E-2</v>
      </c>
      <c r="O198" s="583">
        <f t="shared" si="75"/>
        <v>20303.233675634619</v>
      </c>
      <c r="P198" s="586">
        <f t="shared" si="76"/>
        <v>1.5707470735568962</v>
      </c>
      <c r="Q198" s="595">
        <f t="shared" si="103"/>
        <v>8.5185795377848432</v>
      </c>
      <c r="R198" s="596">
        <f t="shared" si="104"/>
        <v>1.453134560571814</v>
      </c>
      <c r="S198" s="583">
        <f t="shared" si="79"/>
        <v>1.0015890973257684</v>
      </c>
      <c r="T198" s="586">
        <f t="shared" si="80"/>
        <v>5.6338189832596051E-2</v>
      </c>
      <c r="U198" s="587">
        <f t="shared" si="92"/>
        <v>0.9931041798775696</v>
      </c>
      <c r="V198" s="588">
        <f t="shared" si="93"/>
        <v>-0.14054063087694829</v>
      </c>
      <c r="W198" s="589">
        <f t="shared" si="81"/>
        <v>8.4641281717965207</v>
      </c>
      <c r="X198" s="590">
        <f t="shared" si="82"/>
        <v>-107.90528758237306</v>
      </c>
      <c r="Y198" s="593">
        <f t="shared" si="83"/>
        <v>72.094712417626937</v>
      </c>
      <c r="AA198" s="150">
        <f t="shared" si="84"/>
        <v>1000000000</v>
      </c>
      <c r="AB198" s="150">
        <f t="shared" si="85"/>
        <v>125888400</v>
      </c>
      <c r="AD198" s="592">
        <f t="shared" si="86"/>
        <v>27.650697293556576</v>
      </c>
      <c r="AE198" s="593">
        <f t="shared" si="87"/>
        <v>-9.9666411261759524</v>
      </c>
      <c r="AG198" s="592">
        <f t="shared" si="88"/>
        <v>6.3215814422500349</v>
      </c>
      <c r="AH198" s="593">
        <f t="shared" si="89"/>
        <v>-81.833876439084491</v>
      </c>
      <c r="AJ198" s="150">
        <f t="shared" si="90"/>
        <v>0</v>
      </c>
      <c r="AK198" s="150">
        <f t="shared" si="102"/>
        <v>0</v>
      </c>
      <c r="AM198" s="150" t="str">
        <f t="shared" si="94"/>
        <v>0.020216714428021+0.200061773744458i</v>
      </c>
      <c r="AN198" s="150" t="str">
        <f t="shared" si="95"/>
        <v>0.20142096876i</v>
      </c>
      <c r="AO198" s="150" t="str">
        <f t="shared" si="96"/>
        <v>0.993251968631123-0.100370455730008i</v>
      </c>
      <c r="AP198" s="150" t="str">
        <f t="shared" si="97"/>
        <v>0.163297214261997-0.0333436289574097i</v>
      </c>
      <c r="AQ198" s="150" t="str">
        <f t="shared" si="98"/>
        <v>0.836702785738003+0.0333436289574097i</v>
      </c>
      <c r="AR198" s="150" t="str">
        <f t="shared" si="99"/>
        <v>0.993995965907479-0.0396119544924753i</v>
      </c>
    </row>
    <row r="199" spans="7:44" x14ac:dyDescent="0.25">
      <c r="G199" s="594">
        <v>11285.5</v>
      </c>
      <c r="H199" s="582">
        <f t="shared" si="91"/>
        <v>11.285500000000001</v>
      </c>
      <c r="I199" s="583">
        <f t="shared" si="69"/>
        <v>11.055892138559603</v>
      </c>
      <c r="J199" s="584">
        <f t="shared" si="70"/>
        <v>1.4802230333209285</v>
      </c>
      <c r="K199" s="584">
        <f t="shared" si="71"/>
        <v>1.0000185936313124</v>
      </c>
      <c r="L199" s="585">
        <f t="shared" si="72"/>
        <v>6.0980887521084369E-3</v>
      </c>
      <c r="M199" s="584">
        <f t="shared" si="73"/>
        <v>1.0045995775964252</v>
      </c>
      <c r="N199" s="585">
        <f t="shared" si="74"/>
        <v>-9.5728955108314154E-2</v>
      </c>
      <c r="O199" s="583">
        <f t="shared" si="75"/>
        <v>20421.759682990891</v>
      </c>
      <c r="P199" s="586">
        <f t="shared" si="76"/>
        <v>1.5707473594181416</v>
      </c>
      <c r="Q199" s="595">
        <f t="shared" si="103"/>
        <v>8.5676258739682556</v>
      </c>
      <c r="R199" s="596">
        <f t="shared" si="104"/>
        <v>1.4538112272188044</v>
      </c>
      <c r="S199" s="583">
        <f t="shared" si="79"/>
        <v>1.0016076901798381</v>
      </c>
      <c r="T199" s="586">
        <f t="shared" si="80"/>
        <v>5.6666378759516023E-2</v>
      </c>
      <c r="U199" s="587">
        <f t="shared" si="92"/>
        <v>0.99302882450198016</v>
      </c>
      <c r="V199" s="588">
        <f t="shared" si="93"/>
        <v>-0.14135577189510076</v>
      </c>
      <c r="W199" s="589">
        <f t="shared" si="81"/>
        <v>8.4129332792911296</v>
      </c>
      <c r="X199" s="590">
        <f t="shared" si="82"/>
        <v>-107.99178335727132</v>
      </c>
      <c r="Y199" s="593">
        <f t="shared" si="83"/>
        <v>72.008216642728684</v>
      </c>
      <c r="AA199" s="150">
        <f t="shared" si="84"/>
        <v>1000000000</v>
      </c>
      <c r="AB199" s="150">
        <f t="shared" si="85"/>
        <v>127362510.25</v>
      </c>
      <c r="AD199" s="592">
        <f t="shared" si="86"/>
        <v>27.649843311657616</v>
      </c>
      <c r="AE199" s="593">
        <f t="shared" si="87"/>
        <v>-9.9466912021816647</v>
      </c>
      <c r="AG199" s="592">
        <f t="shared" si="88"/>
        <v>6.272558728309944</v>
      </c>
      <c r="AH199" s="593">
        <f t="shared" si="89"/>
        <v>-81.846913857774013</v>
      </c>
      <c r="AJ199" s="150">
        <f t="shared" si="90"/>
        <v>0</v>
      </c>
      <c r="AK199" s="150">
        <f t="shared" si="102"/>
        <v>0</v>
      </c>
      <c r="AM199" s="150" t="str">
        <f t="shared" si="94"/>
        <v>0.020452634999697+0.201213716532854i</v>
      </c>
      <c r="AN199" s="150" t="str">
        <f t="shared" si="95"/>
        <v>0.202596822009i</v>
      </c>
      <c r="AO199" s="150" t="str">
        <f t="shared" si="96"/>
        <v>0.993173113662738-0.100952397954142i</v>
      </c>
      <c r="AP199" s="150" t="str">
        <f t="shared" si="97"/>
        <v>0.163257894166717-0.0335356194221423i</v>
      </c>
      <c r="AQ199" s="150" t="str">
        <f t="shared" si="98"/>
        <v>0.836742105833283+0.0335356194221423i</v>
      </c>
      <c r="AR199" s="150" t="str">
        <f t="shared" si="99"/>
        <v>0.993931204957236-0.0398355698713678i</v>
      </c>
    </row>
    <row r="200" spans="7:44" x14ac:dyDescent="0.25">
      <c r="G200" s="594">
        <v>11351</v>
      </c>
      <c r="H200" s="582">
        <f t="shared" si="91"/>
        <v>11.351000000000001</v>
      </c>
      <c r="I200" s="583">
        <f t="shared" si="69"/>
        <v>11.11953605744109</v>
      </c>
      <c r="J200" s="584">
        <f t="shared" si="70"/>
        <v>1.4807428497889059</v>
      </c>
      <c r="K200" s="584">
        <f t="shared" si="71"/>
        <v>1.0000188100870482</v>
      </c>
      <c r="L200" s="585">
        <f t="shared" si="72"/>
        <v>6.1334806111112208E-3</v>
      </c>
      <c r="M200" s="584">
        <f t="shared" si="73"/>
        <v>1.0046529995810931</v>
      </c>
      <c r="N200" s="585">
        <f t="shared" si="74"/>
        <v>-9.6281139635065086E-2</v>
      </c>
      <c r="O200" s="583">
        <f t="shared" si="75"/>
        <v>20540.285690348806</v>
      </c>
      <c r="P200" s="586">
        <f t="shared" si="76"/>
        <v>1.5707476419803097</v>
      </c>
      <c r="Q200" s="595">
        <f t="shared" si="103"/>
        <v>8.6166760884171172</v>
      </c>
      <c r="R200" s="596">
        <f t="shared" si="104"/>
        <v>1.4544801903530626</v>
      </c>
      <c r="S200" s="583">
        <f t="shared" si="79"/>
        <v>1.001626390911029</v>
      </c>
      <c r="T200" s="586">
        <f t="shared" si="80"/>
        <v>5.699455546696746E-2</v>
      </c>
      <c r="U200" s="587">
        <f t="shared" si="92"/>
        <v>0.99295304686490393</v>
      </c>
      <c r="V200" s="588">
        <f t="shared" si="93"/>
        <v>-0.14217082124534189</v>
      </c>
      <c r="W200" s="589">
        <f t="shared" si="81"/>
        <v>8.3620336454385189</v>
      </c>
      <c r="X200" s="590">
        <f t="shared" si="82"/>
        <v>-108.07836613936404</v>
      </c>
      <c r="Y200" s="593">
        <f t="shared" si="83"/>
        <v>71.921633860635964</v>
      </c>
      <c r="AA200" s="150">
        <f t="shared" si="84"/>
        <v>1000000000</v>
      </c>
      <c r="AB200" s="150">
        <f t="shared" si="85"/>
        <v>128845201</v>
      </c>
      <c r="AD200" s="592">
        <f t="shared" si="86"/>
        <v>27.649000247225469</v>
      </c>
      <c r="AE200" s="593">
        <f t="shared" si="87"/>
        <v>-9.9271817678076815</v>
      </c>
      <c r="AG200" s="592">
        <f t="shared" si="88"/>
        <v>6.2238278430812342</v>
      </c>
      <c r="AH200" s="593">
        <f t="shared" si="89"/>
        <v>-81.859608298406599</v>
      </c>
      <c r="AJ200" s="150">
        <f t="shared" si="90"/>
        <v>0</v>
      </c>
      <c r="AK200" s="150">
        <f t="shared" si="102"/>
        <v>0</v>
      </c>
      <c r="AM200" s="150" t="str">
        <f t="shared" si="94"/>
        <v>0.020689909923636+0.202365381116988i</v>
      </c>
      <c r="AN200" s="150" t="str">
        <f t="shared" si="95"/>
        <v>0.203772675258i</v>
      </c>
      <c r="AO200" s="150" t="str">
        <f t="shared" si="96"/>
        <v>0.993093803478655-0.101534270468011i</v>
      </c>
      <c r="AP200" s="150" t="str">
        <f t="shared" si="97"/>
        <v>0.163218348346061-0.033727563519498i</v>
      </c>
      <c r="AQ200" s="150" t="str">
        <f t="shared" si="98"/>
        <v>0.836781651653939+0.033727563519498i</v>
      </c>
      <c r="AR200" s="150" t="str">
        <f t="shared" si="99"/>
        <v>0.993866086881342-0.0400590542454058i</v>
      </c>
    </row>
    <row r="201" spans="7:44" x14ac:dyDescent="0.25">
      <c r="G201" s="594">
        <v>11416.5</v>
      </c>
      <c r="H201" s="582">
        <f t="shared" si="91"/>
        <v>11.416499999999999</v>
      </c>
      <c r="I201" s="583">
        <f t="shared" si="69"/>
        <v>11.183182946724017</v>
      </c>
      <c r="J201" s="584">
        <f t="shared" si="70"/>
        <v>1.4812567495277662</v>
      </c>
      <c r="K201" s="584">
        <f t="shared" si="71"/>
        <v>1.0000190277953909</v>
      </c>
      <c r="L201" s="585">
        <f t="shared" si="72"/>
        <v>6.1688724547484244E-3</v>
      </c>
      <c r="M201" s="584">
        <f t="shared" si="73"/>
        <v>1.0047067278596182</v>
      </c>
      <c r="N201" s="585">
        <f t="shared" si="74"/>
        <v>-9.6833265272269708E-2</v>
      </c>
      <c r="O201" s="583">
        <f t="shared" si="75"/>
        <v>20658.811697708345</v>
      </c>
      <c r="P201" s="586">
        <f t="shared" si="76"/>
        <v>1.5707479213001845</v>
      </c>
      <c r="Q201" s="595">
        <f t="shared" si="103"/>
        <v>8.6657301152755526</v>
      </c>
      <c r="R201" s="596">
        <f t="shared" si="104"/>
        <v>1.4551415801923417</v>
      </c>
      <c r="S201" s="583">
        <f t="shared" si="79"/>
        <v>1.0016451995132982</v>
      </c>
      <c r="T201" s="586">
        <f t="shared" si="80"/>
        <v>5.7322719884947533E-2</v>
      </c>
      <c r="U201" s="587">
        <f t="shared" si="92"/>
        <v>0.99287684724523262</v>
      </c>
      <c r="V201" s="588">
        <f t="shared" si="93"/>
        <v>-0.14298577842379448</v>
      </c>
      <c r="W201" s="589">
        <f t="shared" si="81"/>
        <v>8.3114257982171331</v>
      </c>
      <c r="X201" s="590">
        <f t="shared" si="82"/>
        <v>-108.16503429148811</v>
      </c>
      <c r="Y201" s="593">
        <f t="shared" si="83"/>
        <v>71.834965708511888</v>
      </c>
      <c r="AA201" s="150">
        <f t="shared" si="84"/>
        <v>1000000000</v>
      </c>
      <c r="AB201" s="150">
        <f t="shared" si="85"/>
        <v>130336472.25</v>
      </c>
      <c r="AD201" s="592">
        <f t="shared" si="86"/>
        <v>27.648167832219677</v>
      </c>
      <c r="AE201" s="593">
        <f t="shared" si="87"/>
        <v>-9.9081053613689356</v>
      </c>
      <c r="AG201" s="592">
        <f t="shared" si="88"/>
        <v>6.1753855794098698</v>
      </c>
      <c r="AH201" s="593">
        <f t="shared" si="89"/>
        <v>-81.871965643244266</v>
      </c>
      <c r="AJ201" s="150">
        <f t="shared" si="90"/>
        <v>0</v>
      </c>
      <c r="AK201" s="150">
        <f t="shared" si="102"/>
        <v>0</v>
      </c>
      <c r="AM201" s="150" t="str">
        <f t="shared" si="94"/>
        <v>0.020928538871774+0.203516765904532i</v>
      </c>
      <c r="AN201" s="150" t="str">
        <f t="shared" si="95"/>
        <v>0.204948528507i</v>
      </c>
      <c r="AO201" s="150" t="str">
        <f t="shared" si="96"/>
        <v>0.993014038144611-0.102116072870751i</v>
      </c>
      <c r="AP201" s="150" t="str">
        <f t="shared" si="97"/>
        <v>0.163178576854704-0.0339194609840887i</v>
      </c>
      <c r="AQ201" s="150" t="str">
        <f t="shared" si="98"/>
        <v>0.836821423145296+0.0339194609840887i</v>
      </c>
      <c r="AR201" s="150" t="str">
        <f t="shared" si="99"/>
        <v>0.993800612016344-0.0402824069184937i</v>
      </c>
    </row>
    <row r="202" spans="7:44" x14ac:dyDescent="0.25">
      <c r="G202" s="594">
        <v>11482</v>
      </c>
      <c r="H202" s="582">
        <f t="shared" si="91"/>
        <v>11.481999999999999</v>
      </c>
      <c r="I202" s="583">
        <f t="shared" si="69"/>
        <v>11.246832755979039</v>
      </c>
      <c r="J202" s="584">
        <f t="shared" si="70"/>
        <v>1.4817648327183397</v>
      </c>
      <c r="K202" s="584">
        <f t="shared" si="71"/>
        <v>1.0000192467563391</v>
      </c>
      <c r="L202" s="585">
        <f t="shared" si="72"/>
        <v>6.2042642829313929E-3</v>
      </c>
      <c r="M202" s="584">
        <f t="shared" si="73"/>
        <v>1.004760762382864</v>
      </c>
      <c r="N202" s="585">
        <f t="shared" si="74"/>
        <v>-9.7385331692779298E-2</v>
      </c>
      <c r="O202" s="583">
        <f t="shared" si="75"/>
        <v>20777.33770506948</v>
      </c>
      <c r="P202" s="586">
        <f t="shared" si="76"/>
        <v>1.5707481974332536</v>
      </c>
      <c r="Q202" s="595">
        <f t="shared" si="103"/>
        <v>8.7147878901653861</v>
      </c>
      <c r="R202" s="596">
        <f t="shared" si="104"/>
        <v>1.455795524049124</v>
      </c>
      <c r="S202" s="583">
        <f t="shared" si="79"/>
        <v>1.0016641159805699</v>
      </c>
      <c r="T202" s="586">
        <f t="shared" si="80"/>
        <v>5.7650871943469247E-2</v>
      </c>
      <c r="U202" s="587">
        <f t="shared" si="92"/>
        <v>0.99280022592330996</v>
      </c>
      <c r="V202" s="588">
        <f t="shared" si="93"/>
        <v>-0.14380064292705452</v>
      </c>
      <c r="W202" s="589">
        <f t="shared" si="81"/>
        <v>8.2611063263434179</v>
      </c>
      <c r="X202" s="590">
        <f t="shared" si="82"/>
        <v>-108.25178621070154</v>
      </c>
      <c r="Y202" s="593">
        <f t="shared" si="83"/>
        <v>71.748213789298461</v>
      </c>
      <c r="AA202" s="150">
        <f t="shared" si="84"/>
        <v>1000000000</v>
      </c>
      <c r="AB202" s="150">
        <f t="shared" si="85"/>
        <v>131836324</v>
      </c>
      <c r="AD202" s="592">
        <f t="shared" si="86"/>
        <v>27.647345806125788</v>
      </c>
      <c r="AE202" s="593">
        <f t="shared" si="87"/>
        <v>-9.8894546875667544</v>
      </c>
      <c r="AG202" s="592">
        <f t="shared" si="88"/>
        <v>6.12722878333682</v>
      </c>
      <c r="AH202" s="593">
        <f t="shared" si="89"/>
        <v>-81.883991642329548</v>
      </c>
      <c r="AJ202" s="150">
        <f t="shared" si="90"/>
        <v>0</v>
      </c>
      <c r="AK202" s="150">
        <f t="shared" si="102"/>
        <v>0</v>
      </c>
      <c r="AM202" s="150" t="str">
        <f t="shared" si="94"/>
        <v>0.021168521514175+0.204667869303547i</v>
      </c>
      <c r="AN202" s="150" t="str">
        <f t="shared" si="95"/>
        <v>0.206124381756i</v>
      </c>
      <c r="AO202" s="150" t="str">
        <f t="shared" si="96"/>
        <v>0.99293381772673-0.10269780476156i</v>
      </c>
      <c r="AP202" s="150" t="str">
        <f t="shared" si="97"/>
        <v>0.163138579747637-0.0341113115505912i</v>
      </c>
      <c r="AQ202" s="150" t="str">
        <f t="shared" si="98"/>
        <v>0.836861420252363+0.0341113115505912i</v>
      </c>
      <c r="AR202" s="150" t="str">
        <f t="shared" si="99"/>
        <v>0.993734780700485-0.0405056271956121i</v>
      </c>
    </row>
    <row r="203" spans="7:44" x14ac:dyDescent="0.25">
      <c r="G203" s="594">
        <v>11548.75</v>
      </c>
      <c r="H203" s="582">
        <f t="shared" si="91"/>
        <v>11.54875</v>
      </c>
      <c r="I203" s="583">
        <f t="shared" si="69"/>
        <v>11.311700209307421</v>
      </c>
      <c r="J203" s="584">
        <f t="shared" si="70"/>
        <v>1.4822767294306427</v>
      </c>
      <c r="K203" s="584">
        <f t="shared" si="71"/>
        <v>1.0000194711846218</v>
      </c>
      <c r="L203" s="585">
        <f t="shared" si="72"/>
        <v>6.2403315116915129E-3</v>
      </c>
      <c r="M203" s="584">
        <f t="shared" si="73"/>
        <v>1.0048161431151836</v>
      </c>
      <c r="N203" s="585">
        <f t="shared" si="74"/>
        <v>-9.7947872470897118E-2</v>
      </c>
      <c r="O203" s="583">
        <f t="shared" si="75"/>
        <v>20898.12565913759</v>
      </c>
      <c r="P203" s="586">
        <f t="shared" si="76"/>
        <v>1.5707484756135661</v>
      </c>
      <c r="Q203" s="595">
        <f t="shared" si="103"/>
        <v>8.7647856729783982</v>
      </c>
      <c r="R203" s="596">
        <f t="shared" si="104"/>
        <v>1.4564544161384785</v>
      </c>
      <c r="S203" s="583">
        <f t="shared" si="79"/>
        <v>1.0016835044151808</v>
      </c>
      <c r="T203" s="586">
        <f t="shared" si="80"/>
        <v>5.7985273657900918E-2</v>
      </c>
      <c r="U203" s="587">
        <f t="shared" si="92"/>
        <v>0.99272170880349542</v>
      </c>
      <c r="V203" s="588">
        <f t="shared" si="93"/>
        <v>-0.14463096241393497</v>
      </c>
      <c r="W203" s="589">
        <f t="shared" si="81"/>
        <v>8.2101197719140018</v>
      </c>
      <c r="X203" s="590">
        <f t="shared" si="82"/>
        <v>-108.3402782561956</v>
      </c>
      <c r="Y203" s="593">
        <f t="shared" si="83"/>
        <v>71.659721743804397</v>
      </c>
      <c r="AA203" s="150">
        <f t="shared" si="84"/>
        <v>1000000000</v>
      </c>
      <c r="AB203" s="150">
        <f t="shared" si="85"/>
        <v>133373626.5625</v>
      </c>
      <c r="AD203" s="592">
        <f t="shared" si="86"/>
        <v>27.646518518549648</v>
      </c>
      <c r="AE203" s="593">
        <f t="shared" si="87"/>
        <v>-9.8708786971276954</v>
      </c>
      <c r="AG203" s="592">
        <f t="shared" si="88"/>
        <v>6.0784434444685944</v>
      </c>
      <c r="AH203" s="593">
        <f t="shared" si="89"/>
        <v>-81.895912073662501</v>
      </c>
      <c r="AJ203" s="150">
        <f t="shared" si="90"/>
        <v>0</v>
      </c>
      <c r="AK203" s="150">
        <f t="shared" si="102"/>
        <v>0</v>
      </c>
      <c r="AM203" s="150" t="str">
        <f t="shared" si="94"/>
        <v>0.021414476326009+0.205840649182082i</v>
      </c>
      <c r="AN203" s="150" t="str">
        <f t="shared" si="95"/>
        <v>0.2073226749525i</v>
      </c>
      <c r="AO203" s="150" t="str">
        <f t="shared" si="96"/>
        <v>0.992851598259778-0.103290565447872i</v>
      </c>
      <c r="AP203" s="150" t="str">
        <f t="shared" si="97"/>
        <v>0.163097587278999-0.0343067748636803i</v>
      </c>
      <c r="AQ203" s="150" t="str">
        <f t="shared" si="98"/>
        <v>0.836902412721001+0.0343067748636803i</v>
      </c>
      <c r="AR203" s="150" t="str">
        <f t="shared" si="99"/>
        <v>0.993667326694254-0.0407329704731766i</v>
      </c>
    </row>
    <row r="204" spans="7:44" x14ac:dyDescent="0.25">
      <c r="G204" s="594">
        <v>11615.5</v>
      </c>
      <c r="H204" s="582">
        <f t="shared" si="91"/>
        <v>11.615500000000001</v>
      </c>
      <c r="I204" s="583">
        <f t="shared" si="69"/>
        <v>11.376570592931751</v>
      </c>
      <c r="J204" s="584">
        <f t="shared" si="70"/>
        <v>1.482782788498169</v>
      </c>
      <c r="K204" s="584">
        <f t="shared" si="71"/>
        <v>1.0000196969137742</v>
      </c>
      <c r="L204" s="585">
        <f t="shared" si="72"/>
        <v>6.2763987242160204E-3</v>
      </c>
      <c r="M204" s="584">
        <f t="shared" si="73"/>
        <v>1.0048718417886013</v>
      </c>
      <c r="N204" s="585">
        <f t="shared" si="74"/>
        <v>-9.8510351065262403E-2</v>
      </c>
      <c r="O204" s="583">
        <f t="shared" si="75"/>
        <v>21018.9136132073</v>
      </c>
      <c r="P204" s="586">
        <f t="shared" si="76"/>
        <v>1.5707487505966791</v>
      </c>
      <c r="Q204" s="595">
        <f t="shared" si="103"/>
        <v>8.8147872177581608</v>
      </c>
      <c r="R204" s="596">
        <f t="shared" si="104"/>
        <v>1.4571058334274054</v>
      </c>
      <c r="S204" s="583">
        <f t="shared" si="79"/>
        <v>1.0017030048582121</v>
      </c>
      <c r="T204" s="586">
        <f t="shared" si="80"/>
        <v>5.8319662389933843E-2</v>
      </c>
      <c r="U204" s="587">
        <f t="shared" si="92"/>
        <v>0.99264275432471993</v>
      </c>
      <c r="V204" s="588">
        <f t="shared" si="93"/>
        <v>-0.14546118460059759</v>
      </c>
      <c r="W204" s="589">
        <f t="shared" si="81"/>
        <v>8.159425737985412</v>
      </c>
      <c r="X204" s="590">
        <f t="shared" si="82"/>
        <v>-108.42885403994809</v>
      </c>
      <c r="Y204" s="593">
        <f t="shared" si="83"/>
        <v>71.571145960051908</v>
      </c>
      <c r="AA204" s="150">
        <f t="shared" si="84"/>
        <v>1000000000</v>
      </c>
      <c r="AB204" s="150">
        <f t="shared" si="85"/>
        <v>134919840.25</v>
      </c>
      <c r="AD204" s="592">
        <f t="shared" si="86"/>
        <v>27.645701496713123</v>
      </c>
      <c r="AE204" s="593">
        <f t="shared" si="87"/>
        <v>-9.8527300541836134</v>
      </c>
      <c r="AG204" s="592">
        <f t="shared" si="88"/>
        <v>6.0299481230477845</v>
      </c>
      <c r="AH204" s="593">
        <f t="shared" si="89"/>
        <v>-81.907500045542577</v>
      </c>
      <c r="AJ204" s="150">
        <f t="shared" si="90"/>
        <v>0</v>
      </c>
      <c r="AK204" s="150">
        <f t="shared" si="102"/>
        <v>0</v>
      </c>
      <c r="AM204" s="150" t="str">
        <f t="shared" si="94"/>
        <v>0.021661836295072+0.207013133492708i</v>
      </c>
      <c r="AN204" s="150" t="str">
        <f t="shared" si="95"/>
        <v>0.208520968149i</v>
      </c>
      <c r="AO204" s="150" t="str">
        <f t="shared" si="96"/>
        <v>0.992768906313467-0.103883252065056i</v>
      </c>
      <c r="AP204" s="150" t="str">
        <f t="shared" si="97"/>
        <v>0.163056360617488-0.0345021889154513i</v>
      </c>
      <c r="AQ204" s="150" t="str">
        <f t="shared" si="98"/>
        <v>0.836943639382512+0.0345021889154513i</v>
      </c>
      <c r="AR204" s="150" t="str">
        <f t="shared" si="99"/>
        <v>0.993599503216966-0.0409601747993243i</v>
      </c>
    </row>
    <row r="205" spans="7:44" x14ac:dyDescent="0.25">
      <c r="G205" s="594">
        <v>11682.25</v>
      </c>
      <c r="H205" s="582">
        <f t="shared" si="91"/>
        <v>11.68225</v>
      </c>
      <c r="I205" s="583">
        <f t="shared" ref="I205:I268" si="105">SQRT(1+(G205/pole1)^2)</f>
        <v>11.441443857009698</v>
      </c>
      <c r="J205" s="584">
        <f t="shared" ref="J205:J268" si="106">ATAN(G205/pole1)</f>
        <v>1.4832831089582517</v>
      </c>
      <c r="K205" s="584">
        <f t="shared" ref="K205:K268" si="107">SQRT(1+(G205/Zero1)^2)</f>
        <v>1.0000199239437955</v>
      </c>
      <c r="L205" s="585">
        <f t="shared" ref="L205:L268" si="108">ATAN(G205/Zero1)</f>
        <v>6.3124659204110926E-3</v>
      </c>
      <c r="M205" s="584">
        <f t="shared" ref="M205:M268" si="109">SQRT(1+(G205/z_RHP)^2)</f>
        <v>1.004927858350251</v>
      </c>
      <c r="N205" s="585">
        <f t="shared" ref="N205:N268" si="110">-ATAN(G205/z_RHP)</f>
        <v>-9.9072767130328213E-2</v>
      </c>
      <c r="O205" s="583">
        <f t="shared" ref="O205:O268" si="111">SQRT(1+(G205/Pole2)^2)</f>
        <v>21139.701567278578</v>
      </c>
      <c r="P205" s="586">
        <f t="shared" ref="P205:P268" si="112">ATAN(G205/Pole2)</f>
        <v>1.570749022437397</v>
      </c>
      <c r="Q205" s="595">
        <f t="shared" si="103"/>
        <v>8.864792460846953</v>
      </c>
      <c r="R205" s="596">
        <f t="shared" si="104"/>
        <v>1.4577499018517113</v>
      </c>
      <c r="S205" s="583">
        <f t="shared" ref="S205:S268" si="113">SQRT(1+(G205/pole4)^2)</f>
        <v>1.0017226173031222</v>
      </c>
      <c r="T205" s="586">
        <f t="shared" ref="T205:T268" si="114">ATAN(G205/pole4)</f>
        <v>5.8654038065548482E-2</v>
      </c>
      <c r="U205" s="587">
        <f t="shared" si="92"/>
        <v>0.99256336278829105</v>
      </c>
      <c r="V205" s="588">
        <f t="shared" si="93"/>
        <v>-0.14629130895580925</v>
      </c>
      <c r="W205" s="589">
        <f t="shared" ref="W205:W268" si="115">20*LOG10(((K205*Q205*M205*U205)/(I205*O205*S205))*Adc)</f>
        <v>8.1090207999584969</v>
      </c>
      <c r="X205" s="590">
        <f t="shared" ref="X205:X268" si="116">((L205+R205+N205+V205)-(J205+P205+T205))*radconv</f>
        <v>-108.51751196945861</v>
      </c>
      <c r="Y205" s="593">
        <f t="shared" ref="Y205:Y268" si="117">IF(X205&gt;0,X205,X205+180)</f>
        <v>71.48248803054139</v>
      </c>
      <c r="AA205" s="150">
        <f t="shared" ref="AA205:AA268" si="118">IF(W205&lt;0,G205,1000000000)</f>
        <v>1000000000</v>
      </c>
      <c r="AB205" s="150">
        <f t="shared" ref="AB205:AB268" si="119">G205^2</f>
        <v>136474965.0625</v>
      </c>
      <c r="AD205" s="592">
        <f t="shared" ref="AD205:AD268" si="120">20*LOG10((Q205/(O205*S205))*Aea)</f>
        <v>27.64489448744111</v>
      </c>
      <c r="AE205" s="593">
        <f t="shared" ref="AE205:AE268" si="121">(R205-(P205+T205))*radconv</f>
        <v>-9.835001542043381</v>
      </c>
      <c r="AG205" s="592">
        <f t="shared" ref="AG205:AG268" si="122">20*LOG10((K205*M205/(I205*U205))*Acs*Am)</f>
        <v>5.981739644220605</v>
      </c>
      <c r="AH205" s="593">
        <f t="shared" ref="AH205:AH268" si="123">(L205+N205-(J205+V205))*radconv</f>
        <v>-81.918761243035334</v>
      </c>
      <c r="AJ205" s="150">
        <f t="shared" ref="AJ205:AJ268" si="124">SUM((W206&lt;0)*(W205&gt;0))*G205</f>
        <v>0</v>
      </c>
      <c r="AK205" s="150">
        <f t="shared" si="102"/>
        <v>0</v>
      </c>
      <c r="AM205" s="150" t="str">
        <f t="shared" si="94"/>
        <v>0.021910601066178+0.208185320551848i</v>
      </c>
      <c r="AN205" s="150" t="str">
        <f t="shared" si="95"/>
        <v>0.2097192613455i</v>
      </c>
      <c r="AO205" s="150" t="str">
        <f t="shared" si="96"/>
        <v>0.992685741958985-0.104475864189134i</v>
      </c>
      <c r="AP205" s="150" t="str">
        <f t="shared" si="97"/>
        <v>0.163014899822304-0.034697553425308i</v>
      </c>
      <c r="AQ205" s="150" t="str">
        <f t="shared" si="98"/>
        <v>0.836985100177696+0.034697553425308i</v>
      </c>
      <c r="AR205" s="150" t="str">
        <f t="shared" si="99"/>
        <v>0.993531310632023-0.0411872394419591i</v>
      </c>
    </row>
    <row r="206" spans="7:44" x14ac:dyDescent="0.25">
      <c r="G206" s="594">
        <v>11749</v>
      </c>
      <c r="H206" s="582">
        <f t="shared" ref="H206:H269" si="125">G206/1000</f>
        <v>11.749000000000001</v>
      </c>
      <c r="I206" s="583">
        <f t="shared" si="105"/>
        <v>11.506319952820794</v>
      </c>
      <c r="J206" s="584">
        <f t="shared" si="106"/>
        <v>1.4837777876262559</v>
      </c>
      <c r="K206" s="584">
        <f t="shared" si="107"/>
        <v>1.0000201522746848</v>
      </c>
      <c r="L206" s="585">
        <f t="shared" si="108"/>
        <v>6.3485331001829053E-3</v>
      </c>
      <c r="M206" s="584">
        <f t="shared" si="109"/>
        <v>1.0049841927469769</v>
      </c>
      <c r="N206" s="585">
        <f t="shared" si="110"/>
        <v>-9.9635120320782602E-2</v>
      </c>
      <c r="O206" s="583">
        <f t="shared" si="111"/>
        <v>21260.489521351403</v>
      </c>
      <c r="P206" s="586">
        <f t="shared" si="112"/>
        <v>1.5707492911892789</v>
      </c>
      <c r="Q206" s="595">
        <f t="shared" si="103"/>
        <v>8.9148013400106905</v>
      </c>
      <c r="R206" s="596">
        <f t="shared" si="104"/>
        <v>1.4583867445460845</v>
      </c>
      <c r="S206" s="583">
        <f t="shared" si="113"/>
        <v>1.0017423417433327</v>
      </c>
      <c r="T206" s="586">
        <f t="shared" si="114"/>
        <v>5.8988400610742779E-2</v>
      </c>
      <c r="U206" s="587">
        <f t="shared" ref="U206:U269" si="126">IMABS(IMPRODUCT(AO206, AR206))</f>
        <v>0.99248353449704352</v>
      </c>
      <c r="V206" s="588">
        <f t="shared" ref="V206:V269" si="127">IMARGUMENT(IMPRODUCT(AO206, AR206))</f>
        <v>-0.14712133494886692</v>
      </c>
      <c r="W206" s="589">
        <f t="shared" si="115"/>
        <v>8.058901592856083</v>
      </c>
      <c r="X206" s="590">
        <f t="shared" si="116"/>
        <v>-108.60625048538316</v>
      </c>
      <c r="Y206" s="593">
        <f t="shared" si="117"/>
        <v>71.393749514616843</v>
      </c>
      <c r="AA206" s="150">
        <f t="shared" si="118"/>
        <v>1000000000</v>
      </c>
      <c r="AB206" s="150">
        <f t="shared" si="119"/>
        <v>138039001</v>
      </c>
      <c r="AD206" s="592">
        <f t="shared" si="120"/>
        <v>27.644097244643</v>
      </c>
      <c r="AE206" s="593">
        <f t="shared" si="121"/>
        <v>-9.8176861044377244</v>
      </c>
      <c r="AG206" s="592">
        <f t="shared" si="122"/>
        <v>5.9338148856530424</v>
      </c>
      <c r="AH206" s="593">
        <f t="shared" si="123"/>
        <v>-81.929701223880159</v>
      </c>
      <c r="AJ206" s="150">
        <f t="shared" si="124"/>
        <v>0</v>
      </c>
      <c r="AK206" s="150">
        <f t="shared" si="102"/>
        <v>0</v>
      </c>
      <c r="AM206" s="150" t="str">
        <f t="shared" ref="AM206:AM269" si="128">IMSUB(1,IMEXP(COMPLEX(0,-2*Pi*G206*Tsw)))</f>
        <v>0.022160770282125+0.209357208676351i</v>
      </c>
      <c r="AN206" s="150" t="str">
        <f t="shared" ref="AN206:AN269" si="129">COMPLEX(0, 2*Pi*G206*Tsw)</f>
        <v>0.210917554542i</v>
      </c>
      <c r="AO206" s="150" t="str">
        <f t="shared" ref="AO206:AO269" si="130">IMDIV(AM206, AN206)</f>
        <v>0.992602105267922-0.105068401396206i</v>
      </c>
      <c r="AP206" s="150" t="str">
        <f t="shared" ref="AP206:AP269" si="131">IMDIV(IMEXP(COMPLEX(0,-2*Pi*G206*Tsw)),6)</f>
        <v>0.162973204952979-0.0348928681127252i</v>
      </c>
      <c r="AQ206" s="150" t="str">
        <f t="shared" ref="AQ206:AQ269" si="132">IMSUB(1, AP206)</f>
        <v>0.837026795047021+0.0348928681127252i</v>
      </c>
      <c r="AR206" s="150" t="str">
        <f t="shared" ref="AR206:AR269" si="133">IMDIV(0.833, AQ206)</f>
        <v>0.993462749304632-0.0414141636701661i</v>
      </c>
    </row>
    <row r="207" spans="7:44" x14ac:dyDescent="0.25">
      <c r="G207" s="594">
        <v>11817.5</v>
      </c>
      <c r="H207" s="582">
        <f t="shared" si="125"/>
        <v>11.817500000000001</v>
      </c>
      <c r="I207" s="583">
        <f t="shared" si="105"/>
        <v>11.572899814179463</v>
      </c>
      <c r="J207" s="584">
        <f t="shared" si="106"/>
        <v>1.4842796690543156</v>
      </c>
      <c r="K207" s="584">
        <f t="shared" si="107"/>
        <v>1.0000203879442489</v>
      </c>
      <c r="L207" s="585">
        <f t="shared" si="108"/>
        <v>6.3855458442736998E-3</v>
      </c>
      <c r="M207" s="584">
        <f t="shared" si="109"/>
        <v>1.0050423344628381</v>
      </c>
      <c r="N207" s="585">
        <f t="shared" si="110"/>
        <v>-0.10021215112259391</v>
      </c>
      <c r="O207" s="583">
        <f t="shared" si="111"/>
        <v>21384.444200813483</v>
      </c>
      <c r="P207" s="586">
        <f t="shared" si="112"/>
        <v>1.5707495638306141</v>
      </c>
      <c r="Q207" s="595">
        <f t="shared" si="103"/>
        <v>8.9661250298936253</v>
      </c>
      <c r="R207" s="596">
        <f t="shared" si="104"/>
        <v>1.4590328973827718</v>
      </c>
      <c r="S207" s="583">
        <f t="shared" si="113"/>
        <v>1.0017626997348599</v>
      </c>
      <c r="T207" s="586">
        <f t="shared" si="114"/>
        <v>5.9331515486285097E-2</v>
      </c>
      <c r="U207" s="587">
        <f t="shared" si="126"/>
        <v>0.99240115956780695</v>
      </c>
      <c r="V207" s="588">
        <f t="shared" si="127"/>
        <v>-0.14797301910284946</v>
      </c>
      <c r="W207" s="589">
        <f t="shared" si="115"/>
        <v>8.0077619972194949</v>
      </c>
      <c r="X207" s="590">
        <f t="shared" si="116"/>
        <v>-108.69739766119272</v>
      </c>
      <c r="Y207" s="593">
        <f t="shared" si="117"/>
        <v>71.302602338807276</v>
      </c>
      <c r="AA207" s="150">
        <f t="shared" si="118"/>
        <v>1000000000</v>
      </c>
      <c r="AB207" s="150">
        <f t="shared" si="119"/>
        <v>139653306.25</v>
      </c>
      <c r="AD207" s="592">
        <f t="shared" si="120"/>
        <v>27.643289003392859</v>
      </c>
      <c r="AE207" s="593">
        <f t="shared" si="121"/>
        <v>-9.8003389294098735</v>
      </c>
      <c r="AG207" s="592">
        <f t="shared" si="122"/>
        <v>5.8849254277089305</v>
      </c>
      <c r="AH207" s="593">
        <f t="shared" si="123"/>
        <v>-81.940599759603302</v>
      </c>
      <c r="AJ207" s="150">
        <f t="shared" si="124"/>
        <v>0</v>
      </c>
      <c r="AK207" s="150">
        <f t="shared" si="102"/>
        <v>0</v>
      </c>
      <c r="AM207" s="150" t="str">
        <f t="shared" si="128"/>
        <v>0.022418958023299+0.21055950790156i</v>
      </c>
      <c r="AN207" s="150" t="str">
        <f t="shared" si="129"/>
        <v>0.212147263665i</v>
      </c>
      <c r="AO207" s="150" t="str">
        <f t="shared" si="130"/>
        <v>0.992515784856187-0.10567639495318i</v>
      </c>
      <c r="AP207" s="150" t="str">
        <f t="shared" si="131"/>
        <v>0.162930173662784-0.0350932513169267i</v>
      </c>
      <c r="AQ207" s="150" t="str">
        <f t="shared" si="132"/>
        <v>0.837069826337216+0.0350932513169267i</v>
      </c>
      <c r="AR207" s="150" t="str">
        <f t="shared" si="133"/>
        <v>0.993392007503901-0.0416468904728107i</v>
      </c>
    </row>
    <row r="208" spans="7:44" x14ac:dyDescent="0.25">
      <c r="G208" s="594">
        <v>11886</v>
      </c>
      <c r="H208" s="582">
        <f t="shared" si="125"/>
        <v>11.885999999999999</v>
      </c>
      <c r="I208" s="583">
        <f t="shared" si="105"/>
        <v>11.639482557228138</v>
      </c>
      <c r="J208" s="584">
        <f t="shared" si="106"/>
        <v>1.4847758086598113</v>
      </c>
      <c r="K208" s="584">
        <f t="shared" si="107"/>
        <v>1.0000206249837835</v>
      </c>
      <c r="L208" s="585">
        <f t="shared" si="108"/>
        <v>6.4225585708685955E-3</v>
      </c>
      <c r="M208" s="584">
        <f t="shared" si="109"/>
        <v>1.0051008107833828</v>
      </c>
      <c r="N208" s="585">
        <f t="shared" si="110"/>
        <v>-0.10078911497370155</v>
      </c>
      <c r="O208" s="583">
        <f t="shared" si="111"/>
        <v>21508.398880277131</v>
      </c>
      <c r="P208" s="586">
        <f t="shared" si="112"/>
        <v>1.5707498333294403</v>
      </c>
      <c r="Q208" s="595">
        <f t="shared" si="103"/>
        <v>9.0174524206410691</v>
      </c>
      <c r="R208" s="596">
        <f t="shared" si="104"/>
        <v>1.4596716946723578</v>
      </c>
      <c r="S208" s="583">
        <f t="shared" si="113"/>
        <v>1.0017831756569222</v>
      </c>
      <c r="T208" s="586">
        <f t="shared" si="114"/>
        <v>5.9674616376042801E-2</v>
      </c>
      <c r="U208" s="587">
        <f t="shared" si="126"/>
        <v>0.9923183253337382</v>
      </c>
      <c r="V208" s="588">
        <f t="shared" si="127"/>
        <v>-0.14882459853874708</v>
      </c>
      <c r="W208" s="589">
        <f t="shared" si="115"/>
        <v>7.9569163175096689</v>
      </c>
      <c r="X208" s="590">
        <f t="shared" si="116"/>
        <v>-108.78862648033407</v>
      </c>
      <c r="Y208" s="593">
        <f t="shared" si="117"/>
        <v>71.211373519665926</v>
      </c>
      <c r="AA208" s="150">
        <f t="shared" si="118"/>
        <v>1000000000</v>
      </c>
      <c r="AB208" s="150">
        <f t="shared" si="119"/>
        <v>141276996</v>
      </c>
      <c r="AD208" s="592">
        <f t="shared" si="120"/>
        <v>27.642490544199458</v>
      </c>
      <c r="AE208" s="593">
        <f t="shared" si="121"/>
        <v>-9.7834122148084859</v>
      </c>
      <c r="AG208" s="592">
        <f t="shared" si="122"/>
        <v>5.8363282640317982</v>
      </c>
      <c r="AH208" s="593">
        <f t="shared" si="123"/>
        <v>-81.951171478040422</v>
      </c>
      <c r="AJ208" s="150">
        <f t="shared" si="124"/>
        <v>0</v>
      </c>
      <c r="AK208" s="150">
        <f t="shared" si="102"/>
        <v>0</v>
      </c>
      <c r="AM208" s="150" t="str">
        <f t="shared" si="128"/>
        <v>0.022678624047212+0.21176148872198i</v>
      </c>
      <c r="AN208" s="150" t="str">
        <f t="shared" si="129"/>
        <v>0.213376972788i</v>
      </c>
      <c r="AO208" s="150" t="str">
        <f t="shared" si="130"/>
        <v>0.992428967170581-0.106284308709095i</v>
      </c>
      <c r="AP208" s="150" t="str">
        <f t="shared" si="131"/>
        <v>0.162886895992131-0.0352935814536633i</v>
      </c>
      <c r="AQ208" s="150" t="str">
        <f t="shared" si="132"/>
        <v>0.837113104007869+0.0352935814536633i</v>
      </c>
      <c r="AR208" s="150" t="str">
        <f t="shared" si="133"/>
        <v>0.993320878157606-0.0418794678461398i</v>
      </c>
    </row>
    <row r="209" spans="7:44" x14ac:dyDescent="0.25">
      <c r="G209" s="594">
        <v>11954.5</v>
      </c>
      <c r="H209" s="582">
        <f t="shared" si="125"/>
        <v>11.954499999999999</v>
      </c>
      <c r="I209" s="583">
        <f t="shared" si="105"/>
        <v>11.706068132794679</v>
      </c>
      <c r="J209" s="584">
        <f t="shared" si="106"/>
        <v>1.4852663041769893</v>
      </c>
      <c r="K209" s="584">
        <f t="shared" si="107"/>
        <v>1.0000208633932877</v>
      </c>
      <c r="L209" s="585">
        <f t="shared" si="108"/>
        <v>6.4595712798661917E-3</v>
      </c>
      <c r="M209" s="584">
        <f t="shared" si="109"/>
        <v>1.0051596216502134</v>
      </c>
      <c r="N209" s="585">
        <f t="shared" si="110"/>
        <v>-0.10136601150169618</v>
      </c>
      <c r="O209" s="583">
        <f t="shared" si="111"/>
        <v>21632.353559742329</v>
      </c>
      <c r="P209" s="586">
        <f t="shared" si="112"/>
        <v>1.5707500997397779</v>
      </c>
      <c r="Q209" s="595">
        <f t="shared" si="103"/>
        <v>9.0687834494146955</v>
      </c>
      <c r="R209" s="596">
        <f t="shared" si="104"/>
        <v>1.4603032607903892</v>
      </c>
      <c r="S209" s="583">
        <f t="shared" si="113"/>
        <v>1.0018037695022886</v>
      </c>
      <c r="T209" s="586">
        <f t="shared" si="114"/>
        <v>6.0017703200097486E-2</v>
      </c>
      <c r="U209" s="587">
        <f t="shared" si="126"/>
        <v>0.99223503212716446</v>
      </c>
      <c r="V209" s="588">
        <f t="shared" si="127"/>
        <v>-0.14967607268475006</v>
      </c>
      <c r="W209" s="589">
        <f t="shared" si="115"/>
        <v>7.9063611039451311</v>
      </c>
      <c r="X209" s="590">
        <f t="shared" si="116"/>
        <v>-108.8799353607954</v>
      </c>
      <c r="Y209" s="593">
        <f t="shared" si="117"/>
        <v>71.1200646392046</v>
      </c>
      <c r="AA209" s="150">
        <f t="shared" si="118"/>
        <v>1000000000</v>
      </c>
      <c r="AB209" s="150">
        <f t="shared" si="119"/>
        <v>142910070.25</v>
      </c>
      <c r="AD209" s="592">
        <f t="shared" si="120"/>
        <v>27.641701622849023</v>
      </c>
      <c r="AE209" s="593">
        <f t="shared" si="121"/>
        <v>-9.7668988329557944</v>
      </c>
      <c r="AG209" s="592">
        <f t="shared" si="122"/>
        <v>5.7880201852693114</v>
      </c>
      <c r="AH209" s="593">
        <f t="shared" si="123"/>
        <v>-81.961421990381993</v>
      </c>
      <c r="AJ209" s="150">
        <f t="shared" si="124"/>
        <v>0</v>
      </c>
      <c r="AK209" s="150">
        <f t="shared" si="102"/>
        <v>0</v>
      </c>
      <c r="AM209" s="150" t="str">
        <f t="shared" si="128"/>
        <v>0.022939767961202+0.212963149319993i</v>
      </c>
      <c r="AN209" s="150" t="str">
        <f t="shared" si="129"/>
        <v>0.214606681911i</v>
      </c>
      <c r="AO209" s="150" t="str">
        <f t="shared" si="130"/>
        <v>0.992341652289799-0.106892142206063i</v>
      </c>
      <c r="AP209" s="150" t="str">
        <f t="shared" si="131"/>
        <v>0.162843372006466-0.0354938582199988i</v>
      </c>
      <c r="AQ209" s="150" t="str">
        <f t="shared" si="132"/>
        <v>0.837156627993534+0.0354938582199988i</v>
      </c>
      <c r="AR209" s="150" t="str">
        <f t="shared" si="133"/>
        <v>0.993249361666369-0.0421118950041481i</v>
      </c>
    </row>
    <row r="210" spans="7:44" x14ac:dyDescent="0.25">
      <c r="G210" s="594">
        <v>12023</v>
      </c>
      <c r="H210" s="582">
        <f t="shared" si="125"/>
        <v>12.023</v>
      </c>
      <c r="I210" s="583">
        <f t="shared" si="105"/>
        <v>11.77265649281733</v>
      </c>
      <c r="J210" s="584">
        <f t="shared" si="106"/>
        <v>1.4857512511398885</v>
      </c>
      <c r="K210" s="584">
        <f t="shared" si="107"/>
        <v>1.0000211031727604</v>
      </c>
      <c r="L210" s="585">
        <f t="shared" si="108"/>
        <v>6.4965839711650939E-3</v>
      </c>
      <c r="M210" s="584">
        <f t="shared" si="109"/>
        <v>1.0052187670046115</v>
      </c>
      <c r="N210" s="585">
        <f t="shared" si="110"/>
        <v>-0.10194284033443454</v>
      </c>
      <c r="O210" s="583">
        <f t="shared" si="111"/>
        <v>21756.30823920904</v>
      </c>
      <c r="P210" s="586">
        <f t="shared" si="112"/>
        <v>1.5707503631144157</v>
      </c>
      <c r="Q210" s="595">
        <f t="shared" si="103"/>
        <v>9.1201180547864755</v>
      </c>
      <c r="R210" s="596">
        <f t="shared" si="104"/>
        <v>1.4609277173354858</v>
      </c>
      <c r="S210" s="583">
        <f t="shared" si="113"/>
        <v>1.0018244812636867</v>
      </c>
      <c r="T210" s="586">
        <f t="shared" si="114"/>
        <v>6.0360775878550571E-2</v>
      </c>
      <c r="U210" s="587">
        <f t="shared" si="126"/>
        <v>0.99215128028210942</v>
      </c>
      <c r="V210" s="588">
        <f t="shared" si="127"/>
        <v>-0.15052744096962883</v>
      </c>
      <c r="W210" s="589">
        <f t="shared" si="115"/>
        <v>7.8560929669350719</v>
      </c>
      <c r="X210" s="590">
        <f t="shared" si="116"/>
        <v>-108.97132275358744</v>
      </c>
      <c r="Y210" s="593">
        <f t="shared" si="117"/>
        <v>71.028677246412556</v>
      </c>
      <c r="AA210" s="150">
        <f t="shared" si="118"/>
        <v>1000000000</v>
      </c>
      <c r="AB210" s="150">
        <f t="shared" si="119"/>
        <v>144552529</v>
      </c>
      <c r="AD210" s="592">
        <f t="shared" si="120"/>
        <v>27.640922001985196</v>
      </c>
      <c r="AE210" s="593">
        <f t="shared" si="121"/>
        <v>-9.7507918152108228</v>
      </c>
      <c r="AG210" s="592">
        <f t="shared" si="122"/>
        <v>5.7399980353825413</v>
      </c>
      <c r="AH210" s="593">
        <f t="shared" si="123"/>
        <v>-81.971356781737825</v>
      </c>
      <c r="AJ210" s="150">
        <f t="shared" si="124"/>
        <v>0</v>
      </c>
      <c r="AK210" s="150">
        <f t="shared" si="102"/>
        <v>0</v>
      </c>
      <c r="AM210" s="150" t="str">
        <f t="shared" si="128"/>
        <v>0.02320238937037+0.214164487878467i</v>
      </c>
      <c r="AN210" s="150" t="str">
        <f t="shared" si="129"/>
        <v>0.215836391034i</v>
      </c>
      <c r="AO210" s="150" t="str">
        <f t="shared" si="130"/>
        <v>0.992253840292995-0.107499894986268i</v>
      </c>
      <c r="AP210" s="150" t="str">
        <f t="shared" si="131"/>
        <v>0.162799601771605-0.0356940813130778i</v>
      </c>
      <c r="AQ210" s="150" t="str">
        <f t="shared" si="132"/>
        <v>0.837200398228395+0.0356940813130778i</v>
      </c>
      <c r="AR210" s="150" t="str">
        <f t="shared" si="133"/>
        <v>0.993177458432797-0.0423441711621654i</v>
      </c>
    </row>
    <row r="211" spans="7:44" x14ac:dyDescent="0.25">
      <c r="G211" s="594">
        <v>12093</v>
      </c>
      <c r="H211" s="582">
        <f t="shared" si="125"/>
        <v>12.093</v>
      </c>
      <c r="I211" s="583">
        <f t="shared" si="105"/>
        <v>11.840705819809264</v>
      </c>
      <c r="J211" s="584">
        <f t="shared" si="106"/>
        <v>1.4862411824207087</v>
      </c>
      <c r="K211" s="584">
        <f t="shared" si="107"/>
        <v>1.0000213496181736</v>
      </c>
      <c r="L211" s="585">
        <f t="shared" si="108"/>
        <v>6.5344071409639513E-3</v>
      </c>
      <c r="M211" s="584">
        <f t="shared" si="109"/>
        <v>1.0052795530058976</v>
      </c>
      <c r="N211" s="585">
        <f t="shared" si="110"/>
        <v>-0.10253223013344509</v>
      </c>
      <c r="O211" s="583">
        <f t="shared" si="111"/>
        <v>21882.97725472401</v>
      </c>
      <c r="P211" s="586">
        <f t="shared" si="112"/>
        <v>1.5707506291739235</v>
      </c>
      <c r="Q211" s="595">
        <f t="shared" si="103"/>
        <v>9.1725804080502495</v>
      </c>
      <c r="R211" s="596">
        <f t="shared" si="104"/>
        <v>1.461558627021792</v>
      </c>
      <c r="S211" s="583">
        <f t="shared" si="113"/>
        <v>1.0018457683771522</v>
      </c>
      <c r="T211" s="586">
        <f t="shared" si="114"/>
        <v>6.0711346400654231E-2</v>
      </c>
      <c r="U211" s="587">
        <f t="shared" si="126"/>
        <v>0.99206522099120731</v>
      </c>
      <c r="V211" s="588">
        <f t="shared" si="127"/>
        <v>-0.15139734239813957</v>
      </c>
      <c r="W211" s="589">
        <f t="shared" si="115"/>
        <v>7.8050171769174721</v>
      </c>
      <c r="X211" s="590">
        <f t="shared" si="116"/>
        <v>-109.06479086190272</v>
      </c>
      <c r="Y211" s="593">
        <f t="shared" si="117"/>
        <v>70.935209138097278</v>
      </c>
      <c r="AA211" s="150">
        <f t="shared" si="118"/>
        <v>1000000000</v>
      </c>
      <c r="AB211" s="150">
        <f t="shared" si="119"/>
        <v>146240649</v>
      </c>
      <c r="AD211" s="592">
        <f t="shared" si="120"/>
        <v>27.640134677273327</v>
      </c>
      <c r="AE211" s="593">
        <f t="shared" si="121"/>
        <v>-9.7347448083383608</v>
      </c>
      <c r="AG211" s="592">
        <f t="shared" si="122"/>
        <v>5.6912164651219683</v>
      </c>
      <c r="AH211" s="593">
        <f t="shared" si="123"/>
        <v>-81.981188535919514</v>
      </c>
      <c r="AJ211" s="150">
        <f t="shared" si="124"/>
        <v>0</v>
      </c>
      <c r="AK211" s="150">
        <f t="shared" si="102"/>
        <v>0</v>
      </c>
      <c r="AM211" s="150" t="str">
        <f t="shared" si="128"/>
        <v>0.0234722875803191+0.215391798535565i</v>
      </c>
      <c r="AN211" s="150" t="str">
        <f t="shared" si="129"/>
        <v>0.217093028094i</v>
      </c>
      <c r="AO211" s="150" t="str">
        <f t="shared" si="130"/>
        <v>0.992163591924756-0.108120872357797i</v>
      </c>
      <c r="AP211" s="150" t="str">
        <f t="shared" si="131"/>
        <v>0.162754618736613-0.0358986330892608i</v>
      </c>
      <c r="AQ211" s="150" t="str">
        <f t="shared" si="132"/>
        <v>0.837245381263387+0.0358986330892608i</v>
      </c>
      <c r="AR211" s="150" t="str">
        <f t="shared" si="133"/>
        <v>0.99310358155863-0.0425813768482154i</v>
      </c>
    </row>
    <row r="212" spans="7:44" x14ac:dyDescent="0.25">
      <c r="G212" s="594">
        <v>12163</v>
      </c>
      <c r="H212" s="582">
        <f t="shared" si="125"/>
        <v>12.163</v>
      </c>
      <c r="I212" s="583">
        <f t="shared" si="105"/>
        <v>11.908757956475473</v>
      </c>
      <c r="J212" s="584">
        <f t="shared" si="106"/>
        <v>1.4867255144299762</v>
      </c>
      <c r="K212" s="584">
        <f t="shared" si="107"/>
        <v>1.0000215974942086</v>
      </c>
      <c r="L212" s="585">
        <f t="shared" si="108"/>
        <v>6.5722302920664085E-3</v>
      </c>
      <c r="M212" s="584">
        <f t="shared" si="109"/>
        <v>1.0053406881792315</v>
      </c>
      <c r="N212" s="585">
        <f t="shared" si="110"/>
        <v>-0.10312154845508904</v>
      </c>
      <c r="O212" s="583">
        <f t="shared" si="111"/>
        <v>22009.646270240512</v>
      </c>
      <c r="P212" s="586">
        <f t="shared" si="112"/>
        <v>1.5707508921710018</v>
      </c>
      <c r="Q212" s="595">
        <f t="shared" si="103"/>
        <v>9.2250463709041579</v>
      </c>
      <c r="R212" s="596">
        <f t="shared" si="104"/>
        <v>1.4621823605599276</v>
      </c>
      <c r="S212" s="583">
        <f t="shared" si="113"/>
        <v>1.001867178611912</v>
      </c>
      <c r="T212" s="586">
        <f t="shared" si="114"/>
        <v>6.1061901982222271E-2</v>
      </c>
      <c r="U212" s="587">
        <f t="shared" si="126"/>
        <v>0.99197868346621354</v>
      </c>
      <c r="V212" s="588">
        <f t="shared" si="127"/>
        <v>-0.15226713207433284</v>
      </c>
      <c r="W212" s="589">
        <f t="shared" si="115"/>
        <v>7.7542342032793323</v>
      </c>
      <c r="X212" s="590">
        <f t="shared" si="116"/>
        <v>-109.15833778988281</v>
      </c>
      <c r="Y212" s="593">
        <f t="shared" si="117"/>
        <v>70.841662210117192</v>
      </c>
      <c r="AA212" s="150">
        <f t="shared" si="118"/>
        <v>1000000000</v>
      </c>
      <c r="AB212" s="150">
        <f t="shared" si="119"/>
        <v>147938569</v>
      </c>
      <c r="AD212" s="592">
        <f t="shared" si="120"/>
        <v>27.639356584600215</v>
      </c>
      <c r="AE212" s="593">
        <f t="shared" si="121"/>
        <v>-9.7191079329757706</v>
      </c>
      <c r="AG212" s="592">
        <f t="shared" si="122"/>
        <v>5.6427269848805564</v>
      </c>
      <c r="AH212" s="593">
        <f t="shared" si="123"/>
        <v>-81.990701784128447</v>
      </c>
      <c r="AJ212" s="150">
        <f t="shared" si="124"/>
        <v>0</v>
      </c>
      <c r="AK212" s="150">
        <f t="shared" si="102"/>
        <v>0</v>
      </c>
      <c r="AM212" s="150" t="str">
        <f t="shared" si="128"/>
        <v>0.023743727860815+0.216618769059613i</v>
      </c>
      <c r="AN212" s="150" t="str">
        <f t="shared" si="129"/>
        <v>0.218349665154i</v>
      </c>
      <c r="AO212" s="150" t="str">
        <f t="shared" si="130"/>
        <v>0.992072824599176-0.108741764472452i</v>
      </c>
      <c r="AP212" s="150" t="str">
        <f t="shared" si="131"/>
        <v>0.162709378689864-0.0361031281766022i</v>
      </c>
      <c r="AQ212" s="150" t="str">
        <f t="shared" si="132"/>
        <v>0.837290621310136+0.0361031281766022i</v>
      </c>
      <c r="AR212" s="150" t="str">
        <f t="shared" si="133"/>
        <v>0.993029301675471-0.0428184231962534i</v>
      </c>
    </row>
    <row r="213" spans="7:44" x14ac:dyDescent="0.25">
      <c r="G213" s="594">
        <v>12233</v>
      </c>
      <c r="H213" s="582">
        <f t="shared" si="125"/>
        <v>12.233000000000001</v>
      </c>
      <c r="I213" s="583">
        <f t="shared" si="105"/>
        <v>11.976812854922333</v>
      </c>
      <c r="J213" s="584">
        <f t="shared" si="106"/>
        <v>1.4872043423874015</v>
      </c>
      <c r="K213" s="584">
        <f t="shared" si="107"/>
        <v>1.0000218468008646</v>
      </c>
      <c r="L213" s="585">
        <f t="shared" si="108"/>
        <v>6.610053424364261E-3</v>
      </c>
      <c r="M213" s="584">
        <f t="shared" si="109"/>
        <v>1.0054021724609179</v>
      </c>
      <c r="N213" s="585">
        <f t="shared" si="110"/>
        <v>-0.10371079490310692</v>
      </c>
      <c r="O213" s="583">
        <f t="shared" si="111"/>
        <v>22136.315285758519</v>
      </c>
      <c r="P213" s="586">
        <f t="shared" si="112"/>
        <v>1.5707511521582225</v>
      </c>
      <c r="Q213" s="595">
        <f t="shared" si="103"/>
        <v>9.2775158821096202</v>
      </c>
      <c r="R213" s="596">
        <f t="shared" si="104"/>
        <v>1.462799039215734</v>
      </c>
      <c r="S213" s="583">
        <f t="shared" si="113"/>
        <v>1.0018887119600726</v>
      </c>
      <c r="T213" s="586">
        <f t="shared" si="114"/>
        <v>6.1412442538056299E-2</v>
      </c>
      <c r="U213" s="587">
        <f t="shared" si="126"/>
        <v>0.99189166806905138</v>
      </c>
      <c r="V213" s="588">
        <f t="shared" si="127"/>
        <v>-0.15313680939057003</v>
      </c>
      <c r="W213" s="589">
        <f t="shared" si="115"/>
        <v>7.7037406147107301</v>
      </c>
      <c r="X213" s="590">
        <f t="shared" si="116"/>
        <v>-109.25196198581204</v>
      </c>
      <c r="Y213" s="593">
        <f t="shared" si="117"/>
        <v>70.748038014187955</v>
      </c>
      <c r="AA213" s="150">
        <f t="shared" si="118"/>
        <v>1000000000</v>
      </c>
      <c r="AB213" s="150">
        <f t="shared" si="119"/>
        <v>149646289</v>
      </c>
      <c r="AD213" s="592">
        <f t="shared" si="120"/>
        <v>27.638587491408735</v>
      </c>
      <c r="AE213" s="593">
        <f t="shared" si="121"/>
        <v>-9.7038742392327819</v>
      </c>
      <c r="AG213" s="592">
        <f t="shared" si="122"/>
        <v>5.5945263917815478</v>
      </c>
      <c r="AH213" s="593">
        <f t="shared" si="123"/>
        <v>-81.99990199416952</v>
      </c>
      <c r="AJ213" s="150">
        <f t="shared" si="124"/>
        <v>0</v>
      </c>
      <c r="AK213" s="150">
        <f t="shared" si="102"/>
        <v>0</v>
      </c>
      <c r="AM213" s="150" t="str">
        <f t="shared" si="128"/>
        <v>0.024016709783217+0.217845397513059i</v>
      </c>
      <c r="AN213" s="150" t="str">
        <f t="shared" si="129"/>
        <v>0.219606302214i</v>
      </c>
      <c r="AO213" s="150" t="str">
        <f t="shared" si="130"/>
        <v>0.991981538402186-0.109362570841949i</v>
      </c>
      <c r="AP213" s="150" t="str">
        <f t="shared" si="131"/>
        <v>0.162663881702797-0.0363075662521765i</v>
      </c>
      <c r="AQ213" s="150" t="str">
        <f t="shared" si="132"/>
        <v>0.837336118297203+0.0363075662521765i</v>
      </c>
      <c r="AR213" s="150" t="str">
        <f t="shared" si="133"/>
        <v>0.992954619219366-0.0430553093732852i</v>
      </c>
    </row>
    <row r="214" spans="7:44" x14ac:dyDescent="0.25">
      <c r="G214" s="594">
        <v>12303</v>
      </c>
      <c r="H214" s="582">
        <f t="shared" si="125"/>
        <v>12.303000000000001</v>
      </c>
      <c r="I214" s="583">
        <f t="shared" si="105"/>
        <v>12.044870468336709</v>
      </c>
      <c r="J214" s="584">
        <f t="shared" si="106"/>
        <v>1.487677759370827</v>
      </c>
      <c r="K214" s="584">
        <f t="shared" si="107"/>
        <v>1.0000220975381404</v>
      </c>
      <c r="L214" s="585">
        <f t="shared" si="108"/>
        <v>6.647876537749303E-3</v>
      </c>
      <c r="M214" s="584">
        <f t="shared" si="109"/>
        <v>1.0054640057869124</v>
      </c>
      <c r="N214" s="585">
        <f t="shared" si="110"/>
        <v>-0.10429996908153555</v>
      </c>
      <c r="O214" s="583">
        <f t="shared" si="111"/>
        <v>22262.984301278004</v>
      </c>
      <c r="P214" s="586">
        <f t="shared" si="112"/>
        <v>1.5707514091869603</v>
      </c>
      <c r="Q214" s="595">
        <f t="shared" si="103"/>
        <v>9.3299888818015262</v>
      </c>
      <c r="R214" s="596">
        <f t="shared" si="104"/>
        <v>1.4634087815487382</v>
      </c>
      <c r="S214" s="583">
        <f t="shared" si="113"/>
        <v>1.0019103684136961</v>
      </c>
      <c r="T214" s="586">
        <f t="shared" si="114"/>
        <v>6.1762967982979977E-2</v>
      </c>
      <c r="U214" s="587">
        <f t="shared" si="126"/>
        <v>0.99180417516345987</v>
      </c>
      <c r="V214" s="588">
        <f t="shared" si="127"/>
        <v>-0.15400637373986883</v>
      </c>
      <c r="W214" s="589">
        <f t="shared" si="115"/>
        <v>7.6535330396498482</v>
      </c>
      <c r="X214" s="590">
        <f t="shared" si="116"/>
        <v>-109.3456619303025</v>
      </c>
      <c r="Y214" s="593">
        <f t="shared" si="117"/>
        <v>70.654338069697502</v>
      </c>
      <c r="AA214" s="150">
        <f t="shared" si="118"/>
        <v>1000000000</v>
      </c>
      <c r="AB214" s="150">
        <f t="shared" si="119"/>
        <v>151363809</v>
      </c>
      <c r="AD214" s="592">
        <f t="shared" si="120"/>
        <v>27.637827171667141</v>
      </c>
      <c r="AE214" s="593">
        <f t="shared" si="121"/>
        <v>-9.6890369322121863</v>
      </c>
      <c r="AG214" s="592">
        <f t="shared" si="122"/>
        <v>5.5466115361497836</v>
      </c>
      <c r="AH214" s="593">
        <f t="shared" si="123"/>
        <v>-82.008794511106956</v>
      </c>
      <c r="AJ214" s="150">
        <f t="shared" si="124"/>
        <v>0</v>
      </c>
      <c r="AK214" s="150">
        <f t="shared" si="102"/>
        <v>0</v>
      </c>
      <c r="AM214" s="150" t="str">
        <f t="shared" si="128"/>
        <v>0.024291232916448+0.219071681958887i</v>
      </c>
      <c r="AN214" s="150" t="str">
        <f t="shared" si="129"/>
        <v>0.220862939274i</v>
      </c>
      <c r="AO214" s="150" t="str">
        <f t="shared" si="130"/>
        <v>0.991889733420188-0.109983290978087i</v>
      </c>
      <c r="AP214" s="150" t="str">
        <f t="shared" si="131"/>
        <v>0.162618127847259-0.0365119469931478i</v>
      </c>
      <c r="AQ214" s="150" t="str">
        <f t="shared" si="132"/>
        <v>0.837381872152741+0.0365119469931478i</v>
      </c>
      <c r="AR214" s="150" t="str">
        <f t="shared" si="133"/>
        <v>0.992879534628512-0.0432920345477995i</v>
      </c>
    </row>
    <row r="215" spans="7:44" x14ac:dyDescent="0.25">
      <c r="G215" s="594">
        <v>12374.5</v>
      </c>
      <c r="H215" s="582">
        <f t="shared" si="125"/>
        <v>12.374499999999999</v>
      </c>
      <c r="I215" s="583">
        <f t="shared" si="105"/>
        <v>12.11438921446298</v>
      </c>
      <c r="J215" s="584">
        <f t="shared" si="106"/>
        <v>1.4881558294645687</v>
      </c>
      <c r="K215" s="584">
        <f t="shared" si="107"/>
        <v>1.0000223551252896</v>
      </c>
      <c r="L215" s="585">
        <f t="shared" si="108"/>
        <v>6.6865101267835989E-3</v>
      </c>
      <c r="M215" s="584">
        <f t="shared" si="109"/>
        <v>1.0055275243895236</v>
      </c>
      <c r="N215" s="585">
        <f t="shared" si="110"/>
        <v>-0.10490169340040761</v>
      </c>
      <c r="O215" s="583">
        <f t="shared" si="111"/>
        <v>22392.367652845838</v>
      </c>
      <c r="P215" s="586">
        <f t="shared" si="112"/>
        <v>1.5707516687214031</v>
      </c>
      <c r="Q215" s="595">
        <f t="shared" ref="Q215:Q278" si="134">SQRT(1+(G215/Zero2)^2)</f>
        <v>9.3835898434837848</v>
      </c>
      <c r="R215" s="596">
        <f t="shared" ref="R215:R278" si="135">ATAN(G215/Zero2)</f>
        <v>1.4640245494417194</v>
      </c>
      <c r="S215" s="583">
        <f t="shared" si="113"/>
        <v>1.0019326160165714</v>
      </c>
      <c r="T215" s="586">
        <f t="shared" si="114"/>
        <v>6.2120988998811646E-2</v>
      </c>
      <c r="U215" s="587">
        <f t="shared" si="126"/>
        <v>0.99171431482346706</v>
      </c>
      <c r="V215" s="588">
        <f t="shared" si="127"/>
        <v>-0.15489445435657881</v>
      </c>
      <c r="W215" s="589">
        <f t="shared" si="115"/>
        <v>7.6025414158809523</v>
      </c>
      <c r="X215" s="590">
        <f t="shared" si="116"/>
        <v>-109.44144638458714</v>
      </c>
      <c r="Y215" s="593">
        <f t="shared" si="117"/>
        <v>70.558553615412862</v>
      </c>
      <c r="AA215" s="150">
        <f t="shared" si="118"/>
        <v>1000000000</v>
      </c>
      <c r="AB215" s="150">
        <f t="shared" si="119"/>
        <v>153128250.25</v>
      </c>
      <c r="AD215" s="592">
        <f t="shared" si="120"/>
        <v>27.637059388404218</v>
      </c>
      <c r="AE215" s="593">
        <f t="shared" si="121"/>
        <v>-9.6742839941802021</v>
      </c>
      <c r="AG215" s="592">
        <f t="shared" si="122"/>
        <v>5.4979617006263517</v>
      </c>
      <c r="AH215" s="593">
        <f t="shared" si="123"/>
        <v>-82.017565360897592</v>
      </c>
      <c r="AJ215" s="150">
        <f t="shared" si="124"/>
        <v>0</v>
      </c>
      <c r="AK215" s="150">
        <f t="shared" si="102"/>
        <v>0</v>
      </c>
      <c r="AM215" s="150" t="str">
        <f t="shared" si="128"/>
        <v>0.024573229341094+0.220323886771133i</v>
      </c>
      <c r="AN215" s="150" t="str">
        <f t="shared" si="129"/>
        <v>0.222146504271i</v>
      </c>
      <c r="AO215" s="150" t="str">
        <f t="shared" si="130"/>
        <v>0.991795425699593-0.11061722272756i</v>
      </c>
      <c r="AP215" s="150" t="str">
        <f t="shared" si="131"/>
        <v>0.162571128443151-0.0367206477951888i</v>
      </c>
      <c r="AQ215" s="150" t="str">
        <f t="shared" si="132"/>
        <v>0.837428871556849+0.0367206477951888i</v>
      </c>
      <c r="AR215" s="150" t="str">
        <f t="shared" si="133"/>
        <v>0.992802426387149-0.0435336653270576i</v>
      </c>
    </row>
    <row r="216" spans="7:44" x14ac:dyDescent="0.25">
      <c r="G216" s="594">
        <v>12446</v>
      </c>
      <c r="H216" s="582">
        <f t="shared" si="125"/>
        <v>12.446</v>
      </c>
      <c r="I216" s="583">
        <f t="shared" si="105"/>
        <v>12.18391069774899</v>
      </c>
      <c r="J216" s="584">
        <f t="shared" si="106"/>
        <v>1.48862844392242</v>
      </c>
      <c r="K216" s="584">
        <f t="shared" si="107"/>
        <v>1.0000226142050253</v>
      </c>
      <c r="L216" s="585">
        <f t="shared" si="108"/>
        <v>6.7251436958576504E-3</v>
      </c>
      <c r="M216" s="584">
        <f t="shared" si="109"/>
        <v>1.0055914070195828</v>
      </c>
      <c r="N216" s="585">
        <f t="shared" si="110"/>
        <v>-0.10550334148510676</v>
      </c>
      <c r="O216" s="583">
        <f t="shared" si="111"/>
        <v>22521.751004415164</v>
      </c>
      <c r="P216" s="586">
        <f t="shared" si="112"/>
        <v>1.57075192527389</v>
      </c>
      <c r="Q216" s="595">
        <f t="shared" si="134"/>
        <v>9.4371943227250643</v>
      </c>
      <c r="R216" s="596">
        <f t="shared" si="135"/>
        <v>1.4646333222814656</v>
      </c>
      <c r="S216" s="583">
        <f t="shared" si="113"/>
        <v>1.0019549920405024</v>
      </c>
      <c r="T216" s="586">
        <f t="shared" si="114"/>
        <v>6.2478994069618835E-2</v>
      </c>
      <c r="U216" s="587">
        <f t="shared" si="126"/>
        <v>0.99162395706410789</v>
      </c>
      <c r="V216" s="588">
        <f t="shared" si="127"/>
        <v>-0.15578241583504823</v>
      </c>
      <c r="W216" s="589">
        <f t="shared" si="115"/>
        <v>7.5518412687975474</v>
      </c>
      <c r="X216" s="590">
        <f t="shared" si="116"/>
        <v>-109.53730676368141</v>
      </c>
      <c r="Y216" s="593">
        <f t="shared" si="117"/>
        <v>70.462693236318586</v>
      </c>
      <c r="AA216" s="150">
        <f t="shared" si="118"/>
        <v>1000000000</v>
      </c>
      <c r="AB216" s="150">
        <f t="shared" si="119"/>
        <v>154902916</v>
      </c>
      <c r="AD216" s="592">
        <f t="shared" si="120"/>
        <v>27.636300301817336</v>
      </c>
      <c r="AE216" s="593">
        <f t="shared" si="121"/>
        <v>-9.6599307587404049</v>
      </c>
      <c r="AG216" s="592">
        <f t="shared" si="122"/>
        <v>5.4496035017876778</v>
      </c>
      <c r="AH216" s="593">
        <f t="shared" si="123"/>
        <v>-82.026026085142419</v>
      </c>
      <c r="AJ216" s="150">
        <f t="shared" si="124"/>
        <v>0</v>
      </c>
      <c r="AK216" s="150">
        <f t="shared" si="102"/>
        <v>0</v>
      </c>
      <c r="AM216" s="150" t="str">
        <f t="shared" si="128"/>
        <v>0.024856832819265+0.22157572859121i</v>
      </c>
      <c r="AN216" s="150" t="str">
        <f t="shared" si="129"/>
        <v>0.223430069268i</v>
      </c>
      <c r="AO216" s="150" t="str">
        <f t="shared" si="130"/>
        <v>0.991700576905941-0.11125106347906i</v>
      </c>
      <c r="AP216" s="150" t="str">
        <f t="shared" si="131"/>
        <v>0.162523861196789-0.036929288098535i</v>
      </c>
      <c r="AQ216" s="150" t="str">
        <f t="shared" si="132"/>
        <v>0.837476138803211+0.036929288098535i</v>
      </c>
      <c r="AR216" s="150" t="str">
        <f t="shared" si="133"/>
        <v>0.992724899523004-0.0437751263808708i</v>
      </c>
    </row>
    <row r="217" spans="7:44" x14ac:dyDescent="0.25">
      <c r="G217" s="594">
        <v>12517.5</v>
      </c>
      <c r="H217" s="582">
        <f t="shared" si="125"/>
        <v>12.5175</v>
      </c>
      <c r="I217" s="583">
        <f t="shared" si="105"/>
        <v>12.253434871605824</v>
      </c>
      <c r="J217" s="584">
        <f t="shared" si="106"/>
        <v>1.4890956953948418</v>
      </c>
      <c r="K217" s="584">
        <f t="shared" si="107"/>
        <v>1.0000228747773467</v>
      </c>
      <c r="L217" s="585">
        <f t="shared" si="108"/>
        <v>6.7637772448561461E-3</v>
      </c>
      <c r="M217" s="584">
        <f t="shared" si="109"/>
        <v>1.005655653607717</v>
      </c>
      <c r="N217" s="585">
        <f t="shared" si="110"/>
        <v>-0.106104912914633</v>
      </c>
      <c r="O217" s="583">
        <f t="shared" si="111"/>
        <v>22651.134355985949</v>
      </c>
      <c r="P217" s="586">
        <f t="shared" si="112"/>
        <v>1.5707521788955194</v>
      </c>
      <c r="Q217" s="595">
        <f t="shared" si="134"/>
        <v>9.4908022599233686</v>
      </c>
      <c r="R217" s="596">
        <f t="shared" si="135"/>
        <v>1.4652352181456567</v>
      </c>
      <c r="S217" s="583">
        <f t="shared" si="113"/>
        <v>1.0019774964768857</v>
      </c>
      <c r="T217" s="586">
        <f t="shared" si="114"/>
        <v>6.283698310470355E-2</v>
      </c>
      <c r="U217" s="587">
        <f t="shared" si="126"/>
        <v>0.99153310227891522</v>
      </c>
      <c r="V217" s="588">
        <f t="shared" si="127"/>
        <v>-0.15667025753058816</v>
      </c>
      <c r="W217" s="589">
        <f t="shared" si="115"/>
        <v>7.501429189640386</v>
      </c>
      <c r="X217" s="590">
        <f t="shared" si="116"/>
        <v>-109.63324154739131</v>
      </c>
      <c r="Y217" s="593">
        <f t="shared" si="117"/>
        <v>70.366758452608693</v>
      </c>
      <c r="AA217" s="150">
        <f t="shared" si="118"/>
        <v>1000000000</v>
      </c>
      <c r="AB217" s="150">
        <f t="shared" si="119"/>
        <v>156687806.25</v>
      </c>
      <c r="AD217" s="592">
        <f t="shared" si="120"/>
        <v>27.635549690731942</v>
      </c>
      <c r="AE217" s="593">
        <f t="shared" si="121"/>
        <v>-9.6459704582711971</v>
      </c>
      <c r="AG217" s="592">
        <f t="shared" si="122"/>
        <v>5.4015337475624934</v>
      </c>
      <c r="AH217" s="593">
        <f t="shared" si="123"/>
        <v>-82.034182005144885</v>
      </c>
      <c r="AJ217" s="150">
        <f t="shared" si="124"/>
        <v>0</v>
      </c>
      <c r="AK217" s="150">
        <f t="shared" si="102"/>
        <v>0</v>
      </c>
      <c r="AM217" s="150" t="str">
        <f t="shared" si="128"/>
        <v>0.025142042883713+0.22282720535666i</v>
      </c>
      <c r="AN217" s="150" t="str">
        <f t="shared" si="129"/>
        <v>0.224713634265i</v>
      </c>
      <c r="AO217" s="150" t="str">
        <f t="shared" si="130"/>
        <v>0.991605187132903-0.111884812712626i</v>
      </c>
      <c r="AP217" s="150" t="str">
        <f t="shared" si="131"/>
        <v>0.162476326186048-0.0371378675594433i</v>
      </c>
      <c r="AQ217" s="150" t="str">
        <f t="shared" si="132"/>
        <v>0.837523673813952+0.0371378675594433i</v>
      </c>
      <c r="AR217" s="150" t="str">
        <f t="shared" si="133"/>
        <v>0.992646954509948-0.0440164168279551i</v>
      </c>
    </row>
    <row r="218" spans="7:44" x14ac:dyDescent="0.25">
      <c r="G218" s="594">
        <v>12589</v>
      </c>
      <c r="H218" s="582">
        <f t="shared" si="125"/>
        <v>12.589</v>
      </c>
      <c r="I218" s="583">
        <f t="shared" si="105"/>
        <v>12.32296169049418</v>
      </c>
      <c r="J218" s="584">
        <f t="shared" si="106"/>
        <v>1.4895576744508281</v>
      </c>
      <c r="K218" s="584">
        <f t="shared" si="107"/>
        <v>1.0000231368422525</v>
      </c>
      <c r="L218" s="585">
        <f t="shared" si="108"/>
        <v>6.8024107736637789E-3</v>
      </c>
      <c r="M218" s="584">
        <f t="shared" si="109"/>
        <v>1.0057202640841765</v>
      </c>
      <c r="N218" s="585">
        <f t="shared" si="110"/>
        <v>-0.10670640726831551</v>
      </c>
      <c r="O218" s="583">
        <f t="shared" si="111"/>
        <v>22780.517707558181</v>
      </c>
      <c r="P218" s="586">
        <f t="shared" si="112"/>
        <v>1.5707524296362299</v>
      </c>
      <c r="Q218" s="595">
        <f t="shared" si="134"/>
        <v>9.5444135968119586</v>
      </c>
      <c r="R218" s="596">
        <f t="shared" si="135"/>
        <v>1.4658303524791743</v>
      </c>
      <c r="S218" s="583">
        <f t="shared" si="113"/>
        <v>1.0020001293170688</v>
      </c>
      <c r="T218" s="586">
        <f t="shared" si="114"/>
        <v>6.3194956013392353E-2</v>
      </c>
      <c r="U218" s="587">
        <f t="shared" si="126"/>
        <v>0.99144175086339803</v>
      </c>
      <c r="V218" s="588">
        <f t="shared" si="127"/>
        <v>-0.15755797879923988</v>
      </c>
      <c r="W218" s="589">
        <f t="shared" si="115"/>
        <v>7.4513018288634978</v>
      </c>
      <c r="X218" s="590">
        <f t="shared" si="116"/>
        <v>-109.72924924710723</v>
      </c>
      <c r="Y218" s="593">
        <f t="shared" si="117"/>
        <v>70.270750752892766</v>
      </c>
      <c r="AA218" s="150">
        <f t="shared" si="118"/>
        <v>1000000000</v>
      </c>
      <c r="AB218" s="150">
        <f t="shared" si="119"/>
        <v>158482921</v>
      </c>
      <c r="AD218" s="592">
        <f t="shared" si="120"/>
        <v>27.634807340172308</v>
      </c>
      <c r="AE218" s="593">
        <f t="shared" si="121"/>
        <v>-9.6323964759341543</v>
      </c>
      <c r="AG218" s="592">
        <f t="shared" si="122"/>
        <v>5.3537492988707953</v>
      </c>
      <c r="AH218" s="593">
        <f t="shared" si="123"/>
        <v>-82.04203832292616</v>
      </c>
      <c r="AJ218" s="150">
        <f t="shared" si="124"/>
        <v>0</v>
      </c>
      <c r="AK218" s="150">
        <f t="shared" ref="AK218:AK281" si="136">IF(AJ218&gt;0,Y218,0)</f>
        <v>0</v>
      </c>
      <c r="AM218" s="150" t="str">
        <f t="shared" si="128"/>
        <v>0.025428859064543+0.224078315005628i</v>
      </c>
      <c r="AN218" s="150" t="str">
        <f t="shared" si="129"/>
        <v>0.225997199262i</v>
      </c>
      <c r="AO218" s="150" t="str">
        <f t="shared" si="130"/>
        <v>0.99150925647469-0.112518469908395i</v>
      </c>
      <c r="AP218" s="150" t="str">
        <f t="shared" si="131"/>
        <v>0.162428523489243-0.0373463858342713i</v>
      </c>
      <c r="AQ218" s="150" t="str">
        <f t="shared" si="132"/>
        <v>0.837571476510757+0.0373463858342713i</v>
      </c>
      <c r="AR218" s="150" t="str">
        <f t="shared" si="133"/>
        <v>0.992568591824157-0.0442575357886704i</v>
      </c>
    </row>
    <row r="219" spans="7:44" x14ac:dyDescent="0.25">
      <c r="G219" s="594">
        <v>12662.25</v>
      </c>
      <c r="H219" s="582">
        <f t="shared" si="125"/>
        <v>12.66225</v>
      </c>
      <c r="I219" s="583">
        <f t="shared" si="105"/>
        <v>12.394192911134423</v>
      </c>
      <c r="J219" s="584">
        <f t="shared" si="106"/>
        <v>1.4900255856824369</v>
      </c>
      <c r="K219" s="584">
        <f t="shared" si="107"/>
        <v>1.0000234068691625</v>
      </c>
      <c r="L219" s="585">
        <f t="shared" si="108"/>
        <v>6.8419898572925821E-3</v>
      </c>
      <c r="M219" s="584">
        <f t="shared" si="109"/>
        <v>1.0057868332194706</v>
      </c>
      <c r="N219" s="585">
        <f t="shared" si="110"/>
        <v>-0.10732254314368399</v>
      </c>
      <c r="O219" s="583">
        <f t="shared" si="111"/>
        <v>22913.067784520008</v>
      </c>
      <c r="P219" s="586">
        <f t="shared" si="112"/>
        <v>1.5707526835774226</v>
      </c>
      <c r="Q219" s="595">
        <f t="shared" si="134"/>
        <v>9.5993405652601336</v>
      </c>
      <c r="R219" s="596">
        <f t="shared" si="135"/>
        <v>1.4664331592457089</v>
      </c>
      <c r="S219" s="583">
        <f t="shared" si="113"/>
        <v>1.0020234492551747</v>
      </c>
      <c r="T219" s="586">
        <f t="shared" si="114"/>
        <v>6.3561673678719524E-2</v>
      </c>
      <c r="U219" s="587">
        <f t="shared" si="126"/>
        <v>0.9913476489776224</v>
      </c>
      <c r="V219" s="588">
        <f t="shared" si="127"/>
        <v>-0.15846730195484235</v>
      </c>
      <c r="W219" s="589">
        <f t="shared" si="115"/>
        <v>7.4002393902285561</v>
      </c>
      <c r="X219" s="590">
        <f t="shared" si="116"/>
        <v>-109.82768087649386</v>
      </c>
      <c r="Y219" s="593">
        <f t="shared" si="117"/>
        <v>70.172319123506142</v>
      </c>
      <c r="AA219" s="150">
        <f t="shared" si="118"/>
        <v>1000000000</v>
      </c>
      <c r="AB219" s="150">
        <f t="shared" si="119"/>
        <v>160332575.0625</v>
      </c>
      <c r="AD219" s="592">
        <f t="shared" si="120"/>
        <v>27.63405516801495</v>
      </c>
      <c r="AE219" s="593">
        <f t="shared" si="121"/>
        <v>-9.6188841165890668</v>
      </c>
      <c r="AG219" s="592">
        <f t="shared" si="122"/>
        <v>5.3050879389190673</v>
      </c>
      <c r="AH219" s="593">
        <f t="shared" si="123"/>
        <v>-82.049781553479718</v>
      </c>
      <c r="AJ219" s="150">
        <f t="shared" si="124"/>
        <v>0</v>
      </c>
      <c r="AK219" s="150">
        <f t="shared" si="136"/>
        <v>0</v>
      </c>
      <c r="AM219" s="150" t="str">
        <f t="shared" si="128"/>
        <v>0.025724360291048+0.225359663359953i</v>
      </c>
      <c r="AN219" s="150" t="str">
        <f t="shared" si="129"/>
        <v>0.2273121801855i</v>
      </c>
      <c r="AO219" s="150" t="str">
        <f t="shared" si="130"/>
        <v>0.991410417057486-0.113167540208604i</v>
      </c>
      <c r="AP219" s="150" t="str">
        <f t="shared" si="131"/>
        <v>0.162379273284825-0.0375599438933255i</v>
      </c>
      <c r="AQ219" s="150" t="str">
        <f t="shared" si="132"/>
        <v>0.837620726715175+0.0375599438933255i</v>
      </c>
      <c r="AR219" s="150" t="str">
        <f t="shared" si="133"/>
        <v>0.992487878538811-0.044504377510944i</v>
      </c>
    </row>
    <row r="220" spans="7:44" x14ac:dyDescent="0.25">
      <c r="G220" s="594">
        <v>12735.5</v>
      </c>
      <c r="H220" s="582">
        <f t="shared" si="125"/>
        <v>12.7355</v>
      </c>
      <c r="I220" s="583">
        <f t="shared" si="105"/>
        <v>12.465426814357713</v>
      </c>
      <c r="J220" s="584">
        <f t="shared" si="106"/>
        <v>1.490488149240248</v>
      </c>
      <c r="K220" s="584">
        <f t="shared" si="107"/>
        <v>1.000023678462612</v>
      </c>
      <c r="L220" s="585">
        <f t="shared" si="108"/>
        <v>6.8815689194850552E-3</v>
      </c>
      <c r="M220" s="584">
        <f t="shared" si="109"/>
        <v>1.0058537841243755</v>
      </c>
      <c r="N220" s="585">
        <f t="shared" si="110"/>
        <v>-0.10793859723132289</v>
      </c>
      <c r="O220" s="583">
        <f t="shared" si="111"/>
        <v>23045.617861483297</v>
      </c>
      <c r="P220" s="586">
        <f t="shared" si="112"/>
        <v>1.5707529345974591</v>
      </c>
      <c r="Q220" s="595">
        <f t="shared" si="134"/>
        <v>9.6542709821863699</v>
      </c>
      <c r="R220" s="596">
        <f t="shared" si="135"/>
        <v>1.4670291065835757</v>
      </c>
      <c r="S220" s="583">
        <f t="shared" si="113"/>
        <v>1.0020469039409612</v>
      </c>
      <c r="T220" s="586">
        <f t="shared" si="114"/>
        <v>6.3928374226004059E-2</v>
      </c>
      <c r="U220" s="587">
        <f t="shared" si="126"/>
        <v>0.99125302670014626</v>
      </c>
      <c r="V220" s="588">
        <f t="shared" si="127"/>
        <v>-0.15937649735048687</v>
      </c>
      <c r="W220" s="589">
        <f t="shared" si="115"/>
        <v>7.3494688453759691</v>
      </c>
      <c r="X220" s="590">
        <f t="shared" si="116"/>
        <v>-109.9261859699229</v>
      </c>
      <c r="Y220" s="593">
        <f t="shared" si="117"/>
        <v>70.073814030077102</v>
      </c>
      <c r="AA220" s="150">
        <f t="shared" si="118"/>
        <v>1000000000</v>
      </c>
      <c r="AB220" s="150">
        <f t="shared" si="119"/>
        <v>162192960.25</v>
      </c>
      <c r="AD220" s="592">
        <f t="shared" si="120"/>
        <v>27.633311227975188</v>
      </c>
      <c r="AE220" s="593">
        <f t="shared" si="121"/>
        <v>-9.6057636253954737</v>
      </c>
      <c r="AG220" s="592">
        <f t="shared" si="122"/>
        <v>5.2567195170578866</v>
      </c>
      <c r="AH220" s="593">
        <f t="shared" si="123"/>
        <v>-82.057221020136964</v>
      </c>
      <c r="AJ220" s="150">
        <f t="shared" si="124"/>
        <v>0</v>
      </c>
      <c r="AK220" s="150">
        <f t="shared" si="136"/>
        <v>0</v>
      </c>
      <c r="AM220" s="150" t="str">
        <f t="shared" si="128"/>
        <v>0.026021546210222+0.226640622028077i</v>
      </c>
      <c r="AN220" s="150" t="str">
        <f t="shared" si="129"/>
        <v>0.228627161109i</v>
      </c>
      <c r="AO220" s="150" t="str">
        <f t="shared" si="130"/>
        <v>0.991311010156068-0.113816512806263i</v>
      </c>
      <c r="AP220" s="150" t="str">
        <f t="shared" si="131"/>
        <v>0.162329742298296-0.0377734370046795i</v>
      </c>
      <c r="AQ220" s="150" t="str">
        <f t="shared" si="132"/>
        <v>0.837670257701704+0.0377734370046795i</v>
      </c>
      <c r="AR220" s="150" t="str">
        <f t="shared" si="133"/>
        <v>0.99240672790419-0.044751037385952i</v>
      </c>
    </row>
    <row r="221" spans="7:44" x14ac:dyDescent="0.25">
      <c r="G221" s="594">
        <v>12808.75</v>
      </c>
      <c r="H221" s="582">
        <f t="shared" si="125"/>
        <v>12.80875</v>
      </c>
      <c r="I221" s="583">
        <f t="shared" si="105"/>
        <v>12.536663354436358</v>
      </c>
      <c r="J221" s="584">
        <f t="shared" si="106"/>
        <v>1.4909454560851767</v>
      </c>
      <c r="K221" s="584">
        <f t="shared" si="107"/>
        <v>1.0000239516225999</v>
      </c>
      <c r="L221" s="585">
        <f t="shared" si="108"/>
        <v>6.9211479601172148E-3</v>
      </c>
      <c r="M221" s="584">
        <f t="shared" si="109"/>
        <v>1.0059211167226629</v>
      </c>
      <c r="N221" s="585">
        <f t="shared" si="110"/>
        <v>-0.10855456907999682</v>
      </c>
      <c r="O221" s="583">
        <f t="shared" si="111"/>
        <v>23178.167938448027</v>
      </c>
      <c r="P221" s="586">
        <f t="shared" si="112"/>
        <v>1.5707531827464556</v>
      </c>
      <c r="Q221" s="595">
        <f t="shared" si="134"/>
        <v>9.7092047890607471</v>
      </c>
      <c r="R221" s="596">
        <f t="shared" si="135"/>
        <v>1.4676183104959257</v>
      </c>
      <c r="S221" s="583">
        <f t="shared" si="113"/>
        <v>1.0020704933649667</v>
      </c>
      <c r="T221" s="586">
        <f t="shared" si="114"/>
        <v>6.4295057557831506E-2</v>
      </c>
      <c r="U221" s="587">
        <f t="shared" si="126"/>
        <v>0.99115788446265418</v>
      </c>
      <c r="V221" s="588">
        <f t="shared" si="127"/>
        <v>-0.1602855642961907</v>
      </c>
      <c r="W221" s="589">
        <f t="shared" si="115"/>
        <v>7.2989867772466148</v>
      </c>
      <c r="X221" s="590">
        <f t="shared" si="116"/>
        <v>-110.02476302448996</v>
      </c>
      <c r="Y221" s="593">
        <f t="shared" si="117"/>
        <v>69.975236975510043</v>
      </c>
      <c r="AA221" s="150">
        <f t="shared" si="118"/>
        <v>1000000000</v>
      </c>
      <c r="AB221" s="150">
        <f t="shared" si="119"/>
        <v>164064076.5625</v>
      </c>
      <c r="AD221" s="592">
        <f t="shared" si="120"/>
        <v>27.632575307814822</v>
      </c>
      <c r="AE221" s="593">
        <f t="shared" si="121"/>
        <v>-9.593028353152361</v>
      </c>
      <c r="AG221" s="592">
        <f t="shared" si="122"/>
        <v>5.2086408235419714</v>
      </c>
      <c r="AH221" s="593">
        <f t="shared" si="123"/>
        <v>-82.064361948260782</v>
      </c>
      <c r="AJ221" s="150">
        <f t="shared" si="124"/>
        <v>0</v>
      </c>
      <c r="AK221" s="150">
        <f t="shared" si="136"/>
        <v>0</v>
      </c>
      <c r="AM221" s="150" t="str">
        <f t="shared" si="128"/>
        <v>0.026320416308181+0.227921188794999i</v>
      </c>
      <c r="AN221" s="150" t="str">
        <f t="shared" si="129"/>
        <v>0.2299421420325i</v>
      </c>
      <c r="AO221" s="150" t="str">
        <f t="shared" si="130"/>
        <v>0.991211035873471-0.11446538714274i</v>
      </c>
      <c r="AP221" s="150" t="str">
        <f t="shared" si="131"/>
        <v>0.162279930615303-0.0379868647991665i</v>
      </c>
      <c r="AQ221" s="150" t="str">
        <f t="shared" si="132"/>
        <v>0.837720069384697+0.0379868647991665i</v>
      </c>
      <c r="AR221" s="150" t="str">
        <f t="shared" si="133"/>
        <v>0.992325140439795-0.0449975144732864i</v>
      </c>
    </row>
    <row r="222" spans="7:44" x14ac:dyDescent="0.25">
      <c r="G222" s="594">
        <v>12882</v>
      </c>
      <c r="H222" s="582">
        <f t="shared" si="125"/>
        <v>12.882</v>
      </c>
      <c r="I222" s="583">
        <f t="shared" si="105"/>
        <v>12.607902486674485</v>
      </c>
      <c r="J222" s="584">
        <f t="shared" si="106"/>
        <v>1.4913975951312015</v>
      </c>
      <c r="K222" s="584">
        <f t="shared" si="107"/>
        <v>1.000024226349125</v>
      </c>
      <c r="L222" s="585">
        <f t="shared" si="108"/>
        <v>6.960726979065076E-3</v>
      </c>
      <c r="M222" s="584">
        <f t="shared" si="109"/>
        <v>1.0059888309376908</v>
      </c>
      <c r="N222" s="585">
        <f t="shared" si="110"/>
        <v>-0.10917045823884036</v>
      </c>
      <c r="O222" s="583">
        <f t="shared" si="111"/>
        <v>23310.718015414161</v>
      </c>
      <c r="P222" s="586">
        <f t="shared" si="112"/>
        <v>1.5707534280733881</v>
      </c>
      <c r="Q222" s="595">
        <f t="shared" si="134"/>
        <v>9.7641419286669429</v>
      </c>
      <c r="R222" s="596">
        <f t="shared" si="135"/>
        <v>1.468200884394153</v>
      </c>
      <c r="S222" s="583">
        <f t="shared" si="113"/>
        <v>1.0020942175176755</v>
      </c>
      <c r="T222" s="586">
        <f t="shared" si="114"/>
        <v>6.4661723576815072E-2</v>
      </c>
      <c r="U222" s="587">
        <f t="shared" si="126"/>
        <v>0.99106222269898381</v>
      </c>
      <c r="V222" s="588">
        <f t="shared" si="127"/>
        <v>-0.16119450210277636</v>
      </c>
      <c r="W222" s="589">
        <f t="shared" si="115"/>
        <v>7.2487898281735337</v>
      </c>
      <c r="X222" s="590">
        <f t="shared" si="116"/>
        <v>-110.12341056851038</v>
      </c>
      <c r="Y222" s="593">
        <f t="shared" si="117"/>
        <v>69.87658943148962</v>
      </c>
      <c r="AA222" s="150">
        <f t="shared" si="118"/>
        <v>1000000000</v>
      </c>
      <c r="AB222" s="150">
        <f t="shared" si="119"/>
        <v>165945924</v>
      </c>
      <c r="AD222" s="592">
        <f t="shared" si="120"/>
        <v>27.631847201254644</v>
      </c>
      <c r="AE222" s="593">
        <f t="shared" si="121"/>
        <v>-9.5806717990917836</v>
      </c>
      <c r="AG222" s="592">
        <f t="shared" si="122"/>
        <v>5.1608487020338991</v>
      </c>
      <c r="AH222" s="593">
        <f t="shared" si="123"/>
        <v>-82.071209445908295</v>
      </c>
      <c r="AJ222" s="150">
        <f t="shared" si="124"/>
        <v>0</v>
      </c>
      <c r="AK222" s="150">
        <f t="shared" si="136"/>
        <v>0</v>
      </c>
      <c r="AM222" s="150" t="str">
        <f t="shared" si="128"/>
        <v>0.026620970068125+0.229201361446395i</v>
      </c>
      <c r="AN222" s="150" t="str">
        <f t="shared" si="129"/>
        <v>0.231257122956i</v>
      </c>
      <c r="AO222" s="150" t="str">
        <f t="shared" si="130"/>
        <v>0.99111049431331-0.1151141626595i</v>
      </c>
      <c r="AP222" s="150" t="str">
        <f t="shared" si="131"/>
        <v>0.162229838321979-0.0382002269077325i</v>
      </c>
      <c r="AQ222" s="150" t="str">
        <f t="shared" si="132"/>
        <v>0.837770161678021+0.0382002269077325i</v>
      </c>
      <c r="AR222" s="150" t="str">
        <f t="shared" si="133"/>
        <v>0.992243116667645-0.0452438078343823i</v>
      </c>
    </row>
    <row r="223" spans="7:44" x14ac:dyDescent="0.25">
      <c r="G223" s="594">
        <v>12957.25</v>
      </c>
      <c r="H223" s="582">
        <f t="shared" si="125"/>
        <v>12.95725</v>
      </c>
      <c r="I223" s="583">
        <f t="shared" si="105"/>
        <v>12.681089368056801</v>
      </c>
      <c r="J223" s="584">
        <f t="shared" si="106"/>
        <v>1.4918567892214536</v>
      </c>
      <c r="K223" s="584">
        <f t="shared" si="107"/>
        <v>1.0000245102079939</v>
      </c>
      <c r="L223" s="585">
        <f t="shared" si="108"/>
        <v>7.0013866311096316E-3</v>
      </c>
      <c r="M223" s="584">
        <f t="shared" si="109"/>
        <v>1.006058791312374</v>
      </c>
      <c r="N223" s="585">
        <f t="shared" si="110"/>
        <v>-0.10980307690328683</v>
      </c>
      <c r="O223" s="583">
        <f t="shared" si="111"/>
        <v>23446.887207111191</v>
      </c>
      <c r="P223" s="586">
        <f t="shared" si="112"/>
        <v>1.5707536772102644</v>
      </c>
      <c r="Q223" s="595">
        <f t="shared" si="134"/>
        <v>9.8205824701289082</v>
      </c>
      <c r="R223" s="596">
        <f t="shared" si="135"/>
        <v>1.4687925772326862</v>
      </c>
      <c r="S223" s="583">
        <f t="shared" si="113"/>
        <v>1.0021187297155874</v>
      </c>
      <c r="T223" s="586">
        <f t="shared" si="114"/>
        <v>6.5038382824017943E-2</v>
      </c>
      <c r="U223" s="587">
        <f t="shared" si="126"/>
        <v>0.9909634084708312</v>
      </c>
      <c r="V223" s="588">
        <f t="shared" si="127"/>
        <v>-0.16212812212433306</v>
      </c>
      <c r="W223" s="589">
        <f t="shared" si="115"/>
        <v>7.1975157496237996</v>
      </c>
      <c r="X223" s="590">
        <f t="shared" si="116"/>
        <v>-110.22482344918929</v>
      </c>
      <c r="Y223" s="593">
        <f t="shared" si="117"/>
        <v>69.775176550810713</v>
      </c>
      <c r="AA223" s="150">
        <f t="shared" si="118"/>
        <v>1000000000</v>
      </c>
      <c r="AB223" s="150">
        <f t="shared" si="119"/>
        <v>167890327.5625</v>
      </c>
      <c r="AD223" s="592">
        <f t="shared" si="120"/>
        <v>27.631107140508824</v>
      </c>
      <c r="AE223" s="593">
        <f t="shared" si="121"/>
        <v>-9.5683655563324876</v>
      </c>
      <c r="AG223" s="592">
        <f t="shared" si="122"/>
        <v>5.1120468303084561</v>
      </c>
      <c r="AH223" s="593">
        <f t="shared" si="123"/>
        <v>-82.077943595416016</v>
      </c>
      <c r="AJ223" s="150">
        <f t="shared" si="124"/>
        <v>0</v>
      </c>
      <c r="AK223" s="150">
        <f t="shared" si="136"/>
        <v>0</v>
      </c>
      <c r="AM223" s="150" t="str">
        <f t="shared" si="128"/>
        <v>0.026931482772944+0.230516074887499i</v>
      </c>
      <c r="AN223" s="150" t="str">
        <f t="shared" si="129"/>
        <v>0.2326080077955i</v>
      </c>
      <c r="AO223" s="150" t="str">
        <f t="shared" si="130"/>
        <v>0.99100661697838-0.11578054869298i</v>
      </c>
      <c r="AP223" s="150" t="str">
        <f t="shared" si="131"/>
        <v>0.162178086204509-0.0384193458145832i</v>
      </c>
      <c r="AQ223" s="150" t="str">
        <f t="shared" si="132"/>
        <v>0.837821913795491+0.0384193458145832i</v>
      </c>
      <c r="AR223" s="150" t="str">
        <f t="shared" si="133"/>
        <v>0.992158399550119-0.0454966336252502i</v>
      </c>
    </row>
    <row r="224" spans="7:44" x14ac:dyDescent="0.25">
      <c r="G224" s="594">
        <v>13032.5</v>
      </c>
      <c r="H224" s="582">
        <f t="shared" si="125"/>
        <v>13.032500000000001</v>
      </c>
      <c r="I224" s="583">
        <f t="shared" si="105"/>
        <v>12.754278892676165</v>
      </c>
      <c r="J224" s="584">
        <f t="shared" si="106"/>
        <v>1.4923107133010842</v>
      </c>
      <c r="K224" s="584">
        <f t="shared" si="107"/>
        <v>1.0000247957201096</v>
      </c>
      <c r="L224" s="585">
        <f t="shared" si="108"/>
        <v>7.0420462600043364E-3</v>
      </c>
      <c r="M224" s="584">
        <f t="shared" si="109"/>
        <v>1.0061291542621114</v>
      </c>
      <c r="N224" s="585">
        <f t="shared" si="110"/>
        <v>-0.11043560733734505</v>
      </c>
      <c r="O224" s="583">
        <f t="shared" si="111"/>
        <v>23583.056398809666</v>
      </c>
      <c r="P224" s="586">
        <f t="shared" si="112"/>
        <v>1.5707539234700947</v>
      </c>
      <c r="Q224" s="595">
        <f t="shared" si="134"/>
        <v>9.877026410486307</v>
      </c>
      <c r="R224" s="596">
        <f t="shared" si="135"/>
        <v>1.469377507616169</v>
      </c>
      <c r="S224" s="583">
        <f t="shared" si="113"/>
        <v>1.0021433840793097</v>
      </c>
      <c r="T224" s="586">
        <f t="shared" si="114"/>
        <v>6.5415023591788371E-2</v>
      </c>
      <c r="U224" s="587">
        <f t="shared" si="126"/>
        <v>0.99086404689434071</v>
      </c>
      <c r="V224" s="588">
        <f t="shared" si="127"/>
        <v>-0.16306160438672537</v>
      </c>
      <c r="W224" s="589">
        <f t="shared" si="115"/>
        <v>7.1465355752190298</v>
      </c>
      <c r="X224" s="590">
        <f t="shared" si="116"/>
        <v>-110.32630767007795</v>
      </c>
      <c r="Y224" s="593">
        <f t="shared" si="117"/>
        <v>69.673692329922048</v>
      </c>
      <c r="AA224" s="150">
        <f t="shared" si="118"/>
        <v>1000000000</v>
      </c>
      <c r="AB224" s="150">
        <f t="shared" si="119"/>
        <v>169846056.25</v>
      </c>
      <c r="AD224" s="592">
        <f t="shared" si="120"/>
        <v>27.630374902998057</v>
      </c>
      <c r="AE224" s="593">
        <f t="shared" si="121"/>
        <v>-9.5564455500710785</v>
      </c>
      <c r="AG224" s="592">
        <f t="shared" si="122"/>
        <v>5.0635408083042579</v>
      </c>
      <c r="AH224" s="593">
        <f t="shared" si="123"/>
        <v>-82.084378634673044</v>
      </c>
      <c r="AJ224" s="150">
        <f t="shared" si="124"/>
        <v>0</v>
      </c>
      <c r="AK224" s="150">
        <f t="shared" si="136"/>
        <v>0</v>
      </c>
      <c r="AM224" s="150" t="str">
        <f t="shared" si="128"/>
        <v>0.027243771220354+0.231830367662221i</v>
      </c>
      <c r="AN224" s="150" t="str">
        <f t="shared" si="129"/>
        <v>0.233958892635i</v>
      </c>
      <c r="AO224" s="150" t="str">
        <f t="shared" si="130"/>
        <v>0.990902141188966-0.116446829242166i</v>
      </c>
      <c r="AP224" s="150" t="str">
        <f t="shared" si="131"/>
        <v>0.162126038129941-0.0386383946103702i</v>
      </c>
      <c r="AQ224" s="150" t="str">
        <f t="shared" si="132"/>
        <v>0.837873961870059+0.0386383946103702i</v>
      </c>
      <c r="AR224" s="150" t="str">
        <f t="shared" si="133"/>
        <v>0.992073223098879-0.0457492635180147i</v>
      </c>
    </row>
    <row r="225" spans="7:44" x14ac:dyDescent="0.25">
      <c r="G225" s="594">
        <v>13107.75</v>
      </c>
      <c r="H225" s="582">
        <f t="shared" si="125"/>
        <v>13.107749999999999</v>
      </c>
      <c r="I225" s="583">
        <f t="shared" si="105"/>
        <v>12.827471015288133</v>
      </c>
      <c r="J225" s="584">
        <f t="shared" si="106"/>
        <v>1.4927594573916976</v>
      </c>
      <c r="K225" s="584">
        <f t="shared" si="107"/>
        <v>1.0000250828854709</v>
      </c>
      <c r="L225" s="585">
        <f t="shared" si="108"/>
        <v>7.0827058656147699E-3</v>
      </c>
      <c r="M225" s="584">
        <f t="shared" si="109"/>
        <v>1.0061999197024476</v>
      </c>
      <c r="N225" s="585">
        <f t="shared" si="110"/>
        <v>-0.1110680490534338</v>
      </c>
      <c r="O225" s="583">
        <f t="shared" si="111"/>
        <v>23719.225590509548</v>
      </c>
      <c r="P225" s="586">
        <f t="shared" si="112"/>
        <v>1.5707541669024296</v>
      </c>
      <c r="Q225" s="595">
        <f t="shared" si="134"/>
        <v>9.9334736917995663</v>
      </c>
      <c r="R225" s="596">
        <f t="shared" si="135"/>
        <v>1.4699557904244895</v>
      </c>
      <c r="S225" s="583">
        <f t="shared" si="113"/>
        <v>1.0021681805983504</v>
      </c>
      <c r="T225" s="586">
        <f t="shared" si="114"/>
        <v>6.5791645774634935E-2</v>
      </c>
      <c r="U225" s="587">
        <f t="shared" si="126"/>
        <v>0.99076413844694233</v>
      </c>
      <c r="V225" s="588">
        <f t="shared" si="127"/>
        <v>-0.16399494814550394</v>
      </c>
      <c r="W225" s="589">
        <f t="shared" si="115"/>
        <v>7.0958458515260361</v>
      </c>
      <c r="X225" s="590">
        <f t="shared" si="116"/>
        <v>-110.42786173311396</v>
      </c>
      <c r="Y225" s="593">
        <f t="shared" si="117"/>
        <v>69.572138266886043</v>
      </c>
      <c r="AA225" s="150">
        <f t="shared" si="118"/>
        <v>1000000000</v>
      </c>
      <c r="AB225" s="150">
        <f t="shared" si="119"/>
        <v>171813110.0625</v>
      </c>
      <c r="AD225" s="592">
        <f t="shared" si="120"/>
        <v>27.629650283434227</v>
      </c>
      <c r="AE225" s="593">
        <f t="shared" si="121"/>
        <v>-9.5449051949696653</v>
      </c>
      <c r="AG225" s="592">
        <f t="shared" si="122"/>
        <v>5.0153273824266877</v>
      </c>
      <c r="AH225" s="593">
        <f t="shared" si="123"/>
        <v>-82.090519736262522</v>
      </c>
      <c r="AJ225" s="150">
        <f t="shared" si="124"/>
        <v>0</v>
      </c>
      <c r="AK225" s="150">
        <f t="shared" si="136"/>
        <v>0</v>
      </c>
      <c r="AM225" s="150" t="str">
        <f t="shared" si="128"/>
        <v>0.027557834840461+0.233144237372123i</v>
      </c>
      <c r="AN225" s="150" t="str">
        <f t="shared" si="129"/>
        <v>0.2353097774745i</v>
      </c>
      <c r="AO225" s="150" t="str">
        <f t="shared" si="130"/>
        <v>0.99079706705935-0.117113003701886i</v>
      </c>
      <c r="AP225" s="150" t="str">
        <f t="shared" si="131"/>
        <v>0.162073694193256-0.0388573728953538i</v>
      </c>
      <c r="AQ225" s="150" t="str">
        <f t="shared" si="132"/>
        <v>0.837926305806744+0.0388573728953538i</v>
      </c>
      <c r="AR225" s="150" t="str">
        <f t="shared" si="133"/>
        <v>0.991987587888116-0.0460016965012448i</v>
      </c>
    </row>
    <row r="226" spans="7:44" x14ac:dyDescent="0.25">
      <c r="G226" s="594">
        <v>13183</v>
      </c>
      <c r="H226" s="582">
        <f t="shared" si="125"/>
        <v>13.183</v>
      </c>
      <c r="I226" s="583">
        <f t="shared" si="105"/>
        <v>12.900665691673453</v>
      </c>
      <c r="J226" s="584">
        <f t="shared" si="106"/>
        <v>1.4932031094803244</v>
      </c>
      <c r="K226" s="584">
        <f t="shared" si="107"/>
        <v>1.0000253717040759</v>
      </c>
      <c r="L226" s="585">
        <f t="shared" si="108"/>
        <v>7.1233654478065171E-3</v>
      </c>
      <c r="M226" s="584">
        <f t="shared" si="109"/>
        <v>1.0062710875484679</v>
      </c>
      <c r="N226" s="585">
        <f t="shared" si="110"/>
        <v>-0.11170040156439258</v>
      </c>
      <c r="O226" s="583">
        <f t="shared" si="111"/>
        <v>23855.39478221082</v>
      </c>
      <c r="P226" s="586">
        <f t="shared" si="112"/>
        <v>1.5707544075556878</v>
      </c>
      <c r="Q226" s="595">
        <f t="shared" si="134"/>
        <v>9.9899242574352698</v>
      </c>
      <c r="R226" s="596">
        <f t="shared" si="135"/>
        <v>1.4705275379589222</v>
      </c>
      <c r="S226" s="583">
        <f t="shared" si="113"/>
        <v>1.0021931192621576</v>
      </c>
      <c r="T226" s="586">
        <f t="shared" si="114"/>
        <v>6.6168249267097731E-2</v>
      </c>
      <c r="U226" s="587">
        <f t="shared" si="126"/>
        <v>0.9906636836084356</v>
      </c>
      <c r="V226" s="588">
        <f t="shared" si="127"/>
        <v>-0.16492815265716906</v>
      </c>
      <c r="W226" s="589">
        <f t="shared" si="115"/>
        <v>7.0454431853333608</v>
      </c>
      <c r="X226" s="590">
        <f t="shared" si="116"/>
        <v>-110.5294841714217</v>
      </c>
      <c r="Y226" s="593">
        <f t="shared" si="117"/>
        <v>69.4705158285783</v>
      </c>
      <c r="AA226" s="150">
        <f t="shared" si="118"/>
        <v>1000000000</v>
      </c>
      <c r="AB226" s="150">
        <f t="shared" si="119"/>
        <v>173791489</v>
      </c>
      <c r="AD226" s="592">
        <f t="shared" si="120"/>
        <v>27.628933082318689</v>
      </c>
      <c r="AE226" s="593">
        <f t="shared" si="121"/>
        <v>-9.533738053370918</v>
      </c>
      <c r="AG226" s="592">
        <f t="shared" si="122"/>
        <v>4.9674033534854773</v>
      </c>
      <c r="AH226" s="593">
        <f t="shared" si="123"/>
        <v>-82.096371956164788</v>
      </c>
      <c r="AJ226" s="150">
        <f t="shared" si="124"/>
        <v>0</v>
      </c>
      <c r="AK226" s="150">
        <f t="shared" si="136"/>
        <v>0</v>
      </c>
      <c r="AM226" s="150" t="str">
        <f t="shared" si="128"/>
        <v>0.027873673060136+0.234457681619537i</v>
      </c>
      <c r="AN226" s="150" t="str">
        <f t="shared" si="129"/>
        <v>0.236660662314i</v>
      </c>
      <c r="AO226" s="150" t="str">
        <f t="shared" si="130"/>
        <v>0.990691394704456-0.117779071467118i</v>
      </c>
      <c r="AP226" s="150" t="str">
        <f t="shared" si="131"/>
        <v>0.162021054489977-0.0390762802699228i</v>
      </c>
      <c r="AQ226" s="150" t="str">
        <f t="shared" si="132"/>
        <v>0.837978945510023+0.0390762802699228i</v>
      </c>
      <c r="AR226" s="150" t="str">
        <f t="shared" si="133"/>
        <v>0.991901494494786-0.0462539315655992i</v>
      </c>
    </row>
    <row r="227" spans="7:44" x14ac:dyDescent="0.25">
      <c r="G227" s="594">
        <v>13259.75</v>
      </c>
      <c r="H227" s="582">
        <f t="shared" si="125"/>
        <v>13.25975</v>
      </c>
      <c r="I227" s="583">
        <f t="shared" si="105"/>
        <v>12.97532198397756</v>
      </c>
      <c r="J227" s="584">
        <f t="shared" si="106"/>
        <v>1.4936504490430007</v>
      </c>
      <c r="K227" s="584">
        <f t="shared" si="107"/>
        <v>1.0000256679828663</v>
      </c>
      <c r="L227" s="585">
        <f t="shared" si="108"/>
        <v>7.1648354957457834E-3</v>
      </c>
      <c r="M227" s="584">
        <f t="shared" si="109"/>
        <v>1.0063440884518129</v>
      </c>
      <c r="N227" s="585">
        <f t="shared" si="110"/>
        <v>-0.11234526671395935</v>
      </c>
      <c r="O227" s="583">
        <f t="shared" si="111"/>
        <v>23994.278309960704</v>
      </c>
      <c r="P227" s="586">
        <f t="shared" si="112"/>
        <v>1.5707546501923595</v>
      </c>
      <c r="Q227" s="595">
        <f t="shared" si="134"/>
        <v>10.047503409290105</v>
      </c>
      <c r="R227" s="596">
        <f t="shared" si="135"/>
        <v>1.4711040643129263</v>
      </c>
      <c r="S227" s="583">
        <f t="shared" si="113"/>
        <v>1.0022187014543658</v>
      </c>
      <c r="T227" s="586">
        <f t="shared" si="114"/>
        <v>6.6552340443653199E-2</v>
      </c>
      <c r="U227" s="587">
        <f t="shared" si="126"/>
        <v>0.99056066401095755</v>
      </c>
      <c r="V227" s="588">
        <f t="shared" si="127"/>
        <v>-0.16587981504380211</v>
      </c>
      <c r="W227" s="589">
        <f t="shared" si="115"/>
        <v>6.9943280552065188</v>
      </c>
      <c r="X227" s="590">
        <f t="shared" si="116"/>
        <v>-110.63320125002788</v>
      </c>
      <c r="Y227" s="593">
        <f t="shared" si="117"/>
        <v>69.366798749972119</v>
      </c>
      <c r="AA227" s="150">
        <f t="shared" si="118"/>
        <v>1000000000</v>
      </c>
      <c r="AB227" s="150">
        <f t="shared" si="119"/>
        <v>175820970.0625</v>
      </c>
      <c r="AD227" s="592">
        <f t="shared" si="120"/>
        <v>27.628209025532875</v>
      </c>
      <c r="AE227" s="593">
        <f t="shared" si="121"/>
        <v>-9.5227262319179253</v>
      </c>
      <c r="AG227" s="592">
        <f t="shared" si="122"/>
        <v>4.9188188738421994</v>
      </c>
      <c r="AH227" s="593">
        <f t="shared" si="123"/>
        <v>-82.102048379548563</v>
      </c>
      <c r="AJ227" s="150">
        <f t="shared" si="124"/>
        <v>0</v>
      </c>
      <c r="AK227" s="150">
        <f t="shared" si="136"/>
        <v>0</v>
      </c>
      <c r="AM227" s="150" t="str">
        <f t="shared" si="128"/>
        <v>0.028197634473844+0.235796866725935i</v>
      </c>
      <c r="AN227" s="150" t="str">
        <f t="shared" si="129"/>
        <v>0.2380384750905i</v>
      </c>
      <c r="AO227" s="150" t="str">
        <f t="shared" si="130"/>
        <v>0.990582999812477-0.118458305797512i</v>
      </c>
      <c r="AP227" s="150" t="str">
        <f t="shared" si="131"/>
        <v>0.161967060921026-0.0392994777876558i</v>
      </c>
      <c r="AQ227" s="150" t="str">
        <f t="shared" si="132"/>
        <v>0.838032939078974+0.0392994777876558i</v>
      </c>
      <c r="AR227" s="150" t="str">
        <f t="shared" si="133"/>
        <v>0.991813213581815-0.0465109896509556i</v>
      </c>
    </row>
    <row r="228" spans="7:44" x14ac:dyDescent="0.25">
      <c r="G228" s="594">
        <v>13336.5</v>
      </c>
      <c r="H228" s="582">
        <f t="shared" si="125"/>
        <v>13.336499999999999</v>
      </c>
      <c r="I228" s="583">
        <f t="shared" si="105"/>
        <v>13.049980843099476</v>
      </c>
      <c r="J228" s="584">
        <f t="shared" si="106"/>
        <v>1.4940926702396256</v>
      </c>
      <c r="K228" s="584">
        <f t="shared" si="107"/>
        <v>1.0000259659814645</v>
      </c>
      <c r="L228" s="585">
        <f t="shared" si="108"/>
        <v>7.2063055190409774E-3</v>
      </c>
      <c r="M228" s="584">
        <f t="shared" si="109"/>
        <v>1.0064175077836031</v>
      </c>
      <c r="N228" s="585">
        <f t="shared" si="110"/>
        <v>-0.11299003804429186</v>
      </c>
      <c r="O228" s="583">
        <f t="shared" si="111"/>
        <v>24133.161837711981</v>
      </c>
      <c r="P228" s="586">
        <f t="shared" si="112"/>
        <v>1.5707548900363397</v>
      </c>
      <c r="Q228" s="595">
        <f t="shared" si="134"/>
        <v>10.105085862701468</v>
      </c>
      <c r="R228" s="596">
        <f t="shared" si="135"/>
        <v>1.4716740203410035</v>
      </c>
      <c r="S228" s="583">
        <f t="shared" si="113"/>
        <v>1.0022444314923618</v>
      </c>
      <c r="T228" s="586">
        <f t="shared" si="114"/>
        <v>6.6936411955768327E-2</v>
      </c>
      <c r="U228" s="587">
        <f t="shared" si="126"/>
        <v>0.9904570770379344</v>
      </c>
      <c r="V228" s="588">
        <f t="shared" si="127"/>
        <v>-0.16683133101729145</v>
      </c>
      <c r="W228" s="589">
        <f t="shared" si="115"/>
        <v>6.9435045961399577</v>
      </c>
      <c r="X228" s="590">
        <f t="shared" si="116"/>
        <v>-110.73698647021887</v>
      </c>
      <c r="Y228" s="593">
        <f t="shared" si="117"/>
        <v>69.263013529781134</v>
      </c>
      <c r="AA228" s="150">
        <f t="shared" si="118"/>
        <v>1000000000</v>
      </c>
      <c r="AB228" s="150">
        <f t="shared" si="119"/>
        <v>177862232.25</v>
      </c>
      <c r="AD228" s="592">
        <f t="shared" si="120"/>
        <v>27.627492284265283</v>
      </c>
      <c r="AE228" s="593">
        <f t="shared" si="121"/>
        <v>-9.5120895757121193</v>
      </c>
      <c r="AG228" s="592">
        <f t="shared" si="122"/>
        <v>4.8705288889230998</v>
      </c>
      <c r="AH228" s="593">
        <f t="shared" si="123"/>
        <v>-82.10743455698028</v>
      </c>
      <c r="AJ228" s="150">
        <f t="shared" si="124"/>
        <v>0</v>
      </c>
      <c r="AK228" s="150">
        <f t="shared" si="136"/>
        <v>0</v>
      </c>
      <c r="AM228" s="150" t="str">
        <f t="shared" si="128"/>
        <v>0.02852344072582+0.237135604203166i</v>
      </c>
      <c r="AN228" s="150" t="str">
        <f t="shared" si="129"/>
        <v>0.239416287867i</v>
      </c>
      <c r="AO228" s="150" t="str">
        <f t="shared" si="130"/>
        <v>0.990473982851572-0.1191374278665i</v>
      </c>
      <c r="AP228" s="150" t="str">
        <f t="shared" si="131"/>
        <v>0.16191275987903-0.0395226007005277i</v>
      </c>
      <c r="AQ228" s="150" t="str">
        <f t="shared" si="132"/>
        <v>0.83808724012097+0.0395226007005277i</v>
      </c>
      <c r="AR228" s="150" t="str">
        <f t="shared" si="133"/>
        <v>0.99172445725888-0.0467678397341222i</v>
      </c>
    </row>
    <row r="229" spans="7:44" x14ac:dyDescent="0.25">
      <c r="G229" s="594">
        <v>13413.25</v>
      </c>
      <c r="H229" s="582">
        <f t="shared" si="125"/>
        <v>13.41325</v>
      </c>
      <c r="I229" s="583">
        <f t="shared" si="105"/>
        <v>13.124642225235561</v>
      </c>
      <c r="J229" s="584">
        <f t="shared" si="106"/>
        <v>1.4945298602453907</v>
      </c>
      <c r="K229" s="584">
        <f t="shared" si="107"/>
        <v>1.0000262656998693</v>
      </c>
      <c r="L229" s="585">
        <f t="shared" si="108"/>
        <v>7.2477755175494839E-3</v>
      </c>
      <c r="M229" s="584">
        <f t="shared" si="109"/>
        <v>1.0064913454522701</v>
      </c>
      <c r="N229" s="585">
        <f t="shared" si="110"/>
        <v>-0.11363471503987857</v>
      </c>
      <c r="O229" s="583">
        <f t="shared" si="111"/>
        <v>24272.04536546463</v>
      </c>
      <c r="P229" s="586">
        <f t="shared" si="112"/>
        <v>1.5707551271355673</v>
      </c>
      <c r="Q229" s="595">
        <f t="shared" si="134"/>
        <v>10.162671561548764</v>
      </c>
      <c r="R229" s="596">
        <f t="shared" si="135"/>
        <v>1.4722375173598317</v>
      </c>
      <c r="S229" s="583">
        <f t="shared" si="113"/>
        <v>1.0022703093647589</v>
      </c>
      <c r="T229" s="586">
        <f t="shared" si="114"/>
        <v>6.7320463691652455E-2</v>
      </c>
      <c r="U229" s="587">
        <f t="shared" si="126"/>
        <v>0.99035292320603485</v>
      </c>
      <c r="V229" s="588">
        <f t="shared" si="127"/>
        <v>-0.16778269979179372</v>
      </c>
      <c r="W229" s="589">
        <f t="shared" si="115"/>
        <v>6.8929693926624385</v>
      </c>
      <c r="X229" s="590">
        <f t="shared" si="116"/>
        <v>-110.84083837057685</v>
      </c>
      <c r="Y229" s="593">
        <f t="shared" si="117"/>
        <v>69.159161629423153</v>
      </c>
      <c r="AA229" s="150">
        <f t="shared" si="118"/>
        <v>1000000000</v>
      </c>
      <c r="AB229" s="150">
        <f t="shared" si="119"/>
        <v>179915275.5625</v>
      </c>
      <c r="AD229" s="592">
        <f t="shared" si="120"/>
        <v>27.626782664232799</v>
      </c>
      <c r="AE229" s="593">
        <f t="shared" si="121"/>
        <v>-9.50182170311923</v>
      </c>
      <c r="AG229" s="592">
        <f t="shared" si="122"/>
        <v>4.8225301716388378</v>
      </c>
      <c r="AH229" s="593">
        <f t="shared" si="123"/>
        <v>-82.112535498727581</v>
      </c>
      <c r="AJ229" s="150">
        <f t="shared" si="124"/>
        <v>0</v>
      </c>
      <c r="AK229" s="150">
        <f t="shared" si="136"/>
        <v>0</v>
      </c>
      <c r="AM229" s="150" t="str">
        <f t="shared" si="128"/>
        <v>0.028851091197562+0.238473891509814i</v>
      </c>
      <c r="AN229" s="150" t="str">
        <f t="shared" si="129"/>
        <v>0.2407941006435i</v>
      </c>
      <c r="AO229" s="150" t="str">
        <f t="shared" si="130"/>
        <v>0.99036434394578-0.119816437032552i</v>
      </c>
      <c r="AP229" s="150" t="str">
        <f t="shared" si="131"/>
        <v>0.161858151467073-0.039745648584969i</v>
      </c>
      <c r="AQ229" s="150" t="str">
        <f t="shared" si="132"/>
        <v>0.838141848532927+0.039745648584969i</v>
      </c>
      <c r="AR229" s="150" t="str">
        <f t="shared" si="133"/>
        <v>0.991635226146962-0.0470244807509633i</v>
      </c>
    </row>
    <row r="230" spans="7:44" x14ac:dyDescent="0.25">
      <c r="G230" s="594">
        <v>13490</v>
      </c>
      <c r="H230" s="582">
        <f t="shared" si="125"/>
        <v>13.49</v>
      </c>
      <c r="I230" s="583">
        <f t="shared" si="105"/>
        <v>13.199306087571815</v>
      </c>
      <c r="J230" s="584">
        <f t="shared" si="106"/>
        <v>1.494962104270803</v>
      </c>
      <c r="K230" s="584">
        <f t="shared" si="107"/>
        <v>1.000026567138079</v>
      </c>
      <c r="L230" s="585">
        <f t="shared" si="108"/>
        <v>7.2892454911286896E-3</v>
      </c>
      <c r="M230" s="584">
        <f t="shared" si="109"/>
        <v>1.006565601365752</v>
      </c>
      <c r="N230" s="585">
        <f t="shared" si="110"/>
        <v>-0.11427929718567238</v>
      </c>
      <c r="O230" s="583">
        <f t="shared" si="111"/>
        <v>24410.928893218628</v>
      </c>
      <c r="P230" s="586">
        <f t="shared" si="112"/>
        <v>1.5707553615368905</v>
      </c>
      <c r="Q230" s="595">
        <f t="shared" si="134"/>
        <v>10.220260450973109</v>
      </c>
      <c r="R230" s="596">
        <f t="shared" si="135"/>
        <v>1.4727946641937306</v>
      </c>
      <c r="S230" s="583">
        <f t="shared" si="113"/>
        <v>1.0022963350601064</v>
      </c>
      <c r="T230" s="586">
        <f t="shared" si="114"/>
        <v>6.7704495539549797E-2</v>
      </c>
      <c r="U230" s="587">
        <f t="shared" si="126"/>
        <v>0.99024820303446759</v>
      </c>
      <c r="V230" s="588">
        <f t="shared" si="127"/>
        <v>-0.16873392058251532</v>
      </c>
      <c r="W230" s="589">
        <f t="shared" si="115"/>
        <v>6.8427190886345084</v>
      </c>
      <c r="X230" s="590">
        <f t="shared" si="116"/>
        <v>-110.94475551994397</v>
      </c>
      <c r="Y230" s="593">
        <f t="shared" si="117"/>
        <v>69.055244480056032</v>
      </c>
      <c r="AA230" s="150">
        <f t="shared" si="118"/>
        <v>1000000000</v>
      </c>
      <c r="AB230" s="150">
        <f t="shared" si="119"/>
        <v>181980100</v>
      </c>
      <c r="AD230" s="592">
        <f t="shared" si="120"/>
        <v>27.626079976616897</v>
      </c>
      <c r="AE230" s="593">
        <f t="shared" si="121"/>
        <v>-9.4919163752460882</v>
      </c>
      <c r="AG230" s="592">
        <f t="shared" si="122"/>
        <v>4.7748195487373355</v>
      </c>
      <c r="AH230" s="593">
        <f t="shared" si="123"/>
        <v>-82.117356102456384</v>
      </c>
      <c r="AJ230" s="150">
        <f t="shared" si="124"/>
        <v>0</v>
      </c>
      <c r="AK230" s="150">
        <f t="shared" si="136"/>
        <v>0</v>
      </c>
      <c r="AM230" s="150" t="str">
        <f t="shared" si="128"/>
        <v>0.029180585267071+0.239811726105319i</v>
      </c>
      <c r="AN230" s="150" t="str">
        <f t="shared" si="129"/>
        <v>0.24217191342i</v>
      </c>
      <c r="AO230" s="150" t="str">
        <f t="shared" si="130"/>
        <v>0.99025408321985-0.120495332654299i</v>
      </c>
      <c r="AP230" s="150" t="str">
        <f t="shared" si="131"/>
        <v>0.161803235788821-0.0399686210175532i</v>
      </c>
      <c r="AQ230" s="150" t="str">
        <f t="shared" si="132"/>
        <v>0.838196764211179+0.0399686210175532i</v>
      </c>
      <c r="AR230" s="150" t="str">
        <f t="shared" si="133"/>
        <v>0.991545520869986-0.0472809116396447i</v>
      </c>
    </row>
    <row r="231" spans="7:44" x14ac:dyDescent="0.25">
      <c r="G231" s="594">
        <v>13568.5</v>
      </c>
      <c r="H231" s="582">
        <f t="shared" si="125"/>
        <v>13.5685</v>
      </c>
      <c r="I231" s="583">
        <f t="shared" si="105"/>
        <v>13.275674905305925</v>
      </c>
      <c r="J231" s="584">
        <f t="shared" si="106"/>
        <v>1.4953991744102306</v>
      </c>
      <c r="K231" s="584">
        <f t="shared" si="107"/>
        <v>1.0000268772285437</v>
      </c>
      <c r="L231" s="585">
        <f t="shared" si="108"/>
        <v>7.3316610082009761E-3</v>
      </c>
      <c r="M231" s="584">
        <f t="shared" si="109"/>
        <v>1.0066419829726614</v>
      </c>
      <c r="N231" s="585">
        <f t="shared" si="110"/>
        <v>-0.11493847798938267</v>
      </c>
      <c r="O231" s="583">
        <f t="shared" si="111"/>
        <v>24552.97914636253</v>
      </c>
      <c r="P231" s="586">
        <f t="shared" si="112"/>
        <v>1.5707555985397095</v>
      </c>
      <c r="Q231" s="595">
        <f t="shared" si="134"/>
        <v>10.279165686745943</v>
      </c>
      <c r="R231" s="596">
        <f t="shared" si="135"/>
        <v>1.4733580565673461</v>
      </c>
      <c r="S231" s="583">
        <f t="shared" si="113"/>
        <v>1.0023231070804259</v>
      </c>
      <c r="T231" s="586">
        <f t="shared" si="114"/>
        <v>6.8097263124132695E-2</v>
      </c>
      <c r="U231" s="587">
        <f t="shared" si="126"/>
        <v>0.9901405097935746</v>
      </c>
      <c r="V231" s="588">
        <f t="shared" si="127"/>
        <v>-0.16970667654611507</v>
      </c>
      <c r="W231" s="589">
        <f t="shared" si="115"/>
        <v>6.7916142923975684</v>
      </c>
      <c r="X231" s="590">
        <f t="shared" si="116"/>
        <v>-111.05110815246023</v>
      </c>
      <c r="Y231" s="593">
        <f t="shared" si="117"/>
        <v>68.94889184753977</v>
      </c>
      <c r="AA231" s="150">
        <f t="shared" si="118"/>
        <v>1000000000</v>
      </c>
      <c r="AB231" s="150">
        <f t="shared" si="119"/>
        <v>184104192.25</v>
      </c>
      <c r="AD231" s="592">
        <f t="shared" si="120"/>
        <v>27.625368246854258</v>
      </c>
      <c r="AE231" s="593">
        <f t="shared" si="121"/>
        <v>-9.4821538742043163</v>
      </c>
      <c r="AG231" s="592">
        <f t="shared" si="122"/>
        <v>4.7263158317630118</v>
      </c>
      <c r="AH231" s="593">
        <f t="shared" si="123"/>
        <v>-82.122001613466182</v>
      </c>
      <c r="AJ231" s="150">
        <f t="shared" si="124"/>
        <v>0</v>
      </c>
      <c r="AK231" s="150">
        <f t="shared" si="136"/>
        <v>0</v>
      </c>
      <c r="AM231" s="150" t="str">
        <f t="shared" si="128"/>
        <v>0.029519498710332+0.241179594113088i</v>
      </c>
      <c r="AN231" s="150" t="str">
        <f t="shared" si="129"/>
        <v>0.243581142123i</v>
      </c>
      <c r="AO231" s="150" t="str">
        <f t="shared" si="130"/>
        <v>0.99014066528722-0.121189589855136i</v>
      </c>
      <c r="AP231" s="150" t="str">
        <f t="shared" si="131"/>
        <v>0.161746750214945-0.040196599018848i</v>
      </c>
      <c r="AQ231" s="150" t="str">
        <f t="shared" si="132"/>
        <v>0.838253249785055+0.040196599018848i</v>
      </c>
      <c r="AR231" s="150" t="str">
        <f t="shared" si="133"/>
        <v>0.991453280343551-0.0475429710127701i</v>
      </c>
    </row>
    <row r="232" spans="7:44" x14ac:dyDescent="0.25">
      <c r="G232" s="594">
        <v>13647</v>
      </c>
      <c r="H232" s="582">
        <f t="shared" si="125"/>
        <v>13.647</v>
      </c>
      <c r="I232" s="583">
        <f t="shared" si="105"/>
        <v>13.352046230085374</v>
      </c>
      <c r="J232" s="584">
        <f t="shared" si="106"/>
        <v>1.4958312447048097</v>
      </c>
      <c r="K232" s="584">
        <f t="shared" si="107"/>
        <v>1.0000271891181316</v>
      </c>
      <c r="L232" s="585">
        <f t="shared" si="108"/>
        <v>7.3740764988923747E-3</v>
      </c>
      <c r="M232" s="584">
        <f t="shared" si="109"/>
        <v>1.0067188019184887</v>
      </c>
      <c r="N232" s="585">
        <f t="shared" si="110"/>
        <v>-0.1155975584801973</v>
      </c>
      <c r="O232" s="583">
        <f t="shared" si="111"/>
        <v>24695.029399507788</v>
      </c>
      <c r="P232" s="586">
        <f t="shared" si="112"/>
        <v>1.5707558328159628</v>
      </c>
      <c r="Q232" s="595">
        <f t="shared" si="134"/>
        <v>10.338074148056842</v>
      </c>
      <c r="R232" s="596">
        <f t="shared" si="135"/>
        <v>1.4739150284660842</v>
      </c>
      <c r="S232" s="583">
        <f t="shared" si="113"/>
        <v>1.0023500337172244</v>
      </c>
      <c r="T232" s="586">
        <f t="shared" si="114"/>
        <v>6.8490009667071236E-2</v>
      </c>
      <c r="U232" s="587">
        <f t="shared" si="126"/>
        <v>0.99003222519881018</v>
      </c>
      <c r="V232" s="588">
        <f t="shared" si="127"/>
        <v>-0.17067927604314501</v>
      </c>
      <c r="W232" s="589">
        <f t="shared" si="115"/>
        <v>6.7408006181202289</v>
      </c>
      <c r="X232" s="590">
        <f t="shared" si="116"/>
        <v>-111.15752610839526</v>
      </c>
      <c r="Y232" s="593">
        <f t="shared" si="117"/>
        <v>68.84247389160474</v>
      </c>
      <c r="AA232" s="150">
        <f t="shared" si="118"/>
        <v>1000000000</v>
      </c>
      <c r="AB232" s="150">
        <f t="shared" si="119"/>
        <v>186240609</v>
      </c>
      <c r="AD232" s="592">
        <f t="shared" si="120"/>
        <v>27.624663386410564</v>
      </c>
      <c r="AE232" s="593">
        <f t="shared" si="121"/>
        <v>-9.4727578774577808</v>
      </c>
      <c r="AG232" s="592">
        <f t="shared" si="122"/>
        <v>4.6781069492312009</v>
      </c>
      <c r="AH232" s="593">
        <f t="shared" si="123"/>
        <v>-82.126363873347643</v>
      </c>
      <c r="AJ232" s="150">
        <f t="shared" si="124"/>
        <v>0</v>
      </c>
      <c r="AK232" s="150">
        <f t="shared" si="136"/>
        <v>0</v>
      </c>
      <c r="AM232" s="150" t="str">
        <f t="shared" si="128"/>
        <v>0.029860339455285+0.242546983156221i</v>
      </c>
      <c r="AN232" s="150" t="str">
        <f t="shared" si="129"/>
        <v>0.244990370826i</v>
      </c>
      <c r="AO232" s="150" t="str">
        <f t="shared" si="130"/>
        <v>0.990026597120773-0.121883726917956i</v>
      </c>
      <c r="AP232" s="150" t="str">
        <f t="shared" si="131"/>
        <v>0.161689943424119-0.0404244971927035i</v>
      </c>
      <c r="AQ232" s="150" t="str">
        <f t="shared" si="132"/>
        <v>0.838310056575881+0.0404244971927035i</v>
      </c>
      <c r="AR232" s="150" t="str">
        <f t="shared" si="133"/>
        <v>0.991360545112081-0.0478048083265632i</v>
      </c>
    </row>
    <row r="233" spans="7:44" x14ac:dyDescent="0.25">
      <c r="G233" s="594">
        <v>13725.5</v>
      </c>
      <c r="H233" s="582">
        <f t="shared" si="125"/>
        <v>13.7255</v>
      </c>
      <c r="I233" s="583">
        <f t="shared" si="105"/>
        <v>13.428420019135284</v>
      </c>
      <c r="J233" s="584">
        <f t="shared" si="106"/>
        <v>1.4962584003012878</v>
      </c>
      <c r="K233" s="584">
        <f t="shared" si="107"/>
        <v>1.0000275028068413</v>
      </c>
      <c r="L233" s="585">
        <f t="shared" si="108"/>
        <v>7.4164919630502939E-3</v>
      </c>
      <c r="M233" s="584">
        <f t="shared" si="109"/>
        <v>1.0067960581031259</v>
      </c>
      <c r="N233" s="585">
        <f t="shared" si="110"/>
        <v>-0.11625653810855176</v>
      </c>
      <c r="O233" s="583">
        <f t="shared" si="111"/>
        <v>24837.079652654393</v>
      </c>
      <c r="P233" s="586">
        <f t="shared" si="112"/>
        <v>1.5707560644124323</v>
      </c>
      <c r="Q233" s="595">
        <f t="shared" si="134"/>
        <v>10.396985780078907</v>
      </c>
      <c r="R233" s="596">
        <f t="shared" si="135"/>
        <v>1.4744656886809218</v>
      </c>
      <c r="S233" s="583">
        <f t="shared" si="113"/>
        <v>1.0023771149580416</v>
      </c>
      <c r="T233" s="586">
        <f t="shared" si="114"/>
        <v>6.888273504890384E-2</v>
      </c>
      <c r="U233" s="587">
        <f t="shared" si="126"/>
        <v>0.98992334981392693</v>
      </c>
      <c r="V233" s="588">
        <f t="shared" si="127"/>
        <v>-0.17165171823725603</v>
      </c>
      <c r="W233" s="589">
        <f t="shared" si="115"/>
        <v>6.6902746586380681</v>
      </c>
      <c r="X233" s="590">
        <f t="shared" si="116"/>
        <v>-111.26400794947199</v>
      </c>
      <c r="Y233" s="593">
        <f t="shared" si="117"/>
        <v>68.735992050528012</v>
      </c>
      <c r="AA233" s="150">
        <f t="shared" si="118"/>
        <v>1000000000</v>
      </c>
      <c r="AB233" s="150">
        <f t="shared" si="119"/>
        <v>188389350.25</v>
      </c>
      <c r="AD233" s="592">
        <f t="shared" si="120"/>
        <v>27.623965209828029</v>
      </c>
      <c r="AE233" s="593">
        <f t="shared" si="121"/>
        <v>-9.463722147578423</v>
      </c>
      <c r="AG233" s="592">
        <f t="shared" si="122"/>
        <v>4.630189672991996</v>
      </c>
      <c r="AH233" s="593">
        <f t="shared" si="123"/>
        <v>-82.130447777090367</v>
      </c>
      <c r="AJ233" s="150">
        <f t="shared" si="124"/>
        <v>0</v>
      </c>
      <c r="AK233" s="150">
        <f t="shared" si="136"/>
        <v>0</v>
      </c>
      <c r="AM233" s="150" t="str">
        <f t="shared" si="128"/>
        <v>0.030203106825045+0.243913890519186i</v>
      </c>
      <c r="AN233" s="150" t="str">
        <f t="shared" si="129"/>
        <v>0.246399599529i</v>
      </c>
      <c r="AO233" s="150" t="str">
        <f t="shared" si="130"/>
        <v>0.989911878856274-0.122577743156966i</v>
      </c>
      <c r="AP233" s="150" t="str">
        <f t="shared" si="131"/>
        <v>0.161632815529159-0.040652315086531i</v>
      </c>
      <c r="AQ233" s="150" t="str">
        <f t="shared" si="132"/>
        <v>0.838367184470841+0.040652315086531i</v>
      </c>
      <c r="AR233" s="150" t="str">
        <f t="shared" si="133"/>
        <v>0.991267315852683-0.0480664224524221i</v>
      </c>
    </row>
    <row r="234" spans="7:44" x14ac:dyDescent="0.25">
      <c r="G234" s="594">
        <v>13804</v>
      </c>
      <c r="H234" s="582">
        <f t="shared" si="125"/>
        <v>13.804</v>
      </c>
      <c r="I234" s="583">
        <f t="shared" si="105"/>
        <v>13.504796230647019</v>
      </c>
      <c r="J234" s="584">
        <f t="shared" si="106"/>
        <v>1.4966807244274949</v>
      </c>
      <c r="K234" s="584">
        <f t="shared" si="107"/>
        <v>1.0000278182946707</v>
      </c>
      <c r="L234" s="585">
        <f t="shared" si="108"/>
        <v>7.4589074005221388E-3</v>
      </c>
      <c r="M234" s="584">
        <f t="shared" si="109"/>
        <v>1.0068737514259272</v>
      </c>
      <c r="N234" s="585">
        <f t="shared" si="110"/>
        <v>-0.11691541632540012</v>
      </c>
      <c r="O234" s="583">
        <f t="shared" si="111"/>
        <v>24979.129905802311</v>
      </c>
      <c r="P234" s="586">
        <f t="shared" si="112"/>
        <v>1.570756293374836</v>
      </c>
      <c r="Q234" s="595">
        <f t="shared" si="134"/>
        <v>10.455900529217967</v>
      </c>
      <c r="R234" s="596">
        <f t="shared" si="135"/>
        <v>1.4750101435663729</v>
      </c>
      <c r="S234" s="583">
        <f t="shared" si="113"/>
        <v>1.0024043507903473</v>
      </c>
      <c r="T234" s="586">
        <f t="shared" si="114"/>
        <v>6.927543915020791E-2</v>
      </c>
      <c r="U234" s="587">
        <f t="shared" si="126"/>
        <v>0.98981388420542415</v>
      </c>
      <c r="V234" s="588">
        <f t="shared" si="127"/>
        <v>-0.17262400229325828</v>
      </c>
      <c r="W234" s="589">
        <f t="shared" si="115"/>
        <v>6.6400330659160449</v>
      </c>
      <c r="X234" s="590">
        <f t="shared" si="116"/>
        <v>-111.37055226710388</v>
      </c>
      <c r="Y234" s="593">
        <f t="shared" si="117"/>
        <v>68.629447732896125</v>
      </c>
      <c r="AA234" s="150">
        <f t="shared" si="118"/>
        <v>1000000000</v>
      </c>
      <c r="AB234" s="150">
        <f t="shared" si="119"/>
        <v>190550416</v>
      </c>
      <c r="AD234" s="592">
        <f t="shared" si="120"/>
        <v>27.623273536865959</v>
      </c>
      <c r="AE234" s="593">
        <f t="shared" si="121"/>
        <v>-9.4550405866784732</v>
      </c>
      <c r="AG234" s="592">
        <f t="shared" si="122"/>
        <v>4.5825608287752981</v>
      </c>
      <c r="AH234" s="593">
        <f t="shared" si="123"/>
        <v>-82.134258109701335</v>
      </c>
      <c r="AJ234" s="150">
        <f t="shared" si="124"/>
        <v>0</v>
      </c>
      <c r="AK234" s="150">
        <f t="shared" si="136"/>
        <v>0</v>
      </c>
      <c r="AM234" s="150" t="str">
        <f t="shared" si="128"/>
        <v>0.030547800138904+0.245280313487407i</v>
      </c>
      <c r="AN234" s="150" t="str">
        <f t="shared" si="129"/>
        <v>0.247808828232i</v>
      </c>
      <c r="AO234" s="150" t="str">
        <f t="shared" si="130"/>
        <v>0.98979651063026-0.123271637886544i</v>
      </c>
      <c r="AP234" s="150" t="str">
        <f t="shared" si="131"/>
        <v>0.161575366643516-0.0408800522479012i</v>
      </c>
      <c r="AQ234" s="150" t="str">
        <f t="shared" si="132"/>
        <v>0.838424633356484+0.0408800522479012i</v>
      </c>
      <c r="AR234" s="150" t="str">
        <f t="shared" si="133"/>
        <v>0.991173593245645-0.0483278122643062i</v>
      </c>
    </row>
    <row r="235" spans="7:44" x14ac:dyDescent="0.25">
      <c r="G235" s="594">
        <v>13884.25</v>
      </c>
      <c r="H235" s="582">
        <f t="shared" si="125"/>
        <v>13.88425</v>
      </c>
      <c r="I235" s="583">
        <f t="shared" si="105"/>
        <v>13.582877558070305</v>
      </c>
      <c r="J235" s="584">
        <f t="shared" si="106"/>
        <v>1.4971075539079153</v>
      </c>
      <c r="K235" s="584">
        <f t="shared" si="107"/>
        <v>1.0000281426753954</v>
      </c>
      <c r="L235" s="585">
        <f t="shared" si="108"/>
        <v>7.5022683773274057E-3</v>
      </c>
      <c r="M235" s="584">
        <f t="shared" si="109"/>
        <v>1.0069536285245702</v>
      </c>
      <c r="N235" s="585">
        <f t="shared" si="110"/>
        <v>-0.11758887751107133</v>
      </c>
      <c r="O235" s="583">
        <f t="shared" si="111"/>
        <v>25124.346884340219</v>
      </c>
      <c r="P235" s="586">
        <f t="shared" si="112"/>
        <v>1.5707565247652213</v>
      </c>
      <c r="Q235" s="595">
        <f t="shared" si="134"/>
        <v>10.516131832054107</v>
      </c>
      <c r="R235" s="596">
        <f t="shared" si="135"/>
        <v>1.4755604298807687</v>
      </c>
      <c r="S235" s="583">
        <f t="shared" si="113"/>
        <v>1.00243235357713</v>
      </c>
      <c r="T235" s="586">
        <f t="shared" si="114"/>
        <v>6.9676875679792569E-2</v>
      </c>
      <c r="U235" s="587">
        <f t="shared" si="126"/>
        <v>0.98970136876655113</v>
      </c>
      <c r="V235" s="588">
        <f t="shared" si="127"/>
        <v>-0.17361779713751652</v>
      </c>
      <c r="W235" s="589">
        <f t="shared" si="115"/>
        <v>6.5889619581335301</v>
      </c>
      <c r="X235" s="590">
        <f t="shared" si="116"/>
        <v>-111.47953492118583</v>
      </c>
      <c r="Y235" s="593">
        <f t="shared" si="117"/>
        <v>68.520465078814169</v>
      </c>
      <c r="AA235" s="150">
        <f t="shared" si="118"/>
        <v>1000000000</v>
      </c>
      <c r="AB235" s="150">
        <f t="shared" si="119"/>
        <v>192772398.0625</v>
      </c>
      <c r="AD235" s="592">
        <f t="shared" si="120"/>
        <v>27.622572984739698</v>
      </c>
      <c r="AE235" s="593">
        <f t="shared" si="121"/>
        <v>-9.4465253799101276</v>
      </c>
      <c r="AG235" s="592">
        <f t="shared" si="122"/>
        <v>4.5341650933367008</v>
      </c>
      <c r="AH235" s="593">
        <f t="shared" si="123"/>
        <v>-82.13787546986579</v>
      </c>
      <c r="AJ235" s="150">
        <f t="shared" si="124"/>
        <v>0</v>
      </c>
      <c r="AK235" s="150">
        <f t="shared" si="136"/>
        <v>0</v>
      </c>
      <c r="AM235" s="150" t="str">
        <f t="shared" si="128"/>
        <v>0.030902167810998+0.246676694575263i</v>
      </c>
      <c r="AN235" s="150" t="str">
        <f t="shared" si="129"/>
        <v>0.2492494728615i</v>
      </c>
      <c r="AO235" s="150" t="str">
        <f t="shared" si="130"/>
        <v>0.989677898786704-0.123980875290233i</v>
      </c>
      <c r="AP235" s="150" t="str">
        <f t="shared" si="131"/>
        <v>0.161516305364834-0.0411127824292105i</v>
      </c>
      <c r="AQ235" s="150" t="str">
        <f t="shared" si="132"/>
        <v>0.838483694635166+0.0411127824292105i</v>
      </c>
      <c r="AR235" s="150" t="str">
        <f t="shared" si="133"/>
        <v>0.991077272025354-0.0485947961970124i</v>
      </c>
    </row>
    <row r="236" spans="7:44" x14ac:dyDescent="0.25">
      <c r="G236" s="594">
        <v>13964.5</v>
      </c>
      <c r="H236" s="582">
        <f t="shared" si="125"/>
        <v>13.964499999999999</v>
      </c>
      <c r="I236" s="583">
        <f t="shared" si="105"/>
        <v>13.660961331780591</v>
      </c>
      <c r="J236" s="584">
        <f t="shared" si="106"/>
        <v>1.4975295040924108</v>
      </c>
      <c r="K236" s="584">
        <f t="shared" si="107"/>
        <v>1.0000284689363461</v>
      </c>
      <c r="L236" s="585">
        <f t="shared" si="108"/>
        <v>7.5456293259210175E-3</v>
      </c>
      <c r="M236" s="584">
        <f t="shared" si="109"/>
        <v>1.0070339622544282</v>
      </c>
      <c r="N236" s="585">
        <f t="shared" si="110"/>
        <v>-0.11826223155458561</v>
      </c>
      <c r="O236" s="583">
        <f t="shared" si="111"/>
        <v>25269.563862879451</v>
      </c>
      <c r="P236" s="586">
        <f t="shared" si="112"/>
        <v>1.5707567534961373</v>
      </c>
      <c r="Q236" s="595">
        <f t="shared" si="134"/>
        <v>10.576366283062301</v>
      </c>
      <c r="R236" s="596">
        <f t="shared" si="135"/>
        <v>1.4761044483844155</v>
      </c>
      <c r="S236" s="583">
        <f t="shared" si="113"/>
        <v>1.0024605178981365</v>
      </c>
      <c r="T236" s="586">
        <f t="shared" si="114"/>
        <v>7.0078289717189615E-2</v>
      </c>
      <c r="U236" s="587">
        <f t="shared" si="126"/>
        <v>0.98958823770106497</v>
      </c>
      <c r="V236" s="588">
        <f t="shared" si="127"/>
        <v>-0.17461142495286616</v>
      </c>
      <c r="W236" s="589">
        <f t="shared" si="115"/>
        <v>6.5381811445246711</v>
      </c>
      <c r="X236" s="590">
        <f t="shared" si="116"/>
        <v>-111.58857998299477</v>
      </c>
      <c r="Y236" s="593">
        <f t="shared" si="117"/>
        <v>68.411420017005227</v>
      </c>
      <c r="AA236" s="150">
        <f t="shared" si="118"/>
        <v>1000000000</v>
      </c>
      <c r="AB236" s="150">
        <f t="shared" si="119"/>
        <v>195007260.25</v>
      </c>
      <c r="AD236" s="592">
        <f t="shared" si="120"/>
        <v>27.6218788644446</v>
      </c>
      <c r="AE236" s="593">
        <f t="shared" si="121"/>
        <v>-9.4383678511611198</v>
      </c>
      <c r="AG236" s="592">
        <f t="shared" si="122"/>
        <v>4.4860642518099878</v>
      </c>
      <c r="AH236" s="593">
        <f t="shared" si="123"/>
        <v>-82.141216699840967</v>
      </c>
      <c r="AJ236" s="150">
        <f t="shared" si="124"/>
        <v>0</v>
      </c>
      <c r="AK236" s="150">
        <f t="shared" si="136"/>
        <v>0</v>
      </c>
      <c r="AM236" s="150" t="str">
        <f t="shared" si="128"/>
        <v>0.031258546803575+0.248072563696348i</v>
      </c>
      <c r="AN236" s="150" t="str">
        <f t="shared" si="129"/>
        <v>0.250690117491i</v>
      </c>
      <c r="AO236" s="150" t="str">
        <f t="shared" si="130"/>
        <v>0.989558607970472-0.124689984257944i</v>
      </c>
      <c r="AP236" s="150" t="str">
        <f t="shared" si="131"/>
        <v>0.161456908866071-0.0413454272827247i</v>
      </c>
      <c r="AQ236" s="150" t="str">
        <f t="shared" si="132"/>
        <v>0.838543091133929+0.0413454272827247i</v>
      </c>
      <c r="AR236" s="150" t="str">
        <f t="shared" si="133"/>
        <v>0.990980436663748-0.0488615433313967i</v>
      </c>
    </row>
    <row r="237" spans="7:44" x14ac:dyDescent="0.25">
      <c r="G237" s="594">
        <v>14044.75</v>
      </c>
      <c r="H237" s="582">
        <f t="shared" si="125"/>
        <v>14.044750000000001</v>
      </c>
      <c r="I237" s="583">
        <f t="shared" si="105"/>
        <v>13.739047510068582</v>
      </c>
      <c r="J237" s="584">
        <f t="shared" si="106"/>
        <v>1.4979466580241929</v>
      </c>
      <c r="K237" s="584">
        <f t="shared" si="107"/>
        <v>1.0000287970775208</v>
      </c>
      <c r="L237" s="585">
        <f t="shared" si="108"/>
        <v>7.588990246139949E-3</v>
      </c>
      <c r="M237" s="584">
        <f t="shared" si="109"/>
        <v>1.0071147525062301</v>
      </c>
      <c r="N237" s="585">
        <f t="shared" si="110"/>
        <v>-0.11893547787105023</v>
      </c>
      <c r="O237" s="583">
        <f t="shared" si="111"/>
        <v>25414.78084141999</v>
      </c>
      <c r="P237" s="586">
        <f t="shared" si="112"/>
        <v>1.570756979613172</v>
      </c>
      <c r="Q237" s="595">
        <f t="shared" si="134"/>
        <v>10.636603828758821</v>
      </c>
      <c r="R237" s="596">
        <f t="shared" si="135"/>
        <v>1.476642305240718</v>
      </c>
      <c r="S237" s="583">
        <f t="shared" si="113"/>
        <v>1.0024888437397521</v>
      </c>
      <c r="T237" s="586">
        <f t="shared" si="114"/>
        <v>7.0479681134937952E-2</v>
      </c>
      <c r="U237" s="587">
        <f t="shared" si="126"/>
        <v>0.98947449162305756</v>
      </c>
      <c r="V237" s="588">
        <f t="shared" si="127"/>
        <v>-0.17560488485074841</v>
      </c>
      <c r="W237" s="589">
        <f t="shared" si="115"/>
        <v>6.4876872310000309</v>
      </c>
      <c r="X237" s="590">
        <f t="shared" si="116"/>
        <v>-111.697686038737</v>
      </c>
      <c r="Y237" s="593">
        <f t="shared" si="117"/>
        <v>68.302313961262996</v>
      </c>
      <c r="AA237" s="150">
        <f t="shared" si="118"/>
        <v>1000000000</v>
      </c>
      <c r="AB237" s="150">
        <f t="shared" si="119"/>
        <v>197255002.5625</v>
      </c>
      <c r="AD237" s="592">
        <f t="shared" si="120"/>
        <v>27.621190999210476</v>
      </c>
      <c r="AE237" s="593">
        <f t="shared" si="121"/>
        <v>-9.4305619130254001</v>
      </c>
      <c r="AG237" s="592">
        <f t="shared" si="122"/>
        <v>4.4382550798524587</v>
      </c>
      <c r="AH237" s="593">
        <f t="shared" si="123"/>
        <v>-82.144286575060534</v>
      </c>
      <c r="AJ237" s="150">
        <f t="shared" si="124"/>
        <v>0</v>
      </c>
      <c r="AK237" s="150">
        <f t="shared" si="136"/>
        <v>0</v>
      </c>
      <c r="AM237" s="150" t="str">
        <f t="shared" si="128"/>
        <v>0.031616936376984+0.249467917953595i</v>
      </c>
      <c r="AN237" s="150" t="str">
        <f t="shared" si="129"/>
        <v>0.2521307621205i</v>
      </c>
      <c r="AO237" s="150" t="str">
        <f t="shared" si="130"/>
        <v>0.98943863832993-0.12539896405768i</v>
      </c>
      <c r="AP237" s="150" t="str">
        <f t="shared" si="131"/>
        <v>0.161397177270503-0.0415779863255992i</v>
      </c>
      <c r="AQ237" s="150" t="str">
        <f t="shared" si="132"/>
        <v>0.838602822729497+0.0415779863255992i</v>
      </c>
      <c r="AR237" s="150" t="str">
        <f t="shared" si="133"/>
        <v>0.99088308789788-0.0491280524727912i</v>
      </c>
    </row>
    <row r="238" spans="7:44" x14ac:dyDescent="0.25">
      <c r="G238" s="594">
        <v>14125</v>
      </c>
      <c r="H238" s="582">
        <f t="shared" si="125"/>
        <v>14.125</v>
      </c>
      <c r="I238" s="583">
        <f t="shared" si="105"/>
        <v>13.81713605216658</v>
      </c>
      <c r="J238" s="584">
        <f t="shared" si="106"/>
        <v>1.4983590968759377</v>
      </c>
      <c r="K238" s="584">
        <f t="shared" si="107"/>
        <v>1.0000291270989179</v>
      </c>
      <c r="L238" s="585">
        <f t="shared" si="108"/>
        <v>7.6323511378211771E-3</v>
      </c>
      <c r="M238" s="584">
        <f t="shared" si="109"/>
        <v>1.0071959991701187</v>
      </c>
      <c r="N238" s="585">
        <f t="shared" si="110"/>
        <v>-0.11960861587615024</v>
      </c>
      <c r="O238" s="583">
        <f t="shared" si="111"/>
        <v>25559.997819961816</v>
      </c>
      <c r="P238" s="586">
        <f t="shared" si="112"/>
        <v>1.5707572031608767</v>
      </c>
      <c r="Q238" s="595">
        <f t="shared" si="134"/>
        <v>10.696844416861959</v>
      </c>
      <c r="R238" s="596">
        <f t="shared" si="135"/>
        <v>1.4771741042360369</v>
      </c>
      <c r="S238" s="583">
        <f t="shared" si="113"/>
        <v>1.002517331088286</v>
      </c>
      <c r="T238" s="586">
        <f t="shared" si="114"/>
        <v>7.0881049805620031E-2</v>
      </c>
      <c r="U238" s="587">
        <f t="shared" si="126"/>
        <v>0.98936013114960264</v>
      </c>
      <c r="V238" s="588">
        <f t="shared" si="127"/>
        <v>-0.17659817594389057</v>
      </c>
      <c r="W238" s="589">
        <f t="shared" si="115"/>
        <v>6.4374768822883919</v>
      </c>
      <c r="X238" s="590">
        <f t="shared" si="116"/>
        <v>-111.80685170368955</v>
      </c>
      <c r="Y238" s="593">
        <f t="shared" si="117"/>
        <v>68.193148296310454</v>
      </c>
      <c r="AA238" s="150">
        <f t="shared" si="118"/>
        <v>1000000000</v>
      </c>
      <c r="AB238" s="150">
        <f t="shared" si="119"/>
        <v>199515625</v>
      </c>
      <c r="AD238" s="592">
        <f t="shared" si="120"/>
        <v>27.620509217238258</v>
      </c>
      <c r="AE238" s="593">
        <f t="shared" si="121"/>
        <v>-9.4231016142346711</v>
      </c>
      <c r="AG238" s="592">
        <f t="shared" si="122"/>
        <v>4.3907344069330927</v>
      </c>
      <c r="AH238" s="593">
        <f t="shared" si="123"/>
        <v>-82.147089763743779</v>
      </c>
      <c r="AJ238" s="150">
        <f t="shared" si="124"/>
        <v>0</v>
      </c>
      <c r="AK238" s="150">
        <f t="shared" si="136"/>
        <v>0</v>
      </c>
      <c r="AM238" s="150" t="str">
        <f t="shared" si="128"/>
        <v>0.031977335787404+0.250862754451008i</v>
      </c>
      <c r="AN238" s="150" t="str">
        <f t="shared" si="129"/>
        <v>0.25357140675i</v>
      </c>
      <c r="AO238" s="150" t="str">
        <f t="shared" si="130"/>
        <v>0.989317990014298-0.126107813957632i</v>
      </c>
      <c r="AP238" s="150" t="str">
        <f t="shared" si="131"/>
        <v>0.161337110702099-0.041810459075168i</v>
      </c>
      <c r="AQ238" s="150" t="str">
        <f t="shared" si="132"/>
        <v>0.838662889297901+0.041810459075168i</v>
      </c>
      <c r="AR238" s="150" t="str">
        <f t="shared" si="133"/>
        <v>0.99078522646823-0.0493943224293741i</v>
      </c>
    </row>
    <row r="239" spans="7:44" x14ac:dyDescent="0.25">
      <c r="G239" s="594">
        <v>14207.25</v>
      </c>
      <c r="H239" s="582">
        <f t="shared" si="125"/>
        <v>14.20725</v>
      </c>
      <c r="I239" s="583">
        <f t="shared" si="105"/>
        <v>13.897173137373304</v>
      </c>
      <c r="J239" s="584">
        <f t="shared" si="106"/>
        <v>1.4987770047866376</v>
      </c>
      <c r="K239" s="584">
        <f t="shared" si="107"/>
        <v>1.0000294672962402</v>
      </c>
      <c r="L239" s="585">
        <f t="shared" si="108"/>
        <v>7.6767926449939801E-3</v>
      </c>
      <c r="M239" s="584">
        <f t="shared" si="109"/>
        <v>1.0072797441733841</v>
      </c>
      <c r="N239" s="585">
        <f t="shared" si="110"/>
        <v>-0.1202984169015094</v>
      </c>
      <c r="O239" s="583">
        <f t="shared" si="111"/>
        <v>25708.833913234968</v>
      </c>
      <c r="P239" s="586">
        <f t="shared" si="112"/>
        <v>1.5707574296592417</v>
      </c>
      <c r="Q239" s="595">
        <f t="shared" si="134"/>
        <v>10.758589431646358</v>
      </c>
      <c r="R239" s="596">
        <f t="shared" si="135"/>
        <v>1.4777129767447896</v>
      </c>
      <c r="S239" s="583">
        <f t="shared" si="113"/>
        <v>1.0025466959822034</v>
      </c>
      <c r="T239" s="586">
        <f t="shared" si="114"/>
        <v>7.1292397696066018E-2</v>
      </c>
      <c r="U239" s="587">
        <f t="shared" si="126"/>
        <v>0.98924228366534772</v>
      </c>
      <c r="V239" s="588">
        <f t="shared" si="127"/>
        <v>-0.17761604586060029</v>
      </c>
      <c r="W239" s="589">
        <f t="shared" si="115"/>
        <v>6.3863060095036435</v>
      </c>
      <c r="X239" s="590">
        <f t="shared" si="116"/>
        <v>-111.91879844529456</v>
      </c>
      <c r="Y239" s="593">
        <f t="shared" si="117"/>
        <v>68.081201554705444</v>
      </c>
      <c r="AA239" s="150">
        <f t="shared" si="118"/>
        <v>1000000000</v>
      </c>
      <c r="AB239" s="150">
        <f t="shared" si="119"/>
        <v>201845952.5625</v>
      </c>
      <c r="AD239" s="592">
        <f t="shared" si="120"/>
        <v>27.619816581679789</v>
      </c>
      <c r="AE239" s="593">
        <f t="shared" si="121"/>
        <v>-9.41580796921372</v>
      </c>
      <c r="AG239" s="592">
        <f t="shared" si="122"/>
        <v>4.3423255298489165</v>
      </c>
      <c r="AH239" s="593">
        <f t="shared" si="123"/>
        <v>-82.149690849594862</v>
      </c>
      <c r="AJ239" s="150">
        <f t="shared" si="124"/>
        <v>0</v>
      </c>
      <c r="AK239" s="150">
        <f t="shared" si="136"/>
        <v>0</v>
      </c>
      <c r="AM239" s="150" t="str">
        <f t="shared" si="128"/>
        <v>0.032348801927202+0.252291812923604i</v>
      </c>
      <c r="AN239" s="150" t="str">
        <f t="shared" si="129"/>
        <v>0.2550479552955i</v>
      </c>
      <c r="AO239" s="150" t="str">
        <f t="shared" si="130"/>
        <v>0.989193630787188-0.126834194336992i</v>
      </c>
      <c r="AP239" s="150" t="str">
        <f t="shared" si="131"/>
        <v>0.1612751996788-0.0420486354872673i</v>
      </c>
      <c r="AQ239" s="150" t="str">
        <f t="shared" si="132"/>
        <v>0.8387248003212+0.0420486354872673i</v>
      </c>
      <c r="AR239" s="150" t="str">
        <f t="shared" si="133"/>
        <v>0.990684394914821-0.0496669789527438i</v>
      </c>
    </row>
    <row r="240" spans="7:44" x14ac:dyDescent="0.25">
      <c r="G240" s="594">
        <v>14289.5</v>
      </c>
      <c r="H240" s="582">
        <f t="shared" si="125"/>
        <v>14.2895</v>
      </c>
      <c r="I240" s="583">
        <f t="shared" si="105"/>
        <v>13.977212621883297</v>
      </c>
      <c r="J240" s="584">
        <f t="shared" si="106"/>
        <v>1.4991901265307075</v>
      </c>
      <c r="K240" s="584">
        <f t="shared" si="107"/>
        <v>1.000029809468667</v>
      </c>
      <c r="L240" s="585">
        <f t="shared" si="108"/>
        <v>7.721234121842147E-3</v>
      </c>
      <c r="M240" s="584">
        <f t="shared" si="109"/>
        <v>1.0073639683861695</v>
      </c>
      <c r="N240" s="585">
        <f t="shared" si="110"/>
        <v>-0.1209881029085043</v>
      </c>
      <c r="O240" s="583">
        <f t="shared" si="111"/>
        <v>25857.670006509426</v>
      </c>
      <c r="P240" s="586">
        <f t="shared" si="112"/>
        <v>1.5707576535501688</v>
      </c>
      <c r="Q240" s="595">
        <f t="shared" si="134"/>
        <v>10.820337534893117</v>
      </c>
      <c r="R240" s="596">
        <f t="shared" si="135"/>
        <v>1.4782456990708477</v>
      </c>
      <c r="S240" s="583">
        <f t="shared" si="113"/>
        <v>1.0025762305041728</v>
      </c>
      <c r="T240" s="586">
        <f t="shared" si="114"/>
        <v>7.1703721420617095E-2</v>
      </c>
      <c r="U240" s="587">
        <f t="shared" si="126"/>
        <v>0.98912379210205204</v>
      </c>
      <c r="V240" s="588">
        <f t="shared" si="127"/>
        <v>-0.17863373657059042</v>
      </c>
      <c r="W240" s="589">
        <f t="shared" si="115"/>
        <v>6.3354261009093502</v>
      </c>
      <c r="X240" s="590">
        <f t="shared" si="116"/>
        <v>-112.03080494914627</v>
      </c>
      <c r="Y240" s="593">
        <f t="shared" si="117"/>
        <v>67.969195050853727</v>
      </c>
      <c r="AA240" s="150">
        <f t="shared" si="118"/>
        <v>1000000000</v>
      </c>
      <c r="AB240" s="150">
        <f t="shared" si="119"/>
        <v>204189810.25</v>
      </c>
      <c r="AD240" s="592">
        <f t="shared" si="120"/>
        <v>27.619129986243696</v>
      </c>
      <c r="AE240" s="593">
        <f t="shared" si="121"/>
        <v>-9.4088651697058427</v>
      </c>
      <c r="AG240" s="592">
        <f t="shared" si="122"/>
        <v>4.2942131351934467</v>
      </c>
      <c r="AH240" s="593">
        <f t="shared" si="123"/>
        <v>-82.152021387757017</v>
      </c>
      <c r="AJ240" s="150">
        <f t="shared" si="124"/>
        <v>0</v>
      </c>
      <c r="AK240" s="150">
        <f t="shared" si="136"/>
        <v>0</v>
      </c>
      <c r="AM240" s="150" t="str">
        <f t="shared" si="128"/>
        <v>0.032722377735508+0.253720321350797i</v>
      </c>
      <c r="AN240" s="150" t="str">
        <f t="shared" si="129"/>
        <v>0.256524503841i</v>
      </c>
      <c r="AO240" s="150" t="str">
        <f t="shared" si="130"/>
        <v>0.989068558955517-0.127560436705065i</v>
      </c>
      <c r="AP240" s="150" t="str">
        <f t="shared" si="131"/>
        <v>0.161212937044082-0.0422867202251328i</v>
      </c>
      <c r="AQ240" s="150" t="str">
        <f t="shared" si="132"/>
        <v>0.838787062955918+0.0422867202251328i</v>
      </c>
      <c r="AR240" s="150" t="str">
        <f t="shared" si="133"/>
        <v>0.990583026411938-0.0499393816948371i</v>
      </c>
    </row>
    <row r="241" spans="7:44" x14ac:dyDescent="0.25">
      <c r="G241" s="594">
        <v>14371.75</v>
      </c>
      <c r="H241" s="582">
        <f t="shared" si="125"/>
        <v>14.37175</v>
      </c>
      <c r="I241" s="583">
        <f t="shared" si="105"/>
        <v>14.057254464712949</v>
      </c>
      <c r="J241" s="584">
        <f t="shared" si="106"/>
        <v>1.499598543723045</v>
      </c>
      <c r="K241" s="584">
        <f t="shared" si="107"/>
        <v>1.0000301536161962</v>
      </c>
      <c r="L241" s="585">
        <f t="shared" si="108"/>
        <v>7.7656755681901612E-3</v>
      </c>
      <c r="M241" s="584">
        <f t="shared" si="109"/>
        <v>1.0074486716882867</v>
      </c>
      <c r="N241" s="585">
        <f t="shared" si="110"/>
        <v>-0.12167767326994332</v>
      </c>
      <c r="O241" s="583">
        <f t="shared" si="111"/>
        <v>26006.506099785158</v>
      </c>
      <c r="P241" s="586">
        <f t="shared" si="112"/>
        <v>1.5707578748784259</v>
      </c>
      <c r="Q241" s="595">
        <f t="shared" si="134"/>
        <v>10.882088674027761</v>
      </c>
      <c r="R241" s="596">
        <f t="shared" si="135"/>
        <v>1.4787723756081093</v>
      </c>
      <c r="S241" s="583">
        <f t="shared" si="113"/>
        <v>1.0026059346392038</v>
      </c>
      <c r="T241" s="586">
        <f t="shared" si="114"/>
        <v>7.2115020842233604E-2</v>
      </c>
      <c r="U241" s="587">
        <f t="shared" si="126"/>
        <v>0.9890046571337352</v>
      </c>
      <c r="V241" s="588">
        <f t="shared" si="127"/>
        <v>-0.17965124712279826</v>
      </c>
      <c r="W241" s="589">
        <f t="shared" si="115"/>
        <v>6.2848337491766557</v>
      </c>
      <c r="X241" s="590">
        <f t="shared" si="116"/>
        <v>-112.14286981440016</v>
      </c>
      <c r="Y241" s="593">
        <f t="shared" si="117"/>
        <v>67.857130185599843</v>
      </c>
      <c r="AA241" s="150">
        <f t="shared" si="118"/>
        <v>1000000000</v>
      </c>
      <c r="AB241" s="150">
        <f t="shared" si="119"/>
        <v>206547198.0625</v>
      </c>
      <c r="AD241" s="592">
        <f t="shared" si="120"/>
        <v>27.618449261149681</v>
      </c>
      <c r="AE241" s="593">
        <f t="shared" si="121"/>
        <v>-9.402267229094468</v>
      </c>
      <c r="AG241" s="592">
        <f t="shared" si="122"/>
        <v>4.2463939777035415</v>
      </c>
      <c r="AH241" s="593">
        <f t="shared" si="123"/>
        <v>-82.154086072985919</v>
      </c>
      <c r="AJ241" s="150">
        <f t="shared" si="124"/>
        <v>0</v>
      </c>
      <c r="AK241" s="150">
        <f t="shared" si="136"/>
        <v>0</v>
      </c>
      <c r="AM241" s="150" t="str">
        <f t="shared" si="128"/>
        <v>0.033098062397855+0.255148276618161i</v>
      </c>
      <c r="AN241" s="150" t="str">
        <f t="shared" si="129"/>
        <v>0.2580010523865i</v>
      </c>
      <c r="AO241" s="150" t="str">
        <f t="shared" si="130"/>
        <v>0.988942774682696-0.128286540274542i</v>
      </c>
      <c r="AP241" s="150" t="str">
        <f t="shared" si="131"/>
        <v>0.161150322933691-0.0425247127696935i</v>
      </c>
      <c r="AQ241" s="150" t="str">
        <f t="shared" si="132"/>
        <v>0.838849677066309+0.0425247127696935i</v>
      </c>
      <c r="AR241" s="150" t="str">
        <f t="shared" si="133"/>
        <v>0.990481121767937-0.0502115293818678i</v>
      </c>
    </row>
    <row r="242" spans="7:44" x14ac:dyDescent="0.25">
      <c r="G242" s="594">
        <v>14454</v>
      </c>
      <c r="H242" s="582">
        <f t="shared" si="125"/>
        <v>14.454000000000001</v>
      </c>
      <c r="I242" s="583">
        <f t="shared" si="105"/>
        <v>14.137298625805618</v>
      </c>
      <c r="J242" s="584">
        <f t="shared" si="106"/>
        <v>1.5000023361365225</v>
      </c>
      <c r="K242" s="584">
        <f t="shared" si="107"/>
        <v>1.0000304997388256</v>
      </c>
      <c r="L242" s="585">
        <f t="shared" si="108"/>
        <v>7.8101169838625068E-3</v>
      </c>
      <c r="M242" s="584">
        <f t="shared" si="109"/>
        <v>1.0075338539589045</v>
      </c>
      <c r="N242" s="585">
        <f t="shared" si="110"/>
        <v>-0.12236712735928496</v>
      </c>
      <c r="O242" s="583">
        <f t="shared" si="111"/>
        <v>26155.342193062155</v>
      </c>
      <c r="P242" s="586">
        <f t="shared" si="112"/>
        <v>1.5707580936877608</v>
      </c>
      <c r="Q242" s="595">
        <f t="shared" si="134"/>
        <v>10.943842797659874</v>
      </c>
      <c r="R242" s="596">
        <f t="shared" si="135"/>
        <v>1.4792931084077603</v>
      </c>
      <c r="S242" s="583">
        <f t="shared" si="113"/>
        <v>1.0026358083722211</v>
      </c>
      <c r="T242" s="586">
        <f t="shared" si="114"/>
        <v>7.2526295823925044E-2</v>
      </c>
      <c r="U242" s="587">
        <f t="shared" si="126"/>
        <v>0.98888487943762737</v>
      </c>
      <c r="V242" s="588">
        <f t="shared" si="127"/>
        <v>-0.18066857656759192</v>
      </c>
      <c r="W242" s="589">
        <f t="shared" si="115"/>
        <v>6.2345256060907737</v>
      </c>
      <c r="X242" s="590">
        <f t="shared" si="116"/>
        <v>-112.2549916689623</v>
      </c>
      <c r="Y242" s="593">
        <f t="shared" si="117"/>
        <v>67.745008331037695</v>
      </c>
      <c r="AA242" s="150">
        <f t="shared" si="118"/>
        <v>1000000000</v>
      </c>
      <c r="AB242" s="150">
        <f t="shared" si="119"/>
        <v>208918116</v>
      </c>
      <c r="AD242" s="592">
        <f t="shared" si="120"/>
        <v>27.617774241402557</v>
      </c>
      <c r="AE242" s="593">
        <f t="shared" si="121"/>
        <v>-9.3960082949349211</v>
      </c>
      <c r="AG242" s="592">
        <f t="shared" si="122"/>
        <v>4.1988648664069714</v>
      </c>
      <c r="AH242" s="593">
        <f t="shared" si="123"/>
        <v>-82.155889494452282</v>
      </c>
      <c r="AJ242" s="150">
        <f t="shared" si="124"/>
        <v>0</v>
      </c>
      <c r="AK242" s="150">
        <f t="shared" si="136"/>
        <v>0</v>
      </c>
      <c r="AM242" s="150" t="str">
        <f t="shared" si="128"/>
        <v>0.033475855095175+0.256575675612473i</v>
      </c>
      <c r="AN242" s="150" t="str">
        <f t="shared" si="129"/>
        <v>0.259477600932i</v>
      </c>
      <c r="AO242" s="150" t="str">
        <f t="shared" si="130"/>
        <v>0.98881627813305-0.129012504258307i</v>
      </c>
      <c r="AP242" s="150" t="str">
        <f t="shared" si="131"/>
        <v>0.161087357484137-0.0427626126020788i</v>
      </c>
      <c r="AQ242" s="150" t="str">
        <f t="shared" si="132"/>
        <v>0.838912642515863+0.0427626126020788i</v>
      </c>
      <c r="AR242" s="150" t="str">
        <f t="shared" si="133"/>
        <v>0.990378681794891-0.0504834207432409i</v>
      </c>
    </row>
    <row r="243" spans="7:44" x14ac:dyDescent="0.25">
      <c r="G243" s="594">
        <v>14622.5</v>
      </c>
      <c r="H243" s="582">
        <f t="shared" si="125"/>
        <v>14.6225</v>
      </c>
      <c r="I243" s="583">
        <f t="shared" si="105"/>
        <v>14.301286748489812</v>
      </c>
      <c r="J243" s="584">
        <f t="shared" si="106"/>
        <v>1.5008154429151483</v>
      </c>
      <c r="K243" s="584">
        <f t="shared" si="107"/>
        <v>1.000031214984558</v>
      </c>
      <c r="L243" s="585">
        <f t="shared" si="108"/>
        <v>7.9011610033274358E-3</v>
      </c>
      <c r="M243" s="584">
        <f t="shared" si="109"/>
        <v>1.0077098562954903</v>
      </c>
      <c r="N243" s="585">
        <f t="shared" si="110"/>
        <v>-0.12377919949295182</v>
      </c>
      <c r="O243" s="583">
        <f t="shared" si="111"/>
        <v>26460.252609080268</v>
      </c>
      <c r="P243" s="586">
        <f t="shared" si="112"/>
        <v>1.5707585342607506</v>
      </c>
      <c r="Q243" s="595">
        <f t="shared" si="134"/>
        <v>11.070363394369322</v>
      </c>
      <c r="R243" s="596">
        <f t="shared" si="135"/>
        <v>1.4803417555447704</v>
      </c>
      <c r="S243" s="583">
        <f t="shared" si="113"/>
        <v>1.0026975382145327</v>
      </c>
      <c r="T243" s="586">
        <f t="shared" si="114"/>
        <v>7.3368770105069578E-2</v>
      </c>
      <c r="U243" s="587">
        <f t="shared" si="126"/>
        <v>0.9886374947749389</v>
      </c>
      <c r="V243" s="588">
        <f t="shared" si="127"/>
        <v>-0.18275214089549913</v>
      </c>
      <c r="W243" s="589">
        <f t="shared" si="115"/>
        <v>6.1323364348837988</v>
      </c>
      <c r="X243" s="590">
        <f t="shared" si="116"/>
        <v>-112.48486044231031</v>
      </c>
      <c r="Y243" s="593">
        <f t="shared" si="117"/>
        <v>67.515139557689693</v>
      </c>
      <c r="AA243" s="150">
        <f t="shared" si="118"/>
        <v>1000000000</v>
      </c>
      <c r="AB243" s="150">
        <f t="shared" si="119"/>
        <v>213817506.25</v>
      </c>
      <c r="AD243" s="592">
        <f t="shared" si="120"/>
        <v>27.616408519734406</v>
      </c>
      <c r="AE243" s="593">
        <f t="shared" si="121"/>
        <v>-9.3842207034030842</v>
      </c>
      <c r="AG243" s="592">
        <f t="shared" si="122"/>
        <v>4.1023877765705556</v>
      </c>
      <c r="AH243" s="593">
        <f t="shared" si="123"/>
        <v>-82.158786974393138</v>
      </c>
      <c r="AJ243" s="150">
        <f t="shared" si="124"/>
        <v>0</v>
      </c>
      <c r="AK243" s="150">
        <f t="shared" si="136"/>
        <v>0</v>
      </c>
      <c r="AM243" s="150" t="str">
        <f t="shared" si="128"/>
        <v>0.034256392804527+0.259498140958807i</v>
      </c>
      <c r="AN243" s="150" t="str">
        <f t="shared" si="129"/>
        <v>0.262502505855i</v>
      </c>
      <c r="AO243" s="150" t="str">
        <f t="shared" si="130"/>
        <v>0.988554909651596-0.13049929825603i</v>
      </c>
      <c r="AP243" s="150" t="str">
        <f t="shared" si="131"/>
        <v>0.160957267865912-0.0432496901598012i</v>
      </c>
      <c r="AQ243" s="150" t="str">
        <f t="shared" si="132"/>
        <v>0.839042732134088+0.0432496901598012i</v>
      </c>
      <c r="AR243" s="150" t="str">
        <f t="shared" si="133"/>
        <v>0.990167151701878-0.0510396203642645i</v>
      </c>
    </row>
    <row r="244" spans="7:44" x14ac:dyDescent="0.25">
      <c r="G244" s="594">
        <v>14706.75</v>
      </c>
      <c r="H244" s="582">
        <f t="shared" si="125"/>
        <v>14.70675</v>
      </c>
      <c r="I244" s="583">
        <f t="shared" si="105"/>
        <v>14.383284294889357</v>
      </c>
      <c r="J244" s="584">
        <f t="shared" si="106"/>
        <v>1.5012150433175218</v>
      </c>
      <c r="K244" s="584">
        <f t="shared" si="107"/>
        <v>1.000031575715898</v>
      </c>
      <c r="L244" s="585">
        <f t="shared" si="108"/>
        <v>7.9466829640336429E-3</v>
      </c>
      <c r="M244" s="584">
        <f t="shared" si="109"/>
        <v>1.0077986107612755</v>
      </c>
      <c r="N244" s="585">
        <f t="shared" si="110"/>
        <v>-0.12448504990247126</v>
      </c>
      <c r="O244" s="583">
        <f t="shared" si="111"/>
        <v>26612.707817091217</v>
      </c>
      <c r="P244" s="586">
        <f t="shared" si="112"/>
        <v>1.5707587507614051</v>
      </c>
      <c r="Q244" s="595">
        <f t="shared" si="134"/>
        <v>11.133628180023742</v>
      </c>
      <c r="R244" s="596">
        <f t="shared" si="135"/>
        <v>1.4808571413487879</v>
      </c>
      <c r="S244" s="583">
        <f t="shared" si="113"/>
        <v>1.0027286699900653</v>
      </c>
      <c r="T244" s="586">
        <f t="shared" si="114"/>
        <v>7.3789968197954595E-2</v>
      </c>
      <c r="U244" s="587">
        <f t="shared" si="126"/>
        <v>0.98851279380749546</v>
      </c>
      <c r="V244" s="588">
        <f t="shared" si="127"/>
        <v>-0.18379363399187687</v>
      </c>
      <c r="W244" s="589">
        <f t="shared" si="115"/>
        <v>6.0816753417269585</v>
      </c>
      <c r="X244" s="590">
        <f t="shared" si="116"/>
        <v>-112.59987889725724</v>
      </c>
      <c r="Y244" s="593">
        <f t="shared" si="117"/>
        <v>67.400121102742759</v>
      </c>
      <c r="AA244" s="150">
        <f t="shared" si="118"/>
        <v>1000000000</v>
      </c>
      <c r="AB244" s="150">
        <f t="shared" si="119"/>
        <v>216288495.5625</v>
      </c>
      <c r="AD244" s="592">
        <f t="shared" si="120"/>
        <v>27.615733971826138</v>
      </c>
      <c r="AE244" s="593">
        <f t="shared" si="121"/>
        <v>-9.3788365496408108</v>
      </c>
      <c r="AG244" s="592">
        <f t="shared" si="122"/>
        <v>4.0545925444430218</v>
      </c>
      <c r="AH244" s="593">
        <f t="shared" si="123"/>
        <v>-82.159843265337031</v>
      </c>
      <c r="AJ244" s="150">
        <f t="shared" si="124"/>
        <v>0</v>
      </c>
      <c r="AK244" s="150">
        <f t="shared" si="136"/>
        <v>0</v>
      </c>
      <c r="AM244" s="150" t="str">
        <f t="shared" si="128"/>
        <v>0.034649975831993+0.260958484895258i</v>
      </c>
      <c r="AN244" s="150" t="str">
        <f t="shared" si="129"/>
        <v>0.2640149583165i</v>
      </c>
      <c r="AO244" s="150" t="str">
        <f t="shared" si="130"/>
        <v>0.988423105112181-0.131242472218013i</v>
      </c>
      <c r="AP244" s="150" t="str">
        <f t="shared" si="131"/>
        <v>0.160891670694668-0.0434930808158763i</v>
      </c>
      <c r="AQ244" s="150" t="str">
        <f t="shared" si="132"/>
        <v>0.839108329305332+0.0434930808158763i</v>
      </c>
      <c r="AR244" s="150" t="str">
        <f t="shared" si="133"/>
        <v>0.990060547625563-0.051317311372821i</v>
      </c>
    </row>
    <row r="245" spans="7:44" x14ac:dyDescent="0.25">
      <c r="G245" s="594">
        <v>14791</v>
      </c>
      <c r="H245" s="582">
        <f t="shared" si="125"/>
        <v>14.791</v>
      </c>
      <c r="I245" s="583">
        <f t="shared" si="105"/>
        <v>14.465284111980083</v>
      </c>
      <c r="J245" s="584">
        <f t="shared" si="106"/>
        <v>1.501610113327311</v>
      </c>
      <c r="K245" s="584">
        <f t="shared" si="107"/>
        <v>1.0000319385195506</v>
      </c>
      <c r="L245" s="585">
        <f t="shared" si="108"/>
        <v>7.9922048918041697E-3</v>
      </c>
      <c r="M245" s="584">
        <f t="shared" si="109"/>
        <v>1.0078878672487452</v>
      </c>
      <c r="N245" s="585">
        <f t="shared" si="110"/>
        <v>-0.1251907756462127</v>
      </c>
      <c r="O245" s="583">
        <f t="shared" si="111"/>
        <v>26765.1630251034</v>
      </c>
      <c r="P245" s="586">
        <f t="shared" si="112"/>
        <v>1.5707589647956703</v>
      </c>
      <c r="Q245" s="595">
        <f t="shared" si="134"/>
        <v>11.196895889600961</v>
      </c>
      <c r="R245" s="596">
        <f t="shared" si="135"/>
        <v>1.4813667029441935</v>
      </c>
      <c r="S245" s="583">
        <f t="shared" si="113"/>
        <v>1.0027599796464548</v>
      </c>
      <c r="T245" s="586">
        <f t="shared" si="114"/>
        <v>7.4211140063014269E-2</v>
      </c>
      <c r="U245" s="587">
        <f t="shared" si="126"/>
        <v>0.98838742140395452</v>
      </c>
      <c r="V245" s="588">
        <f t="shared" si="127"/>
        <v>-0.18483493302365236</v>
      </c>
      <c r="W245" s="589">
        <f t="shared" si="115"/>
        <v>6.031298750351743</v>
      </c>
      <c r="X245" s="590">
        <f t="shared" si="116"/>
        <v>-112.71495157832611</v>
      </c>
      <c r="Y245" s="593">
        <f t="shared" si="117"/>
        <v>67.285048421673892</v>
      </c>
      <c r="AA245" s="150">
        <f t="shared" si="118"/>
        <v>1000000000</v>
      </c>
      <c r="AB245" s="150">
        <f t="shared" si="119"/>
        <v>218773681</v>
      </c>
      <c r="AD245" s="592">
        <f t="shared" si="120"/>
        <v>27.615064753475597</v>
      </c>
      <c r="AE245" s="593">
        <f t="shared" si="121"/>
        <v>-9.3737844543939879</v>
      </c>
      <c r="AG245" s="592">
        <f t="shared" si="122"/>
        <v>4.007088562067799</v>
      </c>
      <c r="AH245" s="593">
        <f t="shared" si="123"/>
        <v>-82.160643962052831</v>
      </c>
      <c r="AJ245" s="150">
        <f t="shared" si="124"/>
        <v>0</v>
      </c>
      <c r="AK245" s="150">
        <f t="shared" si="136"/>
        <v>0</v>
      </c>
      <c r="AM245" s="150" t="str">
        <f t="shared" si="128"/>
        <v>0.035045767109235+0.26241823188604i</v>
      </c>
      <c r="AN245" s="150" t="str">
        <f t="shared" si="129"/>
        <v>0.265527410778i</v>
      </c>
      <c r="AO245" s="150" t="str">
        <f t="shared" si="130"/>
        <v>0.988290553947519-0.13198549636194i</v>
      </c>
      <c r="AP245" s="150" t="str">
        <f t="shared" si="131"/>
        <v>0.160825705481794-0.0437363719810067i</v>
      </c>
      <c r="AQ245" s="150" t="str">
        <f t="shared" si="132"/>
        <v>0.839174294518206+0.0437363719810067i</v>
      </c>
      <c r="AR245" s="150" t="str">
        <f t="shared" si="133"/>
        <v>0.989953385379828-0.0515947280435789i</v>
      </c>
    </row>
    <row r="246" spans="7:44" x14ac:dyDescent="0.25">
      <c r="G246" s="594">
        <v>14877.25</v>
      </c>
      <c r="H246" s="582">
        <f t="shared" si="125"/>
        <v>14.87725</v>
      </c>
      <c r="I246" s="583">
        <f t="shared" si="105"/>
        <v>14.549232824366653</v>
      </c>
      <c r="J246" s="584">
        <f t="shared" si="106"/>
        <v>1.5020099487145733</v>
      </c>
      <c r="K246" s="584">
        <f t="shared" si="107"/>
        <v>1.000032312082439</v>
      </c>
      <c r="L246" s="585">
        <f t="shared" si="108"/>
        <v>8.0388074244949152E-3</v>
      </c>
      <c r="M246" s="584">
        <f t="shared" si="109"/>
        <v>1.007979762484617</v>
      </c>
      <c r="N246" s="585">
        <f t="shared" si="110"/>
        <v>-0.12591312468401084</v>
      </c>
      <c r="O246" s="583">
        <f t="shared" si="111"/>
        <v>26921.237347847098</v>
      </c>
      <c r="P246" s="586">
        <f t="shared" si="112"/>
        <v>1.5707591813997088</v>
      </c>
      <c r="Q246" s="595">
        <f t="shared" si="134"/>
        <v>11.261668480673581</v>
      </c>
      <c r="R246" s="596">
        <f t="shared" si="135"/>
        <v>1.4818824299318134</v>
      </c>
      <c r="S246" s="583">
        <f t="shared" si="113"/>
        <v>1.0027922168063996</v>
      </c>
      <c r="T246" s="586">
        <f t="shared" si="114"/>
        <v>7.4642282750660066E-2</v>
      </c>
      <c r="U246" s="587">
        <f t="shared" si="126"/>
        <v>0.98825837804517402</v>
      </c>
      <c r="V246" s="588">
        <f t="shared" si="127"/>
        <v>-0.18590074923340894</v>
      </c>
      <c r="W246" s="589">
        <f t="shared" si="115"/>
        <v>5.9800175458955573</v>
      </c>
      <c r="X246" s="590">
        <f t="shared" si="116"/>
        <v>-112.83281073906562</v>
      </c>
      <c r="Y246" s="593">
        <f t="shared" si="117"/>
        <v>67.167189260934379</v>
      </c>
      <c r="AA246" s="150">
        <f t="shared" si="118"/>
        <v>1000000000</v>
      </c>
      <c r="AB246" s="150">
        <f t="shared" si="119"/>
        <v>221332567.5625</v>
      </c>
      <c r="AD246" s="592">
        <f t="shared" si="120"/>
        <v>27.614385009016193</v>
      </c>
      <c r="AE246" s="593">
        <f t="shared" si="121"/>
        <v>-9.3689505414841072</v>
      </c>
      <c r="AG246" s="592">
        <f t="shared" si="122"/>
        <v>3.9587553008040386</v>
      </c>
      <c r="AH246" s="593">
        <f t="shared" si="123"/>
        <v>-82.161203494451286</v>
      </c>
      <c r="AJ246" s="150">
        <f t="shared" si="124"/>
        <v>0</v>
      </c>
      <c r="AK246" s="150">
        <f t="shared" si="136"/>
        <v>0</v>
      </c>
      <c r="AM246" s="150" t="str">
        <f t="shared" si="128"/>
        <v>0.0354532405838101+0.263912009767888i</v>
      </c>
      <c r="AN246" s="150" t="str">
        <f t="shared" si="129"/>
        <v>0.2670757671555i</v>
      </c>
      <c r="AO246" s="150" t="str">
        <f t="shared" si="130"/>
        <v>0.988154082935686-0.13274600298412i</v>
      </c>
      <c r="AP246" s="150" t="str">
        <f t="shared" si="131"/>
        <v>0.160757793236032-0.0439853349613147i</v>
      </c>
      <c r="AQ246" s="150" t="str">
        <f t="shared" si="132"/>
        <v>0.839242206763968+0.0439853349613147i</v>
      </c>
      <c r="AR246" s="150" t="str">
        <f t="shared" si="133"/>
        <v>0.989843101953303-0.0518784446821891i</v>
      </c>
    </row>
    <row r="247" spans="7:44" x14ac:dyDescent="0.25">
      <c r="G247" s="594">
        <v>14963.5</v>
      </c>
      <c r="H247" s="582">
        <f t="shared" si="125"/>
        <v>14.9635</v>
      </c>
      <c r="I247" s="583">
        <f t="shared" si="105"/>
        <v>14.633183836027174</v>
      </c>
      <c r="J247" s="584">
        <f t="shared" si="106"/>
        <v>1.5024051964293608</v>
      </c>
      <c r="K247" s="584">
        <f t="shared" si="107"/>
        <v>1.0000326878171919</v>
      </c>
      <c r="L247" s="585">
        <f t="shared" si="108"/>
        <v>8.0854099222676355E-3</v>
      </c>
      <c r="M247" s="584">
        <f t="shared" si="109"/>
        <v>1.0080721835763153</v>
      </c>
      <c r="N247" s="585">
        <f t="shared" si="110"/>
        <v>-0.1266353416471945</v>
      </c>
      <c r="O247" s="583">
        <f t="shared" si="111"/>
        <v>27077.311670592047</v>
      </c>
      <c r="P247" s="586">
        <f t="shared" si="112"/>
        <v>1.5707593955067247</v>
      </c>
      <c r="Q247" s="595">
        <f t="shared" si="134"/>
        <v>11.326444032801778</v>
      </c>
      <c r="R247" s="596">
        <f t="shared" si="135"/>
        <v>1.4823922582031837</v>
      </c>
      <c r="S247" s="583">
        <f t="shared" si="113"/>
        <v>1.0028246403573855</v>
      </c>
      <c r="T247" s="586">
        <f t="shared" si="114"/>
        <v>7.5073397638834929E-2</v>
      </c>
      <c r="U247" s="587">
        <f t="shared" si="126"/>
        <v>0.98812863257832872</v>
      </c>
      <c r="V247" s="588">
        <f t="shared" si="127"/>
        <v>-0.18696635990944749</v>
      </c>
      <c r="W247" s="589">
        <f t="shared" si="115"/>
        <v>5.9290275795249059</v>
      </c>
      <c r="X247" s="590">
        <f t="shared" si="116"/>
        <v>-112.95072393968707</v>
      </c>
      <c r="Y247" s="593">
        <f t="shared" si="117"/>
        <v>67.049276060312934</v>
      </c>
      <c r="AA247" s="150">
        <f t="shared" si="118"/>
        <v>1000000000</v>
      </c>
      <c r="AB247" s="150">
        <f t="shared" si="119"/>
        <v>223906332.25</v>
      </c>
      <c r="AD247" s="592">
        <f t="shared" si="120"/>
        <v>27.613710528824011</v>
      </c>
      <c r="AE247" s="593">
        <f t="shared" si="121"/>
        <v>-9.3644528642590483</v>
      </c>
      <c r="AG247" s="592">
        <f t="shared" si="122"/>
        <v>3.9107206529464404</v>
      </c>
      <c r="AH247" s="593">
        <f t="shared" si="123"/>
        <v>-82.161504383476057</v>
      </c>
      <c r="AJ247" s="150">
        <f t="shared" si="124"/>
        <v>0</v>
      </c>
      <c r="AK247" s="150">
        <f t="shared" si="136"/>
        <v>0</v>
      </c>
      <c r="AM247" s="150" t="str">
        <f t="shared" si="128"/>
        <v>0.03586302646953+0.265405154945239i</v>
      </c>
      <c r="AN247" s="150" t="str">
        <f t="shared" si="129"/>
        <v>0.268624123533i</v>
      </c>
      <c r="AO247" s="150" t="str">
        <f t="shared" si="130"/>
        <v>0.988016829816234-0.133506350799221i</v>
      </c>
      <c r="AP247" s="150" t="str">
        <f t="shared" si="131"/>
        <v>0.160689495588412-0.0442341924908732i</v>
      </c>
      <c r="AQ247" s="150" t="str">
        <f t="shared" si="132"/>
        <v>0.839310504411588+0.0442341924908732i</v>
      </c>
      <c r="AR247" s="150" t="str">
        <f t="shared" si="133"/>
        <v>0.989732235440265-0.0521618709485586i</v>
      </c>
    </row>
    <row r="248" spans="7:44" x14ac:dyDescent="0.25">
      <c r="G248" s="594">
        <v>15049.75</v>
      </c>
      <c r="H248" s="582">
        <f t="shared" si="125"/>
        <v>15.04975</v>
      </c>
      <c r="I248" s="583">
        <f t="shared" si="105"/>
        <v>14.717137107614374</v>
      </c>
      <c r="J248" s="584">
        <f t="shared" si="106"/>
        <v>1.5027959348576501</v>
      </c>
      <c r="K248" s="584">
        <f t="shared" si="107"/>
        <v>1.0000330657238068</v>
      </c>
      <c r="L248" s="585">
        <f t="shared" si="108"/>
        <v>8.1320123849199458E-3</v>
      </c>
      <c r="M248" s="584">
        <f t="shared" si="109"/>
        <v>1.0081651303792207</v>
      </c>
      <c r="N248" s="585">
        <f t="shared" si="110"/>
        <v>-0.12735742581877771</v>
      </c>
      <c r="O248" s="583">
        <f t="shared" si="111"/>
        <v>27233.385993338219</v>
      </c>
      <c r="P248" s="586">
        <f t="shared" si="112"/>
        <v>1.5707596071596492</v>
      </c>
      <c r="Q248" s="595">
        <f t="shared" si="134"/>
        <v>11.39122249547192</v>
      </c>
      <c r="R248" s="596">
        <f t="shared" si="135"/>
        <v>1.4828962881236689</v>
      </c>
      <c r="S248" s="583">
        <f t="shared" si="113"/>
        <v>1.0028572502813338</v>
      </c>
      <c r="T248" s="586">
        <f t="shared" si="114"/>
        <v>7.5504484569988983E-2</v>
      </c>
      <c r="U248" s="587">
        <f t="shared" si="126"/>
        <v>0.98799818581072762</v>
      </c>
      <c r="V248" s="588">
        <f t="shared" si="127"/>
        <v>-0.18803176396884749</v>
      </c>
      <c r="W248" s="589">
        <f t="shared" si="115"/>
        <v>5.8783254357388639</v>
      </c>
      <c r="X248" s="590">
        <f t="shared" si="116"/>
        <v>-113.06868981118173</v>
      </c>
      <c r="Y248" s="593">
        <f t="shared" si="117"/>
        <v>66.931310188818273</v>
      </c>
      <c r="AA248" s="150">
        <f t="shared" si="118"/>
        <v>1000000000</v>
      </c>
      <c r="AB248" s="150">
        <f t="shared" si="119"/>
        <v>226494975.0625</v>
      </c>
      <c r="AD248" s="592">
        <f t="shared" si="120"/>
        <v>27.613041157196122</v>
      </c>
      <c r="AE248" s="593">
        <f t="shared" si="121"/>
        <v>-9.3602856656398412</v>
      </c>
      <c r="AG248" s="592">
        <f t="shared" si="122"/>
        <v>3.8629813494424861</v>
      </c>
      <c r="AH248" s="593">
        <f t="shared" si="123"/>
        <v>-82.161551141290971</v>
      </c>
      <c r="AJ248" s="150">
        <f t="shared" si="124"/>
        <v>0</v>
      </c>
      <c r="AK248" s="150">
        <f t="shared" si="136"/>
        <v>0</v>
      </c>
      <c r="AM248" s="150" t="str">
        <f t="shared" si="128"/>
        <v>0.036275123783973+0.266897663838415i</v>
      </c>
      <c r="AN248" s="150" t="str">
        <f t="shared" si="129"/>
        <v>0.2701724799105i</v>
      </c>
      <c r="AO248" s="150" t="str">
        <f t="shared" si="130"/>
        <v>0.987878794786316-0.134266538901334i</v>
      </c>
      <c r="AP248" s="150" t="str">
        <f t="shared" si="131"/>
        <v>0.160620812702671-0.0444829439730692i</v>
      </c>
      <c r="AQ248" s="150" t="str">
        <f t="shared" si="132"/>
        <v>0.839379187297329+0.0444829439730692i</v>
      </c>
      <c r="AR248" s="150" t="str">
        <f t="shared" si="133"/>
        <v>0.989620786807389-0.0524450054043862i</v>
      </c>
    </row>
    <row r="249" spans="7:44" x14ac:dyDescent="0.25">
      <c r="G249" s="594">
        <v>15136</v>
      </c>
      <c r="H249" s="582">
        <f t="shared" si="125"/>
        <v>15.135999999999999</v>
      </c>
      <c r="I249" s="583">
        <f t="shared" si="105"/>
        <v>14.801092600672664</v>
      </c>
      <c r="J249" s="584">
        <f t="shared" si="106"/>
        <v>1.5031822406124977</v>
      </c>
      <c r="K249" s="584">
        <f t="shared" si="107"/>
        <v>1.0000334458022817</v>
      </c>
      <c r="L249" s="585">
        <f t="shared" si="108"/>
        <v>8.1786148122494663E-3</v>
      </c>
      <c r="M249" s="584">
        <f t="shared" si="109"/>
        <v>1.0082586027479448</v>
      </c>
      <c r="N249" s="585">
        <f t="shared" si="110"/>
        <v>-0.12807937648259202</v>
      </c>
      <c r="O249" s="583">
        <f t="shared" si="111"/>
        <v>27389.460316085599</v>
      </c>
      <c r="P249" s="586">
        <f t="shared" si="112"/>
        <v>1.5707598164004353</v>
      </c>
      <c r="Q249" s="595">
        <f t="shared" si="134"/>
        <v>11.456003819310657</v>
      </c>
      <c r="R249" s="596">
        <f t="shared" si="135"/>
        <v>1.4833946178003905</v>
      </c>
      <c r="S249" s="583">
        <f t="shared" si="113"/>
        <v>1.0028900465600639</v>
      </c>
      <c r="T249" s="586">
        <f t="shared" si="114"/>
        <v>7.5935543386634358E-2</v>
      </c>
      <c r="U249" s="587">
        <f t="shared" si="126"/>
        <v>0.98786703855349567</v>
      </c>
      <c r="V249" s="588">
        <f t="shared" si="127"/>
        <v>-0.18909696033047993</v>
      </c>
      <c r="W249" s="589">
        <f t="shared" si="115"/>
        <v>5.8279077583238852</v>
      </c>
      <c r="X249" s="590">
        <f t="shared" si="116"/>
        <v>-113.18670701244471</v>
      </c>
      <c r="Y249" s="593">
        <f t="shared" si="117"/>
        <v>66.813292987555286</v>
      </c>
      <c r="AA249" s="150">
        <f t="shared" si="118"/>
        <v>1000000000</v>
      </c>
      <c r="AB249" s="150">
        <f t="shared" si="119"/>
        <v>229098496</v>
      </c>
      <c r="AD249" s="592">
        <f t="shared" si="120"/>
        <v>27.612376742829756</v>
      </c>
      <c r="AE249" s="593">
        <f t="shared" si="121"/>
        <v>-9.3564433178828121</v>
      </c>
      <c r="AG249" s="592">
        <f t="shared" si="122"/>
        <v>3.8155341760811186</v>
      </c>
      <c r="AH249" s="593">
        <f t="shared" si="123"/>
        <v>-82.161348178423069</v>
      </c>
      <c r="AJ249" s="150">
        <f t="shared" si="124"/>
        <v>0</v>
      </c>
      <c r="AK249" s="150">
        <f t="shared" si="136"/>
        <v>0</v>
      </c>
      <c r="AM249" s="150" t="str">
        <f t="shared" si="128"/>
        <v>0.036689531539173+0.268389532869266i</v>
      </c>
      <c r="AN249" s="150" t="str">
        <f t="shared" si="129"/>
        <v>0.271720836288i</v>
      </c>
      <c r="AO249" s="150" t="str">
        <f t="shared" si="130"/>
        <v>0.987739978044219-0.135026566384793i</v>
      </c>
      <c r="AP249" s="150" t="str">
        <f t="shared" si="131"/>
        <v>0.160551744743471-0.0447315888115443i</v>
      </c>
      <c r="AQ249" s="150" t="str">
        <f t="shared" si="132"/>
        <v>0.839448255256529+0.0447315888115443i</v>
      </c>
      <c r="AR249" s="150" t="str">
        <f t="shared" si="133"/>
        <v>0.989508757025704-0.0527278466153579i</v>
      </c>
    </row>
    <row r="250" spans="7:44" x14ac:dyDescent="0.25">
      <c r="G250" s="594">
        <v>15224</v>
      </c>
      <c r="H250" s="582">
        <f t="shared" si="125"/>
        <v>15.224</v>
      </c>
      <c r="I250" s="583">
        <f t="shared" si="105"/>
        <v>14.886753789057693</v>
      </c>
      <c r="J250" s="584">
        <f t="shared" si="106"/>
        <v>1.503571893659547</v>
      </c>
      <c r="K250" s="584">
        <f t="shared" si="107"/>
        <v>1.000033835830898</v>
      </c>
      <c r="L250" s="585">
        <f t="shared" si="108"/>
        <v>8.2261627594604324E-3</v>
      </c>
      <c r="M250" s="584">
        <f t="shared" si="109"/>
        <v>1.0083545131753071</v>
      </c>
      <c r="N250" s="585">
        <f t="shared" si="110"/>
        <v>-0.1288158370799671</v>
      </c>
      <c r="O250" s="583">
        <f t="shared" si="111"/>
        <v>27548.701364223278</v>
      </c>
      <c r="P250" s="586">
        <f t="shared" si="112"/>
        <v>1.5707600274431777</v>
      </c>
      <c r="Q250" s="595">
        <f t="shared" si="134"/>
        <v>11.522102445583462</v>
      </c>
      <c r="R250" s="596">
        <f t="shared" si="135"/>
        <v>1.4838972831191877</v>
      </c>
      <c r="S250" s="583">
        <f t="shared" si="113"/>
        <v>1.0029237003163749</v>
      </c>
      <c r="T250" s="586">
        <f t="shared" si="114"/>
        <v>7.6375319184896262E-2</v>
      </c>
      <c r="U250" s="587">
        <f t="shared" si="126"/>
        <v>0.98773250922993261</v>
      </c>
      <c r="V250" s="588">
        <f t="shared" si="127"/>
        <v>-0.19018355419025662</v>
      </c>
      <c r="W250" s="589">
        <f t="shared" si="115"/>
        <v>5.7767568740930013</v>
      </c>
      <c r="X250" s="590">
        <f t="shared" si="116"/>
        <v>-113.3071703049265</v>
      </c>
      <c r="Y250" s="593">
        <f t="shared" si="117"/>
        <v>66.692829695073499</v>
      </c>
      <c r="AA250" s="150">
        <f t="shared" si="118"/>
        <v>1000000000</v>
      </c>
      <c r="AB250" s="150">
        <f t="shared" si="119"/>
        <v>231770176</v>
      </c>
      <c r="AD250" s="592">
        <f t="shared" si="120"/>
        <v>27.611703804187968</v>
      </c>
      <c r="AE250" s="593">
        <f t="shared" si="121"/>
        <v>-9.3528521056348612</v>
      </c>
      <c r="AG250" s="592">
        <f t="shared" si="122"/>
        <v>3.7674221084568571</v>
      </c>
      <c r="AH250" s="593">
        <f t="shared" si="123"/>
        <v>-82.160888198590428</v>
      </c>
      <c r="AJ250" s="150">
        <f t="shared" si="124"/>
        <v>0</v>
      </c>
      <c r="AK250" s="150">
        <f t="shared" si="136"/>
        <v>0</v>
      </c>
      <c r="AM250" s="150" t="str">
        <f t="shared" si="128"/>
        <v>0.037114727770866+0.269911008527305i</v>
      </c>
      <c r="AN250" s="150" t="str">
        <f t="shared" si="129"/>
        <v>0.273300608592i</v>
      </c>
      <c r="AO250" s="150" t="str">
        <f t="shared" si="130"/>
        <v>0.987597539273119-0.135801848236178i</v>
      </c>
      <c r="AP250" s="150" t="str">
        <f t="shared" si="131"/>
        <v>0.160480878704856-0.0449851680878842i</v>
      </c>
      <c r="AQ250" s="150" t="str">
        <f t="shared" si="132"/>
        <v>0.839519121295144+0.0449851680878842i</v>
      </c>
      <c r="AR250" s="150" t="str">
        <f t="shared" si="133"/>
        <v>0.989393856232479-0.0530161229193618i</v>
      </c>
    </row>
    <row r="251" spans="7:44" x14ac:dyDescent="0.25">
      <c r="G251" s="594">
        <v>15312</v>
      </c>
      <c r="H251" s="582">
        <f t="shared" si="125"/>
        <v>15.311999999999999</v>
      </c>
      <c r="I251" s="583">
        <f t="shared" si="105"/>
        <v>14.972417211827898</v>
      </c>
      <c r="J251" s="584">
        <f t="shared" si="106"/>
        <v>1.5039570880304087</v>
      </c>
      <c r="K251" s="584">
        <f t="shared" si="107"/>
        <v>1.000034228120396</v>
      </c>
      <c r="L251" s="585">
        <f t="shared" si="108"/>
        <v>8.2737106694750519E-3</v>
      </c>
      <c r="M251" s="584">
        <f t="shared" si="109"/>
        <v>1.0084509704039515</v>
      </c>
      <c r="N251" s="585">
        <f t="shared" si="110"/>
        <v>-0.12955215719334381</v>
      </c>
      <c r="O251" s="583">
        <f t="shared" si="111"/>
        <v>27707.942412362168</v>
      </c>
      <c r="P251" s="586">
        <f t="shared" si="112"/>
        <v>1.5707602360601414</v>
      </c>
      <c r="Q251" s="595">
        <f t="shared" si="134"/>
        <v>11.588203949961315</v>
      </c>
      <c r="R251" s="596">
        <f t="shared" si="135"/>
        <v>1.4843942139491368</v>
      </c>
      <c r="S251" s="583">
        <f t="shared" si="113"/>
        <v>1.0029575480278514</v>
      </c>
      <c r="T251" s="586">
        <f t="shared" si="114"/>
        <v>7.6815065385181805E-2</v>
      </c>
      <c r="U251" s="587">
        <f t="shared" si="126"/>
        <v>0.98759725242059604</v>
      </c>
      <c r="V251" s="588">
        <f t="shared" si="127"/>
        <v>-0.19126992957048872</v>
      </c>
      <c r="W251" s="589">
        <f t="shared" si="115"/>
        <v>5.7258952411586375</v>
      </c>
      <c r="X251" s="590">
        <f t="shared" si="116"/>
        <v>-113.42768429629839</v>
      </c>
      <c r="Y251" s="593">
        <f t="shared" si="117"/>
        <v>66.572315703701605</v>
      </c>
      <c r="AA251" s="150">
        <f t="shared" si="118"/>
        <v>1000000000</v>
      </c>
      <c r="AB251" s="150">
        <f t="shared" si="119"/>
        <v>234457344</v>
      </c>
      <c r="AD251" s="592">
        <f t="shared" si="120"/>
        <v>27.611035721173558</v>
      </c>
      <c r="AE251" s="593">
        <f t="shared" si="121"/>
        <v>-9.3495876205699471</v>
      </c>
      <c r="AG251" s="592">
        <f t="shared" si="122"/>
        <v>3.719607555185136</v>
      </c>
      <c r="AH251" s="593">
        <f t="shared" si="123"/>
        <v>-82.160177226376547</v>
      </c>
      <c r="AJ251" s="150">
        <f t="shared" si="124"/>
        <v>0</v>
      </c>
      <c r="AK251" s="150">
        <f t="shared" si="136"/>
        <v>0</v>
      </c>
      <c r="AM251" s="150" t="str">
        <f t="shared" si="128"/>
        <v>0.037542327056088+0.271431810573834i</v>
      </c>
      <c r="AN251" s="150" t="str">
        <f t="shared" si="129"/>
        <v>0.274880380896i</v>
      </c>
      <c r="AO251" s="150" t="str">
        <f t="shared" si="130"/>
        <v>0.98745428716693-0.136576960981046i</v>
      </c>
      <c r="AP251" s="150" t="str">
        <f t="shared" si="131"/>
        <v>0.160409612157319-0.045238635095639i</v>
      </c>
      <c r="AQ251" s="150" t="str">
        <f t="shared" si="132"/>
        <v>0.839590387842681+0.045238635095639i</v>
      </c>
      <c r="AR251" s="150" t="str">
        <f t="shared" si="133"/>
        <v>0.989278352524266-0.053304090954226i</v>
      </c>
    </row>
    <row r="252" spans="7:44" x14ac:dyDescent="0.25">
      <c r="G252" s="594">
        <v>15400</v>
      </c>
      <c r="H252" s="582">
        <f t="shared" si="125"/>
        <v>15.4</v>
      </c>
      <c r="I252" s="583">
        <f t="shared" si="105"/>
        <v>15.058082830849921</v>
      </c>
      <c r="J252" s="584">
        <f t="shared" si="106"/>
        <v>1.5043378997061816</v>
      </c>
      <c r="K252" s="584">
        <f t="shared" si="107"/>
        <v>1.0000346226707737</v>
      </c>
      <c r="L252" s="585">
        <f t="shared" si="108"/>
        <v>8.3212585420783733E-3</v>
      </c>
      <c r="M252" s="584">
        <f t="shared" si="109"/>
        <v>1.0085479742769905</v>
      </c>
      <c r="N252" s="585">
        <f t="shared" si="110"/>
        <v>-0.13028833606472739</v>
      </c>
      <c r="O252" s="583">
        <f t="shared" si="111"/>
        <v>27867.183460502256</v>
      </c>
      <c r="P252" s="586">
        <f t="shared" si="112"/>
        <v>1.5707604422929113</v>
      </c>
      <c r="Q252" s="595">
        <f t="shared" si="134"/>
        <v>11.654308283471664</v>
      </c>
      <c r="R252" s="596">
        <f t="shared" si="135"/>
        <v>1.4848855076223828</v>
      </c>
      <c r="S252" s="583">
        <f t="shared" si="113"/>
        <v>1.0029915896748576</v>
      </c>
      <c r="T252" s="586">
        <f t="shared" si="114"/>
        <v>7.725478182042278E-2</v>
      </c>
      <c r="U252" s="587">
        <f t="shared" si="126"/>
        <v>0.98746126899915232</v>
      </c>
      <c r="V252" s="588">
        <f t="shared" si="127"/>
        <v>-0.19235608532874296</v>
      </c>
      <c r="W252" s="589">
        <f t="shared" si="115"/>
        <v>5.6753194769726409</v>
      </c>
      <c r="X252" s="590">
        <f t="shared" si="116"/>
        <v>-113.54824764717168</v>
      </c>
      <c r="Y252" s="593">
        <f t="shared" si="117"/>
        <v>66.451752352828322</v>
      </c>
      <c r="AA252" s="150">
        <f t="shared" si="118"/>
        <v>1000000000</v>
      </c>
      <c r="AB252" s="150">
        <f t="shared" si="119"/>
        <v>237160000</v>
      </c>
      <c r="AD252" s="592">
        <f t="shared" si="120"/>
        <v>27.610372346314279</v>
      </c>
      <c r="AE252" s="593">
        <f t="shared" si="121"/>
        <v>-9.3466442787772728</v>
      </c>
      <c r="AG252" s="592">
        <f t="shared" si="122"/>
        <v>3.6720872711663297</v>
      </c>
      <c r="AH252" s="593">
        <f t="shared" si="123"/>
        <v>-82.159219637216722</v>
      </c>
      <c r="AJ252" s="150">
        <f t="shared" si="124"/>
        <v>0</v>
      </c>
      <c r="AK252" s="150">
        <f t="shared" si="136"/>
        <v>0</v>
      </c>
      <c r="AM252" s="150" t="str">
        <f t="shared" si="128"/>
        <v>0.037972328327688+0.272951935213419i</v>
      </c>
      <c r="AN252" s="150" t="str">
        <f t="shared" si="129"/>
        <v>0.2764601532i</v>
      </c>
      <c r="AO252" s="150" t="str">
        <f t="shared" si="130"/>
        <v>0.987310221939857-0.13735190365831i</v>
      </c>
      <c r="AP252" s="150" t="str">
        <f t="shared" si="131"/>
        <v>0.160337945278719-0.0454919892022365i</v>
      </c>
      <c r="AQ252" s="150" t="str">
        <f t="shared" si="132"/>
        <v>0.839662054721281+0.0454919892022365i</v>
      </c>
      <c r="AR252" s="150" t="str">
        <f t="shared" si="133"/>
        <v>0.989162246946281-0.0535917492094808i</v>
      </c>
    </row>
    <row r="253" spans="7:44" x14ac:dyDescent="0.25">
      <c r="G253" s="594">
        <v>15488</v>
      </c>
      <c r="H253" s="582">
        <f t="shared" si="125"/>
        <v>15.488</v>
      </c>
      <c r="I253" s="583">
        <f t="shared" si="105"/>
        <v>15.143750608852297</v>
      </c>
      <c r="J253" s="584">
        <f t="shared" si="106"/>
        <v>1.5047144029538229</v>
      </c>
      <c r="K253" s="584">
        <f t="shared" si="107"/>
        <v>1.0000350194820278</v>
      </c>
      <c r="L253" s="585">
        <f t="shared" si="108"/>
        <v>8.3688063770554523E-3</v>
      </c>
      <c r="M253" s="584">
        <f t="shared" si="109"/>
        <v>1.0086455246367079</v>
      </c>
      <c r="N253" s="585">
        <f t="shared" si="110"/>
        <v>-0.13102437293702618</v>
      </c>
      <c r="O253" s="583">
        <f t="shared" si="111"/>
        <v>28026.424508643508</v>
      </c>
      <c r="P253" s="586">
        <f t="shared" si="112"/>
        <v>1.5707606461821269</v>
      </c>
      <c r="Q253" s="595">
        <f t="shared" si="134"/>
        <v>11.720415398244727</v>
      </c>
      <c r="R253" s="596">
        <f t="shared" si="135"/>
        <v>1.4853712592861519</v>
      </c>
      <c r="S253" s="583">
        <f t="shared" si="113"/>
        <v>1.0030258252376469</v>
      </c>
      <c r="T253" s="586">
        <f t="shared" si="114"/>
        <v>7.7694468323619675E-2</v>
      </c>
      <c r="U253" s="587">
        <f t="shared" si="126"/>
        <v>0.98732455984331313</v>
      </c>
      <c r="V253" s="588">
        <f t="shared" si="127"/>
        <v>-0.19344202032458041</v>
      </c>
      <c r="W253" s="589">
        <f t="shared" si="115"/>
        <v>5.6250262575083951</v>
      </c>
      <c r="X253" s="590">
        <f t="shared" si="116"/>
        <v>-113.66885904524707</v>
      </c>
      <c r="Y253" s="593">
        <f t="shared" si="117"/>
        <v>66.331140954752925</v>
      </c>
      <c r="AA253" s="150">
        <f t="shared" si="118"/>
        <v>1000000000</v>
      </c>
      <c r="AB253" s="150">
        <f t="shared" si="119"/>
        <v>239878144</v>
      </c>
      <c r="AD253" s="592">
        <f t="shared" si="120"/>
        <v>27.609713536296326</v>
      </c>
      <c r="AE253" s="593">
        <f t="shared" si="121"/>
        <v>-9.3440166214824245</v>
      </c>
      <c r="AG253" s="592">
        <f t="shared" si="122"/>
        <v>3.6248580656154408</v>
      </c>
      <c r="AH253" s="593">
        <f t="shared" si="123"/>
        <v>-82.158019708270686</v>
      </c>
      <c r="AJ253" s="150">
        <f t="shared" si="124"/>
        <v>0</v>
      </c>
      <c r="AK253" s="150">
        <f t="shared" si="136"/>
        <v>0</v>
      </c>
      <c r="AM253" s="150" t="str">
        <f t="shared" si="128"/>
        <v>0.038404730512521+0.274471378652314i</v>
      </c>
      <c r="AN253" s="150" t="str">
        <f t="shared" si="129"/>
        <v>0.278039925504i</v>
      </c>
      <c r="AO253" s="150" t="str">
        <f t="shared" si="130"/>
        <v>0.987165343807306-0.138126675307171i</v>
      </c>
      <c r="AP253" s="150" t="str">
        <f t="shared" si="131"/>
        <v>0.160265878247913-0.0457452297753857i</v>
      </c>
      <c r="AQ253" s="150" t="str">
        <f t="shared" si="132"/>
        <v>0.839734121752087+0.0457452297753857i</v>
      </c>
      <c r="AR253" s="150" t="str">
        <f t="shared" si="133"/>
        <v>0.989045540548365-0.0538790961790437i</v>
      </c>
    </row>
    <row r="254" spans="7:44" x14ac:dyDescent="0.25">
      <c r="G254" s="594">
        <v>15578.25</v>
      </c>
      <c r="H254" s="582">
        <f t="shared" si="125"/>
        <v>15.578250000000001</v>
      </c>
      <c r="I254" s="583">
        <f t="shared" si="105"/>
        <v>15.23161096050641</v>
      </c>
      <c r="J254" s="584">
        <f t="shared" si="106"/>
        <v>1.5050961336712712</v>
      </c>
      <c r="K254" s="584">
        <f t="shared" si="107"/>
        <v>1.000035428787347</v>
      </c>
      <c r="L254" s="585">
        <f t="shared" si="108"/>
        <v>8.4175698844155267E-3</v>
      </c>
      <c r="M254" s="584">
        <f t="shared" si="109"/>
        <v>1.0087461366399859</v>
      </c>
      <c r="N254" s="585">
        <f t="shared" si="110"/>
        <v>-0.13177908065029309</v>
      </c>
      <c r="O254" s="583">
        <f t="shared" si="111"/>
        <v>28189.737060857751</v>
      </c>
      <c r="P254" s="586">
        <f t="shared" si="112"/>
        <v>1.5707608528918215</v>
      </c>
      <c r="Q254" s="595">
        <f t="shared" si="134"/>
        <v>11.788215591572159</v>
      </c>
      <c r="R254" s="596">
        <f t="shared" si="135"/>
        <v>1.4858637717978995</v>
      </c>
      <c r="S254" s="583">
        <f t="shared" si="113"/>
        <v>1.0030611375370093</v>
      </c>
      <c r="T254" s="586">
        <f t="shared" si="114"/>
        <v>7.8145365546618994E-2</v>
      </c>
      <c r="U254" s="587">
        <f t="shared" si="126"/>
        <v>0.98718360240145564</v>
      </c>
      <c r="V254" s="588">
        <f t="shared" si="127"/>
        <v>-0.19455549020996904</v>
      </c>
      <c r="W254" s="589">
        <f t="shared" si="115"/>
        <v>5.573737183421942</v>
      </c>
      <c r="X254" s="590">
        <f t="shared" si="116"/>
        <v>-113.79260281621123</v>
      </c>
      <c r="Y254" s="593">
        <f t="shared" si="117"/>
        <v>66.207397183788771</v>
      </c>
      <c r="AA254" s="150">
        <f t="shared" si="118"/>
        <v>1000000000</v>
      </c>
      <c r="AB254" s="150">
        <f t="shared" si="119"/>
        <v>242681873.0625</v>
      </c>
      <c r="AD254" s="592">
        <f t="shared" si="120"/>
        <v>27.609042477220083</v>
      </c>
      <c r="AE254" s="593">
        <f t="shared" si="121"/>
        <v>-9.3416440846643045</v>
      </c>
      <c r="AG254" s="592">
        <f t="shared" si="122"/>
        <v>3.5767203458182473</v>
      </c>
      <c r="AH254" s="593">
        <f t="shared" si="123"/>
        <v>-82.156541765811781</v>
      </c>
      <c r="AJ254" s="150">
        <f t="shared" si="124"/>
        <v>0</v>
      </c>
      <c r="AK254" s="150">
        <f t="shared" si="136"/>
        <v>0</v>
      </c>
      <c r="AM254" s="150" t="str">
        <f t="shared" si="128"/>
        <v>0.038850681083052+0.276028959976098i</v>
      </c>
      <c r="AN254" s="150" t="str">
        <f t="shared" si="129"/>
        <v>0.2796600897135i</v>
      </c>
      <c r="AO254" s="150" t="str">
        <f t="shared" si="130"/>
        <v>0.987015917283292-0.13892107780861i</v>
      </c>
      <c r="AP254" s="150" t="str">
        <f t="shared" si="131"/>
        <v>0.160191553152825-0.046004826662683i</v>
      </c>
      <c r="AQ254" s="150" t="str">
        <f t="shared" si="132"/>
        <v>0.839808446847175+0.046004826662683i</v>
      </c>
      <c r="AR254" s="150" t="str">
        <f t="shared" si="133"/>
        <v>0.988925227225521-0.0541734651891916i</v>
      </c>
    </row>
    <row r="255" spans="7:44" x14ac:dyDescent="0.25">
      <c r="G255" s="594">
        <v>15668.5</v>
      </c>
      <c r="H255" s="582">
        <f t="shared" si="125"/>
        <v>15.6685</v>
      </c>
      <c r="I255" s="583">
        <f t="shared" si="105"/>
        <v>15.31947350622654</v>
      </c>
      <c r="J255" s="584">
        <f t="shared" si="106"/>
        <v>1.5054734857244747</v>
      </c>
      <c r="K255" s="584">
        <f t="shared" si="107"/>
        <v>1.0000358404706282</v>
      </c>
      <c r="L255" s="585">
        <f t="shared" si="108"/>
        <v>8.4663333517427525E-3</v>
      </c>
      <c r="M255" s="584">
        <f t="shared" si="109"/>
        <v>1.0088473230938602</v>
      </c>
      <c r="N255" s="585">
        <f t="shared" si="110"/>
        <v>-0.13253363740029969</v>
      </c>
      <c r="O255" s="583">
        <f t="shared" si="111"/>
        <v>28353.049613073188</v>
      </c>
      <c r="P255" s="586">
        <f t="shared" si="112"/>
        <v>1.5707610572202353</v>
      </c>
      <c r="Q255" s="595">
        <f t="shared" si="134"/>
        <v>11.856018611645553</v>
      </c>
      <c r="R255" s="596">
        <f t="shared" si="135"/>
        <v>1.4863506511973246</v>
      </c>
      <c r="S255" s="583">
        <f t="shared" si="113"/>
        <v>1.00309665375265</v>
      </c>
      <c r="T255" s="586">
        <f t="shared" si="114"/>
        <v>7.859623093182605E-2</v>
      </c>
      <c r="U255" s="587">
        <f t="shared" si="126"/>
        <v>0.98704188352234912</v>
      </c>
      <c r="V255" s="588">
        <f t="shared" si="127"/>
        <v>-0.19566872547640085</v>
      </c>
      <c r="W255" s="589">
        <f t="shared" si="115"/>
        <v>5.5227383884195893</v>
      </c>
      <c r="X255" s="590">
        <f t="shared" si="116"/>
        <v>-113.91639441120746</v>
      </c>
      <c r="Y255" s="593">
        <f t="shared" si="117"/>
        <v>66.083605588792537</v>
      </c>
      <c r="AA255" s="150">
        <f t="shared" si="118"/>
        <v>1000000000</v>
      </c>
      <c r="AB255" s="150">
        <f t="shared" si="119"/>
        <v>245501892.25</v>
      </c>
      <c r="AD255" s="592">
        <f t="shared" si="120"/>
        <v>27.608375926895476</v>
      </c>
      <c r="AE255" s="593">
        <f t="shared" si="121"/>
        <v>-9.3395923407996921</v>
      </c>
      <c r="AG255" s="592">
        <f t="shared" si="122"/>
        <v>3.5288821517024878</v>
      </c>
      <c r="AH255" s="593">
        <f t="shared" si="123"/>
        <v>-82.15481773978351</v>
      </c>
      <c r="AJ255" s="150">
        <f t="shared" si="124"/>
        <v>0</v>
      </c>
      <c r="AK255" s="150">
        <f t="shared" si="136"/>
        <v>0</v>
      </c>
      <c r="AM255" s="150" t="str">
        <f t="shared" si="128"/>
        <v>0.039299154604698+0.277585816742772i</v>
      </c>
      <c r="AN255" s="150" t="str">
        <f t="shared" si="129"/>
        <v>0.281280253923i</v>
      </c>
      <c r="AO255" s="150" t="str">
        <f t="shared" si="130"/>
        <v>0.986865636216187-0.139715298378023i</v>
      </c>
      <c r="AP255" s="150" t="str">
        <f t="shared" si="131"/>
        <v>0.160116807565884-0.046264302790462i</v>
      </c>
      <c r="AQ255" s="150" t="str">
        <f t="shared" si="132"/>
        <v>0.839883192434116+0.046264302790462i</v>
      </c>
      <c r="AR255" s="150" t="str">
        <f t="shared" si="133"/>
        <v>0.988804284217727-0.0544675035977024i</v>
      </c>
    </row>
    <row r="256" spans="7:44" x14ac:dyDescent="0.25">
      <c r="G256" s="594">
        <v>15758.75</v>
      </c>
      <c r="H256" s="582">
        <f t="shared" si="125"/>
        <v>15.758749999999999</v>
      </c>
      <c r="I256" s="583">
        <f t="shared" si="105"/>
        <v>15.407338208476762</v>
      </c>
      <c r="J256" s="584">
        <f t="shared" si="106"/>
        <v>1.5058465339167502</v>
      </c>
      <c r="K256" s="584">
        <f t="shared" si="107"/>
        <v>1.0000362545318682</v>
      </c>
      <c r="L256" s="585">
        <f t="shared" si="108"/>
        <v>8.5150967788052701E-3</v>
      </c>
      <c r="M256" s="584">
        <f t="shared" si="109"/>
        <v>1.0089490838254978</v>
      </c>
      <c r="N256" s="585">
        <f t="shared" si="110"/>
        <v>-0.13328804237337299</v>
      </c>
      <c r="O256" s="583">
        <f t="shared" si="111"/>
        <v>28516.362165289793</v>
      </c>
      <c r="P256" s="586">
        <f t="shared" si="112"/>
        <v>1.5707612592082807</v>
      </c>
      <c r="Q256" s="595">
        <f t="shared" si="134"/>
        <v>11.92382441024332</v>
      </c>
      <c r="R256" s="596">
        <f t="shared" si="135"/>
        <v>1.4868319933510596</v>
      </c>
      <c r="S256" s="583">
        <f t="shared" si="113"/>
        <v>1.0031323738629097</v>
      </c>
      <c r="T256" s="586">
        <f t="shared" si="114"/>
        <v>7.904706429932884E-2</v>
      </c>
      <c r="U256" s="587">
        <f t="shared" si="126"/>
        <v>0.98689940416597965</v>
      </c>
      <c r="V256" s="588">
        <f t="shared" si="127"/>
        <v>-0.19678172490026966</v>
      </c>
      <c r="W256" s="589">
        <f t="shared" si="115"/>
        <v>5.4720264700029384</v>
      </c>
      <c r="X256" s="590">
        <f t="shared" si="116"/>
        <v>-114.04023249871832</v>
      </c>
      <c r="Y256" s="593">
        <f t="shared" si="117"/>
        <v>65.959767501281675</v>
      </c>
      <c r="AA256" s="150">
        <f t="shared" si="118"/>
        <v>1000000000</v>
      </c>
      <c r="AB256" s="150">
        <f t="shared" si="119"/>
        <v>248338201.5625</v>
      </c>
      <c r="AD256" s="592">
        <f t="shared" si="120"/>
        <v>27.607713743462568</v>
      </c>
      <c r="AE256" s="593">
        <f t="shared" si="121"/>
        <v>-9.3378558891710473</v>
      </c>
      <c r="AG256" s="592">
        <f t="shared" si="122"/>
        <v>3.4813402116060512</v>
      </c>
      <c r="AH256" s="593">
        <f t="shared" si="123"/>
        <v>-82.152851939600964</v>
      </c>
      <c r="AJ256" s="150">
        <f t="shared" si="124"/>
        <v>0</v>
      </c>
      <c r="AK256" s="150">
        <f t="shared" si="136"/>
        <v>0</v>
      </c>
      <c r="AM256" s="150" t="str">
        <f t="shared" si="128"/>
        <v>0.0397501499002469+0.279141944865693i</v>
      </c>
      <c r="AN256" s="150" t="str">
        <f t="shared" si="129"/>
        <v>0.2829004181325i</v>
      </c>
      <c r="AO256" s="150" t="str">
        <f t="shared" si="130"/>
        <v>0.986714500842319-0.140509335979947i</v>
      </c>
      <c r="AP256" s="150" t="str">
        <f t="shared" si="131"/>
        <v>0.160041641683292-0.0465236574776155i</v>
      </c>
      <c r="AQ256" s="150" t="str">
        <f t="shared" si="132"/>
        <v>0.839958358316708+0.0465236574776155i</v>
      </c>
      <c r="AR256" s="150" t="str">
        <f t="shared" si="133"/>
        <v>0.988682712672451-0.0547612097944855i</v>
      </c>
    </row>
    <row r="257" spans="7:44" x14ac:dyDescent="0.25">
      <c r="G257" s="594">
        <v>15849</v>
      </c>
      <c r="H257" s="582">
        <f t="shared" si="125"/>
        <v>15.849</v>
      </c>
      <c r="I257" s="583">
        <f t="shared" si="105"/>
        <v>15.495205030571624</v>
      </c>
      <c r="J257" s="584">
        <f t="shared" si="106"/>
        <v>1.5062153513595558</v>
      </c>
      <c r="K257" s="584">
        <f t="shared" si="107"/>
        <v>1.0000366709710644</v>
      </c>
      <c r="L257" s="585">
        <f t="shared" si="108"/>
        <v>8.5638601653712284E-3</v>
      </c>
      <c r="M257" s="584">
        <f t="shared" si="109"/>
        <v>1.0090514186611541</v>
      </c>
      <c r="N257" s="585">
        <f t="shared" si="110"/>
        <v>-0.13404229475685842</v>
      </c>
      <c r="O257" s="583">
        <f t="shared" si="111"/>
        <v>28679.674717507547</v>
      </c>
      <c r="P257" s="586">
        <f t="shared" si="112"/>
        <v>1.5707614588959384</v>
      </c>
      <c r="Q257" s="595">
        <f t="shared" si="134"/>
        <v>11.991632940232583</v>
      </c>
      <c r="R257" s="596">
        <f t="shared" si="135"/>
        <v>1.4873078919677654</v>
      </c>
      <c r="S257" s="583">
        <f t="shared" si="113"/>
        <v>1.0031682978460077</v>
      </c>
      <c r="T257" s="586">
        <f t="shared" si="114"/>
        <v>7.9497865469292966E-2</v>
      </c>
      <c r="U257" s="587">
        <f t="shared" si="126"/>
        <v>0.98675616529677201</v>
      </c>
      <c r="V257" s="588">
        <f t="shared" si="127"/>
        <v>-0.19789448726020883</v>
      </c>
      <c r="W257" s="589">
        <f t="shared" si="115"/>
        <v>5.4215980846492862</v>
      </c>
      <c r="X257" s="590">
        <f t="shared" si="116"/>
        <v>-114.16411577407057</v>
      </c>
      <c r="Y257" s="593">
        <f t="shared" si="117"/>
        <v>65.835884225929433</v>
      </c>
      <c r="AA257" s="150">
        <f t="shared" si="118"/>
        <v>1000000000</v>
      </c>
      <c r="AB257" s="150">
        <f t="shared" si="119"/>
        <v>251190801</v>
      </c>
      <c r="AD257" s="592">
        <f t="shared" si="120"/>
        <v>27.607055789073303</v>
      </c>
      <c r="AE257" s="593">
        <f t="shared" si="121"/>
        <v>-9.3364293526545836</v>
      </c>
      <c r="AG257" s="592">
        <f t="shared" si="122"/>
        <v>3.4340913087770746</v>
      </c>
      <c r="AH257" s="593">
        <f t="shared" si="123"/>
        <v>-82.150648577672897</v>
      </c>
      <c r="AJ257" s="150">
        <f t="shared" si="124"/>
        <v>0</v>
      </c>
      <c r="AK257" s="150">
        <f t="shared" si="136"/>
        <v>0</v>
      </c>
      <c r="AM257" s="150" t="str">
        <f t="shared" si="128"/>
        <v>0.040203665785868+0.280697340260134i</v>
      </c>
      <c r="AN257" s="150" t="str">
        <f t="shared" si="129"/>
        <v>0.284520582342i</v>
      </c>
      <c r="AO257" s="150" t="str">
        <f t="shared" si="130"/>
        <v>0.986562511399367-0.141303189579242i</v>
      </c>
      <c r="AP257" s="150" t="str">
        <f t="shared" si="131"/>
        <v>0.159966055702355-0.0467828900433557i</v>
      </c>
      <c r="AQ257" s="150" t="str">
        <f t="shared" si="132"/>
        <v>0.840033944297645+0.0467828900433557i</v>
      </c>
      <c r="AR257" s="150" t="str">
        <f t="shared" si="133"/>
        <v>0.988560513742184-0.0550545821743807i</v>
      </c>
    </row>
    <row r="258" spans="7:44" x14ac:dyDescent="0.25">
      <c r="G258" s="594">
        <v>15941.25</v>
      </c>
      <c r="H258" s="582">
        <f t="shared" si="125"/>
        <v>15.94125</v>
      </c>
      <c r="I258" s="583">
        <f t="shared" si="105"/>
        <v>15.585021193361834</v>
      </c>
      <c r="J258" s="584">
        <f t="shared" si="106"/>
        <v>1.5065880440160482</v>
      </c>
      <c r="K258" s="584">
        <f t="shared" si="107"/>
        <v>1.0000370990964125</v>
      </c>
      <c r="L258" s="585">
        <f t="shared" si="108"/>
        <v>8.6137041389083152E-3</v>
      </c>
      <c r="M258" s="584">
        <f t="shared" si="109"/>
        <v>1.0091566144517412</v>
      </c>
      <c r="N258" s="585">
        <f t="shared" si="110"/>
        <v>-0.13481310333031746</v>
      </c>
      <c r="O258" s="583">
        <f t="shared" si="111"/>
        <v>28846.606384457064</v>
      </c>
      <c r="P258" s="586">
        <f t="shared" si="112"/>
        <v>1.5707616606720649</v>
      </c>
      <c r="Q258" s="595">
        <f t="shared" si="134"/>
        <v>12.060946927219897</v>
      </c>
      <c r="R258" s="596">
        <f t="shared" si="135"/>
        <v>1.4877888063581397</v>
      </c>
      <c r="S258" s="583">
        <f t="shared" si="113"/>
        <v>1.0032052286054869</v>
      </c>
      <c r="T258" s="586">
        <f t="shared" si="114"/>
        <v>7.9958623230014486E-2</v>
      </c>
      <c r="U258" s="587">
        <f t="shared" si="126"/>
        <v>0.98660896822136956</v>
      </c>
      <c r="V258" s="588">
        <f t="shared" si="127"/>
        <v>-0.19903166290220045</v>
      </c>
      <c r="W258" s="589">
        <f t="shared" si="115"/>
        <v>5.3703417796596034</v>
      </c>
      <c r="X258" s="590">
        <f t="shared" si="116"/>
        <v>-114.29078975520507</v>
      </c>
      <c r="Y258" s="593">
        <f t="shared" si="117"/>
        <v>65.709210244794932</v>
      </c>
      <c r="AA258" s="150">
        <f t="shared" si="118"/>
        <v>1000000000</v>
      </c>
      <c r="AB258" s="150">
        <f t="shared" si="119"/>
        <v>254123451.5625</v>
      </c>
      <c r="AD258" s="592">
        <f t="shared" si="120"/>
        <v>27.606387485178942</v>
      </c>
      <c r="AE258" s="593">
        <f t="shared" si="121"/>
        <v>-9.3352860237654092</v>
      </c>
      <c r="AG258" s="592">
        <f t="shared" si="122"/>
        <v>3.3860948960961808</v>
      </c>
      <c r="AH258" s="593">
        <f t="shared" si="123"/>
        <v>-82.148155157845252</v>
      </c>
      <c r="AJ258" s="150">
        <f t="shared" si="124"/>
        <v>0</v>
      </c>
      <c r="AK258" s="150">
        <f t="shared" si="136"/>
        <v>0</v>
      </c>
      <c r="AM258" s="150" t="str">
        <f t="shared" si="128"/>
        <v>0.0406698356415049+0.282286442734862i</v>
      </c>
      <c r="AN258" s="150" t="str">
        <f t="shared" si="129"/>
        <v>0.2861766504675i</v>
      </c>
      <c r="AO258" s="150" t="str">
        <f t="shared" si="130"/>
        <v>0.986406271349242-0.142114444260447i</v>
      </c>
      <c r="AP258" s="150" t="str">
        <f t="shared" si="131"/>
        <v>0.159888360726416-0.0470477404558103i</v>
      </c>
      <c r="AQ258" s="150" t="str">
        <f t="shared" si="132"/>
        <v>0.840111639273584+0.0470477404558103i</v>
      </c>
      <c r="AR258" s="150" t="str">
        <f t="shared" si="133"/>
        <v>0.988434959613546-0.055354109220005i</v>
      </c>
    </row>
    <row r="259" spans="7:44" x14ac:dyDescent="0.25">
      <c r="G259" s="594">
        <v>16033.5</v>
      </c>
      <c r="H259" s="582">
        <f t="shared" si="125"/>
        <v>16.0335</v>
      </c>
      <c r="I259" s="583">
        <f t="shared" si="105"/>
        <v>15.674839496100525</v>
      </c>
      <c r="J259" s="584">
        <f t="shared" si="106"/>
        <v>1.5069564655953651</v>
      </c>
      <c r="K259" s="584">
        <f t="shared" si="107"/>
        <v>1.0000375297062722</v>
      </c>
      <c r="L259" s="585">
        <f t="shared" si="108"/>
        <v>8.6635480696442349E-3</v>
      </c>
      <c r="M259" s="584">
        <f t="shared" si="109"/>
        <v>1.0092624097033516</v>
      </c>
      <c r="N259" s="585">
        <f t="shared" si="110"/>
        <v>-0.13558375076259568</v>
      </c>
      <c r="O259" s="583">
        <f t="shared" si="111"/>
        <v>29013.538051407737</v>
      </c>
      <c r="P259" s="586">
        <f t="shared" si="112"/>
        <v>1.5707618601263218</v>
      </c>
      <c r="Q259" s="595">
        <f t="shared" si="134"/>
        <v>12.130263671767894</v>
      </c>
      <c r="R259" s="596">
        <f t="shared" si="135"/>
        <v>1.4882642246174655</v>
      </c>
      <c r="S259" s="583">
        <f t="shared" si="113"/>
        <v>1.0032423723274364</v>
      </c>
      <c r="T259" s="586">
        <f t="shared" si="114"/>
        <v>8.0419346970647176E-2</v>
      </c>
      <c r="U259" s="587">
        <f t="shared" si="126"/>
        <v>0.98646097964916779</v>
      </c>
      <c r="V259" s="588">
        <f t="shared" si="127"/>
        <v>-0.20016858828355802</v>
      </c>
      <c r="W259" s="589">
        <f t="shared" si="115"/>
        <v>5.3193748321491512</v>
      </c>
      <c r="X259" s="590">
        <f t="shared" si="116"/>
        <v>-114.41750827538002</v>
      </c>
      <c r="Y259" s="593">
        <f t="shared" si="117"/>
        <v>65.582491724619985</v>
      </c>
      <c r="AA259" s="150">
        <f t="shared" si="118"/>
        <v>1000000000</v>
      </c>
      <c r="AB259" s="150">
        <f t="shared" si="119"/>
        <v>257073122.25</v>
      </c>
      <c r="AD259" s="592">
        <f t="shared" si="120"/>
        <v>27.60572332085097</v>
      </c>
      <c r="AE259" s="593">
        <f t="shared" si="121"/>
        <v>-9.3344555177484914</v>
      </c>
      <c r="AG259" s="592">
        <f t="shared" si="122"/>
        <v>3.338398026423528</v>
      </c>
      <c r="AH259" s="593">
        <f t="shared" si="123"/>
        <v>-82.145422131942055</v>
      </c>
      <c r="AJ259" s="150">
        <f t="shared" si="124"/>
        <v>0</v>
      </c>
      <c r="AK259" s="150">
        <f t="shared" si="136"/>
        <v>0</v>
      </c>
      <c r="AM259" s="150" t="str">
        <f t="shared" si="128"/>
        <v>0.041138636518646+0.283874771021799i</v>
      </c>
      <c r="AN259" s="150" t="str">
        <f t="shared" si="129"/>
        <v>0.287832718593i</v>
      </c>
      <c r="AO259" s="150" t="str">
        <f t="shared" si="130"/>
        <v>0.986249139463545-0.142925504507417i</v>
      </c>
      <c r="AP259" s="150" t="str">
        <f t="shared" si="131"/>
        <v>0.159810227246892-0.0473124618369665i</v>
      </c>
      <c r="AQ259" s="150" t="str">
        <f t="shared" si="132"/>
        <v>0.840189772753108+0.0473124618369665i</v>
      </c>
      <c r="AR259" s="150" t="str">
        <f t="shared" si="133"/>
        <v>0.988308752436167-0.0556532841140837i</v>
      </c>
    </row>
    <row r="260" spans="7:44" x14ac:dyDescent="0.25">
      <c r="G260" s="594">
        <v>16125.75</v>
      </c>
      <c r="H260" s="582">
        <f t="shared" si="125"/>
        <v>16.12575</v>
      </c>
      <c r="I260" s="583">
        <f t="shared" si="105"/>
        <v>15.764659902210971</v>
      </c>
      <c r="J260" s="584">
        <f t="shared" si="106"/>
        <v>1.5073206890010347</v>
      </c>
      <c r="K260" s="584">
        <f t="shared" si="107"/>
        <v>1.0000379628006406</v>
      </c>
      <c r="L260" s="585">
        <f t="shared" si="108"/>
        <v>8.7133919573313765E-3</v>
      </c>
      <c r="M260" s="584">
        <f t="shared" si="109"/>
        <v>1.0093688042274913</v>
      </c>
      <c r="N260" s="585">
        <f t="shared" si="110"/>
        <v>-0.13635423618913575</v>
      </c>
      <c r="O260" s="583">
        <f t="shared" si="111"/>
        <v>29180.469718359549</v>
      </c>
      <c r="P260" s="586">
        <f t="shared" si="112"/>
        <v>1.5707620572985572</v>
      </c>
      <c r="Q260" s="595">
        <f t="shared" si="134"/>
        <v>12.199583126872064</v>
      </c>
      <c r="R260" s="596">
        <f t="shared" si="135"/>
        <v>1.4887342402179533</v>
      </c>
      <c r="S260" s="583">
        <f t="shared" si="113"/>
        <v>1.0032797289882034</v>
      </c>
      <c r="T260" s="586">
        <f t="shared" si="114"/>
        <v>8.0880036499388186E-2</v>
      </c>
      <c r="U260" s="587">
        <f t="shared" si="126"/>
        <v>0.9863122006243471</v>
      </c>
      <c r="V260" s="588">
        <f t="shared" si="127"/>
        <v>-0.20130526210721189</v>
      </c>
      <c r="W260" s="589">
        <f t="shared" si="115"/>
        <v>5.2686938536968402</v>
      </c>
      <c r="X260" s="590">
        <f t="shared" si="116"/>
        <v>-114.54427002355244</v>
      </c>
      <c r="Y260" s="593">
        <f t="shared" si="117"/>
        <v>65.455729976447557</v>
      </c>
      <c r="AA260" s="150">
        <f t="shared" si="118"/>
        <v>1000000000</v>
      </c>
      <c r="AB260" s="150">
        <f t="shared" si="119"/>
        <v>260039813.0625</v>
      </c>
      <c r="AD260" s="592">
        <f t="shared" si="120"/>
        <v>27.605063161010534</v>
      </c>
      <c r="AE260" s="593">
        <f t="shared" si="121"/>
        <v>-9.3339324703343021</v>
      </c>
      <c r="AG260" s="592">
        <f t="shared" si="122"/>
        <v>3.2909974344153454</v>
      </c>
      <c r="AH260" s="593">
        <f t="shared" si="123"/>
        <v>-82.142453701823143</v>
      </c>
      <c r="AJ260" s="150">
        <f t="shared" si="124"/>
        <v>0</v>
      </c>
      <c r="AK260" s="150">
        <f t="shared" si="136"/>
        <v>0</v>
      </c>
      <c r="AM260" s="150" t="str">
        <f t="shared" si="128"/>
        <v>0.041610067131577+0.285462320764858i</v>
      </c>
      <c r="AN260" s="150" t="str">
        <f t="shared" si="129"/>
        <v>0.2894887867185i</v>
      </c>
      <c r="AO260" s="150" t="str">
        <f t="shared" si="130"/>
        <v>0.986091116000437-0.143736369215706i</v>
      </c>
      <c r="AP260" s="150" t="str">
        <f t="shared" si="131"/>
        <v>0.159731655478071-0.0475770534608097i</v>
      </c>
      <c r="AQ260" s="150" t="str">
        <f t="shared" si="132"/>
        <v>0.840268344521929+0.0475770534608097i</v>
      </c>
      <c r="AR260" s="150" t="str">
        <f t="shared" si="133"/>
        <v>0.988181893456968-0.0559521051584484i</v>
      </c>
    </row>
    <row r="261" spans="7:44" x14ac:dyDescent="0.25">
      <c r="G261" s="594">
        <v>16218</v>
      </c>
      <c r="H261" s="582">
        <f t="shared" si="125"/>
        <v>16.218</v>
      </c>
      <c r="I261" s="583">
        <f t="shared" si="105"/>
        <v>15.854482375944471</v>
      </c>
      <c r="J261" s="584">
        <f t="shared" si="106"/>
        <v>1.5076807854889787</v>
      </c>
      <c r="K261" s="584">
        <f t="shared" si="107"/>
        <v>1.0000383983795142</v>
      </c>
      <c r="L261" s="585">
        <f t="shared" si="108"/>
        <v>8.7632358017221273E-3</v>
      </c>
      <c r="M261" s="584">
        <f t="shared" si="109"/>
        <v>1.0094757978346776</v>
      </c>
      <c r="N261" s="585">
        <f t="shared" si="110"/>
        <v>-0.13712455874651319</v>
      </c>
      <c r="O261" s="583">
        <f t="shared" si="111"/>
        <v>29347.401385312485</v>
      </c>
      <c r="P261" s="586">
        <f t="shared" si="112"/>
        <v>1.570762252227712</v>
      </c>
      <c r="Q261" s="595">
        <f t="shared" si="134"/>
        <v>12.268905246588389</v>
      </c>
      <c r="R261" s="596">
        <f t="shared" si="135"/>
        <v>1.4891989445289291</v>
      </c>
      <c r="S261" s="583">
        <f t="shared" si="113"/>
        <v>1.0033172985640024</v>
      </c>
      <c r="T261" s="586">
        <f t="shared" si="114"/>
        <v>8.1340691624521178E-2</v>
      </c>
      <c r="U261" s="587">
        <f t="shared" si="126"/>
        <v>0.98616263219582145</v>
      </c>
      <c r="V261" s="588">
        <f t="shared" si="127"/>
        <v>-0.20244168307856777</v>
      </c>
      <c r="W261" s="589">
        <f t="shared" si="115"/>
        <v>5.2182955145284051</v>
      </c>
      <c r="X261" s="590">
        <f t="shared" si="116"/>
        <v>-114.67107371492465</v>
      </c>
      <c r="Y261" s="593">
        <f t="shared" si="117"/>
        <v>65.328926285075354</v>
      </c>
      <c r="AA261" s="150">
        <f t="shared" si="118"/>
        <v>1000000000</v>
      </c>
      <c r="AB261" s="150">
        <f t="shared" si="119"/>
        <v>263023524</v>
      </c>
      <c r="AD261" s="592">
        <f t="shared" si="120"/>
        <v>27.6044068743977</v>
      </c>
      <c r="AE261" s="593">
        <f t="shared" si="121"/>
        <v>-9.3337116376926659</v>
      </c>
      <c r="AG261" s="592">
        <f t="shared" si="122"/>
        <v>3.243889909498598</v>
      </c>
      <c r="AH261" s="593">
        <f t="shared" si="123"/>
        <v>-82.139253974870456</v>
      </c>
      <c r="AJ261" s="150">
        <f t="shared" si="124"/>
        <v>0</v>
      </c>
      <c r="AK261" s="150">
        <f t="shared" si="136"/>
        <v>0</v>
      </c>
      <c r="AM261" s="150" t="str">
        <f t="shared" si="128"/>
        <v>0.042084126187369+0.287049087610086i</v>
      </c>
      <c r="AN261" s="150" t="str">
        <f t="shared" si="129"/>
        <v>0.291144854844i</v>
      </c>
      <c r="AO261" s="150" t="str">
        <f t="shared" si="130"/>
        <v>0.985932201219532-0.144547037281213i</v>
      </c>
      <c r="AP261" s="150" t="str">
        <f t="shared" si="131"/>
        <v>0.159652645635438-0.047841514601681i</v>
      </c>
      <c r="AQ261" s="150" t="str">
        <f t="shared" si="132"/>
        <v>0.840347354364562+0.047841514601681i</v>
      </c>
      <c r="AR261" s="150" t="str">
        <f t="shared" si="133"/>
        <v>0.988054383928233-0.0562505706603923i</v>
      </c>
    </row>
    <row r="262" spans="7:44" x14ac:dyDescent="0.25">
      <c r="G262" s="594">
        <v>16312.5</v>
      </c>
      <c r="H262" s="582">
        <f t="shared" si="125"/>
        <v>16.3125</v>
      </c>
      <c r="I262" s="583">
        <f t="shared" si="105"/>
        <v>15.946497749080711</v>
      </c>
      <c r="J262" s="584">
        <f t="shared" si="106"/>
        <v>1.5080454584888527</v>
      </c>
      <c r="K262" s="584">
        <f t="shared" si="107"/>
        <v>1.0000388471584005</v>
      </c>
      <c r="L262" s="585">
        <f t="shared" si="108"/>
        <v>8.8142953044824945E-3</v>
      </c>
      <c r="M262" s="584">
        <f t="shared" si="109"/>
        <v>1.0095860220218447</v>
      </c>
      <c r="N262" s="585">
        <f t="shared" si="110"/>
        <v>-0.13791349988136228</v>
      </c>
      <c r="O262" s="583">
        <f t="shared" si="111"/>
        <v>29518.404556338588</v>
      </c>
      <c r="P262" s="586">
        <f t="shared" si="112"/>
        <v>1.5707624496252046</v>
      </c>
      <c r="Q262" s="595">
        <f t="shared" si="134"/>
        <v>12.339920865661018</v>
      </c>
      <c r="R262" s="596">
        <f t="shared" si="135"/>
        <v>1.4896695692665549</v>
      </c>
      <c r="S262" s="583">
        <f t="shared" si="113"/>
        <v>1.0033560052138528</v>
      </c>
      <c r="T262" s="586">
        <f t="shared" si="114"/>
        <v>8.181254636768942E-2</v>
      </c>
      <c r="U262" s="587">
        <f t="shared" si="126"/>
        <v>0.98600859833915</v>
      </c>
      <c r="V262" s="588">
        <f t="shared" si="127"/>
        <v>-0.20360555810576583</v>
      </c>
      <c r="W262" s="589">
        <f t="shared" si="115"/>
        <v>5.1669575909896137</v>
      </c>
      <c r="X262" s="590">
        <f t="shared" si="116"/>
        <v>-114.80101235327587</v>
      </c>
      <c r="Y262" s="593">
        <f t="shared" si="117"/>
        <v>65.198987646724134</v>
      </c>
      <c r="AA262" s="150">
        <f t="shared" si="118"/>
        <v>1000000000</v>
      </c>
      <c r="AB262" s="150">
        <f t="shared" si="119"/>
        <v>266097656.25</v>
      </c>
      <c r="AD262" s="592">
        <f t="shared" si="120"/>
        <v>27.603738463550613</v>
      </c>
      <c r="AE262" s="593">
        <f t="shared" si="121"/>
        <v>-9.3337934218623211</v>
      </c>
      <c r="AG262" s="592">
        <f t="shared" si="122"/>
        <v>3.1959339970492673</v>
      </c>
      <c r="AH262" s="593">
        <f t="shared" si="123"/>
        <v>-82.135740575021387</v>
      </c>
      <c r="AJ262" s="150">
        <f t="shared" si="124"/>
        <v>0</v>
      </c>
      <c r="AK262" s="150">
        <f t="shared" si="136"/>
        <v>0</v>
      </c>
      <c r="AM262" s="150" t="str">
        <f t="shared" si="128"/>
        <v>0.042572471687276+0.288673739763401i</v>
      </c>
      <c r="AN262" s="150" t="str">
        <f t="shared" si="129"/>
        <v>0.292841314875i</v>
      </c>
      <c r="AO262" s="150" t="str">
        <f t="shared" si="130"/>
        <v>0.985768486549181-0.1453772726893i</v>
      </c>
      <c r="AP262" s="150" t="str">
        <f t="shared" si="131"/>
        <v>0.159571254718787-0.0481122899605668i</v>
      </c>
      <c r="AQ262" s="150" t="str">
        <f t="shared" si="132"/>
        <v>0.840428745281213+0.0481122899605668i</v>
      </c>
      <c r="AR262" s="150" t="str">
        <f t="shared" si="133"/>
        <v>0.987923091182014-0.05655594538926i</v>
      </c>
    </row>
    <row r="263" spans="7:44" x14ac:dyDescent="0.25">
      <c r="G263" s="594">
        <v>16407</v>
      </c>
      <c r="H263" s="582">
        <f t="shared" si="125"/>
        <v>16.407</v>
      </c>
      <c r="I263" s="583">
        <f t="shared" si="105"/>
        <v>16.038515218550891</v>
      </c>
      <c r="J263" s="584">
        <f t="shared" si="106"/>
        <v>1.5084059470732245</v>
      </c>
      <c r="K263" s="584">
        <f t="shared" si="107"/>
        <v>1.0000392985444582</v>
      </c>
      <c r="L263" s="585">
        <f t="shared" si="108"/>
        <v>8.8653547612826938E-3</v>
      </c>
      <c r="M263" s="584">
        <f t="shared" si="109"/>
        <v>1.0096968744663095</v>
      </c>
      <c r="N263" s="585">
        <f t="shared" si="110"/>
        <v>-0.13870226827477858</v>
      </c>
      <c r="O263" s="583">
        <f t="shared" si="111"/>
        <v>29689.407727365822</v>
      </c>
      <c r="P263" s="586">
        <f t="shared" si="112"/>
        <v>1.5707626447487819</v>
      </c>
      <c r="Q263" s="595">
        <f t="shared" si="134"/>
        <v>12.410939186595138</v>
      </c>
      <c r="R263" s="596">
        <f t="shared" si="135"/>
        <v>1.4901348080547698</v>
      </c>
      <c r="S263" s="583">
        <f t="shared" si="113"/>
        <v>1.0033949352405422</v>
      </c>
      <c r="T263" s="586">
        <f t="shared" si="114"/>
        <v>8.2284364601567545E-2</v>
      </c>
      <c r="U263" s="587">
        <f t="shared" si="126"/>
        <v>0.98585373834515266</v>
      </c>
      <c r="V263" s="588">
        <f t="shared" si="127"/>
        <v>-0.2047691650538761</v>
      </c>
      <c r="W263" s="589">
        <f t="shared" si="115"/>
        <v>5.1159093714391695</v>
      </c>
      <c r="X263" s="590">
        <f t="shared" si="116"/>
        <v>-114.93099235781307</v>
      </c>
      <c r="Y263" s="593">
        <f t="shared" si="117"/>
        <v>65.069007642186932</v>
      </c>
      <c r="AA263" s="150">
        <f t="shared" si="118"/>
        <v>1000000000</v>
      </c>
      <c r="AB263" s="150">
        <f t="shared" si="119"/>
        <v>269189649</v>
      </c>
      <c r="AD263" s="592">
        <f t="shared" si="120"/>
        <v>27.603073850067823</v>
      </c>
      <c r="AE263" s="593">
        <f t="shared" si="121"/>
        <v>-9.3341815760882767</v>
      </c>
      <c r="AG263" s="592">
        <f t="shared" si="122"/>
        <v>3.1482789725766946</v>
      </c>
      <c r="AH263" s="593">
        <f t="shared" si="123"/>
        <v>-82.131992890902623</v>
      </c>
      <c r="AJ263" s="150">
        <f t="shared" si="124"/>
        <v>0</v>
      </c>
      <c r="AK263" s="150">
        <f t="shared" si="136"/>
        <v>0</v>
      </c>
      <c r="AM263" s="150" t="str">
        <f t="shared" si="128"/>
        <v>0.04306357264058+0.290297561120637i</v>
      </c>
      <c r="AN263" s="150" t="str">
        <f t="shared" si="129"/>
        <v>0.294537774906i</v>
      </c>
      <c r="AO263" s="150" t="str">
        <f t="shared" si="130"/>
        <v>0.985603837108105-0.14620729940098i</v>
      </c>
      <c r="AP263" s="150" t="str">
        <f t="shared" si="131"/>
        <v>0.159489404559903-0.0483829268534395i</v>
      </c>
      <c r="AQ263" s="150" t="str">
        <f t="shared" si="132"/>
        <v>0.840510595440097+0.0483829268534395i</v>
      </c>
      <c r="AR263" s="150" t="str">
        <f t="shared" si="133"/>
        <v>0.987791118442574-0.0568609434424321i</v>
      </c>
    </row>
    <row r="264" spans="7:44" x14ac:dyDescent="0.25">
      <c r="G264" s="594">
        <v>16501.5</v>
      </c>
      <c r="H264" s="582">
        <f t="shared" si="125"/>
        <v>16.5015</v>
      </c>
      <c r="I264" s="583">
        <f t="shared" si="105"/>
        <v>16.130534748479075</v>
      </c>
      <c r="J264" s="584">
        <f t="shared" si="106"/>
        <v>1.5087623227598379</v>
      </c>
      <c r="K264" s="584">
        <f t="shared" si="107"/>
        <v>1.0000397525376843</v>
      </c>
      <c r="L264" s="585">
        <f t="shared" si="108"/>
        <v>8.9164141718565543E-3</v>
      </c>
      <c r="M264" s="584">
        <f t="shared" si="109"/>
        <v>1.0098083549611694</v>
      </c>
      <c r="N264" s="585">
        <f t="shared" si="110"/>
        <v>-0.13949086300233951</v>
      </c>
      <c r="O264" s="583">
        <f t="shared" si="111"/>
        <v>29860.410898394181</v>
      </c>
      <c r="P264" s="586">
        <f t="shared" si="112"/>
        <v>1.5707628376375107</v>
      </c>
      <c r="Q264" s="595">
        <f t="shared" si="134"/>
        <v>12.481960163272593</v>
      </c>
      <c r="R264" s="596">
        <f t="shared" si="135"/>
        <v>1.4905947526268102</v>
      </c>
      <c r="S264" s="583">
        <f t="shared" si="113"/>
        <v>1.003434088618071</v>
      </c>
      <c r="T264" s="586">
        <f t="shared" si="114"/>
        <v>8.2756146120351953E-2</v>
      </c>
      <c r="U264" s="587">
        <f t="shared" si="126"/>
        <v>0.98569805335676175</v>
      </c>
      <c r="V264" s="588">
        <f t="shared" si="127"/>
        <v>-0.20593250253943926</v>
      </c>
      <c r="W264" s="589">
        <f t="shared" si="115"/>
        <v>5.0651474591986485</v>
      </c>
      <c r="X264" s="590">
        <f t="shared" si="116"/>
        <v>-115.06101242850382</v>
      </c>
      <c r="Y264" s="593">
        <f t="shared" si="117"/>
        <v>64.938987571496185</v>
      </c>
      <c r="AA264" s="150">
        <f t="shared" si="118"/>
        <v>1000000000</v>
      </c>
      <c r="AB264" s="150">
        <f t="shared" si="119"/>
        <v>272299502.25</v>
      </c>
      <c r="AD264" s="592">
        <f t="shared" si="120"/>
        <v>27.602412904491658</v>
      </c>
      <c r="AE264" s="593">
        <f t="shared" si="121"/>
        <v>-9.3348708348898839</v>
      </c>
      <c r="AG264" s="592">
        <f t="shared" si="122"/>
        <v>3.1009215557109666</v>
      </c>
      <c r="AH264" s="593">
        <f t="shared" si="123"/>
        <v>-82.128015046495179</v>
      </c>
      <c r="AJ264" s="150">
        <f t="shared" si="124"/>
        <v>0</v>
      </c>
      <c r="AK264" s="150">
        <f t="shared" si="136"/>
        <v>0</v>
      </c>
      <c r="AM264" s="150" t="str">
        <f t="shared" si="128"/>
        <v>0.043557427633905+0.291920547008475i</v>
      </c>
      <c r="AN264" s="150" t="str">
        <f t="shared" si="129"/>
        <v>0.296234234937i</v>
      </c>
      <c r="AO264" s="150" t="str">
        <f t="shared" si="130"/>
        <v>0.985438253180148-0.147037116230568i</v>
      </c>
      <c r="AP264" s="150" t="str">
        <f t="shared" si="131"/>
        <v>0.159407095394349-0.0486534245014125i</v>
      </c>
      <c r="AQ264" s="150" t="str">
        <f t="shared" si="132"/>
        <v>0.840592904605651+0.0486534245014125i</v>
      </c>
      <c r="AR264" s="150" t="str">
        <f t="shared" si="133"/>
        <v>0.987658467073419-0.057165563018261i</v>
      </c>
    </row>
    <row r="265" spans="7:44" x14ac:dyDescent="0.25">
      <c r="G265" s="594">
        <v>16596</v>
      </c>
      <c r="H265" s="582">
        <f t="shared" si="125"/>
        <v>16.596</v>
      </c>
      <c r="I265" s="583">
        <f t="shared" si="105"/>
        <v>16.222556303802531</v>
      </c>
      <c r="J265" s="584">
        <f t="shared" si="106"/>
        <v>1.5091146554479482</v>
      </c>
      <c r="K265" s="584">
        <f t="shared" si="107"/>
        <v>1.0000402091380749</v>
      </c>
      <c r="L265" s="585">
        <f t="shared" si="108"/>
        <v>8.967473535937914E-3</v>
      </c>
      <c r="M265" s="584">
        <f t="shared" si="109"/>
        <v>1.0099204632984422</v>
      </c>
      <c r="N265" s="585">
        <f t="shared" si="110"/>
        <v>-0.14027928314089355</v>
      </c>
      <c r="O265" s="583">
        <f t="shared" si="111"/>
        <v>30031.414069423634</v>
      </c>
      <c r="P265" s="586">
        <f t="shared" si="112"/>
        <v>1.5707630283295673</v>
      </c>
      <c r="Q265" s="595">
        <f t="shared" si="134"/>
        <v>12.55298375061721</v>
      </c>
      <c r="R265" s="596">
        <f t="shared" si="135"/>
        <v>1.4910494926489175</v>
      </c>
      <c r="S265" s="583">
        <f t="shared" si="113"/>
        <v>1.0034734653202957</v>
      </c>
      <c r="T265" s="586">
        <f t="shared" si="114"/>
        <v>8.3227890718336431E-2</v>
      </c>
      <c r="U265" s="587">
        <f t="shared" si="126"/>
        <v>0.98554154452205267</v>
      </c>
      <c r="V265" s="588">
        <f t="shared" si="127"/>
        <v>-0.20709556918176728</v>
      </c>
      <c r="W265" s="589">
        <f t="shared" si="115"/>
        <v>5.0146685164232867</v>
      </c>
      <c r="X265" s="590">
        <f t="shared" si="116"/>
        <v>-115.19107129119946</v>
      </c>
      <c r="Y265" s="593">
        <f t="shared" si="117"/>
        <v>64.808928708800536</v>
      </c>
      <c r="AA265" s="150">
        <f t="shared" si="118"/>
        <v>1000000000</v>
      </c>
      <c r="AB265" s="150">
        <f t="shared" si="119"/>
        <v>275427216</v>
      </c>
      <c r="AD265" s="592">
        <f t="shared" si="120"/>
        <v>27.601755501031331</v>
      </c>
      <c r="AE265" s="593">
        <f t="shared" si="121"/>
        <v>-9.335856051171211</v>
      </c>
      <c r="AG265" s="592">
        <f t="shared" si="122"/>
        <v>3.053858521186485</v>
      </c>
      <c r="AH265" s="593">
        <f t="shared" si="123"/>
        <v>-82.12381107296153</v>
      </c>
      <c r="AJ265" s="150">
        <f t="shared" si="124"/>
        <v>0</v>
      </c>
      <c r="AK265" s="150">
        <f t="shared" si="136"/>
        <v>0</v>
      </c>
      <c r="AM265" s="150" t="str">
        <f t="shared" si="128"/>
        <v>0.044054035245947+0.293542692756i</v>
      </c>
      <c r="AN265" s="150" t="str">
        <f t="shared" si="129"/>
        <v>0.297930694968i</v>
      </c>
      <c r="AO265" s="150" t="str">
        <f t="shared" si="130"/>
        <v>0.98527173505076-0.147866721992773i</v>
      </c>
      <c r="AP265" s="150" t="str">
        <f t="shared" si="131"/>
        <v>0.159324327459009-0.048923782126i</v>
      </c>
      <c r="AQ265" s="150" t="str">
        <f t="shared" si="132"/>
        <v>0.840675672540991+0.048923782126i</v>
      </c>
      <c r="AR265" s="150" t="str">
        <f t="shared" si="133"/>
        <v>0.987525138443843-0.0574698023212023i</v>
      </c>
    </row>
    <row r="266" spans="7:44" x14ac:dyDescent="0.25">
      <c r="G266" s="594">
        <v>16692.5</v>
      </c>
      <c r="H266" s="582">
        <f t="shared" si="125"/>
        <v>16.692499999999999</v>
      </c>
      <c r="I266" s="583">
        <f t="shared" si="105"/>
        <v>16.316527459804174</v>
      </c>
      <c r="J266" s="584">
        <f t="shared" si="106"/>
        <v>1.5094703436590038</v>
      </c>
      <c r="K266" s="584">
        <f t="shared" si="107"/>
        <v>1.000040678092478</v>
      </c>
      <c r="L266" s="585">
        <f t="shared" si="108"/>
        <v>9.019613473225831E-3</v>
      </c>
      <c r="M266" s="584">
        <f t="shared" si="109"/>
        <v>1.0100355919961921</v>
      </c>
      <c r="N266" s="585">
        <f t="shared" si="110"/>
        <v>-0.14108420829127918</v>
      </c>
      <c r="O266" s="583">
        <f t="shared" si="111"/>
        <v>30206.036355184984</v>
      </c>
      <c r="P266" s="586">
        <f t="shared" si="112"/>
        <v>1.5707632208293067</v>
      </c>
      <c r="Q266" s="595">
        <f t="shared" si="134"/>
        <v>12.625513131010241</v>
      </c>
      <c r="R266" s="596">
        <f t="shared" si="135"/>
        <v>1.4915085769459075</v>
      </c>
      <c r="S266" s="583">
        <f t="shared" si="113"/>
        <v>1.003513905828942</v>
      </c>
      <c r="T266" s="586">
        <f t="shared" si="114"/>
        <v>8.3709581014141249E-2</v>
      </c>
      <c r="U266" s="587">
        <f t="shared" si="126"/>
        <v>0.98538087434485899</v>
      </c>
      <c r="V266" s="588">
        <f t="shared" si="127"/>
        <v>-0.20828297005709093</v>
      </c>
      <c r="W266" s="589">
        <f t="shared" si="115"/>
        <v>4.9634098434232756</v>
      </c>
      <c r="X266" s="590">
        <f t="shared" si="116"/>
        <v>-115.32392145675024</v>
      </c>
      <c r="Y266" s="593">
        <f t="shared" si="117"/>
        <v>64.676078543249758</v>
      </c>
      <c r="AA266" s="150">
        <f t="shared" si="118"/>
        <v>1000000000</v>
      </c>
      <c r="AB266" s="150">
        <f t="shared" si="119"/>
        <v>278639556.25</v>
      </c>
      <c r="AD266" s="592">
        <f t="shared" si="120"/>
        <v>27.601087712601124</v>
      </c>
      <c r="AE266" s="593">
        <f t="shared" si="121"/>
        <v>-9.3371623089191029</v>
      </c>
      <c r="AG266" s="592">
        <f t="shared" si="122"/>
        <v>3.0060999417687562</v>
      </c>
      <c r="AH266" s="593">
        <f t="shared" si="123"/>
        <v>-82.11928886311658</v>
      </c>
      <c r="AJ266" s="150">
        <f t="shared" si="124"/>
        <v>0</v>
      </c>
      <c r="AK266" s="150">
        <f t="shared" si="136"/>
        <v>0</v>
      </c>
      <c r="AM266" s="150" t="str">
        <f t="shared" si="128"/>
        <v>0.0445639922065449+0.295198297779144i</v>
      </c>
      <c r="AN266" s="150" t="str">
        <f t="shared" si="129"/>
        <v>0.299663058915i</v>
      </c>
      <c r="AO266" s="150" t="str">
        <f t="shared" si="130"/>
        <v>0.985100728958645-0.148713666502302i</v>
      </c>
      <c r="AP266" s="150" t="str">
        <f t="shared" si="131"/>
        <v>0.159239334632243-0.049199716296524i</v>
      </c>
      <c r="AQ266" s="150" t="str">
        <f t="shared" si="132"/>
        <v>0.840760665367757+0.049199716296524i</v>
      </c>
      <c r="AR266" s="150" t="str">
        <f t="shared" si="133"/>
        <v>0.987388290560945-0.057780086261361i</v>
      </c>
    </row>
    <row r="267" spans="7:44" x14ac:dyDescent="0.25">
      <c r="G267" s="594">
        <v>16789</v>
      </c>
      <c r="H267" s="582">
        <f t="shared" si="125"/>
        <v>16.789000000000001</v>
      </c>
      <c r="I267" s="583">
        <f t="shared" si="105"/>
        <v>16.41050065643531</v>
      </c>
      <c r="J267" s="584">
        <f t="shared" si="106"/>
        <v>1.5098219582835957</v>
      </c>
      <c r="K267" s="584">
        <f t="shared" si="107"/>
        <v>1.0000411497655621</v>
      </c>
      <c r="L267" s="585">
        <f t="shared" si="108"/>
        <v>9.0717533614715056E-3</v>
      </c>
      <c r="M267" s="584">
        <f t="shared" si="109"/>
        <v>1.0101513749511302</v>
      </c>
      <c r="N267" s="585">
        <f t="shared" si="110"/>
        <v>-0.1418889494428687</v>
      </c>
      <c r="O267" s="583">
        <f t="shared" si="111"/>
        <v>30380.658640947444</v>
      </c>
      <c r="P267" s="586">
        <f t="shared" si="112"/>
        <v>1.5707634111161419</v>
      </c>
      <c r="Q267" s="595">
        <f t="shared" si="134"/>
        <v>12.698045141938067</v>
      </c>
      <c r="R267" s="596">
        <f t="shared" si="135"/>
        <v>1.4919624167024417</v>
      </c>
      <c r="S267" s="583">
        <f t="shared" si="113"/>
        <v>1.0035545791596476</v>
      </c>
      <c r="T267" s="586">
        <f t="shared" si="114"/>
        <v>8.4191232376585476E-2</v>
      </c>
      <c r="U267" s="587">
        <f t="shared" si="126"/>
        <v>0.9852193475165254</v>
      </c>
      <c r="V267" s="588">
        <f t="shared" si="127"/>
        <v>-0.20947008560256608</v>
      </c>
      <c r="W267" s="589">
        <f t="shared" si="115"/>
        <v>4.9124393910546367</v>
      </c>
      <c r="X267" s="590">
        <f t="shared" si="116"/>
        <v>-115.4568094677749</v>
      </c>
      <c r="Y267" s="593">
        <f t="shared" si="117"/>
        <v>64.543190532225097</v>
      </c>
      <c r="AA267" s="150">
        <f t="shared" si="118"/>
        <v>1000000000</v>
      </c>
      <c r="AB267" s="150">
        <f t="shared" si="119"/>
        <v>281870521</v>
      </c>
      <c r="AD267" s="592">
        <f t="shared" si="120"/>
        <v>27.600423363850929</v>
      </c>
      <c r="AE267" s="593">
        <f t="shared" si="121"/>
        <v>-9.3387666991936147</v>
      </c>
      <c r="AG267" s="592">
        <f t="shared" si="122"/>
        <v>2.9586417099653524</v>
      </c>
      <c r="AH267" s="593">
        <f t="shared" si="123"/>
        <v>-82.114539062611058</v>
      </c>
      <c r="AJ267" s="150">
        <f t="shared" si="124"/>
        <v>0</v>
      </c>
      <c r="AK267" s="150">
        <f t="shared" si="136"/>
        <v>0</v>
      </c>
      <c r="AM267" s="150" t="str">
        <f t="shared" si="128"/>
        <v>0.045076816510948+0.296853016887372i</v>
      </c>
      <c r="AN267" s="150" t="str">
        <f t="shared" si="129"/>
        <v>0.301395422862i</v>
      </c>
      <c r="AO267" s="150" t="str">
        <f t="shared" si="130"/>
        <v>0.984928749310477-0.149560388418995i</v>
      </c>
      <c r="AP267" s="150" t="str">
        <f t="shared" si="131"/>
        <v>0.159153863914842-0.049475502814562i</v>
      </c>
      <c r="AQ267" s="150" t="str">
        <f t="shared" si="132"/>
        <v>0.840846136085158+0.049475502814562i</v>
      </c>
      <c r="AR267" s="150" t="str">
        <f t="shared" si="133"/>
        <v>0.987250739351409-0.0580899698973133i</v>
      </c>
    </row>
    <row r="268" spans="7:44" x14ac:dyDescent="0.25">
      <c r="G268" s="594">
        <v>16885.5</v>
      </c>
      <c r="H268" s="582">
        <f t="shared" si="125"/>
        <v>16.8855</v>
      </c>
      <c r="I268" s="583">
        <f t="shared" si="105"/>
        <v>16.504475858839132</v>
      </c>
      <c r="J268" s="584">
        <f t="shared" si="106"/>
        <v>1.5101695688180841</v>
      </c>
      <c r="K268" s="584">
        <f t="shared" si="107"/>
        <v>1.0000416241573236</v>
      </c>
      <c r="L268" s="585">
        <f t="shared" si="108"/>
        <v>9.1238932003915203E-3</v>
      </c>
      <c r="M268" s="584">
        <f t="shared" si="109"/>
        <v>1.0102678119383102</v>
      </c>
      <c r="N268" s="585">
        <f t="shared" si="110"/>
        <v>-0.14269350561679014</v>
      </c>
      <c r="O268" s="583">
        <f t="shared" si="111"/>
        <v>30555.280926710984</v>
      </c>
      <c r="P268" s="586">
        <f t="shared" si="112"/>
        <v>1.5707635992280129</v>
      </c>
      <c r="Q268" s="595">
        <f t="shared" si="134"/>
        <v>12.770579738579396</v>
      </c>
      <c r="R268" s="596">
        <f t="shared" si="135"/>
        <v>1.4924111010940944</v>
      </c>
      <c r="S268" s="583">
        <f t="shared" si="113"/>
        <v>1.0035954852841062</v>
      </c>
      <c r="T268" s="586">
        <f t="shared" si="114"/>
        <v>8.4672844586941701E-2</v>
      </c>
      <c r="U268" s="587">
        <f t="shared" si="126"/>
        <v>0.98505696527602238</v>
      </c>
      <c r="V268" s="588">
        <f t="shared" si="127"/>
        <v>-0.21065691435704731</v>
      </c>
      <c r="W268" s="589">
        <f t="shared" si="115"/>
        <v>4.8617537863297624</v>
      </c>
      <c r="X268" s="590">
        <f t="shared" si="116"/>
        <v>-115.58973404659265</v>
      </c>
      <c r="Y268" s="593">
        <f t="shared" si="117"/>
        <v>64.410265953407347</v>
      </c>
      <c r="AA268" s="150">
        <f t="shared" si="118"/>
        <v>1000000000</v>
      </c>
      <c r="AB268" s="150">
        <f t="shared" si="119"/>
        <v>285120110.25</v>
      </c>
      <c r="AD268" s="592">
        <f t="shared" si="120"/>
        <v>27.599762331889387</v>
      </c>
      <c r="AE268" s="593">
        <f t="shared" si="121"/>
        <v>-9.340664102252358</v>
      </c>
      <c r="AG268" s="592">
        <f t="shared" si="122"/>
        <v>2.9114805614115555</v>
      </c>
      <c r="AH268" s="593">
        <f t="shared" si="123"/>
        <v>-82.109565680941586</v>
      </c>
      <c r="AJ268" s="150">
        <f t="shared" si="124"/>
        <v>0</v>
      </c>
      <c r="AK268" s="150">
        <f t="shared" si="136"/>
        <v>0</v>
      </c>
      <c r="AM268" s="150" t="str">
        <f t="shared" si="128"/>
        <v>0.045592506620129+0.298506845114733i</v>
      </c>
      <c r="AN268" s="150" t="str">
        <f t="shared" si="129"/>
        <v>0.303127786809i</v>
      </c>
      <c r="AO268" s="150" t="str">
        <f t="shared" si="130"/>
        <v>0.984755796415396-0.150406886482026i</v>
      </c>
      <c r="AP268" s="150" t="str">
        <f t="shared" si="131"/>
        <v>0.159067915563312-0.0497511408524555i</v>
      </c>
      <c r="AQ268" s="150" t="str">
        <f t="shared" si="132"/>
        <v>0.840932084436688+0.0497511408524555i</v>
      </c>
      <c r="AR268" s="150" t="str">
        <f t="shared" si="133"/>
        <v>0.987112486291783-0.0583994513369259i</v>
      </c>
    </row>
    <row r="269" spans="7:44" x14ac:dyDescent="0.25">
      <c r="G269" s="594">
        <v>16982</v>
      </c>
      <c r="H269" s="582">
        <f t="shared" si="125"/>
        <v>16.981999999999999</v>
      </c>
      <c r="I269" s="583">
        <f t="shared" ref="I269:I332" si="137">SQRT(1+(G269/pole1)^2)</f>
        <v>16.598453032947486</v>
      </c>
      <c r="J269" s="584">
        <f t="shared" ref="J269:J332" si="138">ATAN(G269/pole1)</f>
        <v>1.5105132431888522</v>
      </c>
      <c r="K269" s="584">
        <f t="shared" ref="K269:K332" si="139">SQRT(1+(G269/Zero1)^2)</f>
        <v>1.0000421012677583</v>
      </c>
      <c r="L269" s="585">
        <f t="shared" ref="L269:L332" si="140">ATAN(G269/Zero1)</f>
        <v>9.1760329897024508E-3</v>
      </c>
      <c r="M269" s="584">
        <f t="shared" ref="M269:M332" si="141">SQRT(1+(G269/z_RHP)^2)</f>
        <v>1.0103849027316198</v>
      </c>
      <c r="N269" s="585">
        <f t="shared" ref="N269:N332" si="142">-ATAN(G269/z_RHP)</f>
        <v>-0.14349787583557946</v>
      </c>
      <c r="O269" s="583">
        <f t="shared" ref="O269:O332" si="143">SQRT(1+(G269/Pole2)^2)</f>
        <v>30729.903212475598</v>
      </c>
      <c r="P269" s="586">
        <f t="shared" ref="P269:P332" si="144">ATAN(G269/Pole2)</f>
        <v>1.5707637852019973</v>
      </c>
      <c r="Q269" s="595">
        <f t="shared" si="134"/>
        <v>12.843116877123908</v>
      </c>
      <c r="R269" s="596">
        <f t="shared" si="135"/>
        <v>1.4928547172902173</v>
      </c>
      <c r="S269" s="583">
        <f t="shared" ref="S269:S332" si="145">SQRT(1+(G269/pole4)^2)</f>
        <v>1.0036366241738528</v>
      </c>
      <c r="T269" s="586">
        <f t="shared" ref="T269:T332" si="146">ATAN(G269/pole4)</f>
        <v>8.5154417426590703E-2</v>
      </c>
      <c r="U269" s="587">
        <f t="shared" si="126"/>
        <v>0.98489372886779936</v>
      </c>
      <c r="V269" s="588">
        <f t="shared" si="127"/>
        <v>-0.21184345486245923</v>
      </c>
      <c r="W269" s="589">
        <f t="shared" ref="W269:W332" si="147">20*LOG10(((K269*Q269*M269*U269)/(I269*O269*S269))*Adc)</f>
        <v>4.8113497145473456</v>
      </c>
      <c r="X269" s="590">
        <f t="shared" ref="X269:X332" si="148">((L269+R269+N269+V269)-(J269+P269+T269))*radconv</f>
        <v>-115.72269394073119</v>
      </c>
      <c r="Y269" s="593">
        <f t="shared" ref="Y269:Y332" si="149">IF(X269&gt;0,X269,X269+180)</f>
        <v>64.27730605926881</v>
      </c>
      <c r="AA269" s="150">
        <f t="shared" ref="AA269:AA332" si="150">IF(W269&lt;0,G269,1000000000)</f>
        <v>1000000000</v>
      </c>
      <c r="AB269" s="150">
        <f t="shared" ref="AB269:AB332" si="151">G269^2</f>
        <v>288388324</v>
      </c>
      <c r="AD269" s="592">
        <f t="shared" ref="AD269:AD332" si="152">20*LOG10((Q269/(O269*S269))*Aea)</f>
        <v>27.599104497302037</v>
      </c>
      <c r="AE269" s="593">
        <f t="shared" ref="AE269:AE332" si="153">(R269-(P269+T269))*radconv</f>
        <v>-9.3428495132577858</v>
      </c>
      <c r="AG269" s="592">
        <f t="shared" ref="AG269:AG332" si="154">20*LOG10((K269*M269/(I269*U269))*Acs*Am)</f>
        <v>2.8646132864853442</v>
      </c>
      <c r="AH269" s="593">
        <f t="shared" ref="AH269:AH332" si="155">(L269+N269-(J269+V269))*radconv</f>
        <v>-82.10437263755648</v>
      </c>
      <c r="AJ269" s="150">
        <f t="shared" ref="AJ269:AJ332" si="156">SUM((W270&lt;0)*(W269&gt;0))*G269</f>
        <v>0</v>
      </c>
      <c r="AK269" s="150">
        <f t="shared" si="136"/>
        <v>0</v>
      </c>
      <c r="AM269" s="150" t="str">
        <f t="shared" si="128"/>
        <v>0.046111060986458+0.300159777497949i</v>
      </c>
      <c r="AN269" s="150" t="str">
        <f t="shared" si="129"/>
        <v>0.304860150756i</v>
      </c>
      <c r="AO269" s="150" t="str">
        <f t="shared" si="130"/>
        <v>0.984581870584283-0.151253159431007i</v>
      </c>
      <c r="AP269" s="150" t="str">
        <f t="shared" si="131"/>
        <v>0.15898148983559-0.0500266295829915i</v>
      </c>
      <c r="AQ269" s="150" t="str">
        <f t="shared" si="132"/>
        <v>0.84101851016441+0.0500266295829915i</v>
      </c>
      <c r="AR269" s="150" t="str">
        <f t="shared" si="133"/>
        <v>0.986973532864758-0.0587085286947959i</v>
      </c>
    </row>
    <row r="270" spans="7:44" x14ac:dyDescent="0.25">
      <c r="G270" s="594">
        <v>17081</v>
      </c>
      <c r="H270" s="582">
        <f t="shared" ref="H270:H333" si="157">G270/1000</f>
        <v>17.081</v>
      </c>
      <c r="I270" s="583">
        <f t="shared" si="137"/>
        <v>16.69486686295825</v>
      </c>
      <c r="J270" s="584">
        <f t="shared" si="138"/>
        <v>1.5108618001851848</v>
      </c>
      <c r="K270" s="584">
        <f t="shared" si="139"/>
        <v>1.0000425935637964</v>
      </c>
      <c r="L270" s="585">
        <f t="shared" si="140"/>
        <v>9.2295234989065722E-3</v>
      </c>
      <c r="M270" s="584">
        <f t="shared" si="141"/>
        <v>1.0105057061594456</v>
      </c>
      <c r="N270" s="585">
        <f t="shared" si="142"/>
        <v>-0.14432289039424639</v>
      </c>
      <c r="O270" s="583">
        <f t="shared" si="143"/>
        <v>30909.049391654891</v>
      </c>
      <c r="P270" s="586">
        <f t="shared" si="144"/>
        <v>1.5707639738102577</v>
      </c>
      <c r="Q270" s="595">
        <f t="shared" si="134"/>
        <v>12.917535812799541</v>
      </c>
      <c r="R270" s="596">
        <f t="shared" si="135"/>
        <v>1.4933046485981527</v>
      </c>
      <c r="S270" s="583">
        <f t="shared" si="145"/>
        <v>1.0036790706966259</v>
      </c>
      <c r="T270" s="586">
        <f t="shared" si="146"/>
        <v>8.564842510363721E-2</v>
      </c>
      <c r="U270" s="587">
        <f t="shared" ref="U270:U333" si="158">IMABS(IMPRODUCT(AO270, AR270))</f>
        <v>0.98472537719984321</v>
      </c>
      <c r="V270" s="588">
        <f t="shared" ref="V270:V333" si="159">IMARGUMENT(IMPRODUCT(AO270, AR270))</f>
        <v>-0.21306043368695762</v>
      </c>
      <c r="W270" s="589">
        <f t="shared" si="147"/>
        <v>4.7599289913189464</v>
      </c>
      <c r="X270" s="590">
        <f t="shared" si="148"/>
        <v>-115.85913380430793</v>
      </c>
      <c r="Y270" s="593">
        <f t="shared" si="149"/>
        <v>64.14086619569207</v>
      </c>
      <c r="AA270" s="150">
        <f t="shared" si="150"/>
        <v>1000000000</v>
      </c>
      <c r="AB270" s="150">
        <f t="shared" si="151"/>
        <v>291760561</v>
      </c>
      <c r="AD270" s="592">
        <f t="shared" si="152"/>
        <v>27.598432821443012</v>
      </c>
      <c r="AE270" s="593">
        <f t="shared" si="153"/>
        <v>-9.3453857096443027</v>
      </c>
      <c r="AG270" s="592">
        <f t="shared" si="154"/>
        <v>2.8168339178874771</v>
      </c>
      <c r="AH270" s="593">
        <f t="shared" si="155"/>
        <v>-82.098820803786253</v>
      </c>
      <c r="AJ270" s="150">
        <f t="shared" si="156"/>
        <v>0</v>
      </c>
      <c r="AK270" s="150">
        <f t="shared" si="136"/>
        <v>0</v>
      </c>
      <c r="AM270" s="150" t="str">
        <f t="shared" ref="AM270:AM333" si="160">IMSUB(1,IMEXP(COMPLEX(0,-2*Pi*G270*Tsw)))</f>
        <v>0.046646024296144+0.301854595806743i</v>
      </c>
      <c r="AN270" s="150" t="str">
        <f t="shared" ref="AN270:AN333" si="161">COMPLEX(0, 2*Pi*G270*Tsw)</f>
        <v>0.306637394598i</v>
      </c>
      <c r="AO270" s="150" t="str">
        <f t="shared" ref="AO270:AO333" si="162">IMDIV(AM270, AN270)</f>
        <v>0.984402428159399-0.152121121291474i</v>
      </c>
      <c r="AP270" s="150" t="str">
        <f t="shared" ref="AP270:AP333" si="163">IMDIV(IMEXP(COMPLEX(0,-2*Pi*G270*Tsw)),6)</f>
        <v>0.158892329283976-0.0503090993011238i</v>
      </c>
      <c r="AQ270" s="150" t="str">
        <f t="shared" ref="AQ270:AQ333" si="164">IMSUB(1, AP270)</f>
        <v>0.841107670716024+0.0503090993011238i</v>
      </c>
      <c r="AR270" s="150" t="str">
        <f t="shared" ref="AR270:AR333" si="165">IMDIV(0.833, AQ270)</f>
        <v>0.986830253349801-0.0590251913490039i</v>
      </c>
    </row>
    <row r="271" spans="7:44" x14ac:dyDescent="0.25">
      <c r="G271" s="594">
        <v>17180</v>
      </c>
      <c r="H271" s="582">
        <f t="shared" si="157"/>
        <v>17.18</v>
      </c>
      <c r="I271" s="583">
        <f t="shared" si="137"/>
        <v>16.791282697968796</v>
      </c>
      <c r="J271" s="584">
        <f t="shared" si="138"/>
        <v>1.5112063543824026</v>
      </c>
      <c r="K271" s="584">
        <f t="shared" si="139"/>
        <v>1.0000430887211884</v>
      </c>
      <c r="L271" s="585">
        <f t="shared" si="140"/>
        <v>9.2830139552935835E-3</v>
      </c>
      <c r="M271" s="584">
        <f t="shared" si="141"/>
        <v>1.0106271972222891</v>
      </c>
      <c r="N271" s="585">
        <f t="shared" si="142"/>
        <v>-0.14514770715838715</v>
      </c>
      <c r="O271" s="583">
        <f t="shared" si="143"/>
        <v>31088.195570835276</v>
      </c>
      <c r="P271" s="586">
        <f t="shared" si="144"/>
        <v>1.5707641602448024</v>
      </c>
      <c r="Q271" s="595">
        <f t="shared" si="134"/>
        <v>12.991957333519457</v>
      </c>
      <c r="R271" s="596">
        <f t="shared" si="135"/>
        <v>1.4937494253336134</v>
      </c>
      <c r="S271" s="583">
        <f t="shared" si="145"/>
        <v>1.003721762140086</v>
      </c>
      <c r="T271" s="586">
        <f t="shared" si="146"/>
        <v>8.6142390877823841E-2</v>
      </c>
      <c r="U271" s="587">
        <f t="shared" si="158"/>
        <v>0.98455612920457958</v>
      </c>
      <c r="V271" s="588">
        <f t="shared" si="159"/>
        <v>-0.21427710603478112</v>
      </c>
      <c r="W271" s="589">
        <f t="shared" si="147"/>
        <v>4.7087976920016654</v>
      </c>
      <c r="X271" s="590">
        <f t="shared" si="148"/>
        <v>-115.99560824465011</v>
      </c>
      <c r="Y271" s="593">
        <f t="shared" si="149"/>
        <v>64.004391755349886</v>
      </c>
      <c r="AA271" s="150">
        <f t="shared" si="150"/>
        <v>1000000000</v>
      </c>
      <c r="AB271" s="150">
        <f t="shared" si="151"/>
        <v>295152400</v>
      </c>
      <c r="AD271" s="592">
        <f t="shared" si="152"/>
        <v>27.597764266882329</v>
      </c>
      <c r="AE271" s="593">
        <f t="shared" si="153"/>
        <v>-9.348214715877404</v>
      </c>
      <c r="AG271" s="592">
        <f t="shared" si="154"/>
        <v>2.7693571746896488</v>
      </c>
      <c r="AH271" s="593">
        <f t="shared" si="155"/>
        <v>-82.093045856574918</v>
      </c>
      <c r="AJ271" s="150">
        <f t="shared" si="156"/>
        <v>0</v>
      </c>
      <c r="AK271" s="150">
        <f t="shared" si="136"/>
        <v>0</v>
      </c>
      <c r="AM271" s="150" t="str">
        <f t="shared" si="160"/>
        <v>0.047183998864782+0.303548460679167i</v>
      </c>
      <c r="AN271" s="150" t="str">
        <f t="shared" si="161"/>
        <v>0.30841463844i</v>
      </c>
      <c r="AO271" s="150" t="str">
        <f t="shared" si="162"/>
        <v>0.984221962402801-0.152988843536885i</v>
      </c>
      <c r="AP271" s="150" t="str">
        <f t="shared" si="163"/>
        <v>0.15880266685587-0.0505914101131945i</v>
      </c>
      <c r="AQ271" s="150" t="str">
        <f t="shared" si="164"/>
        <v>0.84119733314413+0.0505914101131945i</v>
      </c>
      <c r="AR271" s="150" t="str">
        <f t="shared" si="165"/>
        <v>0.98668623989007-0.0593414247151108i</v>
      </c>
    </row>
    <row r="272" spans="7:44" x14ac:dyDescent="0.25">
      <c r="G272" s="594">
        <v>17279</v>
      </c>
      <c r="H272" s="582">
        <f t="shared" si="157"/>
        <v>17.279</v>
      </c>
      <c r="I272" s="583">
        <f t="shared" si="137"/>
        <v>16.88770050363809</v>
      </c>
      <c r="J272" s="584">
        <f t="shared" si="138"/>
        <v>1.5115469742581402</v>
      </c>
      <c r="K272" s="584">
        <f t="shared" si="139"/>
        <v>1.0000435867399298</v>
      </c>
      <c r="L272" s="585">
        <f t="shared" si="140"/>
        <v>9.3365043585574656E-3</v>
      </c>
      <c r="M272" s="584">
        <f t="shared" si="141"/>
        <v>1.0107493756721915</v>
      </c>
      <c r="N272" s="585">
        <f t="shared" si="142"/>
        <v>-0.14597232507724595</v>
      </c>
      <c r="O272" s="583">
        <f t="shared" si="143"/>
        <v>31267.341750016727</v>
      </c>
      <c r="P272" s="586">
        <f t="shared" si="144"/>
        <v>1.5707643445429942</v>
      </c>
      <c r="Q272" s="595">
        <f t="shared" si="134"/>
        <v>13.066381395113142</v>
      </c>
      <c r="R272" s="596">
        <f t="shared" si="135"/>
        <v>1.4941891353980139</v>
      </c>
      <c r="S272" s="583">
        <f t="shared" si="145"/>
        <v>1.0037646984729829</v>
      </c>
      <c r="T272" s="586">
        <f t="shared" si="146"/>
        <v>8.6636314513455145E-2</v>
      </c>
      <c r="U272" s="587">
        <f t="shared" si="158"/>
        <v>0.98438598624354257</v>
      </c>
      <c r="V272" s="588">
        <f t="shared" si="159"/>
        <v>-0.21549347034174318</v>
      </c>
      <c r="W272" s="589">
        <f t="shared" si="147"/>
        <v>4.6579524201043885</v>
      </c>
      <c r="X272" s="590">
        <f t="shared" si="148"/>
        <v>-116.13211598768584</v>
      </c>
      <c r="Y272" s="593">
        <f t="shared" si="149"/>
        <v>63.867884012314164</v>
      </c>
      <c r="AA272" s="150">
        <f t="shared" si="150"/>
        <v>1000000000</v>
      </c>
      <c r="AB272" s="150">
        <f t="shared" si="151"/>
        <v>298563841</v>
      </c>
      <c r="AD272" s="592">
        <f t="shared" si="152"/>
        <v>27.597098715337186</v>
      </c>
      <c r="AE272" s="593">
        <f t="shared" si="153"/>
        <v>-9.351331484213393</v>
      </c>
      <c r="AG272" s="592">
        <f t="shared" si="154"/>
        <v>2.7221797629871132</v>
      </c>
      <c r="AH272" s="593">
        <f t="shared" si="155"/>
        <v>-82.087051748836799</v>
      </c>
      <c r="AJ272" s="150">
        <f t="shared" si="156"/>
        <v>0</v>
      </c>
      <c r="AK272" s="150">
        <f t="shared" si="136"/>
        <v>0</v>
      </c>
      <c r="AM272" s="150" t="str">
        <f t="shared" si="160"/>
        <v>0.047724982993126+0.305241366764989i</v>
      </c>
      <c r="AN272" s="150" t="str">
        <f t="shared" si="161"/>
        <v>0.310191882282i</v>
      </c>
      <c r="AO272" s="150" t="str">
        <f t="shared" si="162"/>
        <v>0.984040473655882-0.153856324807812i</v>
      </c>
      <c r="AP272" s="150" t="str">
        <f t="shared" si="163"/>
        <v>0.158712502834479-0.0508735611274982i</v>
      </c>
      <c r="AQ272" s="150" t="str">
        <f t="shared" si="164"/>
        <v>0.841287497165521+0.0508735611274982i</v>
      </c>
      <c r="AR272" s="150" t="str">
        <f t="shared" si="165"/>
        <v>0.986541494106429-0.0596572267795896i</v>
      </c>
    </row>
    <row r="273" spans="7:44" x14ac:dyDescent="0.25">
      <c r="G273" s="594">
        <v>17378</v>
      </c>
      <c r="H273" s="582">
        <f t="shared" si="157"/>
        <v>17.378</v>
      </c>
      <c r="I273" s="583">
        <f t="shared" si="137"/>
        <v>16.984120246404213</v>
      </c>
      <c r="J273" s="584">
        <f t="shared" si="138"/>
        <v>1.5118837267387268</v>
      </c>
      <c r="K273" s="584">
        <f t="shared" si="139"/>
        <v>1.0000440876200161</v>
      </c>
      <c r="L273" s="585">
        <f t="shared" si="140"/>
        <v>9.3899947083922013E-3</v>
      </c>
      <c r="M273" s="584">
        <f t="shared" si="141"/>
        <v>1.0108722412599107</v>
      </c>
      <c r="N273" s="585">
        <f t="shared" si="142"/>
        <v>-0.14679674310165527</v>
      </c>
      <c r="O273" s="583">
        <f t="shared" si="143"/>
        <v>31446.487929199229</v>
      </c>
      <c r="P273" s="586">
        <f t="shared" si="144"/>
        <v>1.5707645267413446</v>
      </c>
      <c r="Q273" s="595">
        <f t="shared" si="134"/>
        <v>13.140807954409249</v>
      </c>
      <c r="R273" s="596">
        <f t="shared" si="135"/>
        <v>1.4946238647092922</v>
      </c>
      <c r="S273" s="583">
        <f t="shared" si="145"/>
        <v>1.0038078796638918</v>
      </c>
      <c r="T273" s="586">
        <f t="shared" si="146"/>
        <v>8.7130195774958133E-2</v>
      </c>
      <c r="U273" s="587">
        <f t="shared" si="158"/>
        <v>0.98421494968423262</v>
      </c>
      <c r="V273" s="588">
        <f t="shared" si="159"/>
        <v>-0.21670952504713736</v>
      </c>
      <c r="W273" s="589">
        <f t="shared" si="147"/>
        <v>4.6073898379617582</v>
      </c>
      <c r="X273" s="590">
        <f t="shared" si="148"/>
        <v>-116.26865578435343</v>
      </c>
      <c r="Y273" s="593">
        <f t="shared" si="149"/>
        <v>63.731344215646573</v>
      </c>
      <c r="AA273" s="150">
        <f t="shared" si="150"/>
        <v>1000000000</v>
      </c>
      <c r="AB273" s="150">
        <f t="shared" si="151"/>
        <v>301994884</v>
      </c>
      <c r="AD273" s="592">
        <f t="shared" si="152"/>
        <v>27.596436051882968</v>
      </c>
      <c r="AE273" s="593">
        <f t="shared" si="153"/>
        <v>-9.3547310805116304</v>
      </c>
      <c r="AG273" s="592">
        <f t="shared" si="154"/>
        <v>2.6752984442695977</v>
      </c>
      <c r="AH273" s="593">
        <f t="shared" si="155"/>
        <v>-82.080842344494741</v>
      </c>
      <c r="AJ273" s="150">
        <f t="shared" si="156"/>
        <v>0</v>
      </c>
      <c r="AK273" s="150">
        <f t="shared" si="136"/>
        <v>0</v>
      </c>
      <c r="AM273" s="150" t="str">
        <f t="shared" si="160"/>
        <v>0.048268974972428+0.306933308717004i</v>
      </c>
      <c r="AN273" s="150" t="str">
        <f t="shared" si="161"/>
        <v>0.311969126124i</v>
      </c>
      <c r="AO273" s="150" t="str">
        <f t="shared" si="162"/>
        <v>0.983857962261963-0.15472356374535i</v>
      </c>
      <c r="AP273" s="150" t="str">
        <f t="shared" si="163"/>
        <v>0.158621837504595-0.051155551452834i</v>
      </c>
      <c r="AQ273" s="150" t="str">
        <f t="shared" si="164"/>
        <v>0.841378162495405+0.051155551452834i</v>
      </c>
      <c r="AR273" s="150" t="str">
        <f t="shared" si="165"/>
        <v>0.986396017626386-0.0599725955364723i</v>
      </c>
    </row>
    <row r="274" spans="7:44" x14ac:dyDescent="0.25">
      <c r="G274" s="594">
        <v>17479.25</v>
      </c>
      <c r="H274" s="582">
        <f t="shared" si="157"/>
        <v>17.47925</v>
      </c>
      <c r="I274" s="583">
        <f t="shared" si="137"/>
        <v>17.082733316410714</v>
      </c>
      <c r="J274" s="584">
        <f t="shared" si="138"/>
        <v>1.5122242006174296</v>
      </c>
      <c r="K274" s="584">
        <f t="shared" si="139"/>
        <v>1.0000446028433663</v>
      </c>
      <c r="L274" s="585">
        <f t="shared" si="140"/>
        <v>9.4447006924125929E-3</v>
      </c>
      <c r="M274" s="584">
        <f t="shared" si="141"/>
        <v>1.0109986097266856</v>
      </c>
      <c r="N274" s="585">
        <f t="shared" si="142"/>
        <v>-0.14763969004693359</v>
      </c>
      <c r="O274" s="583">
        <f t="shared" si="143"/>
        <v>31629.705612455124</v>
      </c>
      <c r="P274" s="586">
        <f t="shared" si="144"/>
        <v>1.5707647109457825</v>
      </c>
      <c r="Q274" s="595">
        <f t="shared" si="134"/>
        <v>13.216928565938222</v>
      </c>
      <c r="R274" s="596">
        <f t="shared" si="135"/>
        <v>1.4950634099162727</v>
      </c>
      <c r="S274" s="583">
        <f t="shared" si="145"/>
        <v>1.0038522954812541</v>
      </c>
      <c r="T274" s="586">
        <f t="shared" si="146"/>
        <v>8.7635257535559924E-2</v>
      </c>
      <c r="U274" s="587">
        <f t="shared" si="158"/>
        <v>0.98403910306916242</v>
      </c>
      <c r="V274" s="588">
        <f t="shared" si="159"/>
        <v>-0.21795289550044306</v>
      </c>
      <c r="W274" s="589">
        <f t="shared" si="147"/>
        <v>4.5559670879073701</v>
      </c>
      <c r="X274" s="590">
        <f t="shared" si="148"/>
        <v>-116.40833063660986</v>
      </c>
      <c r="Y274" s="593">
        <f t="shared" si="149"/>
        <v>63.591669363390139</v>
      </c>
      <c r="AA274" s="150">
        <f t="shared" si="150"/>
        <v>1000000000</v>
      </c>
      <c r="AB274" s="150">
        <f t="shared" si="151"/>
        <v>305524180.5625</v>
      </c>
      <c r="AD274" s="592">
        <f t="shared" si="152"/>
        <v>27.595761198818266</v>
      </c>
      <c r="AE274" s="593">
        <f t="shared" si="153"/>
        <v>-9.3584954566635297</v>
      </c>
      <c r="AG274" s="592">
        <f t="shared" si="154"/>
        <v>2.6276545861993919</v>
      </c>
      <c r="AH274" s="593">
        <f t="shared" si="155"/>
        <v>-82.074273061745075</v>
      </c>
      <c r="AJ274" s="150">
        <f t="shared" si="156"/>
        <v>0</v>
      </c>
      <c r="AK274" s="150">
        <f t="shared" si="136"/>
        <v>0</v>
      </c>
      <c r="AM274" s="150" t="str">
        <f t="shared" si="160"/>
        <v>0.048828439783166+0.30866270107461i</v>
      </c>
      <c r="AN274" s="150" t="str">
        <f t="shared" si="161"/>
        <v>0.3137867618715i</v>
      </c>
      <c r="AO274" s="150" t="str">
        <f t="shared" si="162"/>
        <v>0.983670245467563-0.155610260585696i</v>
      </c>
      <c r="AP274" s="150" t="str">
        <f t="shared" si="163"/>
        <v>0.158528593369472-0.051443783512435i</v>
      </c>
      <c r="AQ274" s="150" t="str">
        <f t="shared" si="164"/>
        <v>0.841471406630528+0.051443783512435i</v>
      </c>
      <c r="AR274" s="150" t="str">
        <f t="shared" si="165"/>
        <v>0.986246480770571-0.0602946814911078i</v>
      </c>
    </row>
    <row r="275" spans="7:44" x14ac:dyDescent="0.25">
      <c r="G275" s="594">
        <v>17580.5</v>
      </c>
      <c r="H275" s="582">
        <f t="shared" si="157"/>
        <v>17.580500000000001</v>
      </c>
      <c r="I275" s="583">
        <f t="shared" si="137"/>
        <v>17.181348343957872</v>
      </c>
      <c r="J275" s="584">
        <f t="shared" si="138"/>
        <v>1.512560766128956</v>
      </c>
      <c r="K275" s="584">
        <f t="shared" si="139"/>
        <v>1.0000451210595915</v>
      </c>
      <c r="L275" s="585">
        <f t="shared" si="140"/>
        <v>9.499406619900206E-3</v>
      </c>
      <c r="M275" s="584">
        <f t="shared" si="141"/>
        <v>1.0111256963883211</v>
      </c>
      <c r="N275" s="585">
        <f t="shared" si="142"/>
        <v>-0.14848242569377726</v>
      </c>
      <c r="O275" s="583">
        <f t="shared" si="143"/>
        <v>31812.923295712084</v>
      </c>
      <c r="P275" s="586">
        <f t="shared" si="144"/>
        <v>1.5707648930284719</v>
      </c>
      <c r="Q275" s="595">
        <f t="shared" si="134"/>
        <v>13.293051701732795</v>
      </c>
      <c r="R275" s="596">
        <f t="shared" si="135"/>
        <v>1.4954979210637189</v>
      </c>
      <c r="S275" s="583">
        <f t="shared" si="145"/>
        <v>1.0038969673459732</v>
      </c>
      <c r="T275" s="586">
        <f t="shared" si="146"/>
        <v>8.8140274476038866E-2</v>
      </c>
      <c r="U275" s="587">
        <f t="shared" si="158"/>
        <v>0.98386232468833656</v>
      </c>
      <c r="V275" s="588">
        <f t="shared" si="159"/>
        <v>-0.21919593882859667</v>
      </c>
      <c r="W275" s="589">
        <f t="shared" si="147"/>
        <v>4.5048331441855689</v>
      </c>
      <c r="X275" s="590">
        <f t="shared" si="148"/>
        <v>-116.54803645055632</v>
      </c>
      <c r="Y275" s="593">
        <f t="shared" si="149"/>
        <v>63.451963549443676</v>
      </c>
      <c r="AA275" s="150">
        <f t="shared" si="150"/>
        <v>1000000000</v>
      </c>
      <c r="AB275" s="150">
        <f t="shared" si="151"/>
        <v>309073980.25</v>
      </c>
      <c r="AD275" s="592">
        <f t="shared" si="152"/>
        <v>27.595089133736334</v>
      </c>
      <c r="AE275" s="593">
        <f t="shared" si="153"/>
        <v>-9.3625455736097827</v>
      </c>
      <c r="AG275" s="592">
        <f t="shared" si="154"/>
        <v>2.5803137531336926</v>
      </c>
      <c r="AH275" s="593">
        <f t="shared" si="155"/>
        <v>-82.067486485672319</v>
      </c>
      <c r="AJ275" s="150">
        <f t="shared" si="156"/>
        <v>0</v>
      </c>
      <c r="AK275" s="150">
        <f t="shared" si="136"/>
        <v>0</v>
      </c>
      <c r="AM275" s="150" t="str">
        <f t="shared" si="160"/>
        <v>0.0493910470733639+0.310391073672754i</v>
      </c>
      <c r="AN275" s="150" t="str">
        <f t="shared" si="161"/>
        <v>0.315604397619i</v>
      </c>
      <c r="AO275" s="150" t="str">
        <f t="shared" si="162"/>
        <v>0.983481459746516-0.15649670107889i</v>
      </c>
      <c r="AP275" s="150" t="str">
        <f t="shared" si="163"/>
        <v>0.158434825487773-0.0517318456121257i</v>
      </c>
      <c r="AQ275" s="150" t="str">
        <f t="shared" si="164"/>
        <v>0.841565174512227+0.0517318456121257i</v>
      </c>
      <c r="AR275" s="150" t="str">
        <f t="shared" si="165"/>
        <v>0.986096183091888-0.0606163099987865i</v>
      </c>
    </row>
    <row r="276" spans="7:44" x14ac:dyDescent="0.25">
      <c r="G276" s="594">
        <v>17681.75</v>
      </c>
      <c r="H276" s="582">
        <f t="shared" si="157"/>
        <v>17.681750000000001</v>
      </c>
      <c r="I276" s="583">
        <f t="shared" si="137"/>
        <v>17.279965295531223</v>
      </c>
      <c r="J276" s="584">
        <f t="shared" si="138"/>
        <v>1.5128934901116791</v>
      </c>
      <c r="K276" s="584">
        <f t="shared" si="139"/>
        <v>1.0000456422686872</v>
      </c>
      <c r="L276" s="585">
        <f t="shared" si="140"/>
        <v>9.5541124905276879E-3</v>
      </c>
      <c r="M276" s="584">
        <f t="shared" si="141"/>
        <v>1.0112535009740442</v>
      </c>
      <c r="N276" s="585">
        <f t="shared" si="142"/>
        <v>-0.14932494892504877</v>
      </c>
      <c r="O276" s="583">
        <f t="shared" si="143"/>
        <v>31996.140978970085</v>
      </c>
      <c r="P276" s="586">
        <f t="shared" si="144"/>
        <v>1.5707650730258618</v>
      </c>
      <c r="Q276" s="595">
        <f t="shared" si="134"/>
        <v>13.369177318674001</v>
      </c>
      <c r="R276" s="596">
        <f t="shared" si="135"/>
        <v>1.4959274839796646</v>
      </c>
      <c r="S276" s="583">
        <f t="shared" si="145"/>
        <v>1.0039418952238697</v>
      </c>
      <c r="T276" s="586">
        <f t="shared" si="146"/>
        <v>8.8645246344794107E-2</v>
      </c>
      <c r="U276" s="587">
        <f t="shared" si="158"/>
        <v>0.98368461602378765</v>
      </c>
      <c r="V276" s="588">
        <f t="shared" si="159"/>
        <v>-0.22043865337337973</v>
      </c>
      <c r="W276" s="589">
        <f t="shared" si="147"/>
        <v>4.4539846186014103</v>
      </c>
      <c r="X276" s="590">
        <f t="shared" si="148"/>
        <v>-116.68777196684069</v>
      </c>
      <c r="Y276" s="593">
        <f t="shared" si="149"/>
        <v>63.312228033159315</v>
      </c>
      <c r="AA276" s="150">
        <f t="shared" si="150"/>
        <v>1000000000</v>
      </c>
      <c r="AB276" s="150">
        <f t="shared" si="151"/>
        <v>312644283.0625</v>
      </c>
      <c r="AD276" s="592">
        <f t="shared" si="152"/>
        <v>27.594419743876276</v>
      </c>
      <c r="AE276" s="593">
        <f t="shared" si="153"/>
        <v>-9.3668765014389912</v>
      </c>
      <c r="AG276" s="592">
        <f t="shared" si="154"/>
        <v>2.5332726525339595</v>
      </c>
      <c r="AH276" s="593">
        <f t="shared" si="155"/>
        <v>-82.060486476853598</v>
      </c>
      <c r="AJ276" s="150">
        <f t="shared" si="156"/>
        <v>0</v>
      </c>
      <c r="AK276" s="150">
        <f t="shared" si="136"/>
        <v>0</v>
      </c>
      <c r="AM276" s="150" t="str">
        <f t="shared" si="160"/>
        <v>0.049956794984281+0.312118420801241i</v>
      </c>
      <c r="AN276" s="150" t="str">
        <f t="shared" si="161"/>
        <v>0.3174220333665i</v>
      </c>
      <c r="AO276" s="150" t="str">
        <f t="shared" si="162"/>
        <v>0.983291605472342-0.157382883772911i</v>
      </c>
      <c r="AP276" s="150" t="str">
        <f t="shared" si="163"/>
        <v>0.158340534169287-0.0520197368002068i</v>
      </c>
      <c r="AQ276" s="150" t="str">
        <f t="shared" si="164"/>
        <v>0.841659465830713+0.0520197368002068i</v>
      </c>
      <c r="AR276" s="150" t="str">
        <f t="shared" si="165"/>
        <v>0.985945126352642-0.060937478938337i</v>
      </c>
    </row>
    <row r="277" spans="7:44" x14ac:dyDescent="0.25">
      <c r="G277" s="594">
        <v>17783</v>
      </c>
      <c r="H277" s="582">
        <f t="shared" si="157"/>
        <v>17.783000000000001</v>
      </c>
      <c r="I277" s="583">
        <f t="shared" si="137"/>
        <v>17.378584138376386</v>
      </c>
      <c r="J277" s="584">
        <f t="shared" si="138"/>
        <v>1.5132224378902583</v>
      </c>
      <c r="K277" s="584">
        <f t="shared" si="139"/>
        <v>1.0000461664706486</v>
      </c>
      <c r="L277" s="585">
        <f t="shared" si="140"/>
        <v>9.6088183039676877E-3</v>
      </c>
      <c r="M277" s="584">
        <f t="shared" si="141"/>
        <v>1.0113820232116915</v>
      </c>
      <c r="N277" s="585">
        <f t="shared" si="142"/>
        <v>-0.1501672586253798</v>
      </c>
      <c r="O277" s="583">
        <f t="shared" si="143"/>
        <v>32179.358662229115</v>
      </c>
      <c r="P277" s="586">
        <f t="shared" si="144"/>
        <v>1.570765250973571</v>
      </c>
      <c r="Q277" s="595">
        <f t="shared" si="134"/>
        <v>13.445305374618036</v>
      </c>
      <c r="R277" s="596">
        <f t="shared" si="135"/>
        <v>1.4963521825556925</v>
      </c>
      <c r="S277" s="583">
        <f t="shared" si="145"/>
        <v>1.0039870790805745</v>
      </c>
      <c r="T277" s="586">
        <f t="shared" si="146"/>
        <v>8.9150172890361576E-2</v>
      </c>
      <c r="U277" s="587">
        <f t="shared" si="158"/>
        <v>0.98350597856392541</v>
      </c>
      <c r="V277" s="588">
        <f t="shared" si="159"/>
        <v>-0.2216810374804212</v>
      </c>
      <c r="W277" s="589">
        <f t="shared" si="147"/>
        <v>4.4034181815945592</v>
      </c>
      <c r="X277" s="590">
        <f t="shared" si="148"/>
        <v>-116.82753595061399</v>
      </c>
      <c r="Y277" s="593">
        <f t="shared" si="149"/>
        <v>63.172464049386008</v>
      </c>
      <c r="AA277" s="150">
        <f t="shared" si="150"/>
        <v>1000000000</v>
      </c>
      <c r="AB277" s="150">
        <f t="shared" si="151"/>
        <v>316235089</v>
      </c>
      <c r="AD277" s="592">
        <f t="shared" si="152"/>
        <v>27.593752919680178</v>
      </c>
      <c r="AE277" s="593">
        <f t="shared" si="153"/>
        <v>-9.3714834211504883</v>
      </c>
      <c r="AG277" s="592">
        <f t="shared" si="154"/>
        <v>2.486528047214851</v>
      </c>
      <c r="AH277" s="593">
        <f t="shared" si="155"/>
        <v>-82.053276809017504</v>
      </c>
      <c r="AJ277" s="150">
        <f t="shared" si="156"/>
        <v>0</v>
      </c>
      <c r="AK277" s="150">
        <f t="shared" si="136"/>
        <v>0</v>
      </c>
      <c r="AM277" s="150" t="str">
        <f t="shared" si="160"/>
        <v>0.050525681646799+0.313844736753263i</v>
      </c>
      <c r="AN277" s="150" t="str">
        <f t="shared" si="161"/>
        <v>0.319239669114i</v>
      </c>
      <c r="AO277" s="150" t="str">
        <f t="shared" si="162"/>
        <v>0.98310068302066-0.1582688072163i</v>
      </c>
      <c r="AP277" s="150" t="str">
        <f t="shared" si="163"/>
        <v>0.158245719725534-0.0523074561255438i</v>
      </c>
      <c r="AQ277" s="150" t="str">
        <f t="shared" si="164"/>
        <v>0.841754280274466+0.0523074561255438i</v>
      </c>
      <c r="AR277" s="150" t="str">
        <f t="shared" si="165"/>
        <v>0.985793312322219-0.0612581861969691i</v>
      </c>
    </row>
    <row r="278" spans="7:44" x14ac:dyDescent="0.25">
      <c r="G278" s="594">
        <v>17886.5</v>
      </c>
      <c r="H278" s="582">
        <f t="shared" si="157"/>
        <v>17.886500000000002</v>
      </c>
      <c r="I278" s="583">
        <f t="shared" si="137"/>
        <v>17.479396432511994</v>
      </c>
      <c r="J278" s="584">
        <f t="shared" si="138"/>
        <v>1.5135548590877428</v>
      </c>
      <c r="K278" s="584">
        <f t="shared" si="139"/>
        <v>1.0000467054149045</v>
      </c>
      <c r="L278" s="585">
        <f t="shared" si="140"/>
        <v>9.6647397427020998E-3</v>
      </c>
      <c r="M278" s="584">
        <f t="shared" si="141"/>
        <v>1.0115141429650749</v>
      </c>
      <c r="N278" s="585">
        <f t="shared" si="142"/>
        <v>-0.15102806445818823</v>
      </c>
      <c r="O278" s="583">
        <f t="shared" si="143"/>
        <v>32366.647849561603</v>
      </c>
      <c r="P278" s="586">
        <f t="shared" si="144"/>
        <v>1.5707654307934074</v>
      </c>
      <c r="Q278" s="595">
        <f t="shared" si="134"/>
        <v>13.523127643154284</v>
      </c>
      <c r="R278" s="596">
        <f t="shared" si="135"/>
        <v>1.496781376572663</v>
      </c>
      <c r="S278" s="583">
        <f t="shared" si="145"/>
        <v>1.0040335315616382</v>
      </c>
      <c r="T278" s="586">
        <f t="shared" si="146"/>
        <v>8.9666272918989529E-2</v>
      </c>
      <c r="U278" s="587">
        <f t="shared" si="158"/>
        <v>0.98332241295470013</v>
      </c>
      <c r="V278" s="588">
        <f t="shared" si="159"/>
        <v>-0.22295068687071809</v>
      </c>
      <c r="W278" s="589">
        <f t="shared" si="147"/>
        <v>4.3520162002870553</v>
      </c>
      <c r="X278" s="590">
        <f t="shared" si="148"/>
        <v>-116.97043396331557</v>
      </c>
      <c r="Y278" s="593">
        <f t="shared" si="149"/>
        <v>63.029566036684429</v>
      </c>
      <c r="AA278" s="150">
        <f t="shared" si="150"/>
        <v>1000000000</v>
      </c>
      <c r="AB278" s="150">
        <f t="shared" si="151"/>
        <v>319926882.25</v>
      </c>
      <c r="AD278" s="592">
        <f t="shared" si="152"/>
        <v>27.593073818152867</v>
      </c>
      <c r="AE278" s="593">
        <f t="shared" si="153"/>
        <v>-9.3764730717561626</v>
      </c>
      <c r="AG278" s="592">
        <f t="shared" si="154"/>
        <v>2.4390478105337299</v>
      </c>
      <c r="AH278" s="593">
        <f t="shared" si="155"/>
        <v>-82.045694067896406</v>
      </c>
      <c r="AJ278" s="150">
        <f t="shared" si="156"/>
        <v>0</v>
      </c>
      <c r="AK278" s="150">
        <f t="shared" si="136"/>
        <v>0</v>
      </c>
      <c r="AM278" s="150" t="str">
        <f t="shared" si="160"/>
        <v>0.051110452429757+0.315608343539804i</v>
      </c>
      <c r="AN278" s="150" t="str">
        <f t="shared" si="161"/>
        <v>0.321097696767i</v>
      </c>
      <c r="AO278" s="150" t="str">
        <f t="shared" si="162"/>
        <v>0.982904414193979-0.159174148380281i</v>
      </c>
      <c r="AP278" s="150" t="str">
        <f t="shared" si="163"/>
        <v>0.158148257928374-0.0526013905899673i</v>
      </c>
      <c r="AQ278" s="150" t="str">
        <f t="shared" si="164"/>
        <v>0.841851742071626+0.0526013905899673i</v>
      </c>
      <c r="AR278" s="150" t="str">
        <f t="shared" si="165"/>
        <v>0.98563734377519-0.0615855409081823i</v>
      </c>
    </row>
    <row r="279" spans="7:44" x14ac:dyDescent="0.25">
      <c r="G279" s="594">
        <v>17990</v>
      </c>
      <c r="H279" s="582">
        <f t="shared" si="157"/>
        <v>17.989999999999998</v>
      </c>
      <c r="I279" s="583">
        <f t="shared" si="137"/>
        <v>17.580210636035599</v>
      </c>
      <c r="J279" s="584">
        <f t="shared" si="138"/>
        <v>1.5138834677641142</v>
      </c>
      <c r="K279" s="584">
        <f t="shared" si="139"/>
        <v>1.0000472474865103</v>
      </c>
      <c r="L279" s="585">
        <f t="shared" si="140"/>
        <v>9.7206611209874044E-3</v>
      </c>
      <c r="M279" s="584">
        <f t="shared" si="141"/>
        <v>1.0116470120408705</v>
      </c>
      <c r="N279" s="585">
        <f t="shared" si="142"/>
        <v>-0.15188864481315373</v>
      </c>
      <c r="O279" s="583">
        <f t="shared" si="143"/>
        <v>32553.937036895124</v>
      </c>
      <c r="P279" s="586">
        <f t="shared" si="144"/>
        <v>1.5707656085441664</v>
      </c>
      <c r="Q279" s="595">
        <f t="shared" ref="Q279:Q342" si="166">SQRT(1+(G279/Zero2)^2)</f>
        <v>13.600952374245024</v>
      </c>
      <c r="R279" s="596">
        <f t="shared" ref="R279:R342" si="167">ATAN(G279/Zero2)</f>
        <v>1.4972056589655653</v>
      </c>
      <c r="S279" s="583">
        <f t="shared" si="145"/>
        <v>1.0040802514515235</v>
      </c>
      <c r="T279" s="586">
        <f t="shared" si="146"/>
        <v>9.0182325056756649E-2</v>
      </c>
      <c r="U279" s="587">
        <f t="shared" si="158"/>
        <v>0.98313787997716484</v>
      </c>
      <c r="V279" s="588">
        <f t="shared" si="159"/>
        <v>-0.22421998749051625</v>
      </c>
      <c r="W279" s="589">
        <f t="shared" si="147"/>
        <v>4.3009021301705417</v>
      </c>
      <c r="X279" s="590">
        <f t="shared" si="148"/>
        <v>-117.1133591889412</v>
      </c>
      <c r="Y279" s="593">
        <f t="shared" si="149"/>
        <v>62.886640811058797</v>
      </c>
      <c r="AA279" s="150">
        <f t="shared" si="150"/>
        <v>1000000000</v>
      </c>
      <c r="AB279" s="150">
        <f t="shared" si="151"/>
        <v>323640100</v>
      </c>
      <c r="AD279" s="592">
        <f t="shared" si="152"/>
        <v>27.592397175861883</v>
      </c>
      <c r="AE279" s="593">
        <f t="shared" si="153"/>
        <v>-9.3817412751982232</v>
      </c>
      <c r="AG279" s="592">
        <f t="shared" si="154"/>
        <v>2.3918707243238853</v>
      </c>
      <c r="AH279" s="593">
        <f t="shared" si="155"/>
        <v>-82.037899953018268</v>
      </c>
      <c r="AJ279" s="150">
        <f t="shared" si="156"/>
        <v>0</v>
      </c>
      <c r="AK279" s="150">
        <f t="shared" si="136"/>
        <v>0</v>
      </c>
      <c r="AM279" s="150" t="str">
        <f t="shared" si="160"/>
        <v>0.0516984990316151+0.317370860762465i</v>
      </c>
      <c r="AN279" s="150" t="str">
        <f t="shared" si="161"/>
        <v>0.32295572442i</v>
      </c>
      <c r="AO279" s="150" t="str">
        <f t="shared" si="162"/>
        <v>0.982707029988198-0.160079215578114i</v>
      </c>
      <c r="AP279" s="150" t="str">
        <f t="shared" si="163"/>
        <v>0.158050250161397-0.0528951434604108i</v>
      </c>
      <c r="AQ279" s="150" t="str">
        <f t="shared" si="164"/>
        <v>0.841949749838603+0.0528951434604108i</v>
      </c>
      <c r="AR279" s="150" t="str">
        <f t="shared" si="165"/>
        <v>0.985480587666956-0.0619124087537125i</v>
      </c>
    </row>
    <row r="280" spans="7:44" x14ac:dyDescent="0.25">
      <c r="G280" s="594">
        <v>18093.5</v>
      </c>
      <c r="H280" s="582">
        <f t="shared" si="157"/>
        <v>18.093499999999999</v>
      </c>
      <c r="I280" s="583">
        <f t="shared" si="137"/>
        <v>17.68102671628618</v>
      </c>
      <c r="J280" s="584">
        <f t="shared" si="138"/>
        <v>1.5142083290640422</v>
      </c>
      <c r="K280" s="584">
        <f t="shared" si="139"/>
        <v>1.0000477926854612</v>
      </c>
      <c r="L280" s="585">
        <f t="shared" si="140"/>
        <v>9.7765824384739471E-3</v>
      </c>
      <c r="M280" s="584">
        <f t="shared" si="141"/>
        <v>1.0117806301438705</v>
      </c>
      <c r="N280" s="585">
        <f t="shared" si="142"/>
        <v>-0.15274899850466997</v>
      </c>
      <c r="O280" s="583">
        <f t="shared" si="143"/>
        <v>32741.226224229667</v>
      </c>
      <c r="P280" s="586">
        <f t="shared" si="144"/>
        <v>1.5707657842613547</v>
      </c>
      <c r="Q280" s="595">
        <f t="shared" si="166"/>
        <v>13.678779525858509</v>
      </c>
      <c r="R280" s="596">
        <f t="shared" si="167"/>
        <v>1.4976251134162508</v>
      </c>
      <c r="S280" s="583">
        <f t="shared" si="145"/>
        <v>1.0041272387129043</v>
      </c>
      <c r="T280" s="586">
        <f t="shared" si="146"/>
        <v>9.0698329035507494E-2</v>
      </c>
      <c r="U280" s="587">
        <f t="shared" si="158"/>
        <v>0.98295238124166995</v>
      </c>
      <c r="V280" s="588">
        <f t="shared" si="159"/>
        <v>-0.22548893758527289</v>
      </c>
      <c r="W280" s="589">
        <f t="shared" si="147"/>
        <v>4.2500725960987564</v>
      </c>
      <c r="X280" s="590">
        <f t="shared" si="148"/>
        <v>-117.25631038362087</v>
      </c>
      <c r="Y280" s="593">
        <f t="shared" si="149"/>
        <v>62.743689616379129</v>
      </c>
      <c r="AA280" s="150">
        <f t="shared" si="150"/>
        <v>1000000000</v>
      </c>
      <c r="AB280" s="150">
        <f t="shared" si="151"/>
        <v>327374742.25</v>
      </c>
      <c r="AD280" s="592">
        <f t="shared" si="152"/>
        <v>27.591722885474045</v>
      </c>
      <c r="AE280" s="593">
        <f t="shared" si="153"/>
        <v>-9.3872832235299626</v>
      </c>
      <c r="AG280" s="592">
        <f t="shared" si="154"/>
        <v>2.3449935021653348</v>
      </c>
      <c r="AH280" s="593">
        <f t="shared" si="155"/>
        <v>-82.029898229515453</v>
      </c>
      <c r="AJ280" s="150">
        <f t="shared" si="156"/>
        <v>0</v>
      </c>
      <c r="AK280" s="150">
        <f t="shared" si="136"/>
        <v>0</v>
      </c>
      <c r="AM280" s="150" t="str">
        <f t="shared" si="160"/>
        <v>0.0522898194222809+0.319132282336569i</v>
      </c>
      <c r="AN280" s="150" t="str">
        <f t="shared" si="161"/>
        <v>0.324813752073i</v>
      </c>
      <c r="AO280" s="150" t="str">
        <f t="shared" si="162"/>
        <v>0.982508530811361-0.160984007261272i</v>
      </c>
      <c r="AP280" s="150" t="str">
        <f t="shared" si="163"/>
        <v>0.157951696762953-0.0531887137227615i</v>
      </c>
      <c r="AQ280" s="150" t="str">
        <f t="shared" si="164"/>
        <v>0.842048303237047+0.0531887137227615i</v>
      </c>
      <c r="AR280" s="150" t="str">
        <f t="shared" si="165"/>
        <v>0.985323045910141-0.0622387875040945i</v>
      </c>
    </row>
    <row r="281" spans="7:44" x14ac:dyDescent="0.25">
      <c r="G281" s="594">
        <v>18197</v>
      </c>
      <c r="H281" s="582">
        <f t="shared" si="157"/>
        <v>18.196999999999999</v>
      </c>
      <c r="I281" s="583">
        <f t="shared" si="137"/>
        <v>17.781844641342822</v>
      </c>
      <c r="J281" s="584">
        <f t="shared" si="138"/>
        <v>1.514529506657996</v>
      </c>
      <c r="K281" s="584">
        <f t="shared" si="139"/>
        <v>1.0000483410117518</v>
      </c>
      <c r="L281" s="585">
        <f t="shared" si="140"/>
        <v>9.8325036948120753E-3</v>
      </c>
      <c r="M281" s="584">
        <f t="shared" si="141"/>
        <v>1.01191499697736</v>
      </c>
      <c r="N281" s="585">
        <f t="shared" si="142"/>
        <v>-0.15360912434909735</v>
      </c>
      <c r="O281" s="583">
        <f t="shared" si="143"/>
        <v>32928.515411565211</v>
      </c>
      <c r="P281" s="586">
        <f t="shared" si="144"/>
        <v>1.570765957979672</v>
      </c>
      <c r="Q281" s="595">
        <f t="shared" si="166"/>
        <v>13.756609056912879</v>
      </c>
      <c r="R281" s="596">
        <f t="shared" si="167"/>
        <v>1.4980398217196975</v>
      </c>
      <c r="S281" s="583">
        <f t="shared" si="145"/>
        <v>1.0041744933082484</v>
      </c>
      <c r="T281" s="586">
        <f t="shared" si="146"/>
        <v>9.121428458723925E-2</v>
      </c>
      <c r="U281" s="587">
        <f t="shared" si="158"/>
        <v>0.98276591836539073</v>
      </c>
      <c r="V281" s="588">
        <f t="shared" si="159"/>
        <v>-0.22675753540472243</v>
      </c>
      <c r="W281" s="589">
        <f t="shared" si="147"/>
        <v>4.1995242812612155</v>
      </c>
      <c r="X281" s="590">
        <f t="shared" si="148"/>
        <v>-117.39928632744896</v>
      </c>
      <c r="Y281" s="593">
        <f t="shared" si="149"/>
        <v>62.600713672551038</v>
      </c>
      <c r="AA281" s="150">
        <f t="shared" si="150"/>
        <v>1000000000</v>
      </c>
      <c r="AB281" s="150">
        <f t="shared" si="151"/>
        <v>331130809</v>
      </c>
      <c r="AD281" s="592">
        <f t="shared" si="152"/>
        <v>27.591050842705375</v>
      </c>
      <c r="AE281" s="593">
        <f t="shared" si="153"/>
        <v>-9.3930942168770564</v>
      </c>
      <c r="AG281" s="592">
        <f t="shared" si="154"/>
        <v>2.2984129128403028</v>
      </c>
      <c r="AH281" s="593">
        <f t="shared" si="155"/>
        <v>-82.021692577922394</v>
      </c>
      <c r="AJ281" s="150">
        <f t="shared" si="156"/>
        <v>0</v>
      </c>
      <c r="AK281" s="150">
        <f t="shared" si="136"/>
        <v>0</v>
      </c>
      <c r="AM281" s="150" t="str">
        <f t="shared" si="160"/>
        <v>0.0528844115603599+0.320892602181219i</v>
      </c>
      <c r="AN281" s="150" t="str">
        <f t="shared" si="161"/>
        <v>0.326671779726i</v>
      </c>
      <c r="AO281" s="150" t="str">
        <f t="shared" si="162"/>
        <v>0.982308917073803-0.161888521881864i</v>
      </c>
      <c r="AP281" s="150" t="str">
        <f t="shared" si="163"/>
        <v>0.157852598073273-0.0534821003635365i</v>
      </c>
      <c r="AQ281" s="150" t="str">
        <f t="shared" si="164"/>
        <v>0.842147401926727+0.0534821003635365i</v>
      </c>
      <c r="AR281" s="150" t="str">
        <f t="shared" si="165"/>
        <v>0.985164720424892-0.0625646749391311i</v>
      </c>
    </row>
    <row r="282" spans="7:44" x14ac:dyDescent="0.25">
      <c r="G282" s="594">
        <v>18303</v>
      </c>
      <c r="H282" s="582">
        <f t="shared" si="157"/>
        <v>18.303000000000001</v>
      </c>
      <c r="I282" s="583">
        <f t="shared" si="137"/>
        <v>17.885099661568379</v>
      </c>
      <c r="J282" s="584">
        <f t="shared" si="138"/>
        <v>1.5148546889380579</v>
      </c>
      <c r="K282" s="584">
        <f t="shared" si="139"/>
        <v>1.000048905824195</v>
      </c>
      <c r="L282" s="585">
        <f t="shared" si="140"/>
        <v>9.8897756423870966E-3</v>
      </c>
      <c r="M282" s="584">
        <f t="shared" si="141"/>
        <v>1.0120533851517539</v>
      </c>
      <c r="N282" s="585">
        <f t="shared" si="142"/>
        <v>-0.15448978877654676</v>
      </c>
      <c r="O282" s="583">
        <f t="shared" si="143"/>
        <v>33120.328492315668</v>
      </c>
      <c r="P282" s="586">
        <f t="shared" si="144"/>
        <v>1.570766133857638</v>
      </c>
      <c r="Q282" s="595">
        <f t="shared" si="166"/>
        <v>13.836320952722692</v>
      </c>
      <c r="R282" s="596">
        <f t="shared" si="167"/>
        <v>1.4984597111756377</v>
      </c>
      <c r="S282" s="583">
        <f t="shared" si="145"/>
        <v>1.0042231663774686</v>
      </c>
      <c r="T282" s="586">
        <f t="shared" si="146"/>
        <v>9.1742652357842236E-2</v>
      </c>
      <c r="U282" s="587">
        <f t="shared" si="158"/>
        <v>0.98257395389709956</v>
      </c>
      <c r="V282" s="588">
        <f t="shared" si="159"/>
        <v>-0.22805640871760968</v>
      </c>
      <c r="W282" s="589">
        <f t="shared" si="147"/>
        <v>4.1480430772871975</v>
      </c>
      <c r="X282" s="590">
        <f t="shared" si="148"/>
        <v>-117.54574019943055</v>
      </c>
      <c r="Y282" s="593">
        <f t="shared" si="149"/>
        <v>62.454259800569446</v>
      </c>
      <c r="AA282" s="150">
        <f t="shared" si="150"/>
        <v>1000000000</v>
      </c>
      <c r="AB282" s="150">
        <f t="shared" si="151"/>
        <v>334999809</v>
      </c>
      <c r="AD282" s="592">
        <f t="shared" si="152"/>
        <v>27.59036479086387</v>
      </c>
      <c r="AE282" s="593">
        <f t="shared" si="153"/>
        <v>-9.399319643548198</v>
      </c>
      <c r="AG282" s="592">
        <f t="shared" si="154"/>
        <v>2.251011335966385</v>
      </c>
      <c r="AH282" s="593">
        <f t="shared" si="155"/>
        <v>-82.013081105161547</v>
      </c>
      <c r="AJ282" s="150">
        <f t="shared" si="156"/>
        <v>0</v>
      </c>
      <c r="AK282" s="150">
        <f t="shared" ref="AK282:AK345" si="168">IF(AJ282&gt;0,Y282,0)</f>
        <v>0</v>
      </c>
      <c r="AM282" s="150" t="str">
        <f t="shared" si="160"/>
        <v>0.05349675492594+0.322694293510552i</v>
      </c>
      <c r="AN282" s="150" t="str">
        <f t="shared" si="161"/>
        <v>0.328574687274i</v>
      </c>
      <c r="AO282" s="150" t="str">
        <f t="shared" si="162"/>
        <v>0.982103326911046-0.162814595883123i</v>
      </c>
      <c r="AP282" s="150" t="str">
        <f t="shared" si="163"/>
        <v>0.157750540845677-0.0537823822517587i</v>
      </c>
      <c r="AQ282" s="150" t="str">
        <f t="shared" si="164"/>
        <v>0.842249459154323+0.0537823822517587i</v>
      </c>
      <c r="AR282" s="150" t="str">
        <f t="shared" si="165"/>
        <v>0.985001760313696-0.0628979224813486i</v>
      </c>
    </row>
    <row r="283" spans="7:44" x14ac:dyDescent="0.25">
      <c r="G283" s="594">
        <v>18409</v>
      </c>
      <c r="H283" s="582">
        <f t="shared" si="157"/>
        <v>18.408999999999999</v>
      </c>
      <c r="I283" s="583">
        <f t="shared" si="137"/>
        <v>17.988356551315377</v>
      </c>
      <c r="J283" s="584">
        <f t="shared" si="138"/>
        <v>1.5151761380246018</v>
      </c>
      <c r="K283" s="584">
        <f t="shared" si="139"/>
        <v>1.0000494739168708</v>
      </c>
      <c r="L283" s="585">
        <f t="shared" si="140"/>
        <v>9.9470475250816471E-3</v>
      </c>
      <c r="M283" s="584">
        <f t="shared" si="141"/>
        <v>1.0121925580292386</v>
      </c>
      <c r="N283" s="585">
        <f t="shared" si="142"/>
        <v>-0.15537021171021514</v>
      </c>
      <c r="O283" s="583">
        <f t="shared" si="143"/>
        <v>33312.141573067143</v>
      </c>
      <c r="P283" s="586">
        <f t="shared" si="144"/>
        <v>1.5707663077101748</v>
      </c>
      <c r="Q283" s="595">
        <f t="shared" si="166"/>
        <v>13.916035260028096</v>
      </c>
      <c r="R283" s="596">
        <f t="shared" si="167"/>
        <v>1.4988747902538875</v>
      </c>
      <c r="S283" s="583">
        <f t="shared" si="145"/>
        <v>1.0042721197709612</v>
      </c>
      <c r="T283" s="586">
        <f t="shared" si="146"/>
        <v>9.2270968765193917E-2</v>
      </c>
      <c r="U283" s="587">
        <f t="shared" si="158"/>
        <v>0.98238098160390075</v>
      </c>
      <c r="V283" s="588">
        <f t="shared" si="159"/>
        <v>-0.22935490882930529</v>
      </c>
      <c r="W283" s="589">
        <f t="shared" si="147"/>
        <v>4.0968499819013013</v>
      </c>
      <c r="X283" s="590">
        <f t="shared" si="148"/>
        <v>-117.69221751486269</v>
      </c>
      <c r="Y283" s="593">
        <f t="shared" si="149"/>
        <v>62.307782485137309</v>
      </c>
      <c r="AA283" s="150">
        <f t="shared" si="150"/>
        <v>1000000000</v>
      </c>
      <c r="AB283" s="150">
        <f t="shared" si="151"/>
        <v>338891281</v>
      </c>
      <c r="AD283" s="592">
        <f t="shared" si="152"/>
        <v>27.589680884490004</v>
      </c>
      <c r="AE283" s="593">
        <f t="shared" si="153"/>
        <v>-9.4058176256131159</v>
      </c>
      <c r="AG283" s="592">
        <f t="shared" si="154"/>
        <v>2.2039142069808411</v>
      </c>
      <c r="AH283" s="593">
        <f t="shared" si="155"/>
        <v>-82.004263286163919</v>
      </c>
      <c r="AJ283" s="150">
        <f t="shared" si="156"/>
        <v>0</v>
      </c>
      <c r="AK283" s="150">
        <f t="shared" si="168"/>
        <v>0</v>
      </c>
      <c r="AM283" s="150" t="str">
        <f t="shared" si="160"/>
        <v>0.054112525632816+0.324494816345763i</v>
      </c>
      <c r="AN283" s="150" t="str">
        <f t="shared" si="161"/>
        <v>0.330477594822i</v>
      </c>
      <c r="AO283" s="150" t="str">
        <f t="shared" si="162"/>
        <v>0.981896568572343-0.163740375991183i</v>
      </c>
      <c r="AP283" s="150" t="str">
        <f t="shared" si="163"/>
        <v>0.157647912394531-0.0540824693909605i</v>
      </c>
      <c r="AQ283" s="150" t="str">
        <f t="shared" si="164"/>
        <v>0.842352087605469+0.0540824693909605i</v>
      </c>
      <c r="AR283" s="150" t="str">
        <f t="shared" si="165"/>
        <v>0.984837982256189-0.0632306500027006i</v>
      </c>
    </row>
    <row r="284" spans="7:44" x14ac:dyDescent="0.25">
      <c r="G284" s="594">
        <v>18515</v>
      </c>
      <c r="H284" s="582">
        <f t="shared" si="157"/>
        <v>18.515000000000001</v>
      </c>
      <c r="I284" s="583">
        <f t="shared" si="137"/>
        <v>18.091615278573254</v>
      </c>
      <c r="J284" s="584">
        <f t="shared" si="138"/>
        <v>1.5154939177727442</v>
      </c>
      <c r="K284" s="584">
        <f t="shared" si="139"/>
        <v>1.0000500452897736</v>
      </c>
      <c r="L284" s="585">
        <f t="shared" si="140"/>
        <v>1.0004319342520124E-2</v>
      </c>
      <c r="M284" s="584">
        <f t="shared" si="141"/>
        <v>1.0123325152861768</v>
      </c>
      <c r="N284" s="585">
        <f t="shared" si="142"/>
        <v>-0.15625039188507495</v>
      </c>
      <c r="O284" s="583">
        <f t="shared" si="143"/>
        <v>33503.954653819615</v>
      </c>
      <c r="P284" s="586">
        <f t="shared" si="144"/>
        <v>1.5707664795720693</v>
      </c>
      <c r="Q284" s="595">
        <f t="shared" si="166"/>
        <v>13.99575193762429</v>
      </c>
      <c r="R284" s="596">
        <f t="shared" si="167"/>
        <v>1.4992851410066932</v>
      </c>
      <c r="S284" s="583">
        <f t="shared" si="145"/>
        <v>1.0043213534477347</v>
      </c>
      <c r="T284" s="586">
        <f t="shared" si="146"/>
        <v>9.2799233521901267E-2</v>
      </c>
      <c r="U284" s="587">
        <f t="shared" si="158"/>
        <v>0.98218700324503527</v>
      </c>
      <c r="V284" s="588">
        <f t="shared" si="159"/>
        <v>-0.230653033873671</v>
      </c>
      <c r="W284" s="589">
        <f t="shared" si="147"/>
        <v>4.0459416137260975</v>
      </c>
      <c r="X284" s="590">
        <f t="shared" si="148"/>
        <v>-117.83871703727229</v>
      </c>
      <c r="Y284" s="593">
        <f t="shared" si="149"/>
        <v>62.161282962727711</v>
      </c>
      <c r="AA284" s="150">
        <f t="shared" si="150"/>
        <v>1000000000</v>
      </c>
      <c r="AB284" s="150">
        <f t="shared" si="151"/>
        <v>342805225</v>
      </c>
      <c r="AD284" s="592">
        <f t="shared" si="152"/>
        <v>27.588999020847101</v>
      </c>
      <c r="AE284" s="593">
        <f t="shared" si="153"/>
        <v>-9.4125834473511105</v>
      </c>
      <c r="AG284" s="592">
        <f t="shared" si="154"/>
        <v>2.1571182268910567</v>
      </c>
      <c r="AH284" s="593">
        <f t="shared" si="155"/>
        <v>-81.995242814020784</v>
      </c>
      <c r="AJ284" s="150">
        <f t="shared" si="156"/>
        <v>0</v>
      </c>
      <c r="AK284" s="150">
        <f t="shared" si="168"/>
        <v>0</v>
      </c>
      <c r="AM284" s="150" t="str">
        <f t="shared" si="160"/>
        <v>0.054731721451248+0.326294164167059i</v>
      </c>
      <c r="AN284" s="150" t="str">
        <f t="shared" si="161"/>
        <v>0.33238050237i</v>
      </c>
      <c r="AO284" s="150" t="str">
        <f t="shared" si="162"/>
        <v>0.981688642505974-0.164665860545339i</v>
      </c>
      <c r="AP284" s="150" t="str">
        <f t="shared" si="163"/>
        <v>0.157544713091459-0.0543823606945098i</v>
      </c>
      <c r="AQ284" s="150" t="str">
        <f t="shared" si="164"/>
        <v>0.842455286908541+0.0543823606945098i</v>
      </c>
      <c r="AR284" s="150" t="str">
        <f t="shared" si="165"/>
        <v>0.984673388339235-0.0635628551486113i</v>
      </c>
    </row>
    <row r="285" spans="7:44" x14ac:dyDescent="0.25">
      <c r="G285" s="594">
        <v>18621</v>
      </c>
      <c r="H285" s="582">
        <f t="shared" si="157"/>
        <v>18.620999999999999</v>
      </c>
      <c r="I285" s="583">
        <f t="shared" si="137"/>
        <v>18.194875812057528</v>
      </c>
      <c r="J285" s="584">
        <f t="shared" si="138"/>
        <v>1.5158080905910281</v>
      </c>
      <c r="K285" s="584">
        <f t="shared" si="139"/>
        <v>1.000050619942898</v>
      </c>
      <c r="L285" s="585">
        <f t="shared" si="140"/>
        <v>1.0061591094326928E-2</v>
      </c>
      <c r="M285" s="584">
        <f t="shared" si="141"/>
        <v>1.0124732565972878</v>
      </c>
      <c r="N285" s="585">
        <f t="shared" si="142"/>
        <v>-0.15713032803830071</v>
      </c>
      <c r="O285" s="583">
        <f t="shared" si="143"/>
        <v>33695.767734573063</v>
      </c>
      <c r="P285" s="586">
        <f t="shared" si="144"/>
        <v>1.5707666494773171</v>
      </c>
      <c r="Q285" s="595">
        <f t="shared" si="166"/>
        <v>14.075470945238726</v>
      </c>
      <c r="R285" s="596">
        <f t="shared" si="167"/>
        <v>1.4996908436338827</v>
      </c>
      <c r="S285" s="583">
        <f t="shared" si="145"/>
        <v>1.004370867366571</v>
      </c>
      <c r="T285" s="586">
        <f t="shared" si="146"/>
        <v>9.3327446340742706E-2</v>
      </c>
      <c r="U285" s="587">
        <f t="shared" si="158"/>
        <v>0.9819920205870748</v>
      </c>
      <c r="V285" s="588">
        <f t="shared" si="159"/>
        <v>-0.23195078198934688</v>
      </c>
      <c r="W285" s="589">
        <f t="shared" si="147"/>
        <v>3.9953146498654957</v>
      </c>
      <c r="X285" s="590">
        <f t="shared" si="148"/>
        <v>-117.98523755380397</v>
      </c>
      <c r="Y285" s="593">
        <f t="shared" si="149"/>
        <v>62.014762446196031</v>
      </c>
      <c r="AA285" s="150">
        <f t="shared" si="150"/>
        <v>1000000000</v>
      </c>
      <c r="AB285" s="150">
        <f t="shared" si="151"/>
        <v>346741641</v>
      </c>
      <c r="AD285" s="592">
        <f t="shared" si="152"/>
        <v>27.588319100123261</v>
      </c>
      <c r="AE285" s="593">
        <f t="shared" si="153"/>
        <v>-9.4196124991417616</v>
      </c>
      <c r="AG285" s="592">
        <f t="shared" si="154"/>
        <v>2.110620152169898</v>
      </c>
      <c r="AH285" s="593">
        <f t="shared" si="155"/>
        <v>-81.986023298793327</v>
      </c>
      <c r="AJ285" s="150">
        <f t="shared" si="156"/>
        <v>0</v>
      </c>
      <c r="AK285" s="150">
        <f t="shared" si="168"/>
        <v>0</v>
      </c>
      <c r="AM285" s="150" t="str">
        <f t="shared" si="160"/>
        <v>0.055354340139093+0.328092330458899i</v>
      </c>
      <c r="AN285" s="150" t="str">
        <f t="shared" si="161"/>
        <v>0.334283409918i</v>
      </c>
      <c r="AO285" s="150" t="str">
        <f t="shared" si="162"/>
        <v>0.981479549162731-0.165591047885599i</v>
      </c>
      <c r="AP285" s="150" t="str">
        <f t="shared" si="163"/>
        <v>0.157440943310151-0.0546820550764832i</v>
      </c>
      <c r="AQ285" s="150" t="str">
        <f t="shared" si="164"/>
        <v>0.842559056689849+0.0546820550764832i</v>
      </c>
      <c r="AR285" s="150" t="str">
        <f t="shared" si="165"/>
        <v>0.984507980657737-0.0638945355748286i</v>
      </c>
    </row>
    <row r="286" spans="7:44" x14ac:dyDescent="0.25">
      <c r="G286" s="594">
        <v>18729.5</v>
      </c>
      <c r="H286" s="582">
        <f t="shared" si="157"/>
        <v>18.729500000000002</v>
      </c>
      <c r="I286" s="583">
        <f t="shared" si="137"/>
        <v>18.300573574196886</v>
      </c>
      <c r="J286" s="584">
        <f t="shared" si="138"/>
        <v>1.5161260012748752</v>
      </c>
      <c r="K286" s="584">
        <f t="shared" si="139"/>
        <v>1.0000512115463356</v>
      </c>
      <c r="L286" s="585">
        <f t="shared" si="140"/>
        <v>1.0120213526633256E-2</v>
      </c>
      <c r="M286" s="584">
        <f t="shared" si="141"/>
        <v>1.012618128947695</v>
      </c>
      <c r="N286" s="585">
        <f t="shared" si="142"/>
        <v>-0.15803076336453259</v>
      </c>
      <c r="O286" s="583">
        <f t="shared" si="143"/>
        <v>33892.104708741499</v>
      </c>
      <c r="P286" s="586">
        <f t="shared" si="144"/>
        <v>1.5707668213980279</v>
      </c>
      <c r="Q286" s="595">
        <f t="shared" si="166"/>
        <v>14.157072490138063</v>
      </c>
      <c r="R286" s="596">
        <f t="shared" si="167"/>
        <v>1.5001013826846428</v>
      </c>
      <c r="S286" s="583">
        <f t="shared" si="145"/>
        <v>1.00442183925748</v>
      </c>
      <c r="T286" s="586">
        <f t="shared" si="146"/>
        <v>9.3868062919729475E-2</v>
      </c>
      <c r="U286" s="587">
        <f t="shared" si="158"/>
        <v>0.98179140102527429</v>
      </c>
      <c r="V286" s="588">
        <f t="shared" si="159"/>
        <v>-0.23327874506578697</v>
      </c>
      <c r="W286" s="589">
        <f t="shared" si="147"/>
        <v>3.9437816833184409</v>
      </c>
      <c r="X286" s="590">
        <f t="shared" si="148"/>
        <v>-118.1352342437208</v>
      </c>
      <c r="Y286" s="593">
        <f t="shared" si="149"/>
        <v>61.864765756279198</v>
      </c>
      <c r="AA286" s="150">
        <f t="shared" si="150"/>
        <v>1000000000</v>
      </c>
      <c r="AB286" s="150">
        <f t="shared" si="151"/>
        <v>350794170.25</v>
      </c>
      <c r="AD286" s="592">
        <f t="shared" si="152"/>
        <v>27.587625054511822</v>
      </c>
      <c r="AE286" s="593">
        <f t="shared" si="153"/>
        <v>-9.4270752428583098</v>
      </c>
      <c r="AG286" s="592">
        <f t="shared" si="154"/>
        <v>2.0633306234125053</v>
      </c>
      <c r="AH286" s="593">
        <f t="shared" si="155"/>
        <v>-81.976383885561276</v>
      </c>
      <c r="AJ286" s="150">
        <f t="shared" si="156"/>
        <v>0</v>
      </c>
      <c r="AK286" s="150">
        <f t="shared" si="168"/>
        <v>0</v>
      </c>
      <c r="AM286" s="150" t="str">
        <f t="shared" si="160"/>
        <v>0.055995185790069+0.329931675879225i</v>
      </c>
      <c r="AN286" s="150" t="str">
        <f t="shared" si="161"/>
        <v>0.336231197361i</v>
      </c>
      <c r="AO286" s="150" t="str">
        <f t="shared" si="162"/>
        <v>0.981264315949209-0.166537746138854i</v>
      </c>
      <c r="AP286" s="150" t="str">
        <f t="shared" si="163"/>
        <v>0.157334135701655-0.0549886126465375i</v>
      </c>
      <c r="AQ286" s="150" t="str">
        <f t="shared" si="164"/>
        <v>0.842665864298345+0.0549886126465375i</v>
      </c>
      <c r="AR286" s="150" t="str">
        <f t="shared" si="165"/>
        <v>0.984337831266996-0.0642334927877295i</v>
      </c>
    </row>
    <row r="287" spans="7:44" x14ac:dyDescent="0.25">
      <c r="G287" s="594">
        <v>18838</v>
      </c>
      <c r="H287" s="582">
        <f t="shared" si="157"/>
        <v>18.838000000000001</v>
      </c>
      <c r="I287" s="583">
        <f t="shared" si="137"/>
        <v>18.406273164681455</v>
      </c>
      <c r="J287" s="584">
        <f t="shared" si="138"/>
        <v>1.5164402607318519</v>
      </c>
      <c r="K287" s="584">
        <f t="shared" si="139"/>
        <v>1.0000518065865347</v>
      </c>
      <c r="L287" s="585">
        <f t="shared" si="140"/>
        <v>1.0178835889379251E-2</v>
      </c>
      <c r="M287" s="584">
        <f t="shared" si="141"/>
        <v>1.0127638220771786</v>
      </c>
      <c r="N287" s="585">
        <f t="shared" si="142"/>
        <v>-0.15893094035265279</v>
      </c>
      <c r="O287" s="583">
        <f t="shared" si="143"/>
        <v>34088.441682910925</v>
      </c>
      <c r="P287" s="586">
        <f t="shared" si="144"/>
        <v>1.570766991338338</v>
      </c>
      <c r="Q287" s="595">
        <f t="shared" si="166"/>
        <v>14.238676393753918</v>
      </c>
      <c r="R287" s="596">
        <f t="shared" si="167"/>
        <v>1.5005072160863833</v>
      </c>
      <c r="S287" s="583">
        <f t="shared" si="145"/>
        <v>1.0044731046771855</v>
      </c>
      <c r="T287" s="586">
        <f t="shared" si="146"/>
        <v>9.4408624473658595E-2</v>
      </c>
      <c r="U287" s="587">
        <f t="shared" si="158"/>
        <v>0.98158973300195351</v>
      </c>
      <c r="V287" s="588">
        <f t="shared" si="159"/>
        <v>-0.2346063092932382</v>
      </c>
      <c r="W287" s="589">
        <f t="shared" si="147"/>
        <v>3.8925366882808015</v>
      </c>
      <c r="X287" s="590">
        <f t="shared" si="148"/>
        <v>-118.28525043134277</v>
      </c>
      <c r="Y287" s="593">
        <f t="shared" si="149"/>
        <v>61.714749568657226</v>
      </c>
      <c r="AA287" s="150">
        <f t="shared" si="150"/>
        <v>1000000000</v>
      </c>
      <c r="AB287" s="150">
        <f t="shared" si="151"/>
        <v>354870244</v>
      </c>
      <c r="AD287" s="592">
        <f t="shared" si="152"/>
        <v>27.586932841896967</v>
      </c>
      <c r="AE287" s="593">
        <f t="shared" si="153"/>
        <v>-9.4348043342316803</v>
      </c>
      <c r="AG287" s="592">
        <f t="shared" si="154"/>
        <v>2.0163465137652539</v>
      </c>
      <c r="AH287" s="593">
        <f t="shared" si="155"/>
        <v>-81.966543327105015</v>
      </c>
      <c r="AJ287" s="150">
        <f t="shared" si="156"/>
        <v>0</v>
      </c>
      <c r="AK287" s="150">
        <f t="shared" si="168"/>
        <v>0</v>
      </c>
      <c r="AM287" s="150" t="str">
        <f t="shared" si="160"/>
        <v>0.056639612877049+0.331769769580106i</v>
      </c>
      <c r="AN287" s="150" t="str">
        <f t="shared" si="161"/>
        <v>0.338178984804i</v>
      </c>
      <c r="AO287" s="150" t="str">
        <f t="shared" si="162"/>
        <v>0.981047860713141-0.167484129476218i</v>
      </c>
      <c r="AP287" s="150" t="str">
        <f t="shared" si="163"/>
        <v>0.157226731187158-0.0552949615966843i</v>
      </c>
      <c r="AQ287" s="150" t="str">
        <f t="shared" si="164"/>
        <v>0.842773268812842+0.0552949615966843i</v>
      </c>
      <c r="AR287" s="150" t="str">
        <f t="shared" si="165"/>
        <v>0.984166833741009-0.0645718953012078i</v>
      </c>
    </row>
    <row r="288" spans="7:44" x14ac:dyDescent="0.25">
      <c r="G288" s="594">
        <v>18946.5</v>
      </c>
      <c r="H288" s="582">
        <f t="shared" si="157"/>
        <v>18.9465</v>
      </c>
      <c r="I288" s="583">
        <f t="shared" si="137"/>
        <v>18.5119745521928</v>
      </c>
      <c r="J288" s="584">
        <f t="shared" si="138"/>
        <v>1.5167509314436891</v>
      </c>
      <c r="K288" s="584">
        <f t="shared" si="139"/>
        <v>1.0000524050634889</v>
      </c>
      <c r="L288" s="585">
        <f t="shared" si="140"/>
        <v>1.0237458182162117E-2</v>
      </c>
      <c r="M288" s="584">
        <f t="shared" si="141"/>
        <v>1.0129103356315652</v>
      </c>
      <c r="N288" s="585">
        <f t="shared" si="142"/>
        <v>-0.15983085765559227</v>
      </c>
      <c r="O288" s="583">
        <f t="shared" si="143"/>
        <v>34284.778657081333</v>
      </c>
      <c r="P288" s="586">
        <f t="shared" si="144"/>
        <v>1.5707671593322701</v>
      </c>
      <c r="Q288" s="595">
        <f t="shared" si="166"/>
        <v>14.320282615762961</v>
      </c>
      <c r="R288" s="596">
        <f t="shared" si="167"/>
        <v>1.5009084241517507</v>
      </c>
      <c r="S288" s="583">
        <f t="shared" si="145"/>
        <v>1.0045246635807477</v>
      </c>
      <c r="T288" s="586">
        <f t="shared" si="146"/>
        <v>9.4949130695067357E-2</v>
      </c>
      <c r="U288" s="587">
        <f t="shared" si="158"/>
        <v>0.9813870184352681</v>
      </c>
      <c r="V288" s="588">
        <f t="shared" si="159"/>
        <v>-0.23593347269117576</v>
      </c>
      <c r="W288" s="589">
        <f t="shared" si="147"/>
        <v>3.8415762828881821</v>
      </c>
      <c r="X288" s="590">
        <f t="shared" si="148"/>
        <v>-118.43528488873271</v>
      </c>
      <c r="Y288" s="593">
        <f t="shared" si="149"/>
        <v>61.56471511126729</v>
      </c>
      <c r="AA288" s="150">
        <f t="shared" si="150"/>
        <v>1000000000</v>
      </c>
      <c r="AB288" s="150">
        <f t="shared" si="151"/>
        <v>358969862.25</v>
      </c>
      <c r="AD288" s="592">
        <f t="shared" si="152"/>
        <v>27.586242364128108</v>
      </c>
      <c r="AE288" s="593">
        <f t="shared" si="153"/>
        <v>-9.4427951560192263</v>
      </c>
      <c r="AG288" s="592">
        <f t="shared" si="154"/>
        <v>1.9696645172960137</v>
      </c>
      <c r="AH288" s="593">
        <f t="shared" si="155"/>
        <v>-81.956505239681476</v>
      </c>
      <c r="AJ288" s="150">
        <f t="shared" si="156"/>
        <v>0</v>
      </c>
      <c r="AK288" s="150">
        <f t="shared" si="168"/>
        <v>0</v>
      </c>
      <c r="AM288" s="150" t="str">
        <f t="shared" si="160"/>
        <v>0.057287618955157+0.333606604588044i</v>
      </c>
      <c r="AN288" s="150" t="str">
        <f t="shared" si="161"/>
        <v>0.340126772247i</v>
      </c>
      <c r="AO288" s="150" t="str">
        <f t="shared" si="162"/>
        <v>0.980830183946176-0.168430196119801i</v>
      </c>
      <c r="AP288" s="150" t="str">
        <f t="shared" si="163"/>
        <v>0.15711873017414-0.055601100764674i</v>
      </c>
      <c r="AQ288" s="150" t="str">
        <f t="shared" si="164"/>
        <v>0.84288126982586+0.055601100764674i</v>
      </c>
      <c r="AR288" s="150" t="str">
        <f t="shared" si="165"/>
        <v>0.983994990352196-0.0649097406350129i</v>
      </c>
    </row>
    <row r="289" spans="7:44" x14ac:dyDescent="0.25">
      <c r="G289" s="594">
        <v>19055</v>
      </c>
      <c r="H289" s="582">
        <f t="shared" si="157"/>
        <v>19.055</v>
      </c>
      <c r="I289" s="583">
        <f t="shared" si="137"/>
        <v>18.61767770612321</v>
      </c>
      <c r="J289" s="584">
        <f t="shared" si="138"/>
        <v>1.5170580744759472</v>
      </c>
      <c r="K289" s="584">
        <f t="shared" si="139"/>
        <v>1.0000530069771925</v>
      </c>
      <c r="L289" s="585">
        <f t="shared" si="140"/>
        <v>1.029608040457906E-2</v>
      </c>
      <c r="M289" s="584">
        <f t="shared" si="141"/>
        <v>1.0130576692548927</v>
      </c>
      <c r="N289" s="585">
        <f t="shared" si="142"/>
        <v>-0.16073051392874135</v>
      </c>
      <c r="O289" s="583">
        <f t="shared" si="143"/>
        <v>34481.115631252695</v>
      </c>
      <c r="P289" s="586">
        <f t="shared" si="144"/>
        <v>1.5707673254130725</v>
      </c>
      <c r="Q289" s="595">
        <f t="shared" si="166"/>
        <v>14.401891116754683</v>
      </c>
      <c r="R289" s="596">
        <f t="shared" si="167"/>
        <v>1.501305085379055</v>
      </c>
      <c r="S289" s="583">
        <f t="shared" si="145"/>
        <v>1.004576515922978</v>
      </c>
      <c r="T289" s="586">
        <f t="shared" si="146"/>
        <v>9.5489581276685373E-2</v>
      </c>
      <c r="U289" s="587">
        <f t="shared" si="158"/>
        <v>0.98118325925123862</v>
      </c>
      <c r="V289" s="588">
        <f t="shared" si="159"/>
        <v>-0.23726023328440204</v>
      </c>
      <c r="W289" s="589">
        <f t="shared" si="147"/>
        <v>3.7908971437725585</v>
      </c>
      <c r="X289" s="590">
        <f t="shared" si="148"/>
        <v>-118.58533641117937</v>
      </c>
      <c r="Y289" s="593">
        <f t="shared" si="149"/>
        <v>61.41466358882063</v>
      </c>
      <c r="AA289" s="150">
        <f t="shared" si="150"/>
        <v>1000000000</v>
      </c>
      <c r="AB289" s="150">
        <f t="shared" si="151"/>
        <v>363093025</v>
      </c>
      <c r="AD289" s="592">
        <f t="shared" si="152"/>
        <v>27.585553525853612</v>
      </c>
      <c r="AE289" s="593">
        <f t="shared" si="153"/>
        <v>-9.4510431948987748</v>
      </c>
      <c r="AG289" s="592">
        <f t="shared" si="154"/>
        <v>1.9232813836716753</v>
      </c>
      <c r="AH289" s="593">
        <f t="shared" si="155"/>
        <v>-81.946273158242619</v>
      </c>
      <c r="AJ289" s="150">
        <f t="shared" si="156"/>
        <v>0</v>
      </c>
      <c r="AK289" s="150">
        <f t="shared" si="168"/>
        <v>0</v>
      </c>
      <c r="AM289" s="150" t="str">
        <f t="shared" si="160"/>
        <v>0.057939201565939+0.335442173934317i</v>
      </c>
      <c r="AN289" s="150" t="str">
        <f t="shared" si="161"/>
        <v>0.34207455969i</v>
      </c>
      <c r="AO289" s="150" t="str">
        <f t="shared" si="162"/>
        <v>0.980611286142724-0.169375944292512i</v>
      </c>
      <c r="AP289" s="150" t="str">
        <f t="shared" si="163"/>
        <v>0.157010133072343-0.0559070289890528i</v>
      </c>
      <c r="AQ289" s="150" t="str">
        <f t="shared" si="164"/>
        <v>0.842989866927657+0.0559070289890528i</v>
      </c>
      <c r="AR289" s="150" t="str">
        <f t="shared" si="165"/>
        <v>0.983822303381531-0.0652470263203628i</v>
      </c>
    </row>
    <row r="290" spans="7:44" x14ac:dyDescent="0.25">
      <c r="G290" s="594">
        <v>19165.75</v>
      </c>
      <c r="H290" s="582">
        <f t="shared" si="157"/>
        <v>19.165749999999999</v>
      </c>
      <c r="I290" s="583">
        <f t="shared" si="137"/>
        <v>18.725574651622946</v>
      </c>
      <c r="J290" s="584">
        <f t="shared" si="138"/>
        <v>1.5173680106407514</v>
      </c>
      <c r="K290" s="584">
        <f t="shared" si="139"/>
        <v>1.0000536249173626</v>
      </c>
      <c r="L290" s="585">
        <f t="shared" si="140"/>
        <v>1.0355918222214672E-2</v>
      </c>
      <c r="M290" s="584">
        <f t="shared" si="141"/>
        <v>1.0132089035665892</v>
      </c>
      <c r="N290" s="585">
        <f t="shared" si="142"/>
        <v>-0.16164855606914622</v>
      </c>
      <c r="O290" s="583">
        <f t="shared" si="143"/>
        <v>34681.524109497695</v>
      </c>
      <c r="P290" s="586">
        <f t="shared" si="144"/>
        <v>1.5707674929986373</v>
      </c>
      <c r="Q290" s="595">
        <f t="shared" si="166"/>
        <v>14.485194270295676</v>
      </c>
      <c r="R290" s="596">
        <f t="shared" si="167"/>
        <v>1.501705362726403</v>
      </c>
      <c r="S290" s="583">
        <f t="shared" si="145"/>
        <v>1.0046297461264735</v>
      </c>
      <c r="T290" s="586">
        <f t="shared" si="146"/>
        <v>9.6041181657475452E-2</v>
      </c>
      <c r="U290" s="587">
        <f t="shared" si="158"/>
        <v>0.98097419931876784</v>
      </c>
      <c r="V290" s="588">
        <f t="shared" si="159"/>
        <v>-0.23861408987962446</v>
      </c>
      <c r="W290" s="589">
        <f t="shared" si="147"/>
        <v>3.7394537390925153</v>
      </c>
      <c r="X290" s="590">
        <f t="shared" si="148"/>
        <v>-118.73851597324786</v>
      </c>
      <c r="Y290" s="593">
        <f t="shared" si="149"/>
        <v>61.261484026752143</v>
      </c>
      <c r="AA290" s="150">
        <f t="shared" si="150"/>
        <v>1000000000</v>
      </c>
      <c r="AB290" s="150">
        <f t="shared" si="151"/>
        <v>367325973.0625</v>
      </c>
      <c r="AD290" s="592">
        <f t="shared" si="152"/>
        <v>27.584851997564517</v>
      </c>
      <c r="AE290" s="593">
        <f t="shared" si="153"/>
        <v>-9.4597229680136188</v>
      </c>
      <c r="AG290" s="592">
        <f t="shared" si="154"/>
        <v>1.8762412927824448</v>
      </c>
      <c r="AH290" s="593">
        <f t="shared" si="155"/>
        <v>-81.935632409074572</v>
      </c>
      <c r="AJ290" s="150">
        <f t="shared" si="156"/>
        <v>0</v>
      </c>
      <c r="AK290" s="150">
        <f t="shared" si="168"/>
        <v>0</v>
      </c>
      <c r="AM290" s="150" t="str">
        <f t="shared" si="160"/>
        <v>0.058607982244654+0.337314495547579i</v>
      </c>
      <c r="AN290" s="150" t="str">
        <f t="shared" si="161"/>
        <v>0.3440627390385i</v>
      </c>
      <c r="AO290" s="150" t="str">
        <f t="shared" si="162"/>
        <v>0.980386590219623-0.170340974464241i</v>
      </c>
      <c r="AP290" s="150" t="str">
        <f t="shared" si="163"/>
        <v>0.156898669625891-0.0562190825912632i</v>
      </c>
      <c r="AQ290" s="150" t="str">
        <f t="shared" si="164"/>
        <v>0.843101330374109+0.0562190825912632i</v>
      </c>
      <c r="AR290" s="150" t="str">
        <f t="shared" si="165"/>
        <v>0.983645167718502-0.0655907266804162i</v>
      </c>
    </row>
    <row r="291" spans="7:44" x14ac:dyDescent="0.25">
      <c r="G291" s="594">
        <v>19276.5</v>
      </c>
      <c r="H291" s="582">
        <f t="shared" si="157"/>
        <v>19.276499999999999</v>
      </c>
      <c r="I291" s="583">
        <f t="shared" si="137"/>
        <v>18.83347337529877</v>
      </c>
      <c r="J291" s="584">
        <f t="shared" si="138"/>
        <v>1.5176743955283769</v>
      </c>
      <c r="K291" s="584">
        <f t="shared" si="139"/>
        <v>1.0000542464382849</v>
      </c>
      <c r="L291" s="585">
        <f t="shared" si="140"/>
        <v>1.0415755965687662E-2</v>
      </c>
      <c r="M291" s="584">
        <f t="shared" si="141"/>
        <v>1.0133609915568369</v>
      </c>
      <c r="N291" s="585">
        <f t="shared" si="142"/>
        <v>-0.16256632341830118</v>
      </c>
      <c r="O291" s="583">
        <f t="shared" si="143"/>
        <v>34881.932587743671</v>
      </c>
      <c r="P291" s="586">
        <f t="shared" si="144"/>
        <v>1.5707676586585306</v>
      </c>
      <c r="Q291" s="595">
        <f t="shared" si="166"/>
        <v>14.568499718141245</v>
      </c>
      <c r="R291" s="596">
        <f t="shared" si="167"/>
        <v>1.5021010624127837</v>
      </c>
      <c r="S291" s="583">
        <f t="shared" si="145"/>
        <v>1.0046832819691649</v>
      </c>
      <c r="T291" s="586">
        <f t="shared" si="146"/>
        <v>9.6592723420590942E-2</v>
      </c>
      <c r="U291" s="587">
        <f t="shared" si="158"/>
        <v>0.9807640550744946</v>
      </c>
      <c r="V291" s="588">
        <f t="shared" si="159"/>
        <v>-0.23996752264914281</v>
      </c>
      <c r="W291" s="589">
        <f t="shared" si="147"/>
        <v>3.6882965705384647</v>
      </c>
      <c r="X291" s="590">
        <f t="shared" si="148"/>
        <v>-118.89171085034361</v>
      </c>
      <c r="Y291" s="593">
        <f t="shared" si="149"/>
        <v>61.108289149656386</v>
      </c>
      <c r="AA291" s="150">
        <f t="shared" si="150"/>
        <v>1000000000</v>
      </c>
      <c r="AB291" s="150">
        <f t="shared" si="151"/>
        <v>371583452.25</v>
      </c>
      <c r="AD291" s="592">
        <f t="shared" si="152"/>
        <v>27.58415198522998</v>
      </c>
      <c r="AE291" s="593">
        <f t="shared" si="153"/>
        <v>-9.4686615529040079</v>
      </c>
      <c r="AG291" s="592">
        <f t="shared" si="154"/>
        <v>1.8295059169109995</v>
      </c>
      <c r="AH291" s="593">
        <f t="shared" si="155"/>
        <v>-81.92479673000652</v>
      </c>
      <c r="AJ291" s="150">
        <f t="shared" si="156"/>
        <v>0</v>
      </c>
      <c r="AK291" s="150">
        <f t="shared" si="168"/>
        <v>0</v>
      </c>
      <c r="AM291" s="150" t="str">
        <f t="shared" si="160"/>
        <v>0.059280484110284+0.339185483805275i</v>
      </c>
      <c r="AN291" s="150" t="str">
        <f t="shared" si="161"/>
        <v>0.346050918387i</v>
      </c>
      <c r="AO291" s="150" t="str">
        <f t="shared" si="162"/>
        <v>0.980160623142612-0.171305669080724i</v>
      </c>
      <c r="AP291" s="150" t="str">
        <f t="shared" si="163"/>
        <v>0.156786585981619-0.0565309139675458i</v>
      </c>
      <c r="AQ291" s="150" t="str">
        <f t="shared" si="164"/>
        <v>0.843213414018381+0.0565309139675458i</v>
      </c>
      <c r="AR291" s="150" t="str">
        <f t="shared" si="165"/>
        <v>0.983467157952921-0.0659338387789588i</v>
      </c>
    </row>
    <row r="292" spans="7:44" x14ac:dyDescent="0.25">
      <c r="G292" s="594">
        <v>19387.25</v>
      </c>
      <c r="H292" s="582">
        <f t="shared" si="157"/>
        <v>19.387250000000002</v>
      </c>
      <c r="I292" s="583">
        <f t="shared" si="137"/>
        <v>18.941373846762772</v>
      </c>
      <c r="J292" s="584">
        <f t="shared" si="138"/>
        <v>1.5179772897708825</v>
      </c>
      <c r="K292" s="584">
        <f t="shared" si="139"/>
        <v>1.0000548715399524</v>
      </c>
      <c r="L292" s="585">
        <f t="shared" si="140"/>
        <v>1.0475593634569662E-2</v>
      </c>
      <c r="M292" s="584">
        <f t="shared" si="141"/>
        <v>1.0135139328413263</v>
      </c>
      <c r="N292" s="585">
        <f t="shared" si="142"/>
        <v>-0.16348381455419611</v>
      </c>
      <c r="O292" s="583">
        <f t="shared" si="143"/>
        <v>35082.341065990586</v>
      </c>
      <c r="P292" s="586">
        <f t="shared" si="144"/>
        <v>1.570767822425754</v>
      </c>
      <c r="Q292" s="595">
        <f t="shared" si="166"/>
        <v>14.65180742115737</v>
      </c>
      <c r="R292" s="596">
        <f t="shared" si="167"/>
        <v>1.5024922623966341</v>
      </c>
      <c r="S292" s="583">
        <f t="shared" si="145"/>
        <v>1.0047371234021958</v>
      </c>
      <c r="T292" s="586">
        <f t="shared" si="146"/>
        <v>9.7144206239872674E-2</v>
      </c>
      <c r="U292" s="587">
        <f t="shared" si="158"/>
        <v>0.98055282859180137</v>
      </c>
      <c r="V292" s="588">
        <f t="shared" si="159"/>
        <v>-0.24132052950960498</v>
      </c>
      <c r="W292" s="589">
        <f t="shared" si="147"/>
        <v>3.6374222836934194</v>
      </c>
      <c r="X292" s="590">
        <f t="shared" si="148"/>
        <v>-119.04491983212374</v>
      </c>
      <c r="Y292" s="593">
        <f t="shared" si="149"/>
        <v>60.955080167876261</v>
      </c>
      <c r="AA292" s="150">
        <f t="shared" si="150"/>
        <v>1000000000</v>
      </c>
      <c r="AB292" s="150">
        <f t="shared" si="151"/>
        <v>375865462.5625</v>
      </c>
      <c r="AD292" s="592">
        <f t="shared" si="152"/>
        <v>27.583453395869103</v>
      </c>
      <c r="AE292" s="593">
        <f t="shared" si="153"/>
        <v>-9.4778544660838318</v>
      </c>
      <c r="AG292" s="592">
        <f t="shared" si="154"/>
        <v>1.7830719705730762</v>
      </c>
      <c r="AH292" s="593">
        <f t="shared" si="155"/>
        <v>-81.913769632916186</v>
      </c>
      <c r="AJ292" s="150">
        <f t="shared" si="156"/>
        <v>0</v>
      </c>
      <c r="AK292" s="150">
        <f t="shared" si="168"/>
        <v>0</v>
      </c>
      <c r="AM292" s="150" t="str">
        <f t="shared" si="160"/>
        <v>0.0599567045045279+0.341055131311657i</v>
      </c>
      <c r="AN292" s="150" t="str">
        <f t="shared" si="161"/>
        <v>0.3480390977355i</v>
      </c>
      <c r="AO292" s="150" t="str">
        <f t="shared" si="162"/>
        <v>0.979933385446394-0.172270026254617i</v>
      </c>
      <c r="AP292" s="150" t="str">
        <f t="shared" si="163"/>
        <v>0.156673882582579-0.0568425218852762i</v>
      </c>
      <c r="AQ292" s="150" t="str">
        <f t="shared" si="164"/>
        <v>0.843326117417421+0.0568425218852762i</v>
      </c>
      <c r="AR292" s="150" t="str">
        <f t="shared" si="165"/>
        <v>0.983288276537758-0.0662763600275976i</v>
      </c>
    </row>
    <row r="293" spans="7:44" x14ac:dyDescent="0.25">
      <c r="G293" s="594">
        <v>19498</v>
      </c>
      <c r="H293" s="582">
        <f t="shared" si="157"/>
        <v>19.498000000000001</v>
      </c>
      <c r="I293" s="583">
        <f t="shared" si="137"/>
        <v>19.04927603631506</v>
      </c>
      <c r="J293" s="584">
        <f t="shared" si="138"/>
        <v>1.5182767526291518</v>
      </c>
      <c r="K293" s="584">
        <f t="shared" si="139"/>
        <v>1.0000555002223586</v>
      </c>
      <c r="L293" s="585">
        <f t="shared" si="140"/>
        <v>1.0535431228432309E-2</v>
      </c>
      <c r="M293" s="584">
        <f t="shared" si="141"/>
        <v>1.013667727033825</v>
      </c>
      <c r="N293" s="585">
        <f t="shared" si="142"/>
        <v>-0.1644010280575369</v>
      </c>
      <c r="O293" s="583">
        <f t="shared" si="143"/>
        <v>35282.749544238432</v>
      </c>
      <c r="P293" s="586">
        <f t="shared" si="144"/>
        <v>1.5707679843325588</v>
      </c>
      <c r="Q293" s="595">
        <f t="shared" si="166"/>
        <v>14.73511734109398</v>
      </c>
      <c r="R293" s="596">
        <f t="shared" si="167"/>
        <v>1.5028790388789157</v>
      </c>
      <c r="S293" s="583">
        <f t="shared" si="145"/>
        <v>1.0047912703764412</v>
      </c>
      <c r="T293" s="586">
        <f t="shared" si="146"/>
        <v>9.76956297893746E-2</v>
      </c>
      <c r="U293" s="587">
        <f t="shared" si="158"/>
        <v>0.98034052195239207</v>
      </c>
      <c r="V293" s="588">
        <f t="shared" si="159"/>
        <v>-0.24267310838351802</v>
      </c>
      <c r="W293" s="589">
        <f t="shared" si="147"/>
        <v>3.586827582011427</v>
      </c>
      <c r="X293" s="590">
        <f t="shared" si="148"/>
        <v>-119.19814173083918</v>
      </c>
      <c r="Y293" s="593">
        <f t="shared" si="149"/>
        <v>60.801858269160817</v>
      </c>
      <c r="AA293" s="150">
        <f t="shared" si="150"/>
        <v>1000000000</v>
      </c>
      <c r="AB293" s="150">
        <f t="shared" si="151"/>
        <v>380172004</v>
      </c>
      <c r="AD293" s="592">
        <f t="shared" si="152"/>
        <v>27.58275613915022</v>
      </c>
      <c r="AE293" s="593">
        <f t="shared" si="153"/>
        <v>-9.487297324732145</v>
      </c>
      <c r="AG293" s="592">
        <f t="shared" si="154"/>
        <v>1.7369362234014998</v>
      </c>
      <c r="AH293" s="593">
        <f t="shared" si="155"/>
        <v>-81.902554550938632</v>
      </c>
      <c r="AJ293" s="150">
        <f t="shared" si="156"/>
        <v>0</v>
      </c>
      <c r="AK293" s="150">
        <f t="shared" si="168"/>
        <v>0</v>
      </c>
      <c r="AM293" s="150" t="str">
        <f t="shared" si="160"/>
        <v>0.060636640754382+0.342923430676279i</v>
      </c>
      <c r="AN293" s="150" t="str">
        <f t="shared" si="161"/>
        <v>0.350027277084i</v>
      </c>
      <c r="AO293" s="150" t="str">
        <f t="shared" si="162"/>
        <v>0.979704877668673-0.173234044099456i</v>
      </c>
      <c r="AP293" s="150" t="str">
        <f t="shared" si="163"/>
        <v>0.15656055987427-0.0571539051127132i</v>
      </c>
      <c r="AQ293" s="150" t="str">
        <f t="shared" si="164"/>
        <v>0.84343944012573+0.0571539051127132i</v>
      </c>
      <c r="AR293" s="150" t="str">
        <f t="shared" si="165"/>
        <v>0.983108525934966-0.0666182878505307i</v>
      </c>
    </row>
    <row r="294" spans="7:44" x14ac:dyDescent="0.25">
      <c r="G294" s="594">
        <v>19611.75</v>
      </c>
      <c r="H294" s="582">
        <f t="shared" si="157"/>
        <v>19.611750000000001</v>
      </c>
      <c r="I294" s="583">
        <f t="shared" si="137"/>
        <v>19.160102842313442</v>
      </c>
      <c r="J294" s="584">
        <f t="shared" si="138"/>
        <v>1.5185808161192511</v>
      </c>
      <c r="K294" s="584">
        <f t="shared" si="139"/>
        <v>1.0000561496620743</v>
      </c>
      <c r="L294" s="585">
        <f t="shared" si="140"/>
        <v>1.059688962665367E-2</v>
      </c>
      <c r="M294" s="584">
        <f t="shared" si="141"/>
        <v>1.0138265746775661</v>
      </c>
      <c r="N294" s="585">
        <f t="shared" si="142"/>
        <v>-0.16534279657025014</v>
      </c>
      <c r="O294" s="583">
        <f t="shared" si="143"/>
        <v>35488.586694584235</v>
      </c>
      <c r="P294" s="586">
        <f t="shared" si="144"/>
        <v>1.5707681487215137</v>
      </c>
      <c r="Q294" s="595">
        <f t="shared" si="166"/>
        <v>14.820686231693266</v>
      </c>
      <c r="R294" s="596">
        <f t="shared" si="167"/>
        <v>1.503271765751192</v>
      </c>
      <c r="S294" s="583">
        <f t="shared" si="145"/>
        <v>1.0048472021020753</v>
      </c>
      <c r="T294" s="586">
        <f t="shared" si="146"/>
        <v>9.8261928277977126E-2</v>
      </c>
      <c r="U294" s="587">
        <f t="shared" si="158"/>
        <v>0.98012134209643498</v>
      </c>
      <c r="V294" s="588">
        <f t="shared" si="159"/>
        <v>-0.24406187825331124</v>
      </c>
      <c r="W294" s="589">
        <f t="shared" si="147"/>
        <v>3.5351500141868057</v>
      </c>
      <c r="X294" s="590">
        <f t="shared" si="148"/>
        <v>-119.3555263320349</v>
      </c>
      <c r="Y294" s="593">
        <f t="shared" si="149"/>
        <v>60.644473667965102</v>
      </c>
      <c r="AA294" s="150">
        <f t="shared" si="150"/>
        <v>1000000000</v>
      </c>
      <c r="AB294" s="150">
        <f t="shared" si="151"/>
        <v>384620738.0625</v>
      </c>
      <c r="AD294" s="592">
        <f t="shared" si="152"/>
        <v>27.582041290217909</v>
      </c>
      <c r="AE294" s="593">
        <f t="shared" si="153"/>
        <v>-9.4972516645955913</v>
      </c>
      <c r="AG294" s="592">
        <f t="shared" si="154"/>
        <v>1.6898578382625278</v>
      </c>
      <c r="AH294" s="593">
        <f t="shared" si="155"/>
        <v>-81.890843507580954</v>
      </c>
      <c r="AJ294" s="150">
        <f t="shared" si="156"/>
        <v>0</v>
      </c>
      <c r="AK294" s="150">
        <f t="shared" si="168"/>
        <v>0</v>
      </c>
      <c r="AM294" s="150" t="str">
        <f t="shared" si="160"/>
        <v>0.061338860520415+0.344840927430152i</v>
      </c>
      <c r="AN294" s="150" t="str">
        <f t="shared" si="161"/>
        <v>0.3520693123065i</v>
      </c>
      <c r="AO294" s="150" t="str">
        <f t="shared" si="162"/>
        <v>0.979468858478483-0.174223820072723i</v>
      </c>
      <c r="AP294" s="150" t="str">
        <f t="shared" si="163"/>
        <v>0.156443523246597-0.0574734879050253i</v>
      </c>
      <c r="AQ294" s="150" t="str">
        <f t="shared" si="164"/>
        <v>0.843556476753403+0.0574734879050253i</v>
      </c>
      <c r="AR294" s="150" t="str">
        <f t="shared" si="165"/>
        <v>0.982923004013408-0.0669688573788878i</v>
      </c>
    </row>
    <row r="295" spans="7:44" x14ac:dyDescent="0.25">
      <c r="G295" s="594">
        <v>19725.5</v>
      </c>
      <c r="H295" s="582">
        <f t="shared" si="157"/>
        <v>19.7255</v>
      </c>
      <c r="I295" s="583">
        <f t="shared" si="137"/>
        <v>19.270931399376455</v>
      </c>
      <c r="J295" s="584">
        <f t="shared" si="138"/>
        <v>1.5188813822534657</v>
      </c>
      <c r="K295" s="584">
        <f t="shared" si="139"/>
        <v>1.0000568028791319</v>
      </c>
      <c r="L295" s="585">
        <f t="shared" si="140"/>
        <v>1.065834794482038E-2</v>
      </c>
      <c r="M295" s="584">
        <f t="shared" si="141"/>
        <v>1.0139863212302205</v>
      </c>
      <c r="N295" s="585">
        <f t="shared" si="142"/>
        <v>-0.16628426917949324</v>
      </c>
      <c r="O295" s="583">
        <f t="shared" si="143"/>
        <v>35694.423844930992</v>
      </c>
      <c r="P295" s="586">
        <f t="shared" si="144"/>
        <v>1.5707683112145225</v>
      </c>
      <c r="Q295" s="595">
        <f t="shared" si="166"/>
        <v>14.906257381908132</v>
      </c>
      <c r="R295" s="596">
        <f t="shared" si="167"/>
        <v>1.5036599836917743</v>
      </c>
      <c r="S295" s="583">
        <f t="shared" si="145"/>
        <v>1.0049034560402239</v>
      </c>
      <c r="T295" s="586">
        <f t="shared" si="146"/>
        <v>9.8828163546000353E-2</v>
      </c>
      <c r="U295" s="587">
        <f t="shared" si="158"/>
        <v>0.97990102725077399</v>
      </c>
      <c r="V295" s="588">
        <f t="shared" si="159"/>
        <v>-0.24545019221249689</v>
      </c>
      <c r="W295" s="589">
        <f t="shared" si="147"/>
        <v>3.4837605160434562</v>
      </c>
      <c r="X295" s="590">
        <f t="shared" si="148"/>
        <v>-119.51292209016633</v>
      </c>
      <c r="Y295" s="593">
        <f t="shared" si="149"/>
        <v>60.487077909833673</v>
      </c>
      <c r="AA295" s="150">
        <f t="shared" si="150"/>
        <v>1000000000</v>
      </c>
      <c r="AB295" s="150">
        <f t="shared" si="151"/>
        <v>389095350.25</v>
      </c>
      <c r="AD295" s="592">
        <f t="shared" si="152"/>
        <v>27.581327662141533</v>
      </c>
      <c r="AE295" s="593">
        <f t="shared" si="153"/>
        <v>-9.5074606163134323</v>
      </c>
      <c r="AG295" s="592">
        <f t="shared" si="154"/>
        <v>1.6430872918755735</v>
      </c>
      <c r="AH295" s="593">
        <f t="shared" si="155"/>
        <v>-81.878941252811842</v>
      </c>
      <c r="AJ295" s="150">
        <f t="shared" si="156"/>
        <v>0</v>
      </c>
      <c r="AK295" s="150">
        <f t="shared" si="168"/>
        <v>0</v>
      </c>
      <c r="AM295" s="150" t="str">
        <f t="shared" si="160"/>
        <v>0.062044994415542+0.346756986229634i</v>
      </c>
      <c r="AN295" s="150" t="str">
        <f t="shared" si="161"/>
        <v>0.354111347529i</v>
      </c>
      <c r="AO295" s="150" t="str">
        <f t="shared" si="162"/>
        <v>0.979231500626329-0.175213234053339i</v>
      </c>
      <c r="AP295" s="150" t="str">
        <f t="shared" si="163"/>
        <v>0.156325834264076-0.0577928310382723i</v>
      </c>
      <c r="AQ295" s="150" t="str">
        <f t="shared" si="164"/>
        <v>0.843674165735924+0.0577928310382723i</v>
      </c>
      <c r="AR295" s="150" t="str">
        <f t="shared" si="165"/>
        <v>0.982736570470689-0.0673187954295154i</v>
      </c>
    </row>
    <row r="296" spans="7:44" x14ac:dyDescent="0.25">
      <c r="G296" s="594">
        <v>19839.25</v>
      </c>
      <c r="H296" s="582">
        <f t="shared" si="157"/>
        <v>19.83925</v>
      </c>
      <c r="I296" s="583">
        <f t="shared" si="137"/>
        <v>19.381761677465335</v>
      </c>
      <c r="J296" s="584">
        <f t="shared" si="138"/>
        <v>1.5191785109735649</v>
      </c>
      <c r="K296" s="584">
        <f t="shared" si="139"/>
        <v>1.0000574598735241</v>
      </c>
      <c r="L296" s="585">
        <f t="shared" si="140"/>
        <v>1.0719806182468324E-2</v>
      </c>
      <c r="M296" s="584">
        <f t="shared" si="141"/>
        <v>1.0141469662670048</v>
      </c>
      <c r="N296" s="585">
        <f t="shared" si="142"/>
        <v>-0.1672254443565053</v>
      </c>
      <c r="O296" s="583">
        <f t="shared" si="143"/>
        <v>35900.260995278681</v>
      </c>
      <c r="P296" s="586">
        <f t="shared" si="144"/>
        <v>1.570768471844197</v>
      </c>
      <c r="Q296" s="595">
        <f t="shared" si="166"/>
        <v>14.991830753045924</v>
      </c>
      <c r="R296" s="596">
        <f t="shared" si="167"/>
        <v>1.5040437697935773</v>
      </c>
      <c r="S296" s="583">
        <f t="shared" si="145"/>
        <v>1.0049600321367782</v>
      </c>
      <c r="T296" s="586">
        <f t="shared" si="146"/>
        <v>9.9394335240996057E-2</v>
      </c>
      <c r="U296" s="587">
        <f t="shared" si="158"/>
        <v>0.9796795796979586</v>
      </c>
      <c r="V296" s="588">
        <f t="shared" si="159"/>
        <v>-0.24683804802960499</v>
      </c>
      <c r="W296" s="589">
        <f t="shared" si="147"/>
        <v>3.4326556978370966</v>
      </c>
      <c r="X296" s="590">
        <f t="shared" si="148"/>
        <v>-119.67032778880102</v>
      </c>
      <c r="Y296" s="593">
        <f t="shared" si="149"/>
        <v>60.329672211198982</v>
      </c>
      <c r="AA296" s="150">
        <f t="shared" si="150"/>
        <v>1000000000</v>
      </c>
      <c r="AB296" s="150">
        <f t="shared" si="151"/>
        <v>393595840.5625</v>
      </c>
      <c r="AD296" s="592">
        <f t="shared" si="152"/>
        <v>27.580615165199191</v>
      </c>
      <c r="AE296" s="593">
        <f t="shared" si="153"/>
        <v>-9.5179197444617216</v>
      </c>
      <c r="AG296" s="592">
        <f t="shared" si="154"/>
        <v>1.5966212577073693</v>
      </c>
      <c r="AH296" s="593">
        <f t="shared" si="155"/>
        <v>-81.866851261330595</v>
      </c>
      <c r="AJ296" s="150">
        <f t="shared" si="156"/>
        <v>0</v>
      </c>
      <c r="AK296" s="150">
        <f t="shared" si="168"/>
        <v>0</v>
      </c>
      <c r="AM296" s="150" t="str">
        <f t="shared" si="160"/>
        <v>0.06275503949525+0.34867159908494i</v>
      </c>
      <c r="AN296" s="150" t="str">
        <f t="shared" si="161"/>
        <v>0.3561533827515i</v>
      </c>
      <c r="AO296" s="150" t="str">
        <f t="shared" si="162"/>
        <v>0.978992804704651-0.176202284000307i</v>
      </c>
      <c r="AP296" s="150" t="str">
        <f t="shared" si="163"/>
        <v>0.156207493417458-0.0581119331808233i</v>
      </c>
      <c r="AQ296" s="150" t="str">
        <f t="shared" si="164"/>
        <v>0.843792506582542+0.0581119331808233i</v>
      </c>
      <c r="AR296" s="150" t="str">
        <f t="shared" si="165"/>
        <v>0.982549228003388-0.0676680992532812i</v>
      </c>
    </row>
    <row r="297" spans="7:44" x14ac:dyDescent="0.25">
      <c r="G297" s="594">
        <v>19953</v>
      </c>
      <c r="H297" s="582">
        <f t="shared" si="157"/>
        <v>19.952999999999999</v>
      </c>
      <c r="I297" s="583">
        <f t="shared" si="137"/>
        <v>19.492593647224052</v>
      </c>
      <c r="J297" s="584">
        <f t="shared" si="138"/>
        <v>1.5194722608604987</v>
      </c>
      <c r="K297" s="584">
        <f t="shared" si="139"/>
        <v>1.0000581206452435</v>
      </c>
      <c r="L297" s="585">
        <f t="shared" si="140"/>
        <v>1.078126433913339E-2</v>
      </c>
      <c r="M297" s="584">
        <f t="shared" si="141"/>
        <v>1.0143085093610162</v>
      </c>
      <c r="N297" s="585">
        <f t="shared" si="142"/>
        <v>-0.16816632057559899</v>
      </c>
      <c r="O297" s="583">
        <f t="shared" si="143"/>
        <v>36106.098145627278</v>
      </c>
      <c r="P297" s="586">
        <f t="shared" si="144"/>
        <v>1.5707686306424047</v>
      </c>
      <c r="Q297" s="595">
        <f t="shared" si="166"/>
        <v>15.077406307291415</v>
      </c>
      <c r="R297" s="596">
        <f t="shared" si="167"/>
        <v>1.5044231994045669</v>
      </c>
      <c r="S297" s="583">
        <f t="shared" si="145"/>
        <v>1.005016930337332</v>
      </c>
      <c r="T297" s="586">
        <f t="shared" si="146"/>
        <v>9.9960443010758224E-2</v>
      </c>
      <c r="U297" s="587">
        <f t="shared" si="158"/>
        <v>0.97945700172954309</v>
      </c>
      <c r="V297" s="588">
        <f t="shared" si="159"/>
        <v>-0.248225443479795</v>
      </c>
      <c r="W297" s="589">
        <f t="shared" si="147"/>
        <v>3.3818322285126952</v>
      </c>
      <c r="X297" s="590">
        <f t="shared" si="148"/>
        <v>-119.82774223404294</v>
      </c>
      <c r="Y297" s="593">
        <f t="shared" si="149"/>
        <v>60.172257765957056</v>
      </c>
      <c r="AA297" s="150">
        <f t="shared" si="150"/>
        <v>1000000000</v>
      </c>
      <c r="AB297" s="150">
        <f t="shared" si="151"/>
        <v>398122209</v>
      </c>
      <c r="AD297" s="592">
        <f t="shared" si="152"/>
        <v>27.579903712239226</v>
      </c>
      <c r="AE297" s="593">
        <f t="shared" si="153"/>
        <v>-9.5286247135659856</v>
      </c>
      <c r="AG297" s="592">
        <f t="shared" si="154"/>
        <v>1.5504564652295447</v>
      </c>
      <c r="AH297" s="593">
        <f t="shared" si="155"/>
        <v>-81.854576929663509</v>
      </c>
      <c r="AJ297" s="150">
        <f t="shared" si="156"/>
        <v>0</v>
      </c>
      <c r="AK297" s="150">
        <f t="shared" si="168"/>
        <v>0</v>
      </c>
      <c r="AM297" s="150" t="str">
        <f t="shared" si="160"/>
        <v>0.063468992798718+0.350584758012313i</v>
      </c>
      <c r="AN297" s="150" t="str">
        <f t="shared" si="161"/>
        <v>0.358195417974i</v>
      </c>
      <c r="AO297" s="150" t="str">
        <f t="shared" si="162"/>
        <v>0.978752771309209-0.177190967873645i</v>
      </c>
      <c r="AP297" s="150" t="str">
        <f t="shared" si="163"/>
        <v>0.156088501200214-0.0584307930020522i</v>
      </c>
      <c r="AQ297" s="150" t="str">
        <f t="shared" si="164"/>
        <v>0.843911498799786+0.0584307930020522i</v>
      </c>
      <c r="AR297" s="150" t="str">
        <f t="shared" si="165"/>
        <v>0.982360979317732-0.0680167661152175i</v>
      </c>
    </row>
    <row r="298" spans="7:44" x14ac:dyDescent="0.25">
      <c r="G298" s="594">
        <v>20069</v>
      </c>
      <c r="H298" s="582">
        <f t="shared" si="157"/>
        <v>20.068999999999999</v>
      </c>
      <c r="I298" s="583">
        <f t="shared" si="137"/>
        <v>19.605619610155404</v>
      </c>
      <c r="J298" s="584">
        <f t="shared" si="138"/>
        <v>1.5197684007902532</v>
      </c>
      <c r="K298" s="584">
        <f t="shared" si="139"/>
        <v>1.000058798377305</v>
      </c>
      <c r="L298" s="585">
        <f t="shared" si="140"/>
        <v>1.0843938067761955E-2</v>
      </c>
      <c r="M298" s="584">
        <f t="shared" si="141"/>
        <v>1.0144741722467445</v>
      </c>
      <c r="N298" s="585">
        <f t="shared" si="142"/>
        <v>-0.16912549806811128</v>
      </c>
      <c r="O298" s="583">
        <f t="shared" si="143"/>
        <v>36316.006800049632</v>
      </c>
      <c r="P298" s="586">
        <f t="shared" si="144"/>
        <v>1.5707687907277945</v>
      </c>
      <c r="Q298" s="595">
        <f t="shared" si="166"/>
        <v>15.164676774802853</v>
      </c>
      <c r="R298" s="596">
        <f t="shared" si="167"/>
        <v>1.5048057239584152</v>
      </c>
      <c r="S298" s="583">
        <f t="shared" si="145"/>
        <v>1.0050752856640308</v>
      </c>
      <c r="T298" s="586">
        <f t="shared" si="146"/>
        <v>0.10053768231734064</v>
      </c>
      <c r="U298" s="587">
        <f t="shared" si="158"/>
        <v>0.97922885932832948</v>
      </c>
      <c r="V298" s="588">
        <f t="shared" si="159"/>
        <v>-0.24963980550122061</v>
      </c>
      <c r="W298" s="589">
        <f t="shared" si="147"/>
        <v>3.3302898180065279</v>
      </c>
      <c r="X298" s="590">
        <f t="shared" si="148"/>
        <v>-119.98827816462384</v>
      </c>
      <c r="Y298" s="593">
        <f t="shared" si="149"/>
        <v>60.011721835376164</v>
      </c>
      <c r="AA298" s="150">
        <f t="shared" si="150"/>
        <v>1000000000</v>
      </c>
      <c r="AB298" s="150">
        <f t="shared" si="151"/>
        <v>402764761</v>
      </c>
      <c r="AD298" s="592">
        <f t="shared" si="152"/>
        <v>27.579179173986152</v>
      </c>
      <c r="AE298" s="593">
        <f t="shared" si="153"/>
        <v>-9.539790219336556</v>
      </c>
      <c r="AG298" s="592">
        <f t="shared" si="154"/>
        <v>1.5036854281878809</v>
      </c>
      <c r="AH298" s="593">
        <f t="shared" si="155"/>
        <v>-81.841873405226082</v>
      </c>
      <c r="AJ298" s="150">
        <f t="shared" si="156"/>
        <v>0</v>
      </c>
      <c r="AK298" s="150">
        <f t="shared" si="168"/>
        <v>0</v>
      </c>
      <c r="AM298" s="150" t="str">
        <f t="shared" si="160"/>
        <v>0.064201090115717+0.352534254022765i</v>
      </c>
      <c r="AN298" s="150" t="str">
        <f t="shared" si="161"/>
        <v>0.360277845102i</v>
      </c>
      <c r="AO298" s="150" t="str">
        <f t="shared" si="162"/>
        <v>0.978506613202811-0.178198829010817i</v>
      </c>
      <c r="AP298" s="150" t="str">
        <f t="shared" si="163"/>
        <v>0.155966484980714-0.0587557090037942i</v>
      </c>
      <c r="AQ298" s="150" t="str">
        <f t="shared" si="164"/>
        <v>0.844033515019286+0.0587557090037942i</v>
      </c>
      <c r="AR298" s="150" t="str">
        <f t="shared" si="165"/>
        <v>0.982168076563657-0.068371670878581i</v>
      </c>
    </row>
    <row r="299" spans="7:44" x14ac:dyDescent="0.25">
      <c r="G299" s="594">
        <v>20185</v>
      </c>
      <c r="H299" s="582">
        <f t="shared" si="157"/>
        <v>20.184999999999999</v>
      </c>
      <c r="I299" s="583">
        <f t="shared" si="137"/>
        <v>19.718647272766262</v>
      </c>
      <c r="J299" s="584">
        <f t="shared" si="138"/>
        <v>1.520061145785975</v>
      </c>
      <c r="K299" s="584">
        <f t="shared" si="139"/>
        <v>1.0000594800375888</v>
      </c>
      <c r="L299" s="585">
        <f t="shared" si="140"/>
        <v>1.0906611711197396E-2</v>
      </c>
      <c r="M299" s="584">
        <f t="shared" si="141"/>
        <v>1.0146407681652065</v>
      </c>
      <c r="N299" s="585">
        <f t="shared" si="142"/>
        <v>-0.17008436146397538</v>
      </c>
      <c r="O299" s="583">
        <f t="shared" si="143"/>
        <v>36525.91545447291</v>
      </c>
      <c r="P299" s="586">
        <f t="shared" si="144"/>
        <v>1.5707689489732135</v>
      </c>
      <c r="Q299" s="595">
        <f t="shared" si="166"/>
        <v>15.251949435892382</v>
      </c>
      <c r="R299" s="596">
        <f t="shared" si="167"/>
        <v>1.5051838709055925</v>
      </c>
      <c r="S299" s="583">
        <f t="shared" si="145"/>
        <v>1.005133975848107</v>
      </c>
      <c r="T299" s="586">
        <f t="shared" si="146"/>
        <v>0.10111485440574262</v>
      </c>
      <c r="U299" s="587">
        <f t="shared" si="158"/>
        <v>0.97899954619119745</v>
      </c>
      <c r="V299" s="588">
        <f t="shared" si="159"/>
        <v>-0.25105368411118628</v>
      </c>
      <c r="W299" s="589">
        <f t="shared" si="147"/>
        <v>3.2790331806002411</v>
      </c>
      <c r="X299" s="590">
        <f t="shared" si="148"/>
        <v>-120.14882075249142</v>
      </c>
      <c r="Y299" s="593">
        <f t="shared" si="149"/>
        <v>59.851179247508583</v>
      </c>
      <c r="AA299" s="150">
        <f t="shared" si="150"/>
        <v>1000000000</v>
      </c>
      <c r="AB299" s="150">
        <f t="shared" si="151"/>
        <v>407434225</v>
      </c>
      <c r="AD299" s="592">
        <f t="shared" si="152"/>
        <v>27.578455546160079</v>
      </c>
      <c r="AE299" s="593">
        <f t="shared" si="153"/>
        <v>-9.5512025867533907</v>
      </c>
      <c r="AG299" s="592">
        <f t="shared" si="154"/>
        <v>1.4572209707850892</v>
      </c>
      <c r="AH299" s="593">
        <f t="shared" si="155"/>
        <v>-81.828985071301958</v>
      </c>
      <c r="AJ299" s="150">
        <f t="shared" si="156"/>
        <v>0</v>
      </c>
      <c r="AK299" s="150">
        <f t="shared" si="168"/>
        <v>0</v>
      </c>
      <c r="AM299" s="150" t="str">
        <f t="shared" si="160"/>
        <v>0.0649372455257889+0.35448222126801i</v>
      </c>
      <c r="AN299" s="150" t="str">
        <f t="shared" si="161"/>
        <v>0.36236027223i</v>
      </c>
      <c r="AO299" s="150" t="str">
        <f t="shared" si="162"/>
        <v>0.978259065450228-0.179206305167393i</v>
      </c>
      <c r="AP299" s="150" t="str">
        <f t="shared" si="163"/>
        <v>0.155843792412369-0.059080370211335i</v>
      </c>
      <c r="AQ299" s="150" t="str">
        <f t="shared" si="164"/>
        <v>0.844156207587631+0.059080370211335i</v>
      </c>
      <c r="AR299" s="150" t="str">
        <f t="shared" si="165"/>
        <v>0.981974237100898-0.0687259075328091i</v>
      </c>
    </row>
    <row r="300" spans="7:44" x14ac:dyDescent="0.25">
      <c r="G300" s="594">
        <v>20301</v>
      </c>
      <c r="H300" s="582">
        <f t="shared" si="157"/>
        <v>20.300999999999998</v>
      </c>
      <c r="I300" s="583">
        <f t="shared" si="137"/>
        <v>19.831676605995412</v>
      </c>
      <c r="J300" s="584">
        <f t="shared" si="138"/>
        <v>1.5203505538446613</v>
      </c>
      <c r="K300" s="584">
        <f t="shared" si="139"/>
        <v>1.0000601656260864</v>
      </c>
      <c r="L300" s="585">
        <f t="shared" si="140"/>
        <v>1.0969285268947533E-2</v>
      </c>
      <c r="M300" s="584">
        <f t="shared" si="141"/>
        <v>1.0148082966568883</v>
      </c>
      <c r="N300" s="585">
        <f t="shared" si="142"/>
        <v>-0.17104290915512388</v>
      </c>
      <c r="O300" s="583">
        <f t="shared" si="143"/>
        <v>36735.82410889709</v>
      </c>
      <c r="P300" s="586">
        <f t="shared" si="144"/>
        <v>1.5707691054102024</v>
      </c>
      <c r="Q300" s="595">
        <f t="shared" si="166"/>
        <v>15.339224253118854</v>
      </c>
      <c r="R300" s="596">
        <f t="shared" si="167"/>
        <v>1.505557714858168</v>
      </c>
      <c r="S300" s="583">
        <f t="shared" si="145"/>
        <v>1.0051930008309067</v>
      </c>
      <c r="T300" s="586">
        <f t="shared" si="146"/>
        <v>0.10169195890322802</v>
      </c>
      <c r="U300" s="587">
        <f t="shared" si="158"/>
        <v>0.97876906477693959</v>
      </c>
      <c r="V300" s="588">
        <f t="shared" si="159"/>
        <v>-0.25246707697163095</v>
      </c>
      <c r="W300" s="589">
        <f t="shared" si="147"/>
        <v>3.2280589636582304</v>
      </c>
      <c r="X300" s="590">
        <f t="shared" si="148"/>
        <v>-120.30936880005486</v>
      </c>
      <c r="Y300" s="593">
        <f t="shared" si="149"/>
        <v>59.690631199945145</v>
      </c>
      <c r="AA300" s="150">
        <f t="shared" si="150"/>
        <v>1000000000</v>
      </c>
      <c r="AB300" s="150">
        <f t="shared" si="151"/>
        <v>412130601</v>
      </c>
      <c r="AD300" s="592">
        <f t="shared" si="152"/>
        <v>27.577732744047083</v>
      </c>
      <c r="AE300" s="593">
        <f t="shared" si="153"/>
        <v>-9.5628575213107947</v>
      </c>
      <c r="AG300" s="592">
        <f t="shared" si="154"/>
        <v>1.4110597965001395</v>
      </c>
      <c r="AH300" s="593">
        <f t="shared" si="155"/>
        <v>-81.815915292728093</v>
      </c>
      <c r="AJ300" s="150">
        <f t="shared" si="156"/>
        <v>0</v>
      </c>
      <c r="AK300" s="150">
        <f t="shared" si="168"/>
        <v>0</v>
      </c>
      <c r="AM300" s="150" t="str">
        <f t="shared" si="160"/>
        <v>0.065677455836597+0.356428651300685i</v>
      </c>
      <c r="AN300" s="150" t="str">
        <f t="shared" si="161"/>
        <v>0.364442699358i</v>
      </c>
      <c r="AO300" s="150" t="str">
        <f t="shared" si="162"/>
        <v>0.978010128693942-0.180213394183212i</v>
      </c>
      <c r="AP300" s="150" t="str">
        <f t="shared" si="163"/>
        <v>0.155720424027234-0.0594047752167808i</v>
      </c>
      <c r="AQ300" s="150" t="str">
        <f t="shared" si="164"/>
        <v>0.844279575972766+0.0594047752167808i</v>
      </c>
      <c r="AR300" s="150" t="str">
        <f t="shared" si="165"/>
        <v>0.981779463829909-0.0690794732231549i</v>
      </c>
    </row>
    <row r="301" spans="7:44" x14ac:dyDescent="0.25">
      <c r="G301" s="594">
        <v>20417</v>
      </c>
      <c r="H301" s="582">
        <f t="shared" si="157"/>
        <v>20.417000000000002</v>
      </c>
      <c r="I301" s="583">
        <f t="shared" si="137"/>
        <v>19.94470758144001</v>
      </c>
      <c r="J301" s="584">
        <f t="shared" si="138"/>
        <v>1.5206366816508492</v>
      </c>
      <c r="K301" s="584">
        <f t="shared" si="139"/>
        <v>1.0000608551427896</v>
      </c>
      <c r="L301" s="585">
        <f t="shared" si="140"/>
        <v>1.1031958740520178E-2</v>
      </c>
      <c r="M301" s="584">
        <f t="shared" si="141"/>
        <v>1.0149767572600084</v>
      </c>
      <c r="N301" s="585">
        <f t="shared" si="142"/>
        <v>-0.17200113953686863</v>
      </c>
      <c r="O301" s="583">
        <f t="shared" si="143"/>
        <v>36945.732763322165</v>
      </c>
      <c r="P301" s="586">
        <f t="shared" si="144"/>
        <v>1.5707692600695855</v>
      </c>
      <c r="Q301" s="595">
        <f t="shared" si="166"/>
        <v>15.426501189887491</v>
      </c>
      <c r="R301" s="596">
        <f t="shared" si="167"/>
        <v>1.5059273287445849</v>
      </c>
      <c r="S301" s="583">
        <f t="shared" si="145"/>
        <v>1.0052523605534549</v>
      </c>
      <c r="T301" s="586">
        <f t="shared" si="146"/>
        <v>0.10226899543732816</v>
      </c>
      <c r="U301" s="587">
        <f t="shared" si="158"/>
        <v>0.97853741755381607</v>
      </c>
      <c r="V301" s="588">
        <f t="shared" si="159"/>
        <v>-0.25387998175174731</v>
      </c>
      <c r="W301" s="589">
        <f t="shared" si="147"/>
        <v>3.1773638723895328</v>
      </c>
      <c r="X301" s="590">
        <f t="shared" si="148"/>
        <v>-120.46992113157296</v>
      </c>
      <c r="Y301" s="593">
        <f t="shared" si="149"/>
        <v>59.53007886842704</v>
      </c>
      <c r="AA301" s="150">
        <f t="shared" si="150"/>
        <v>1000000000</v>
      </c>
      <c r="AB301" s="150">
        <f t="shared" si="151"/>
        <v>416853889</v>
      </c>
      <c r="AD301" s="592">
        <f t="shared" si="152"/>
        <v>27.577010685356647</v>
      </c>
      <c r="AE301" s="593">
        <f t="shared" si="153"/>
        <v>-9.574750824941983</v>
      </c>
      <c r="AG301" s="592">
        <f t="shared" si="154"/>
        <v>1.3651986641124148</v>
      </c>
      <c r="AH301" s="593">
        <f t="shared" si="155"/>
        <v>-81.802667358920971</v>
      </c>
      <c r="AJ301" s="150">
        <f t="shared" si="156"/>
        <v>0</v>
      </c>
      <c r="AK301" s="150">
        <f t="shared" si="168"/>
        <v>0</v>
      </c>
      <c r="AM301" s="150" t="str">
        <f t="shared" si="160"/>
        <v>0.066421717838216+0.358373535680095i</v>
      </c>
      <c r="AN301" s="150" t="str">
        <f t="shared" si="161"/>
        <v>0.366525126486i</v>
      </c>
      <c r="AO301" s="150" t="str">
        <f t="shared" si="162"/>
        <v>0.977759803580025-0.181220093899219i</v>
      </c>
      <c r="AP301" s="150" t="str">
        <f t="shared" si="163"/>
        <v>0.155596380360297-0.0597289226133492i</v>
      </c>
      <c r="AQ301" s="150" t="str">
        <f t="shared" si="164"/>
        <v>0.844403619639703+0.0597289226133492i</v>
      </c>
      <c r="AR301" s="150" t="str">
        <f t="shared" si="165"/>
        <v>0.981583759661196-0.0694323651103488i</v>
      </c>
    </row>
    <row r="302" spans="7:44" x14ac:dyDescent="0.25">
      <c r="G302" s="594">
        <v>20536</v>
      </c>
      <c r="H302" s="582">
        <f t="shared" si="157"/>
        <v>20.536000000000001</v>
      </c>
      <c r="I302" s="583">
        <f t="shared" si="137"/>
        <v>20.060663449144272</v>
      </c>
      <c r="J302" s="584">
        <f t="shared" si="138"/>
        <v>1.5209268587783105</v>
      </c>
      <c r="K302" s="584">
        <f t="shared" si="139"/>
        <v>1.0000615665737198</v>
      </c>
      <c r="L302" s="585">
        <f t="shared" si="140"/>
        <v>1.1096252987671695E-2</v>
      </c>
      <c r="M302" s="584">
        <f t="shared" si="141"/>
        <v>1.015150542699145</v>
      </c>
      <c r="N302" s="585">
        <f t="shared" si="142"/>
        <v>-0.17298382033562387</v>
      </c>
      <c r="O302" s="583">
        <f t="shared" si="143"/>
        <v>37161.070089845343</v>
      </c>
      <c r="P302" s="586">
        <f t="shared" si="144"/>
        <v>1.5707694169131923</v>
      </c>
      <c r="Q302" s="595">
        <f t="shared" si="166"/>
        <v>15.516037453801712</v>
      </c>
      <c r="R302" s="596">
        <f t="shared" si="167"/>
        <v>1.5063021807418824</v>
      </c>
      <c r="S302" s="583">
        <f t="shared" si="145"/>
        <v>1.0053136032163801</v>
      </c>
      <c r="T302" s="586">
        <f t="shared" si="146"/>
        <v>0.10286088431734883</v>
      </c>
      <c r="U302" s="587">
        <f t="shared" si="158"/>
        <v>0.97829857062701309</v>
      </c>
      <c r="V302" s="588">
        <f t="shared" si="159"/>
        <v>-0.25532891755983161</v>
      </c>
      <c r="W302" s="589">
        <f t="shared" si="147"/>
        <v>3.1256443547398431</v>
      </c>
      <c r="X302" s="590">
        <f t="shared" si="148"/>
        <v>-120.63462892028841</v>
      </c>
      <c r="Y302" s="593">
        <f t="shared" si="149"/>
        <v>59.365371079711593</v>
      </c>
      <c r="AA302" s="150">
        <f t="shared" si="150"/>
        <v>1000000000</v>
      </c>
      <c r="AB302" s="150">
        <f t="shared" si="151"/>
        <v>421727296</v>
      </c>
      <c r="AD302" s="592">
        <f t="shared" si="152"/>
        <v>27.576270641468092</v>
      </c>
      <c r="AE302" s="593">
        <f t="shared" si="153"/>
        <v>-9.5871951088116312</v>
      </c>
      <c r="AG302" s="592">
        <f t="shared" si="154"/>
        <v>1.3184599096950287</v>
      </c>
      <c r="AH302" s="593">
        <f t="shared" si="155"/>
        <v>-81.788895050399859</v>
      </c>
      <c r="AJ302" s="150">
        <f t="shared" si="156"/>
        <v>0</v>
      </c>
      <c r="AK302" s="150">
        <f t="shared" si="168"/>
        <v>0</v>
      </c>
      <c r="AM302" s="150" t="str">
        <f t="shared" si="160"/>
        <v>0.067189434835694+0.360367103823099i</v>
      </c>
      <c r="AN302" s="150" t="str">
        <f t="shared" si="161"/>
        <v>0.368661409488i</v>
      </c>
      <c r="AO302" s="150" t="str">
        <f t="shared" si="162"/>
        <v>0.977501562541031-0.182252422158878i</v>
      </c>
      <c r="AP302" s="150" t="str">
        <f t="shared" si="163"/>
        <v>0.155468427527384-0.0600611839705165i</v>
      </c>
      <c r="AQ302" s="150" t="str">
        <f t="shared" si="164"/>
        <v>0.844531572472616+0.0600611839705165i</v>
      </c>
      <c r="AR302" s="150" t="str">
        <f t="shared" si="165"/>
        <v>0.981382029917288-0.0697936803850307i</v>
      </c>
    </row>
    <row r="303" spans="7:44" x14ac:dyDescent="0.25">
      <c r="G303" s="594">
        <v>20655</v>
      </c>
      <c r="H303" s="582">
        <f t="shared" si="157"/>
        <v>20.655000000000001</v>
      </c>
      <c r="I303" s="583">
        <f t="shared" si="137"/>
        <v>20.176620986596408</v>
      </c>
      <c r="J303" s="584">
        <f t="shared" si="138"/>
        <v>1.5212137005619781</v>
      </c>
      <c r="K303" s="584">
        <f t="shared" si="139"/>
        <v>1.0000622821386487</v>
      </c>
      <c r="L303" s="585">
        <f t="shared" si="140"/>
        <v>1.11605471430813E-2</v>
      </c>
      <c r="M303" s="584">
        <f t="shared" si="141"/>
        <v>1.0153253080940001</v>
      </c>
      <c r="N303" s="585">
        <f t="shared" si="142"/>
        <v>-0.1739661637899641</v>
      </c>
      <c r="O303" s="583">
        <f t="shared" si="143"/>
        <v>37376.407416369424</v>
      </c>
      <c r="P303" s="586">
        <f t="shared" si="144"/>
        <v>1.5707695719495478</v>
      </c>
      <c r="Q303" s="595">
        <f t="shared" si="166"/>
        <v>15.60557587291872</v>
      </c>
      <c r="R303" s="596">
        <f t="shared" si="167"/>
        <v>1.5066727312955015</v>
      </c>
      <c r="S303" s="583">
        <f t="shared" si="145"/>
        <v>1.0053751980302992</v>
      </c>
      <c r="T303" s="586">
        <f t="shared" si="146"/>
        <v>0.10345270087994488</v>
      </c>
      <c r="U303" s="587">
        <f t="shared" si="158"/>
        <v>0.97805850210376455</v>
      </c>
      <c r="V303" s="588">
        <f t="shared" si="159"/>
        <v>-0.25677733476989645</v>
      </c>
      <c r="W303" s="589">
        <f t="shared" si="147"/>
        <v>3.0742117436404888</v>
      </c>
      <c r="X303" s="590">
        <f t="shared" si="148"/>
        <v>-120.79933877878622</v>
      </c>
      <c r="Y303" s="593">
        <f t="shared" si="149"/>
        <v>59.200661221213778</v>
      </c>
      <c r="AA303" s="150">
        <f t="shared" si="150"/>
        <v>1000000000</v>
      </c>
      <c r="AB303" s="150">
        <f t="shared" si="151"/>
        <v>426629025</v>
      </c>
      <c r="AD303" s="592">
        <f t="shared" si="152"/>
        <v>27.575531211987091</v>
      </c>
      <c r="AE303" s="593">
        <f t="shared" si="153"/>
        <v>-9.5998816002190495</v>
      </c>
      <c r="AG303" s="592">
        <f t="shared" si="154"/>
        <v>1.2720301802614311</v>
      </c>
      <c r="AH303" s="593">
        <f t="shared" si="155"/>
        <v>-81.774942031078908</v>
      </c>
      <c r="AJ303" s="150">
        <f t="shared" si="156"/>
        <v>0</v>
      </c>
      <c r="AK303" s="150">
        <f t="shared" si="168"/>
        <v>0</v>
      </c>
      <c r="AM303" s="150" t="str">
        <f t="shared" si="160"/>
        <v>0.067961408903854+0.362359027357552i</v>
      </c>
      <c r="AN303" s="150" t="str">
        <f t="shared" si="161"/>
        <v>0.37079769249i</v>
      </c>
      <c r="AO303" s="150" t="str">
        <f t="shared" si="162"/>
        <v>0.977241861793205-0.183284336122687i</v>
      </c>
      <c r="AP303" s="150" t="str">
        <f t="shared" si="163"/>
        <v>0.155339765182691-0.0603931712262587i</v>
      </c>
      <c r="AQ303" s="150" t="str">
        <f t="shared" si="164"/>
        <v>0.844660234817309+0.0603931712262587i</v>
      </c>
      <c r="AR303" s="150" t="str">
        <f t="shared" si="165"/>
        <v>0.981179326740404-0.0701542805508241i</v>
      </c>
    </row>
    <row r="304" spans="7:44" x14ac:dyDescent="0.25">
      <c r="G304" s="594">
        <v>20774</v>
      </c>
      <c r="H304" s="582">
        <f t="shared" si="157"/>
        <v>20.774000000000001</v>
      </c>
      <c r="I304" s="583">
        <f t="shared" si="137"/>
        <v>20.292580165172183</v>
      </c>
      <c r="J304" s="584">
        <f t="shared" si="138"/>
        <v>1.5214972641323414</v>
      </c>
      <c r="K304" s="584">
        <f t="shared" si="139"/>
        <v>1.0000630018375676</v>
      </c>
      <c r="L304" s="585">
        <f t="shared" si="140"/>
        <v>1.1224841206217641E-2</v>
      </c>
      <c r="M304" s="584">
        <f t="shared" si="141"/>
        <v>1.0155010529386297</v>
      </c>
      <c r="N304" s="585">
        <f t="shared" si="142"/>
        <v>-0.17494816817862913</v>
      </c>
      <c r="O304" s="583">
        <f t="shared" si="143"/>
        <v>37591.744742894392</v>
      </c>
      <c r="P304" s="586">
        <f t="shared" si="144"/>
        <v>1.5707697252097093</v>
      </c>
      <c r="Q304" s="595">
        <f t="shared" si="166"/>
        <v>15.695116410353132</v>
      </c>
      <c r="R304" s="596">
        <f t="shared" si="167"/>
        <v>1.5070390539219269</v>
      </c>
      <c r="S304" s="583">
        <f t="shared" si="145"/>
        <v>1.0054371449304922</v>
      </c>
      <c r="T304" s="586">
        <f t="shared" si="146"/>
        <v>0.10404444472388172</v>
      </c>
      <c r="U304" s="587">
        <f t="shared" si="158"/>
        <v>0.97781721467942329</v>
      </c>
      <c r="V304" s="588">
        <f t="shared" si="159"/>
        <v>-0.25822523088957383</v>
      </c>
      <c r="W304" s="589">
        <f t="shared" si="147"/>
        <v>3.0230626631815758</v>
      </c>
      <c r="X304" s="590">
        <f t="shared" si="148"/>
        <v>-120.96404950561565</v>
      </c>
      <c r="Y304" s="593">
        <f t="shared" si="149"/>
        <v>59.035950494384352</v>
      </c>
      <c r="AA304" s="150">
        <f t="shared" si="150"/>
        <v>1000000000</v>
      </c>
      <c r="AB304" s="150">
        <f t="shared" si="151"/>
        <v>431559076</v>
      </c>
      <c r="AD304" s="592">
        <f t="shared" si="152"/>
        <v>27.574792315497323</v>
      </c>
      <c r="AE304" s="593">
        <f t="shared" si="153"/>
        <v>-9.6128060657703429</v>
      </c>
      <c r="AG304" s="592">
        <f t="shared" si="154"/>
        <v>1.2259061499195942</v>
      </c>
      <c r="AH304" s="593">
        <f t="shared" si="155"/>
        <v>-81.760811618505727</v>
      </c>
      <c r="AJ304" s="150">
        <f t="shared" si="156"/>
        <v>0</v>
      </c>
      <c r="AK304" s="150">
        <f t="shared" si="168"/>
        <v>0</v>
      </c>
      <c r="AM304" s="150" t="str">
        <f t="shared" si="160"/>
        <v>0.068737636519634+0.364349297192905i</v>
      </c>
      <c r="AN304" s="150" t="str">
        <f t="shared" si="161"/>
        <v>0.372933975492i</v>
      </c>
      <c r="AO304" s="150" t="str">
        <f t="shared" si="162"/>
        <v>0.976980702045799-0.184315833463418i</v>
      </c>
      <c r="AP304" s="150" t="str">
        <f t="shared" si="163"/>
        <v>0.155210393913394-0.0607248828654842i</v>
      </c>
      <c r="AQ304" s="150" t="str">
        <f t="shared" si="164"/>
        <v>0.844789606086606+0.0607248828654842i</v>
      </c>
      <c r="AR304" s="150" t="str">
        <f t="shared" si="165"/>
        <v>0.980975653305087-0.0705141625934449i</v>
      </c>
    </row>
    <row r="305" spans="7:44" x14ac:dyDescent="0.25">
      <c r="G305" s="594">
        <v>20893</v>
      </c>
      <c r="H305" s="582">
        <f t="shared" si="157"/>
        <v>20.893000000000001</v>
      </c>
      <c r="I305" s="583">
        <f t="shared" si="137"/>
        <v>20.408540956897518</v>
      </c>
      <c r="J305" s="584">
        <f t="shared" si="138"/>
        <v>1.5217776053235699</v>
      </c>
      <c r="K305" s="584">
        <f t="shared" si="139"/>
        <v>1.0000637256704674</v>
      </c>
      <c r="L305" s="585">
        <f t="shared" si="140"/>
        <v>1.1289135176549371E-2</v>
      </c>
      <c r="M305" s="584">
        <f t="shared" si="141"/>
        <v>1.0156777767246048</v>
      </c>
      <c r="N305" s="585">
        <f t="shared" si="142"/>
        <v>-0.17592983178416269</v>
      </c>
      <c r="O305" s="583">
        <f t="shared" si="143"/>
        <v>37807.082069420234</v>
      </c>
      <c r="P305" s="586">
        <f t="shared" si="144"/>
        <v>1.5707698767240268</v>
      </c>
      <c r="Q305" s="595">
        <f t="shared" si="166"/>
        <v>15.784659030055655</v>
      </c>
      <c r="R305" s="596">
        <f t="shared" si="167"/>
        <v>1.5074012204740759</v>
      </c>
      <c r="S305" s="583">
        <f t="shared" si="145"/>
        <v>1.0054994438518847</v>
      </c>
      <c r="T305" s="586">
        <f t="shared" si="146"/>
        <v>0.104636115448227</v>
      </c>
      <c r="U305" s="587">
        <f t="shared" si="158"/>
        <v>0.97757471105951765</v>
      </c>
      <c r="V305" s="588">
        <f t="shared" si="159"/>
        <v>-0.25967260343466292</v>
      </c>
      <c r="W305" s="589">
        <f t="shared" si="147"/>
        <v>2.9721937958420686</v>
      </c>
      <c r="X305" s="590">
        <f t="shared" si="148"/>
        <v>-121.12875992103061</v>
      </c>
      <c r="Y305" s="593">
        <f t="shared" si="149"/>
        <v>58.871240078969393</v>
      </c>
      <c r="AA305" s="150">
        <f t="shared" si="150"/>
        <v>1000000000</v>
      </c>
      <c r="AB305" s="150">
        <f t="shared" si="151"/>
        <v>436517449</v>
      </c>
      <c r="AD305" s="592">
        <f t="shared" si="152"/>
        <v>27.574053872922608</v>
      </c>
      <c r="AE305" s="593">
        <f t="shared" si="153"/>
        <v>-9.6259643673637978</v>
      </c>
      <c r="AG305" s="592">
        <f t="shared" si="154"/>
        <v>1.1800845486952996</v>
      </c>
      <c r="AH305" s="593">
        <f t="shared" si="155"/>
        <v>-81.746507055704242</v>
      </c>
      <c r="AJ305" s="150">
        <f t="shared" si="156"/>
        <v>0</v>
      </c>
      <c r="AK305" s="150">
        <f t="shared" si="168"/>
        <v>0</v>
      </c>
      <c r="AM305" s="150" t="str">
        <f t="shared" si="160"/>
        <v>0.069518114140564+0.366337904246157i</v>
      </c>
      <c r="AN305" s="150" t="str">
        <f t="shared" si="161"/>
        <v>0.375070258494i</v>
      </c>
      <c r="AO305" s="150" t="str">
        <f t="shared" si="162"/>
        <v>0.976718084012031-0.185346911855119i</v>
      </c>
      <c r="AP305" s="150" t="str">
        <f t="shared" si="163"/>
        <v>0.155080314309906-0.0610563173743595i</v>
      </c>
      <c r="AQ305" s="150" t="str">
        <f t="shared" si="164"/>
        <v>0.844919685690094+0.0610563173743595i</v>
      </c>
      <c r="AR305" s="150" t="str">
        <f t="shared" si="165"/>
        <v>0.980771012796574-0.0708733235159155i</v>
      </c>
    </row>
    <row r="306" spans="7:44" x14ac:dyDescent="0.25">
      <c r="G306" s="594">
        <v>21014.75</v>
      </c>
      <c r="H306" s="582">
        <f t="shared" si="157"/>
        <v>21.014749999999999</v>
      </c>
      <c r="I306" s="583">
        <f t="shared" si="137"/>
        <v>20.527183155804888</v>
      </c>
      <c r="J306" s="584">
        <f t="shared" si="138"/>
        <v>1.5220611469563881</v>
      </c>
      <c r="K306" s="584">
        <f t="shared" si="139"/>
        <v>1.0000644705089734</v>
      </c>
      <c r="L306" s="585">
        <f t="shared" si="140"/>
        <v>1.1354914835309277E-2</v>
      </c>
      <c r="M306" s="584">
        <f t="shared" si="141"/>
        <v>1.0158595970674089</v>
      </c>
      <c r="N306" s="585">
        <f t="shared" si="142"/>
        <v>-0.17693382641906341</v>
      </c>
      <c r="O306" s="583">
        <f t="shared" si="143"/>
        <v>38027.395678702815</v>
      </c>
      <c r="P306" s="586">
        <f t="shared" si="144"/>
        <v>1.5707700299638288</v>
      </c>
      <c r="Q306" s="595">
        <f t="shared" si="166"/>
        <v>15.876273030238053</v>
      </c>
      <c r="R306" s="596">
        <f t="shared" si="167"/>
        <v>1.507767528411609</v>
      </c>
      <c r="S306" s="583">
        <f t="shared" si="145"/>
        <v>1.0055635467036086</v>
      </c>
      <c r="T306" s="586">
        <f t="shared" si="146"/>
        <v>0.10524138314399151</v>
      </c>
      <c r="U306" s="587">
        <f t="shared" si="158"/>
        <v>0.97732534751819855</v>
      </c>
      <c r="V306" s="588">
        <f t="shared" si="159"/>
        <v>-0.26115287921888874</v>
      </c>
      <c r="W306" s="589">
        <f t="shared" si="147"/>
        <v>2.9204359886470055</v>
      </c>
      <c r="X306" s="590">
        <f t="shared" si="148"/>
        <v>-121.29727513907427</v>
      </c>
      <c r="Y306" s="593">
        <f t="shared" si="149"/>
        <v>58.702724860925727</v>
      </c>
      <c r="AA306" s="150">
        <f t="shared" si="150"/>
        <v>1000000000</v>
      </c>
      <c r="AB306" s="150">
        <f t="shared" si="151"/>
        <v>441619717.5625</v>
      </c>
      <c r="AD306" s="592">
        <f t="shared" si="152"/>
        <v>27.573298755172068</v>
      </c>
      <c r="AE306" s="593">
        <f t="shared" si="153"/>
        <v>-9.6396645329934909</v>
      </c>
      <c r="AG306" s="592">
        <f t="shared" si="154"/>
        <v>1.1335136852193681</v>
      </c>
      <c r="AH306" s="593">
        <f t="shared" si="155"/>
        <v>-81.731694998021339</v>
      </c>
      <c r="AJ306" s="150">
        <f t="shared" si="156"/>
        <v>0</v>
      </c>
      <c r="AK306" s="150">
        <f t="shared" si="168"/>
        <v>0</v>
      </c>
      <c r="AM306" s="150" t="str">
        <f t="shared" si="160"/>
        <v>0.070321022755821+0.368370736175143i</v>
      </c>
      <c r="AN306" s="150" t="str">
        <f t="shared" si="161"/>
        <v>0.3772559093805i</v>
      </c>
      <c r="AO306" s="150" t="str">
        <f t="shared" si="162"/>
        <v>0.976447888596503-0.18640138168093i</v>
      </c>
      <c r="AP306" s="150" t="str">
        <f t="shared" si="163"/>
        <v>0.154946496207363-0.0613951226958572i</v>
      </c>
      <c r="AQ306" s="150" t="str">
        <f t="shared" si="164"/>
        <v>0.845053503792637+0.0613951226958572i</v>
      </c>
      <c r="AR306" s="150" t="str">
        <f t="shared" si="165"/>
        <v>0.980560645679755-0.0712400349587925i</v>
      </c>
    </row>
    <row r="307" spans="7:44" x14ac:dyDescent="0.25">
      <c r="G307" s="594">
        <v>21136.5</v>
      </c>
      <c r="H307" s="582">
        <f t="shared" si="157"/>
        <v>21.136500000000002</v>
      </c>
      <c r="I307" s="583">
        <f t="shared" si="137"/>
        <v>20.64582698604562</v>
      </c>
      <c r="J307" s="584">
        <f t="shared" si="138"/>
        <v>1.5223414297965232</v>
      </c>
      <c r="K307" s="584">
        <f t="shared" si="139"/>
        <v>1.0000652196747155</v>
      </c>
      <c r="L307" s="585">
        <f t="shared" si="140"/>
        <v>1.14206943958005E-2</v>
      </c>
      <c r="M307" s="584">
        <f t="shared" si="141"/>
        <v>1.0160424410349091</v>
      </c>
      <c r="N307" s="585">
        <f t="shared" si="142"/>
        <v>-0.17793746071356967</v>
      </c>
      <c r="O307" s="583">
        <f t="shared" si="143"/>
        <v>38247.709287986276</v>
      </c>
      <c r="P307" s="586">
        <f t="shared" si="144"/>
        <v>1.5707701814382535</v>
      </c>
      <c r="Q307" s="595">
        <f t="shared" si="166"/>
        <v>15.96788913627775</v>
      </c>
      <c r="R307" s="596">
        <f t="shared" si="167"/>
        <v>1.5081296329979865</v>
      </c>
      <c r="S307" s="583">
        <f t="shared" si="145"/>
        <v>1.005628017895472</v>
      </c>
      <c r="T307" s="586">
        <f t="shared" si="146"/>
        <v>0.10584657345356228</v>
      </c>
      <c r="U307" s="587">
        <f t="shared" si="158"/>
        <v>0.97707471668283385</v>
      </c>
      <c r="V307" s="588">
        <f t="shared" si="159"/>
        <v>-0.26263260171554675</v>
      </c>
      <c r="W307" s="589">
        <f t="shared" si="147"/>
        <v>2.868964651176622</v>
      </c>
      <c r="X307" s="590">
        <f t="shared" si="148"/>
        <v>-121.46578759988513</v>
      </c>
      <c r="Y307" s="593">
        <f t="shared" si="149"/>
        <v>58.534212400114868</v>
      </c>
      <c r="AA307" s="150">
        <f t="shared" si="150"/>
        <v>1000000000</v>
      </c>
      <c r="AB307" s="150">
        <f t="shared" si="151"/>
        <v>446751632.25</v>
      </c>
      <c r="AD307" s="592">
        <f t="shared" si="152"/>
        <v>27.57254395226385</v>
      </c>
      <c r="AE307" s="593">
        <f t="shared" si="153"/>
        <v>-9.6536009978535162</v>
      </c>
      <c r="AG307" s="592">
        <f t="shared" si="154"/>
        <v>1.0872526392292392</v>
      </c>
      <c r="AH307" s="593">
        <f t="shared" si="155"/>
        <v>-81.716707285960254</v>
      </c>
      <c r="AJ307" s="150">
        <f t="shared" si="156"/>
        <v>0</v>
      </c>
      <c r="AK307" s="150">
        <f t="shared" si="168"/>
        <v>0</v>
      </c>
      <c r="AM307" s="150" t="str">
        <f t="shared" si="160"/>
        <v>0.0711283725106741+0.370401808372112i</v>
      </c>
      <c r="AN307" s="150" t="str">
        <f t="shared" si="161"/>
        <v>0.379441560267i</v>
      </c>
      <c r="AO307" s="150" t="str">
        <f t="shared" si="162"/>
        <v>0.976176168239117-0.187455408049196i</v>
      </c>
      <c r="AP307" s="150" t="str">
        <f t="shared" si="163"/>
        <v>0.154811937914888-0.0617336347286853i</v>
      </c>
      <c r="AQ307" s="150" t="str">
        <f t="shared" si="164"/>
        <v>0.845188062085112+0.0617336347286853i</v>
      </c>
      <c r="AR307" s="150" t="str">
        <f t="shared" si="165"/>
        <v>0.980349273055784-0.0716059852762845i</v>
      </c>
    </row>
    <row r="308" spans="7:44" x14ac:dyDescent="0.25">
      <c r="G308" s="594">
        <v>21258.25</v>
      </c>
      <c r="H308" s="582">
        <f t="shared" si="157"/>
        <v>21.25825</v>
      </c>
      <c r="I308" s="583">
        <f t="shared" si="137"/>
        <v>20.764472419656421</v>
      </c>
      <c r="J308" s="584">
        <f t="shared" si="138"/>
        <v>1.5226185096604798</v>
      </c>
      <c r="K308" s="584">
        <f t="shared" si="139"/>
        <v>1.0000659731676838</v>
      </c>
      <c r="L308" s="585">
        <f t="shared" si="140"/>
        <v>1.1486473857454016E-2</v>
      </c>
      <c r="M308" s="584">
        <f t="shared" si="141"/>
        <v>1.0162263080745801</v>
      </c>
      <c r="N308" s="585">
        <f t="shared" si="142"/>
        <v>-0.17894073284084644</v>
      </c>
      <c r="O308" s="583">
        <f t="shared" si="143"/>
        <v>38468.02289727061</v>
      </c>
      <c r="P308" s="586">
        <f t="shared" si="144"/>
        <v>1.5707703311776333</v>
      </c>
      <c r="Q308" s="595">
        <f t="shared" si="166"/>
        <v>16.059507312134325</v>
      </c>
      <c r="R308" s="596">
        <f t="shared" si="167"/>
        <v>1.5084876060767518</v>
      </c>
      <c r="S308" s="583">
        <f t="shared" si="145"/>
        <v>1.0056928573566362</v>
      </c>
      <c r="T308" s="586">
        <f t="shared" si="146"/>
        <v>0.10645168594855668</v>
      </c>
      <c r="U308" s="587">
        <f t="shared" si="158"/>
        <v>0.9768228214834036</v>
      </c>
      <c r="V308" s="588">
        <f t="shared" si="159"/>
        <v>-0.26411176829087002</v>
      </c>
      <c r="W308" s="589">
        <f t="shared" si="147"/>
        <v>2.8177764117180555</v>
      </c>
      <c r="X308" s="590">
        <f t="shared" si="148"/>
        <v>-121.63429610683372</v>
      </c>
      <c r="Y308" s="593">
        <f t="shared" si="149"/>
        <v>58.365703893166284</v>
      </c>
      <c r="AA308" s="150">
        <f t="shared" si="150"/>
        <v>1000000000</v>
      </c>
      <c r="AB308" s="150">
        <f t="shared" si="151"/>
        <v>451913193.0625</v>
      </c>
      <c r="AD308" s="592">
        <f t="shared" si="152"/>
        <v>27.571789386614171</v>
      </c>
      <c r="AE308" s="593">
        <f t="shared" si="153"/>
        <v>-9.6677696228054497</v>
      </c>
      <c r="AG308" s="592">
        <f t="shared" si="154"/>
        <v>1.0412980824098417</v>
      </c>
      <c r="AH308" s="593">
        <f t="shared" si="155"/>
        <v>-81.701547163837546</v>
      </c>
      <c r="AJ308" s="150">
        <f t="shared" si="156"/>
        <v>0</v>
      </c>
      <c r="AK308" s="150">
        <f t="shared" si="168"/>
        <v>0</v>
      </c>
      <c r="AM308" s="150" t="str">
        <f t="shared" si="160"/>
        <v>0.071940159548358+0.372431111134493i</v>
      </c>
      <c r="AN308" s="150" t="str">
        <f t="shared" si="161"/>
        <v>0.3816272111535i</v>
      </c>
      <c r="AO308" s="150" t="str">
        <f t="shared" si="162"/>
        <v>0.975902923716548-0.188508988473104i</v>
      </c>
      <c r="AP308" s="150" t="str">
        <f t="shared" si="163"/>
        <v>0.154676640075274-0.0620718518557488i</v>
      </c>
      <c r="AQ308" s="150" t="str">
        <f t="shared" si="164"/>
        <v>0.845323359924726+0.0620718518557488i</v>
      </c>
      <c r="AR308" s="150" t="str">
        <f t="shared" si="165"/>
        <v>0.980136898369886-0.0719711713153015i</v>
      </c>
    </row>
    <row r="309" spans="7:44" x14ac:dyDescent="0.25">
      <c r="G309" s="594">
        <v>21380</v>
      </c>
      <c r="H309" s="582">
        <f t="shared" si="157"/>
        <v>21.38</v>
      </c>
      <c r="I309" s="583">
        <f t="shared" si="137"/>
        <v>20.883119429309115</v>
      </c>
      <c r="J309" s="584">
        <f t="shared" si="138"/>
        <v>1.5228924410982745</v>
      </c>
      <c r="K309" s="584">
        <f t="shared" si="139"/>
        <v>1.0000667309878688</v>
      </c>
      <c r="L309" s="585">
        <f t="shared" si="140"/>
        <v>1.1552253219700798E-2</v>
      </c>
      <c r="M309" s="584">
        <f t="shared" si="141"/>
        <v>1.0164111976312054</v>
      </c>
      <c r="N309" s="585">
        <f t="shared" si="142"/>
        <v>-0.17994364097829341</v>
      </c>
      <c r="O309" s="583">
        <f t="shared" si="143"/>
        <v>38688.336506555795</v>
      </c>
      <c r="P309" s="586">
        <f t="shared" si="144"/>
        <v>1.5707704792116091</v>
      </c>
      <c r="Q309" s="595">
        <f t="shared" si="166"/>
        <v>16.151127522584325</v>
      </c>
      <c r="R309" s="596">
        <f t="shared" si="167"/>
        <v>1.5088415178655572</v>
      </c>
      <c r="S309" s="583">
        <f t="shared" si="145"/>
        <v>1.0057580650158762</v>
      </c>
      <c r="T309" s="586">
        <f t="shared" si="146"/>
        <v>0.10705672020093006</v>
      </c>
      <c r="U309" s="587">
        <f t="shared" si="158"/>
        <v>0.9765696648606772</v>
      </c>
      <c r="V309" s="588">
        <f t="shared" si="159"/>
        <v>-0.26559037632015198</v>
      </c>
      <c r="W309" s="589">
        <f t="shared" si="147"/>
        <v>2.7668679568621086</v>
      </c>
      <c r="X309" s="590">
        <f t="shared" si="148"/>
        <v>-121.80279948462452</v>
      </c>
      <c r="Y309" s="593">
        <f t="shared" si="149"/>
        <v>58.197200515375485</v>
      </c>
      <c r="AA309" s="150">
        <f t="shared" si="150"/>
        <v>1000000000</v>
      </c>
      <c r="AB309" s="150">
        <f t="shared" si="151"/>
        <v>457104400</v>
      </c>
      <c r="AD309" s="592">
        <f t="shared" si="152"/>
        <v>27.571034982874462</v>
      </c>
      <c r="AE309" s="593">
        <f t="shared" si="153"/>
        <v>-9.6821663618473064</v>
      </c>
      <c r="AG309" s="592">
        <f t="shared" si="154"/>
        <v>0.99564674237461404</v>
      </c>
      <c r="AH309" s="593">
        <f t="shared" si="155"/>
        <v>-81.686217803128827</v>
      </c>
      <c r="AJ309" s="150">
        <f t="shared" si="156"/>
        <v>0</v>
      </c>
      <c r="AK309" s="150">
        <f t="shared" si="168"/>
        <v>0</v>
      </c>
      <c r="AM309" s="150" t="str">
        <f t="shared" si="160"/>
        <v>0.072756379990911+0.374458634768169i</v>
      </c>
      <c r="AN309" s="150" t="str">
        <f t="shared" si="161"/>
        <v>0.38381286204i</v>
      </c>
      <c r="AO309" s="150" t="str">
        <f t="shared" si="162"/>
        <v>0.975628155809807-0.189562120467262i</v>
      </c>
      <c r="AP309" s="150" t="str">
        <f t="shared" si="163"/>
        <v>0.154540603334848-0.0624097724613615i</v>
      </c>
      <c r="AQ309" s="150" t="str">
        <f t="shared" si="164"/>
        <v>0.845459396665152+0.0624097724613615i</v>
      </c>
      <c r="AR309" s="150" t="str">
        <f t="shared" si="165"/>
        <v>0.979923525078513-0.0723355899418866i</v>
      </c>
    </row>
    <row r="310" spans="7:44" x14ac:dyDescent="0.25">
      <c r="G310" s="594">
        <v>21504.5</v>
      </c>
      <c r="H310" s="582">
        <f t="shared" si="157"/>
        <v>21.5045</v>
      </c>
      <c r="I310" s="583">
        <f t="shared" si="137"/>
        <v>21.004447952898584</v>
      </c>
      <c r="J310" s="584">
        <f t="shared" si="138"/>
        <v>1.5231693595457125</v>
      </c>
      <c r="K310" s="584">
        <f t="shared" si="139"/>
        <v>1.000067510400062</v>
      </c>
      <c r="L310" s="585">
        <f t="shared" si="140"/>
        <v>1.1619518254703939E-2</v>
      </c>
      <c r="M310" s="584">
        <f t="shared" si="141"/>
        <v>1.0166013201782669</v>
      </c>
      <c r="N310" s="585">
        <f t="shared" si="142"/>
        <v>-0.18096882376207862</v>
      </c>
      <c r="O310" s="583">
        <f t="shared" si="143"/>
        <v>38913.626398597771</v>
      </c>
      <c r="P310" s="586">
        <f t="shared" si="144"/>
        <v>1.5707706288558285</v>
      </c>
      <c r="Q310" s="595">
        <f t="shared" si="166"/>
        <v>16.244819251551043</v>
      </c>
      <c r="R310" s="596">
        <f t="shared" si="167"/>
        <v>1.5091992951347755</v>
      </c>
      <c r="S310" s="583">
        <f t="shared" si="145"/>
        <v>1.0058251262303239</v>
      </c>
      <c r="T310" s="586">
        <f t="shared" si="146"/>
        <v>0.10767533916556846</v>
      </c>
      <c r="U310" s="587">
        <f t="shared" si="158"/>
        <v>0.97630948871324275</v>
      </c>
      <c r="V310" s="588">
        <f t="shared" si="159"/>
        <v>-0.26710180172894121</v>
      </c>
      <c r="W310" s="589">
        <f t="shared" si="147"/>
        <v>2.7150955617441492</v>
      </c>
      <c r="X310" s="590">
        <f t="shared" si="148"/>
        <v>-121.97510238647804</v>
      </c>
      <c r="Y310" s="593">
        <f t="shared" si="149"/>
        <v>58.024897613521958</v>
      </c>
      <c r="AA310" s="150">
        <f t="shared" si="150"/>
        <v>1000000000</v>
      </c>
      <c r="AB310" s="150">
        <f t="shared" si="151"/>
        <v>462443520.25</v>
      </c>
      <c r="AD310" s="592">
        <f t="shared" si="152"/>
        <v>27.570263630407105</v>
      </c>
      <c r="AE310" s="593">
        <f t="shared" si="153"/>
        <v>-9.6971200641152109</v>
      </c>
      <c r="AG310" s="592">
        <f t="shared" si="154"/>
        <v>0.94927447834004919</v>
      </c>
      <c r="AH310" s="593">
        <f t="shared" si="155"/>
        <v>-81.670370408571671</v>
      </c>
      <c r="AJ310" s="150">
        <f t="shared" si="156"/>
        <v>0</v>
      </c>
      <c r="AK310" s="150">
        <f t="shared" si="168"/>
        <v>0</v>
      </c>
      <c r="AM310" s="150" t="str">
        <f t="shared" si="160"/>
        <v>0.073595617304994+0.376530104670907i</v>
      </c>
      <c r="AN310" s="150" t="str">
        <f t="shared" si="161"/>
        <v>0.386047880811i</v>
      </c>
      <c r="AO310" s="150" t="str">
        <f t="shared" si="162"/>
        <v>0.975345607078328-0.190638573511623i</v>
      </c>
      <c r="AP310" s="150" t="str">
        <f t="shared" si="163"/>
        <v>0.154400730449168-0.0627550174451512i</v>
      </c>
      <c r="AQ310" s="150" t="str">
        <f t="shared" si="164"/>
        <v>0.845599269550832+0.0627550174451512i</v>
      </c>
      <c r="AR310" s="150" t="str">
        <f t="shared" si="165"/>
        <v>0.979704303186324-0.0727074429359492i</v>
      </c>
    </row>
    <row r="311" spans="7:44" x14ac:dyDescent="0.25">
      <c r="G311" s="594">
        <v>21629</v>
      </c>
      <c r="H311" s="582">
        <f t="shared" si="157"/>
        <v>21.629000000000001</v>
      </c>
      <c r="I311" s="583">
        <f t="shared" si="137"/>
        <v>21.125778068688422</v>
      </c>
      <c r="J311" s="584">
        <f t="shared" si="138"/>
        <v>1.5234430972035415</v>
      </c>
      <c r="K311" s="584">
        <f t="shared" si="139"/>
        <v>1.0000682943371386</v>
      </c>
      <c r="L311" s="585">
        <f t="shared" si="140"/>
        <v>1.1686783184555521E-2</v>
      </c>
      <c r="M311" s="584">
        <f t="shared" si="141"/>
        <v>1.0167925107728344</v>
      </c>
      <c r="N311" s="585">
        <f t="shared" si="142"/>
        <v>-0.18199362208610356</v>
      </c>
      <c r="O311" s="583">
        <f t="shared" si="143"/>
        <v>39138.916290640613</v>
      </c>
      <c r="P311" s="586">
        <f t="shared" si="144"/>
        <v>1.5707707767772956</v>
      </c>
      <c r="Q311" s="595">
        <f t="shared" si="166"/>
        <v>16.338513036080393</v>
      </c>
      <c r="R311" s="596">
        <f t="shared" si="167"/>
        <v>1.5095529690758651</v>
      </c>
      <c r="S311" s="583">
        <f t="shared" si="145"/>
        <v>1.0058925723119998</v>
      </c>
      <c r="T311" s="586">
        <f t="shared" si="146"/>
        <v>0.10829387540887342</v>
      </c>
      <c r="U311" s="587">
        <f t="shared" si="158"/>
        <v>0.97604799976855627</v>
      </c>
      <c r="V311" s="588">
        <f t="shared" si="159"/>
        <v>-0.26861263755253767</v>
      </c>
      <c r="W311" s="589">
        <f t="shared" si="147"/>
        <v>2.6636089061907384</v>
      </c>
      <c r="X311" s="590">
        <f t="shared" si="148"/>
        <v>-122.14739750496538</v>
      </c>
      <c r="Y311" s="593">
        <f t="shared" si="149"/>
        <v>57.852602495034617</v>
      </c>
      <c r="AA311" s="150">
        <f t="shared" si="150"/>
        <v>1000000000</v>
      </c>
      <c r="AB311" s="150">
        <f t="shared" si="151"/>
        <v>467813641</v>
      </c>
      <c r="AD311" s="592">
        <f t="shared" si="152"/>
        <v>27.569492294718792</v>
      </c>
      <c r="AE311" s="593">
        <f t="shared" si="153"/>
        <v>-9.712304031477375</v>
      </c>
      <c r="AG311" s="592">
        <f t="shared" si="154"/>
        <v>0.90321253602921847</v>
      </c>
      <c r="AH311" s="593">
        <f t="shared" si="155"/>
        <v>-81.654352527040487</v>
      </c>
      <c r="AJ311" s="150">
        <f t="shared" si="156"/>
        <v>0</v>
      </c>
      <c r="AK311" s="150">
        <f t="shared" si="168"/>
        <v>0</v>
      </c>
      <c r="AM311" s="150" t="str">
        <f t="shared" si="160"/>
        <v>0.074439482293214+0.378599693690242i</v>
      </c>
      <c r="AN311" s="150" t="str">
        <f t="shared" si="161"/>
        <v>0.388282899582i</v>
      </c>
      <c r="AO311" s="150" t="str">
        <f t="shared" si="162"/>
        <v>0.975061467032974-0.191714552387835i</v>
      </c>
      <c r="AP311" s="150" t="str">
        <f t="shared" si="163"/>
        <v>0.154260086284464-0.0630999489483737i</v>
      </c>
      <c r="AQ311" s="150" t="str">
        <f t="shared" si="164"/>
        <v>0.845739913715536+0.0630999489483737i</v>
      </c>
      <c r="AR311" s="150" t="str">
        <f t="shared" si="165"/>
        <v>0.979484044413373-0.0730784868916789i</v>
      </c>
    </row>
    <row r="312" spans="7:44" x14ac:dyDescent="0.25">
      <c r="G312" s="594">
        <v>21753.5</v>
      </c>
      <c r="H312" s="582">
        <f t="shared" si="157"/>
        <v>21.753499999999999</v>
      </c>
      <c r="I312" s="583">
        <f t="shared" si="137"/>
        <v>21.247109749402192</v>
      </c>
      <c r="J312" s="584">
        <f t="shared" si="138"/>
        <v>1.5237137085221066</v>
      </c>
      <c r="K312" s="584">
        <f t="shared" si="139"/>
        <v>1.0000690827990879</v>
      </c>
      <c r="L312" s="585">
        <f t="shared" si="140"/>
        <v>1.1754048008647095E-2</v>
      </c>
      <c r="M312" s="584">
        <f t="shared" si="141"/>
        <v>1.0169847688125373</v>
      </c>
      <c r="N312" s="585">
        <f t="shared" si="142"/>
        <v>-0.18301803401530015</v>
      </c>
      <c r="O312" s="583">
        <f t="shared" si="143"/>
        <v>39364.206182684298</v>
      </c>
      <c r="P312" s="586">
        <f t="shared" si="144"/>
        <v>1.5707709230055895</v>
      </c>
      <c r="Q312" s="595">
        <f t="shared" si="166"/>
        <v>16.432208841010919</v>
      </c>
      <c r="R312" s="596">
        <f t="shared" si="167"/>
        <v>1.5099026097906261</v>
      </c>
      <c r="S312" s="583">
        <f t="shared" si="145"/>
        <v>1.0059604031834917</v>
      </c>
      <c r="T312" s="586">
        <f t="shared" si="146"/>
        <v>0.10891232847424333</v>
      </c>
      <c r="U312" s="587">
        <f t="shared" si="158"/>
        <v>0.97578520120559076</v>
      </c>
      <c r="V312" s="588">
        <f t="shared" si="159"/>
        <v>-0.2701228810138977</v>
      </c>
      <c r="W312" s="589">
        <f t="shared" si="147"/>
        <v>2.6124046277396507</v>
      </c>
      <c r="X312" s="590">
        <f t="shared" si="148"/>
        <v>-122.31968364890832</v>
      </c>
      <c r="Y312" s="593">
        <f t="shared" si="149"/>
        <v>57.680316351091676</v>
      </c>
      <c r="AA312" s="150">
        <f t="shared" si="150"/>
        <v>1000000000</v>
      </c>
      <c r="AB312" s="150">
        <f t="shared" si="151"/>
        <v>473214762.25</v>
      </c>
      <c r="AD312" s="592">
        <f t="shared" si="152"/>
        <v>27.568720902010956</v>
      </c>
      <c r="AE312" s="593">
        <f t="shared" si="153"/>
        <v>-9.7277142229299525</v>
      </c>
      <c r="AG312" s="592">
        <f t="shared" si="154"/>
        <v>0.85745758962549268</v>
      </c>
      <c r="AH312" s="593">
        <f t="shared" si="155"/>
        <v>-81.638167326586768</v>
      </c>
      <c r="AJ312" s="150">
        <f t="shared" si="156"/>
        <v>0</v>
      </c>
      <c r="AK312" s="150">
        <f t="shared" si="168"/>
        <v>0</v>
      </c>
      <c r="AM312" s="150" t="str">
        <f t="shared" si="160"/>
        <v>0.075287970740206+0.380667391487943i</v>
      </c>
      <c r="AN312" s="150" t="str">
        <f t="shared" si="161"/>
        <v>0.390517918353i</v>
      </c>
      <c r="AO312" s="150" t="str">
        <f t="shared" si="162"/>
        <v>0.97477573652292-0.192790054442908i</v>
      </c>
      <c r="AP312" s="150" t="str">
        <f t="shared" si="163"/>
        <v>0.154118671543299-0.0634445652479905i</v>
      </c>
      <c r="AQ312" s="150" t="str">
        <f t="shared" si="164"/>
        <v>0.845881328456701+0.0634445652479905i</v>
      </c>
      <c r="AR312" s="150" t="str">
        <f t="shared" si="165"/>
        <v>0.979262752491245-0.0734487185202573i</v>
      </c>
    </row>
    <row r="313" spans="7:44" x14ac:dyDescent="0.25">
      <c r="G313" s="594">
        <v>21878</v>
      </c>
      <c r="H313" s="582">
        <f t="shared" si="157"/>
        <v>21.878</v>
      </c>
      <c r="I313" s="583">
        <f t="shared" si="137"/>
        <v>21.368442968382606</v>
      </c>
      <c r="J313" s="584">
        <f t="shared" si="138"/>
        <v>1.5239812467169003</v>
      </c>
      <c r="K313" s="584">
        <f t="shared" si="139"/>
        <v>1.0000698757858992</v>
      </c>
      <c r="L313" s="585">
        <f t="shared" si="140"/>
        <v>1.182131272637023E-2</v>
      </c>
      <c r="M313" s="584">
        <f t="shared" si="141"/>
        <v>1.0171780936920982</v>
      </c>
      <c r="N313" s="585">
        <f t="shared" si="142"/>
        <v>-0.18404205761930298</v>
      </c>
      <c r="O313" s="583">
        <f t="shared" si="143"/>
        <v>39589.496074728813</v>
      </c>
      <c r="P313" s="586">
        <f t="shared" si="144"/>
        <v>1.5707710675696158</v>
      </c>
      <c r="Q313" s="595">
        <f t="shared" si="166"/>
        <v>16.525906631977826</v>
      </c>
      <c r="R313" s="596">
        <f t="shared" si="167"/>
        <v>1.5102482857950144</v>
      </c>
      <c r="S313" s="583">
        <f t="shared" si="145"/>
        <v>1.0060286187669669</v>
      </c>
      <c r="T313" s="586">
        <f t="shared" si="146"/>
        <v>0.10953069790545386</v>
      </c>
      <c r="U313" s="587">
        <f t="shared" si="158"/>
        <v>0.97552109621469874</v>
      </c>
      <c r="V313" s="588">
        <f t="shared" si="159"/>
        <v>-0.27163252934600868</v>
      </c>
      <c r="W313" s="589">
        <f t="shared" si="147"/>
        <v>2.5614794220326691</v>
      </c>
      <c r="X313" s="590">
        <f t="shared" si="148"/>
        <v>-122.49195964806621</v>
      </c>
      <c r="Y313" s="593">
        <f t="shared" si="149"/>
        <v>57.508040351933786</v>
      </c>
      <c r="AA313" s="150">
        <f t="shared" si="150"/>
        <v>1000000000</v>
      </c>
      <c r="AB313" s="150">
        <f t="shared" si="151"/>
        <v>478646884</v>
      </c>
      <c r="AD313" s="592">
        <f t="shared" si="152"/>
        <v>27.567949380615833</v>
      </c>
      <c r="AE313" s="593">
        <f t="shared" si="153"/>
        <v>-9.7433466883142668</v>
      </c>
      <c r="AG313" s="592">
        <f t="shared" si="154"/>
        <v>0.81200636913653845</v>
      </c>
      <c r="AH313" s="593">
        <f t="shared" si="155"/>
        <v>-81.621817904204846</v>
      </c>
      <c r="AJ313" s="150">
        <f t="shared" si="156"/>
        <v>0</v>
      </c>
      <c r="AK313" s="150">
        <f t="shared" si="168"/>
        <v>0</v>
      </c>
      <c r="AM313" s="150" t="str">
        <f t="shared" si="160"/>
        <v>0.0761410784075131+0.382733187735224i</v>
      </c>
      <c r="AN313" s="150" t="str">
        <f t="shared" si="161"/>
        <v>0.392752937124i</v>
      </c>
      <c r="AO313" s="150" t="str">
        <f t="shared" si="162"/>
        <v>0.974488416402059-0.193865077025443i</v>
      </c>
      <c r="AP313" s="150" t="str">
        <f t="shared" si="163"/>
        <v>0.153976486932081-0.0637888646225373i</v>
      </c>
      <c r="AQ313" s="150" t="str">
        <f t="shared" si="164"/>
        <v>0.846023513067919+0.0637888646225373i</v>
      </c>
      <c r="AR313" s="150" t="str">
        <f t="shared" si="165"/>
        <v>0.979040431163234-0.0738181345539606i</v>
      </c>
    </row>
    <row r="314" spans="7:44" x14ac:dyDescent="0.25">
      <c r="G314" s="594">
        <v>22005.25</v>
      </c>
      <c r="H314" s="582">
        <f t="shared" si="157"/>
        <v>22.00525</v>
      </c>
      <c r="I314" s="583">
        <f t="shared" si="137"/>
        <v>21.492457800873161</v>
      </c>
      <c r="J314" s="584">
        <f t="shared" si="138"/>
        <v>1.5242515728366048</v>
      </c>
      <c r="K314" s="584">
        <f t="shared" si="139"/>
        <v>1.0000706909643582</v>
      </c>
      <c r="L314" s="585">
        <f t="shared" si="140"/>
        <v>1.1890063100398692E-2</v>
      </c>
      <c r="M314" s="584">
        <f t="shared" si="141"/>
        <v>1.0173767906140203</v>
      </c>
      <c r="N314" s="585">
        <f t="shared" si="142"/>
        <v>-0.18508829692791423</v>
      </c>
      <c r="O314" s="583">
        <f t="shared" si="143"/>
        <v>39819.762249530177</v>
      </c>
      <c r="P314" s="586">
        <f t="shared" si="144"/>
        <v>1.5707712136364143</v>
      </c>
      <c r="Q314" s="595">
        <f t="shared" si="166"/>
        <v>16.621676070226066</v>
      </c>
      <c r="R314" s="596">
        <f t="shared" si="167"/>
        <v>1.5105975698856613</v>
      </c>
      <c r="S314" s="583">
        <f t="shared" si="145"/>
        <v>1.0060987385912097</v>
      </c>
      <c r="T314" s="586">
        <f t="shared" si="146"/>
        <v>0.11016263919910244</v>
      </c>
      <c r="U314" s="587">
        <f t="shared" si="158"/>
        <v>0.97524981088046536</v>
      </c>
      <c r="V314" s="588">
        <f t="shared" si="159"/>
        <v>-0.27317490546153644</v>
      </c>
      <c r="W314" s="589">
        <f t="shared" si="147"/>
        <v>2.5097143692301884</v>
      </c>
      <c r="X314" s="590">
        <f t="shared" si="148"/>
        <v>-122.66802926012454</v>
      </c>
      <c r="Y314" s="593">
        <f t="shared" si="149"/>
        <v>57.331970739875459</v>
      </c>
      <c r="AA314" s="150">
        <f t="shared" si="150"/>
        <v>1000000000</v>
      </c>
      <c r="AB314" s="150">
        <f t="shared" si="151"/>
        <v>484231027.5625</v>
      </c>
      <c r="AD314" s="592">
        <f t="shared" si="152"/>
        <v>27.567160612151142</v>
      </c>
      <c r="AE314" s="593">
        <f t="shared" si="153"/>
        <v>-9.7595501221248284</v>
      </c>
      <c r="AG314" s="592">
        <f t="shared" si="154"/>
        <v>0.76586172234305916</v>
      </c>
      <c r="AH314" s="593">
        <f t="shared" si="155"/>
        <v>-81.604940798567597</v>
      </c>
      <c r="AJ314" s="150">
        <f t="shared" si="156"/>
        <v>0</v>
      </c>
      <c r="AK314" s="150">
        <f t="shared" si="168"/>
        <v>0</v>
      </c>
      <c r="AM314" s="150" t="str">
        <f t="shared" si="160"/>
        <v>0.077017798775765+0.384842638260453i</v>
      </c>
      <c r="AN314" s="150" t="str">
        <f t="shared" si="161"/>
        <v>0.3950373237795i</v>
      </c>
      <c r="AO314" s="150" t="str">
        <f t="shared" si="162"/>
        <v>0.974193108080245-0.194963346852649i</v>
      </c>
      <c r="AP314" s="150" t="str">
        <f t="shared" si="163"/>
        <v>0.153830366870706-0.0641404397100755i</v>
      </c>
      <c r="AQ314" s="150" t="str">
        <f t="shared" si="164"/>
        <v>0.846169633129294+0.0641404397100755i</v>
      </c>
      <c r="AR314" s="150" t="str">
        <f t="shared" si="165"/>
        <v>0.978812139268164-0.0741948641834878i</v>
      </c>
    </row>
    <row r="315" spans="7:44" x14ac:dyDescent="0.25">
      <c r="G315" s="594">
        <v>22132.5</v>
      </c>
      <c r="H315" s="582">
        <f t="shared" si="157"/>
        <v>22.1325</v>
      </c>
      <c r="I315" s="583">
        <f t="shared" si="137"/>
        <v>21.616474185929956</v>
      </c>
      <c r="J315" s="584">
        <f t="shared" si="138"/>
        <v>1.5245187971869074</v>
      </c>
      <c r="K315" s="584">
        <f t="shared" si="139"/>
        <v>1.0000715108697575</v>
      </c>
      <c r="L315" s="585">
        <f t="shared" si="140"/>
        <v>1.1958813362022565E-2</v>
      </c>
      <c r="M315" s="584">
        <f t="shared" si="141"/>
        <v>1.017576600737939</v>
      </c>
      <c r="N315" s="585">
        <f t="shared" si="142"/>
        <v>-0.18613412650433644</v>
      </c>
      <c r="O315" s="583">
        <f t="shared" si="143"/>
        <v>40050.028424332391</v>
      </c>
      <c r="P315" s="586">
        <f t="shared" si="144"/>
        <v>1.5707713580236011</v>
      </c>
      <c r="Q315" s="595">
        <f t="shared" si="166"/>
        <v>16.717447513074521</v>
      </c>
      <c r="R315" s="596">
        <f t="shared" si="167"/>
        <v>1.5109428520385066</v>
      </c>
      <c r="S315" s="583">
        <f t="shared" si="145"/>
        <v>1.006169260144687</v>
      </c>
      <c r="T315" s="586">
        <f t="shared" si="146"/>
        <v>0.11079449216058909</v>
      </c>
      <c r="U315" s="587">
        <f t="shared" si="158"/>
        <v>0.9749771675425033</v>
      </c>
      <c r="V315" s="588">
        <f t="shared" si="159"/>
        <v>-0.27471665405371881</v>
      </c>
      <c r="W315" s="589">
        <f t="shared" si="147"/>
        <v>2.4582340537401217</v>
      </c>
      <c r="X315" s="590">
        <f t="shared" si="148"/>
        <v>-122.84408586681415</v>
      </c>
      <c r="Y315" s="593">
        <f t="shared" si="149"/>
        <v>57.155914133185846</v>
      </c>
      <c r="AA315" s="150">
        <f t="shared" si="150"/>
        <v>1000000000</v>
      </c>
      <c r="AB315" s="150">
        <f t="shared" si="151"/>
        <v>489847556.25</v>
      </c>
      <c r="AD315" s="592">
        <f t="shared" si="152"/>
        <v>27.566371564365721</v>
      </c>
      <c r="AE315" s="593">
        <f t="shared" si="153"/>
        <v>-9.7759776927868174</v>
      </c>
      <c r="AG315" s="592">
        <f t="shared" si="154"/>
        <v>0.72002763277351134</v>
      </c>
      <c r="AH315" s="593">
        <f t="shared" si="155"/>
        <v>-81.587898459588772</v>
      </c>
      <c r="AJ315" s="150">
        <f t="shared" si="156"/>
        <v>0</v>
      </c>
      <c r="AK315" s="150">
        <f t="shared" si="168"/>
        <v>0</v>
      </c>
      <c r="AM315" s="150" t="str">
        <f t="shared" si="160"/>
        <v>0.077899335652909+0.386950080515115i</v>
      </c>
      <c r="AN315" s="150" t="str">
        <f t="shared" si="161"/>
        <v>0.397321710435i</v>
      </c>
      <c r="AO315" s="150" t="str">
        <f t="shared" si="162"/>
        <v>0.973896140967153-0.196061110196124i</v>
      </c>
      <c r="AP315" s="150" t="str">
        <f t="shared" si="163"/>
        <v>0.153683444057849-0.0644916800858525i</v>
      </c>
      <c r="AQ315" s="150" t="str">
        <f t="shared" si="164"/>
        <v>0.846316555942151+0.0644916800858525i</v>
      </c>
      <c r="AR315" s="150" t="str">
        <f t="shared" si="165"/>
        <v>0.978582779933399-0.0745707349547618i</v>
      </c>
    </row>
    <row r="316" spans="7:44" x14ac:dyDescent="0.25">
      <c r="G316" s="594">
        <v>22259.75</v>
      </c>
      <c r="H316" s="582">
        <f t="shared" si="157"/>
        <v>22.25975</v>
      </c>
      <c r="I316" s="583">
        <f t="shared" si="137"/>
        <v>21.740492096983619</v>
      </c>
      <c r="J316" s="584">
        <f t="shared" si="138"/>
        <v>1.5247829728111331</v>
      </c>
      <c r="K316" s="584">
        <f t="shared" si="139"/>
        <v>1.0000723355020855</v>
      </c>
      <c r="L316" s="585">
        <f t="shared" si="140"/>
        <v>1.2027563510592218E-2</v>
      </c>
      <c r="M316" s="584">
        <f t="shared" si="141"/>
        <v>1.0177775234082223</v>
      </c>
      <c r="N316" s="585">
        <f t="shared" si="142"/>
        <v>-0.18717954430278999</v>
      </c>
      <c r="O316" s="583">
        <f t="shared" si="143"/>
        <v>40280.294599135421</v>
      </c>
      <c r="P316" s="586">
        <f t="shared" si="144"/>
        <v>1.5707715007599816</v>
      </c>
      <c r="Q316" s="595">
        <f t="shared" si="166"/>
        <v>16.813220926267384</v>
      </c>
      <c r="R316" s="596">
        <f t="shared" si="167"/>
        <v>1.5112842005594123</v>
      </c>
      <c r="S316" s="583">
        <f t="shared" si="145"/>
        <v>1.006240183342934</v>
      </c>
      <c r="T316" s="586">
        <f t="shared" si="146"/>
        <v>0.11142625630401953</v>
      </c>
      <c r="U316" s="587">
        <f t="shared" si="158"/>
        <v>0.97470316964349502</v>
      </c>
      <c r="V316" s="588">
        <f t="shared" si="159"/>
        <v>-0.27625777220077963</v>
      </c>
      <c r="W316" s="589">
        <f t="shared" si="147"/>
        <v>2.4070351270320969</v>
      </c>
      <c r="X316" s="590">
        <f t="shared" si="148"/>
        <v>-123.02012828288412</v>
      </c>
      <c r="Y316" s="593">
        <f t="shared" si="149"/>
        <v>56.979871717115884</v>
      </c>
      <c r="AA316" s="150">
        <f t="shared" si="150"/>
        <v>1000000000</v>
      </c>
      <c r="AB316" s="150">
        <f t="shared" si="151"/>
        <v>495496470.0625</v>
      </c>
      <c r="AD316" s="592">
        <f t="shared" si="152"/>
        <v>27.5655821671822</v>
      </c>
      <c r="AE316" s="593">
        <f t="shared" si="153"/>
        <v>-9.7926254604733707</v>
      </c>
      <c r="AG316" s="592">
        <f t="shared" si="154"/>
        <v>0.67450078166992933</v>
      </c>
      <c r="AH316" s="593">
        <f t="shared" si="155"/>
        <v>-81.570693976655178</v>
      </c>
      <c r="AJ316" s="150">
        <f t="shared" si="156"/>
        <v>0</v>
      </c>
      <c r="AK316" s="150">
        <f t="shared" si="168"/>
        <v>0</v>
      </c>
      <c r="AM316" s="150" t="str">
        <f t="shared" si="160"/>
        <v>0.078785684438715+0.38905550350169i</v>
      </c>
      <c r="AN316" s="150" t="str">
        <f t="shared" si="161"/>
        <v>0.3996060970905i</v>
      </c>
      <c r="AO316" s="150" t="str">
        <f t="shared" si="162"/>
        <v>0.973597515989801-0.197158364230044i</v>
      </c>
      <c r="AP316" s="150" t="str">
        <f t="shared" si="163"/>
        <v>0.153535719260214-0.0648425839169483i</v>
      </c>
      <c r="AQ316" s="150" t="str">
        <f t="shared" si="164"/>
        <v>0.846464280739786+0.0648425839169483i</v>
      </c>
      <c r="AR316" s="150" t="str">
        <f t="shared" si="165"/>
        <v>0.978352357192828-0.0749457434472915i</v>
      </c>
    </row>
    <row r="317" spans="7:44" x14ac:dyDescent="0.25">
      <c r="G317" s="594">
        <v>22387</v>
      </c>
      <c r="H317" s="582">
        <f t="shared" si="157"/>
        <v>22.387</v>
      </c>
      <c r="I317" s="583">
        <f t="shared" si="137"/>
        <v>21.864511508067288</v>
      </c>
      <c r="J317" s="584">
        <f t="shared" si="138"/>
        <v>1.5250441515508466</v>
      </c>
      <c r="K317" s="584">
        <f t="shared" si="139"/>
        <v>1.0000731648613306</v>
      </c>
      <c r="L317" s="585">
        <f t="shared" si="140"/>
        <v>1.2096313545458022E-2</v>
      </c>
      <c r="M317" s="584">
        <f t="shared" si="141"/>
        <v>1.0179795579661077</v>
      </c>
      <c r="N317" s="585">
        <f t="shared" si="142"/>
        <v>-0.18822454828270624</v>
      </c>
      <c r="O317" s="583">
        <f t="shared" si="143"/>
        <v>40510.560773939265</v>
      </c>
      <c r="P317" s="586">
        <f t="shared" si="144"/>
        <v>1.5707716418737059</v>
      </c>
      <c r="Q317" s="595">
        <f t="shared" si="166"/>
        <v>16.908996276324263</v>
      </c>
      <c r="R317" s="596">
        <f t="shared" si="167"/>
        <v>1.5116216822103723</v>
      </c>
      <c r="S317" s="583">
        <f t="shared" si="145"/>
        <v>1.0063115081010285</v>
      </c>
      <c r="T317" s="586">
        <f t="shared" si="146"/>
        <v>0.1120579311439197</v>
      </c>
      <c r="U317" s="587">
        <f t="shared" si="158"/>
        <v>0.97442782063810474</v>
      </c>
      <c r="V317" s="588">
        <f t="shared" si="159"/>
        <v>-0.27779825699201877</v>
      </c>
      <c r="W317" s="589">
        <f t="shared" si="147"/>
        <v>2.3561142983747847</v>
      </c>
      <c r="X317" s="590">
        <f t="shared" si="148"/>
        <v>-123.1961553436045</v>
      </c>
      <c r="Y317" s="593">
        <f t="shared" si="149"/>
        <v>56.803844656395498</v>
      </c>
      <c r="AA317" s="150">
        <f t="shared" si="150"/>
        <v>1000000000</v>
      </c>
      <c r="AB317" s="150">
        <f t="shared" si="151"/>
        <v>501177769</v>
      </c>
      <c r="AD317" s="592">
        <f t="shared" si="152"/>
        <v>27.564792352550857</v>
      </c>
      <c r="AE317" s="593">
        <f t="shared" si="153"/>
        <v>-9.809489573801228</v>
      </c>
      <c r="AG317" s="592">
        <f t="shared" si="154"/>
        <v>0.62927790588732047</v>
      </c>
      <c r="AH317" s="593">
        <f t="shared" si="155"/>
        <v>-81.553330369961756</v>
      </c>
      <c r="AJ317" s="150">
        <f t="shared" si="156"/>
        <v>0</v>
      </c>
      <c r="AK317" s="150">
        <f t="shared" si="168"/>
        <v>0</v>
      </c>
      <c r="AM317" s="150" t="str">
        <f t="shared" si="160"/>
        <v>0.079676840507843+0.391158896233197i</v>
      </c>
      <c r="AN317" s="150" t="str">
        <f t="shared" si="161"/>
        <v>0.401890483746i</v>
      </c>
      <c r="AO317" s="150" t="str">
        <f t="shared" si="162"/>
        <v>0.973297234080353-0.198255106130355i</v>
      </c>
      <c r="AP317" s="150" t="str">
        <f t="shared" si="163"/>
        <v>0.153387193248693-0.0651931493721995i</v>
      </c>
      <c r="AQ317" s="150" t="str">
        <f t="shared" si="164"/>
        <v>0.846612806751307+0.0651931493721995i</v>
      </c>
      <c r="AR317" s="150" t="str">
        <f t="shared" si="165"/>
        <v>0.978120875092502-0.0753198862637847i</v>
      </c>
    </row>
    <row r="318" spans="7:44" x14ac:dyDescent="0.25">
      <c r="G318" s="594">
        <v>22517.5</v>
      </c>
      <c r="H318" s="582">
        <f t="shared" si="157"/>
        <v>22.517499999999998</v>
      </c>
      <c r="I318" s="583">
        <f t="shared" si="137"/>
        <v>21.991699940424883</v>
      </c>
      <c r="J318" s="584">
        <f t="shared" si="138"/>
        <v>1.5253089412654903</v>
      </c>
      <c r="K318" s="584">
        <f t="shared" si="139"/>
        <v>1.0000740203121754</v>
      </c>
      <c r="L318" s="585">
        <f t="shared" si="140"/>
        <v>1.21668193563465E-2</v>
      </c>
      <c r="M318" s="584">
        <f t="shared" si="141"/>
        <v>1.0181879066959598</v>
      </c>
      <c r="N318" s="585">
        <f t="shared" si="142"/>
        <v>-0.18929581001269369</v>
      </c>
      <c r="O318" s="583">
        <f t="shared" si="143"/>
        <v>40746.708010182934</v>
      </c>
      <c r="P318" s="586">
        <f t="shared" si="144"/>
        <v>1.5707717849349787</v>
      </c>
      <c r="Q318" s="595">
        <f t="shared" si="166"/>
        <v>17.00721973258662</v>
      </c>
      <c r="R318" s="596">
        <f t="shared" si="167"/>
        <v>1.511963835313185</v>
      </c>
      <c r="S318" s="583">
        <f t="shared" si="145"/>
        <v>1.0063850714983689</v>
      </c>
      <c r="T318" s="586">
        <f t="shared" si="146"/>
        <v>0.11270564587098184</v>
      </c>
      <c r="U318" s="587">
        <f t="shared" si="158"/>
        <v>0.9741440394660813</v>
      </c>
      <c r="V318" s="588">
        <f t="shared" si="159"/>
        <v>-0.27937742532484089</v>
      </c>
      <c r="W318" s="589">
        <f t="shared" si="147"/>
        <v>2.3041783931130562</v>
      </c>
      <c r="X318" s="590">
        <f t="shared" si="148"/>
        <v>-123.37666103627461</v>
      </c>
      <c r="Y318" s="593">
        <f t="shared" si="149"/>
        <v>56.623338963725388</v>
      </c>
      <c r="AA318" s="150">
        <f t="shared" si="150"/>
        <v>1000000000</v>
      </c>
      <c r="AB318" s="150">
        <f t="shared" si="151"/>
        <v>507037806.25</v>
      </c>
      <c r="AD318" s="592">
        <f t="shared" si="152"/>
        <v>27.563981863044802</v>
      </c>
      <c r="AE318" s="593">
        <f t="shared" si="153"/>
        <v>-9.8270051620790486</v>
      </c>
      <c r="AG318" s="592">
        <f t="shared" si="154"/>
        <v>0.58321238452804802</v>
      </c>
      <c r="AH318" s="593">
        <f t="shared" si="155"/>
        <v>-81.535361112924477</v>
      </c>
      <c r="AJ318" s="150">
        <f t="shared" si="156"/>
        <v>0</v>
      </c>
      <c r="AK318" s="150">
        <f t="shared" si="168"/>
        <v>0</v>
      </c>
      <c r="AM318" s="150" t="str">
        <f t="shared" si="160"/>
        <v>0.080595745096934+0.39331388999899i</v>
      </c>
      <c r="AN318" s="150" t="str">
        <f t="shared" si="161"/>
        <v>0.404233214265i</v>
      </c>
      <c r="AO318" s="150" t="str">
        <f t="shared" si="162"/>
        <v>0.972987562919924-0.199379324243501i</v>
      </c>
      <c r="AP318" s="150" t="str">
        <f t="shared" si="163"/>
        <v>0.153234042483844-0.0655523149998317i</v>
      </c>
      <c r="AQ318" s="150" t="str">
        <f t="shared" si="164"/>
        <v>0.846765957516156+0.0655523149998317i</v>
      </c>
      <c r="AR318" s="150" t="str">
        <f t="shared" si="165"/>
        <v>0.9778823848367-0.0757026821338397i</v>
      </c>
    </row>
    <row r="319" spans="7:44" x14ac:dyDescent="0.25">
      <c r="G319" s="594">
        <v>22648</v>
      </c>
      <c r="H319" s="582">
        <f t="shared" si="157"/>
        <v>22.648</v>
      </c>
      <c r="I319" s="583">
        <f t="shared" si="137"/>
        <v>22.118889896966792</v>
      </c>
      <c r="J319" s="584">
        <f t="shared" si="138"/>
        <v>1.5255706857648059</v>
      </c>
      <c r="K319" s="584">
        <f t="shared" si="139"/>
        <v>1.0000748807344491</v>
      </c>
      <c r="L319" s="585">
        <f t="shared" si="140"/>
        <v>1.2237325046265011E-2</v>
      </c>
      <c r="M319" s="584">
        <f t="shared" si="141"/>
        <v>1.0183974234210924</v>
      </c>
      <c r="N319" s="585">
        <f t="shared" si="142"/>
        <v>-0.19036663218595112</v>
      </c>
      <c r="O319" s="583">
        <f t="shared" si="143"/>
        <v>40982.855246427425</v>
      </c>
      <c r="P319" s="586">
        <f t="shared" si="144"/>
        <v>1.5707719263475854</v>
      </c>
      <c r="Q319" s="595">
        <f t="shared" si="166"/>
        <v>17.105445156996996</v>
      </c>
      <c r="R319" s="596">
        <f t="shared" si="167"/>
        <v>1.5123020589306191</v>
      </c>
      <c r="S319" s="583">
        <f t="shared" si="145"/>
        <v>1.0064590570470102</v>
      </c>
      <c r="T319" s="586">
        <f t="shared" si="146"/>
        <v>0.11335326564173358</v>
      </c>
      <c r="U319" s="587">
        <f t="shared" si="158"/>
        <v>0.97385884468879702</v>
      </c>
      <c r="V319" s="588">
        <f t="shared" si="159"/>
        <v>-0.28095592137169462</v>
      </c>
      <c r="W319" s="589">
        <f t="shared" si="147"/>
        <v>2.2525281432255104</v>
      </c>
      <c r="X319" s="590">
        <f t="shared" si="148"/>
        <v>-123.55714816186608</v>
      </c>
      <c r="Y319" s="593">
        <f t="shared" si="149"/>
        <v>56.442851838133919</v>
      </c>
      <c r="AA319" s="150">
        <f t="shared" si="150"/>
        <v>1000000000</v>
      </c>
      <c r="AB319" s="150">
        <f t="shared" si="151"/>
        <v>512931904</v>
      </c>
      <c r="AD319" s="592">
        <f t="shared" si="152"/>
        <v>27.563170795778564</v>
      </c>
      <c r="AE319" s="593">
        <f t="shared" si="153"/>
        <v>-9.844740358227531</v>
      </c>
      <c r="AG319" s="592">
        <f t="shared" si="154"/>
        <v>0.53745978652875126</v>
      </c>
      <c r="AH319" s="593">
        <f t="shared" si="155"/>
        <v>-81.517230719235201</v>
      </c>
      <c r="AJ319" s="150">
        <f t="shared" si="156"/>
        <v>0</v>
      </c>
      <c r="AK319" s="150">
        <f t="shared" si="168"/>
        <v>0</v>
      </c>
      <c r="AM319" s="150" t="str">
        <f t="shared" si="160"/>
        <v>0.081519695729419+0.39546672510721i</v>
      </c>
      <c r="AN319" s="150" t="str">
        <f t="shared" si="161"/>
        <v>0.406575944784i</v>
      </c>
      <c r="AO319" s="150" t="str">
        <f t="shared" si="162"/>
        <v>0.97267615111196-0.200502997718489i</v>
      </c>
      <c r="AP319" s="150" t="str">
        <f t="shared" si="163"/>
        <v>0.153080050711764-0.0659111208512017i</v>
      </c>
      <c r="AQ319" s="150" t="str">
        <f t="shared" si="164"/>
        <v>0.846919949288236+0.0659111208512017i</v>
      </c>
      <c r="AR319" s="150" t="str">
        <f t="shared" si="165"/>
        <v>0.977642789075431-0.076084560381664i</v>
      </c>
    </row>
    <row r="320" spans="7:44" x14ac:dyDescent="0.25">
      <c r="G320" s="594">
        <v>22778.5</v>
      </c>
      <c r="H320" s="582">
        <f t="shared" si="157"/>
        <v>22.778500000000001</v>
      </c>
      <c r="I320" s="583">
        <f t="shared" si="137"/>
        <v>22.246081351549865</v>
      </c>
      <c r="J320" s="584">
        <f t="shared" si="138"/>
        <v>1.5258294372454622</v>
      </c>
      <c r="K320" s="584">
        <f t="shared" si="139"/>
        <v>1.0000757461281387</v>
      </c>
      <c r="L320" s="585">
        <f t="shared" si="140"/>
        <v>1.2307830614512891E-2</v>
      </c>
      <c r="M320" s="584">
        <f t="shared" si="141"/>
        <v>1.0186081074207731</v>
      </c>
      <c r="N320" s="585">
        <f t="shared" si="142"/>
        <v>-0.1914370126187375</v>
      </c>
      <c r="O320" s="583">
        <f t="shared" si="143"/>
        <v>41219.002482672724</v>
      </c>
      <c r="P320" s="586">
        <f t="shared" si="144"/>
        <v>1.5707720661398621</v>
      </c>
      <c r="Q320" s="595">
        <f t="shared" si="166"/>
        <v>17.2036725158436</v>
      </c>
      <c r="R320" s="596">
        <f t="shared" si="167"/>
        <v>1.5126364202928608</v>
      </c>
      <c r="S320" s="583">
        <f t="shared" si="145"/>
        <v>1.0065334646538615</v>
      </c>
      <c r="T320" s="586">
        <f t="shared" si="146"/>
        <v>0.11400078993393625</v>
      </c>
      <c r="U320" s="587">
        <f t="shared" si="158"/>
        <v>0.97357224007092036</v>
      </c>
      <c r="V320" s="588">
        <f t="shared" si="159"/>
        <v>-0.2825337420296482</v>
      </c>
      <c r="W320" s="589">
        <f t="shared" si="147"/>
        <v>2.2011601801934448</v>
      </c>
      <c r="X320" s="590">
        <f t="shared" si="148"/>
        <v>-123.73761552785942</v>
      </c>
      <c r="Y320" s="593">
        <f t="shared" si="149"/>
        <v>56.262384472140582</v>
      </c>
      <c r="AA320" s="150">
        <f t="shared" si="150"/>
        <v>1000000000</v>
      </c>
      <c r="AB320" s="150">
        <f t="shared" si="151"/>
        <v>518860062.25</v>
      </c>
      <c r="AD320" s="592">
        <f t="shared" si="152"/>
        <v>27.562359083560118</v>
      </c>
      <c r="AE320" s="593">
        <f t="shared" si="153"/>
        <v>-9.8626912819422117</v>
      </c>
      <c r="AG320" s="592">
        <f t="shared" si="154"/>
        <v>0.49201676640779035</v>
      </c>
      <c r="AH320" s="593">
        <f t="shared" si="155"/>
        <v>-81.498942232248652</v>
      </c>
      <c r="AJ320" s="150">
        <f t="shared" si="156"/>
        <v>0</v>
      </c>
      <c r="AK320" s="150">
        <f t="shared" si="168"/>
        <v>0</v>
      </c>
      <c r="AM320" s="150" t="str">
        <f t="shared" si="160"/>
        <v>0.082448687334304+0.397617389742272i</v>
      </c>
      <c r="AN320" s="150" t="str">
        <f t="shared" si="161"/>
        <v>0.408918675303i</v>
      </c>
      <c r="AO320" s="150" t="str">
        <f t="shared" si="162"/>
        <v>0.972362999678716-0.201626123515174i</v>
      </c>
      <c r="AP320" s="150" t="str">
        <f t="shared" si="163"/>
        <v>0.152925218777616-0.0662695649570453i</v>
      </c>
      <c r="AQ320" s="150" t="str">
        <f t="shared" si="164"/>
        <v>0.847074781222384+0.0662695649570453i</v>
      </c>
      <c r="AR320" s="150" t="str">
        <f t="shared" si="165"/>
        <v>0.977402092211564-0.0764655174192484i</v>
      </c>
    </row>
    <row r="321" spans="7:44" x14ac:dyDescent="0.25">
      <c r="G321" s="594">
        <v>22909</v>
      </c>
      <c r="H321" s="582">
        <f t="shared" si="157"/>
        <v>22.908999999999999</v>
      </c>
      <c r="I321" s="583">
        <f t="shared" si="137"/>
        <v>22.373274278625129</v>
      </c>
      <c r="J321" s="584">
        <f t="shared" si="138"/>
        <v>1.5260852467187915</v>
      </c>
      <c r="K321" s="584">
        <f t="shared" si="139"/>
        <v>1.0000766164932313</v>
      </c>
      <c r="L321" s="585">
        <f t="shared" si="140"/>
        <v>1.2378336060389489E-2</v>
      </c>
      <c r="M321" s="584">
        <f t="shared" si="141"/>
        <v>1.0188199579708523</v>
      </c>
      <c r="N321" s="585">
        <f t="shared" si="142"/>
        <v>-0.19250694913316185</v>
      </c>
      <c r="O321" s="583">
        <f t="shared" si="143"/>
        <v>41455.149718918823</v>
      </c>
      <c r="P321" s="586">
        <f t="shared" si="144"/>
        <v>1.5707722043394989</v>
      </c>
      <c r="Q321" s="595">
        <f t="shared" si="166"/>
        <v>17.301901776179555</v>
      </c>
      <c r="R321" s="596">
        <f t="shared" si="167"/>
        <v>1.5129669851068348</v>
      </c>
      <c r="S321" s="583">
        <f t="shared" si="145"/>
        <v>1.0066082942253283</v>
      </c>
      <c r="T321" s="586">
        <f t="shared" si="146"/>
        <v>0.11464821822582551</v>
      </c>
      <c r="U321" s="587">
        <f t="shared" si="158"/>
        <v>0.97328422938986081</v>
      </c>
      <c r="V321" s="588">
        <f t="shared" si="159"/>
        <v>-0.28411088420816005</v>
      </c>
      <c r="W321" s="589">
        <f t="shared" si="147"/>
        <v>2.1500711937732038</v>
      </c>
      <c r="X321" s="590">
        <f t="shared" si="148"/>
        <v>-123.91806196213199</v>
      </c>
      <c r="Y321" s="593">
        <f t="shared" si="149"/>
        <v>56.081938037868014</v>
      </c>
      <c r="AA321" s="150">
        <f t="shared" si="150"/>
        <v>1000000000</v>
      </c>
      <c r="AB321" s="150">
        <f t="shared" si="151"/>
        <v>524822281</v>
      </c>
      <c r="AD321" s="592">
        <f t="shared" si="152"/>
        <v>27.561546661153088</v>
      </c>
      <c r="AE321" s="593">
        <f t="shared" si="153"/>
        <v>-9.8808541401852743</v>
      </c>
      <c r="AG321" s="592">
        <f t="shared" si="154"/>
        <v>0.44688003483268618</v>
      </c>
      <c r="AH321" s="593">
        <f t="shared" si="155"/>
        <v>-81.48049862703003</v>
      </c>
      <c r="AJ321" s="150">
        <f t="shared" si="156"/>
        <v>0</v>
      </c>
      <c r="AK321" s="150">
        <f t="shared" si="168"/>
        <v>0</v>
      </c>
      <c r="AM321" s="150" t="str">
        <f t="shared" si="160"/>
        <v>0.083382714812925+0.399765872100505i</v>
      </c>
      <c r="AN321" s="150" t="str">
        <f t="shared" si="161"/>
        <v>0.411261405822i</v>
      </c>
      <c r="AO321" s="150" t="str">
        <f t="shared" si="162"/>
        <v>0.972048109648124-0.2027486985954i</v>
      </c>
      <c r="AP321" s="150" t="str">
        <f t="shared" si="163"/>
        <v>0.152769547531179-0.0666276453500842i</v>
      </c>
      <c r="AQ321" s="150" t="str">
        <f t="shared" si="164"/>
        <v>0.847230452468821+0.0666276453500842i</v>
      </c>
      <c r="AR321" s="150" t="str">
        <f t="shared" si="165"/>
        <v>0.977160298660725-0.0768455496844232i</v>
      </c>
    </row>
    <row r="322" spans="7:44" x14ac:dyDescent="0.25">
      <c r="G322" s="594">
        <v>23042.25</v>
      </c>
      <c r="H322" s="582">
        <f t="shared" si="157"/>
        <v>23.042249999999999</v>
      </c>
      <c r="I322" s="583">
        <f t="shared" si="137"/>
        <v>22.503149009843291</v>
      </c>
      <c r="J322" s="584">
        <f t="shared" si="138"/>
        <v>1.5263434629599071</v>
      </c>
      <c r="K322" s="584">
        <f t="shared" si="139"/>
        <v>1.0000775103289865</v>
      </c>
      <c r="L322" s="585">
        <f t="shared" si="140"/>
        <v>1.2450327126215304E-2</v>
      </c>
      <c r="M322" s="584">
        <f t="shared" si="141"/>
        <v>1.019037475731676</v>
      </c>
      <c r="N322" s="585">
        <f t="shared" si="142"/>
        <v>-0.19359897189679232</v>
      </c>
      <c r="O322" s="583">
        <f t="shared" si="143"/>
        <v>41696.27323792188</v>
      </c>
      <c r="P322" s="586">
        <f t="shared" si="144"/>
        <v>1.5707723438361705</v>
      </c>
      <c r="Q322" s="595">
        <f t="shared" si="166"/>
        <v>17.402202930329686</v>
      </c>
      <c r="R322" s="596">
        <f t="shared" si="167"/>
        <v>1.5133006651774563</v>
      </c>
      <c r="S322" s="583">
        <f t="shared" si="145"/>
        <v>1.0066851359636488</v>
      </c>
      <c r="T322" s="586">
        <f t="shared" si="146"/>
        <v>0.11530919004486181</v>
      </c>
      <c r="U322" s="587">
        <f t="shared" si="158"/>
        <v>0.97298870263648229</v>
      </c>
      <c r="V322" s="588">
        <f t="shared" si="159"/>
        <v>-0.28572055790894668</v>
      </c>
      <c r="W322" s="589">
        <f t="shared" si="147"/>
        <v>2.0981900961652094</v>
      </c>
      <c r="X322" s="590">
        <f t="shared" si="148"/>
        <v>-124.10228811228636</v>
      </c>
      <c r="Y322" s="593">
        <f t="shared" si="149"/>
        <v>55.897711887713641</v>
      </c>
      <c r="AA322" s="150">
        <f t="shared" si="150"/>
        <v>1000000000</v>
      </c>
      <c r="AB322" s="150">
        <f t="shared" si="151"/>
        <v>530945285.0625</v>
      </c>
      <c r="AD322" s="592">
        <f t="shared" si="152"/>
        <v>27.560716320126932</v>
      </c>
      <c r="AE322" s="593">
        <f t="shared" si="153"/>
        <v>-9.8996145686308683</v>
      </c>
      <c r="AG322" s="592">
        <f t="shared" si="154"/>
        <v>0.40110482361230015</v>
      </c>
      <c r="AH322" s="593">
        <f t="shared" si="155"/>
        <v>-81.461509329631497</v>
      </c>
      <c r="AJ322" s="150">
        <f t="shared" si="156"/>
        <v>0</v>
      </c>
      <c r="AK322" s="150">
        <f t="shared" si="168"/>
        <v>0</v>
      </c>
      <c r="AM322" s="150" t="str">
        <f t="shared" si="160"/>
        <v>0.084341615707928+0.401957364997373i</v>
      </c>
      <c r="AN322" s="150" t="str">
        <f t="shared" si="161"/>
        <v>0.4136535042255i</v>
      </c>
      <c r="AO322" s="150" t="str">
        <f t="shared" si="162"/>
        <v>0.971724791138839-0.203894358071121i</v>
      </c>
      <c r="AP322" s="150" t="str">
        <f t="shared" si="163"/>
        <v>0.152609730715345-0.0669928941662288i</v>
      </c>
      <c r="AQ322" s="150" t="str">
        <f t="shared" si="164"/>
        <v>0.847390269284655+0.0669928941662288i</v>
      </c>
      <c r="AR322" s="150" t="str">
        <f t="shared" si="165"/>
        <v>0.976912282848937-0.0772326324089558i</v>
      </c>
    </row>
    <row r="323" spans="7:44" x14ac:dyDescent="0.25">
      <c r="G323" s="594">
        <v>23175.5</v>
      </c>
      <c r="H323" s="582">
        <f t="shared" si="157"/>
        <v>23.1755</v>
      </c>
      <c r="I323" s="583">
        <f t="shared" si="137"/>
        <v>22.633025224253391</v>
      </c>
      <c r="J323" s="584">
        <f t="shared" si="138"/>
        <v>1.526598715747679</v>
      </c>
      <c r="K323" s="584">
        <f t="shared" si="139"/>
        <v>1.0000784093478474</v>
      </c>
      <c r="L323" s="585">
        <f t="shared" si="140"/>
        <v>1.2522318062981725E-2</v>
      </c>
      <c r="M323" s="584">
        <f t="shared" si="141"/>
        <v>1.0192562081891474</v>
      </c>
      <c r="N323" s="585">
        <f t="shared" si="142"/>
        <v>-0.19469052726532188</v>
      </c>
      <c r="O323" s="583">
        <f t="shared" si="143"/>
        <v>41937.396756925729</v>
      </c>
      <c r="P323" s="586">
        <f t="shared" si="144"/>
        <v>1.5707724817287403</v>
      </c>
      <c r="Q323" s="595">
        <f t="shared" si="166"/>
        <v>17.502505999875009</v>
      </c>
      <c r="R323" s="596">
        <f t="shared" si="167"/>
        <v>1.5136305207880849</v>
      </c>
      <c r="S323" s="583">
        <f t="shared" si="145"/>
        <v>1.0067624174390932</v>
      </c>
      <c r="T323" s="586">
        <f t="shared" si="146"/>
        <v>0.11597006067705004</v>
      </c>
      <c r="U323" s="587">
        <f t="shared" si="158"/>
        <v>0.97269171793574083</v>
      </c>
      <c r="V323" s="588">
        <f t="shared" si="159"/>
        <v>-0.28732951776152915</v>
      </c>
      <c r="W323" s="589">
        <f t="shared" si="147"/>
        <v>2.0465930615526986</v>
      </c>
      <c r="X323" s="590">
        <f t="shared" si="148"/>
        <v>-124.28649003213881</v>
      </c>
      <c r="Y323" s="593">
        <f t="shared" si="149"/>
        <v>55.713509967861185</v>
      </c>
      <c r="AA323" s="150">
        <f t="shared" si="150"/>
        <v>1000000000</v>
      </c>
      <c r="AB323" s="150">
        <f t="shared" si="151"/>
        <v>537103800.25</v>
      </c>
      <c r="AD323" s="592">
        <f t="shared" si="152"/>
        <v>27.559885107156163</v>
      </c>
      <c r="AE323" s="593">
        <f t="shared" si="153"/>
        <v>-9.9185882330056234</v>
      </c>
      <c r="AG323" s="592">
        <f t="shared" si="154"/>
        <v>0.35564218810039189</v>
      </c>
      <c r="AH323" s="593">
        <f t="shared" si="155"/>
        <v>-81.442364366980613</v>
      </c>
      <c r="AJ323" s="150">
        <f t="shared" si="156"/>
        <v>0</v>
      </c>
      <c r="AK323" s="150">
        <f t="shared" si="168"/>
        <v>0</v>
      </c>
      <c r="AM323" s="150" t="str">
        <f t="shared" si="160"/>
        <v>0.085305756121111+0.404146557841123i</v>
      </c>
      <c r="AN323" s="150" t="str">
        <f t="shared" si="161"/>
        <v>0.416045602629i</v>
      </c>
      <c r="AO323" s="150" t="str">
        <f t="shared" si="162"/>
        <v>0.971399662169996-0.205039436980135i</v>
      </c>
      <c r="AP323" s="150" t="str">
        <f t="shared" si="163"/>
        <v>0.152449040646481-0.0673577596401872i</v>
      </c>
      <c r="AQ323" s="150" t="str">
        <f t="shared" si="164"/>
        <v>0.847550959353519+0.0673577596401872i</v>
      </c>
      <c r="AR323" s="150" t="str">
        <f t="shared" si="165"/>
        <v>0.976663132986903-0.0776187435518249i</v>
      </c>
    </row>
    <row r="324" spans="7:44" x14ac:dyDescent="0.25">
      <c r="G324" s="594">
        <v>23308.75</v>
      </c>
      <c r="H324" s="582">
        <f t="shared" si="157"/>
        <v>23.30875</v>
      </c>
      <c r="I324" s="583">
        <f t="shared" si="137"/>
        <v>22.762902896467889</v>
      </c>
      <c r="J324" s="584">
        <f t="shared" si="138"/>
        <v>1.5268510557740425</v>
      </c>
      <c r="K324" s="584">
        <f t="shared" si="139"/>
        <v>1.0000793135498003</v>
      </c>
      <c r="L324" s="585">
        <f t="shared" si="140"/>
        <v>1.2594308869942887E-2</v>
      </c>
      <c r="M324" s="584">
        <f t="shared" si="141"/>
        <v>1.0194761545614133</v>
      </c>
      <c r="N324" s="585">
        <f t="shared" si="142"/>
        <v>-0.19578161293927393</v>
      </c>
      <c r="O324" s="583">
        <f t="shared" si="143"/>
        <v>42178.520275930379</v>
      </c>
      <c r="P324" s="586">
        <f t="shared" si="144"/>
        <v>1.5707726180447188</v>
      </c>
      <c r="Q324" s="595">
        <f t="shared" si="166"/>
        <v>17.602810952073021</v>
      </c>
      <c r="R324" s="596">
        <f t="shared" si="167"/>
        <v>1.5139566172443346</v>
      </c>
      <c r="S324" s="583">
        <f t="shared" si="145"/>
        <v>1.0068401385504038</v>
      </c>
      <c r="T324" s="586">
        <f t="shared" si="146"/>
        <v>0.11663082956848668</v>
      </c>
      <c r="U324" s="587">
        <f t="shared" si="158"/>
        <v>0.97239327934914843</v>
      </c>
      <c r="V324" s="588">
        <f t="shared" si="159"/>
        <v>-0.28893776051610276</v>
      </c>
      <c r="W324" s="589">
        <f t="shared" si="147"/>
        <v>1.9952767455477414</v>
      </c>
      <c r="X324" s="590">
        <f t="shared" si="148"/>
        <v>-124.47066653631953</v>
      </c>
      <c r="Y324" s="593">
        <f t="shared" si="149"/>
        <v>55.529333463680473</v>
      </c>
      <c r="AA324" s="150">
        <f t="shared" si="150"/>
        <v>1000000000</v>
      </c>
      <c r="AB324" s="150">
        <f t="shared" si="151"/>
        <v>543297826.5625</v>
      </c>
      <c r="AD324" s="592">
        <f t="shared" si="152"/>
        <v>27.559052958687367</v>
      </c>
      <c r="AE324" s="593">
        <f t="shared" si="153"/>
        <v>-9.9377713614133683</v>
      </c>
      <c r="AG324" s="592">
        <f t="shared" si="154"/>
        <v>0.31048879973499455</v>
      </c>
      <c r="AH324" s="593">
        <f t="shared" si="155"/>
        <v>-81.423066698003865</v>
      </c>
      <c r="AJ324" s="150">
        <f t="shared" si="156"/>
        <v>0</v>
      </c>
      <c r="AK324" s="150">
        <f t="shared" si="168"/>
        <v>0</v>
      </c>
      <c r="AM324" s="150" t="str">
        <f t="shared" si="160"/>
        <v>0.086275130535538+0.406333438104903i</v>
      </c>
      <c r="AN324" s="150" t="str">
        <f t="shared" si="161"/>
        <v>0.4184377010325i</v>
      </c>
      <c r="AO324" s="150" t="str">
        <f t="shared" si="162"/>
        <v>0.971072723854161-0.206183932094678i</v>
      </c>
      <c r="AP324" s="150" t="str">
        <f t="shared" si="163"/>
        <v>0.152287478244077-0.0677222396841505i</v>
      </c>
      <c r="AQ324" s="150" t="str">
        <f t="shared" si="164"/>
        <v>0.847712521755923+0.0677222396841505i</v>
      </c>
      <c r="AR324" s="150" t="str">
        <f t="shared" si="165"/>
        <v>0.976412853815308-0.0780038794045378i</v>
      </c>
    </row>
    <row r="325" spans="7:44" x14ac:dyDescent="0.25">
      <c r="G325" s="594">
        <v>23442</v>
      </c>
      <c r="H325" s="582">
        <f t="shared" si="157"/>
        <v>23.442</v>
      </c>
      <c r="I325" s="583">
        <f t="shared" si="137"/>
        <v>22.892782001675098</v>
      </c>
      <c r="J325" s="584">
        <f t="shared" si="138"/>
        <v>1.527100532582059</v>
      </c>
      <c r="K325" s="584">
        <f t="shared" si="139"/>
        <v>1.0000802229348313</v>
      </c>
      <c r="L325" s="585">
        <f t="shared" si="140"/>
        <v>1.2666299546352929E-2</v>
      </c>
      <c r="M325" s="584">
        <f t="shared" si="141"/>
        <v>1.0196973140629575</v>
      </c>
      <c r="N325" s="585">
        <f t="shared" si="142"/>
        <v>-0.19687222662562351</v>
      </c>
      <c r="O325" s="583">
        <f t="shared" si="143"/>
        <v>42419.643794935793</v>
      </c>
      <c r="P325" s="586">
        <f t="shared" si="144"/>
        <v>1.5707727528109912</v>
      </c>
      <c r="Q325" s="595">
        <f t="shared" si="166"/>
        <v>17.703117754922687</v>
      </c>
      <c r="R325" s="596">
        <f t="shared" si="167"/>
        <v>1.5142790183749595</v>
      </c>
      <c r="S325" s="583">
        <f t="shared" si="145"/>
        <v>1.0069182991957779</v>
      </c>
      <c r="T325" s="586">
        <f t="shared" si="146"/>
        <v>0.11729149616579418</v>
      </c>
      <c r="U325" s="587">
        <f t="shared" si="158"/>
        <v>0.97209339095149772</v>
      </c>
      <c r="V325" s="588">
        <f t="shared" si="159"/>
        <v>-0.29054528293648474</v>
      </c>
      <c r="W325" s="589">
        <f t="shared" si="147"/>
        <v>1.9442378615018054</v>
      </c>
      <c r="X325" s="590">
        <f t="shared" si="148"/>
        <v>-124.65481645939528</v>
      </c>
      <c r="Y325" s="593">
        <f t="shared" si="149"/>
        <v>55.345183540604722</v>
      </c>
      <c r="AA325" s="150">
        <f t="shared" si="150"/>
        <v>1000000000</v>
      </c>
      <c r="AB325" s="150">
        <f t="shared" si="151"/>
        <v>549527364</v>
      </c>
      <c r="AD325" s="592">
        <f t="shared" si="152"/>
        <v>27.558219813020735</v>
      </c>
      <c r="AE325" s="593">
        <f t="shared" si="153"/>
        <v>-9.9571602665700993</v>
      </c>
      <c r="AG325" s="592">
        <f t="shared" si="154"/>
        <v>0.26564138566033951</v>
      </c>
      <c r="AH325" s="593">
        <f t="shared" si="155"/>
        <v>-81.403619215391288</v>
      </c>
      <c r="AJ325" s="150">
        <f t="shared" si="156"/>
        <v>0</v>
      </c>
      <c r="AK325" s="150">
        <f t="shared" si="168"/>
        <v>0</v>
      </c>
      <c r="AM325" s="150" t="str">
        <f t="shared" si="160"/>
        <v>0.087249733404319+0.408517993275098i</v>
      </c>
      <c r="AN325" s="150" t="str">
        <f t="shared" si="161"/>
        <v>0.420829799436i</v>
      </c>
      <c r="AO325" s="150" t="str">
        <f t="shared" si="162"/>
        <v>0.970743977310061-0.207327840189197i</v>
      </c>
      <c r="AP325" s="150" t="str">
        <f t="shared" si="163"/>
        <v>0.152125044432614-0.0680863322125163i</v>
      </c>
      <c r="AQ325" s="150" t="str">
        <f t="shared" si="164"/>
        <v>0.847874955567386+0.0680863322125163i</v>
      </c>
      <c r="AR325" s="150" t="str">
        <f t="shared" si="165"/>
        <v>0.976161450087915-0.0783880362868616i</v>
      </c>
    </row>
    <row r="326" spans="7:44" x14ac:dyDescent="0.25">
      <c r="G326" s="594">
        <v>23578.5</v>
      </c>
      <c r="H326" s="582">
        <f t="shared" si="157"/>
        <v>23.578499999999998</v>
      </c>
      <c r="I326" s="583">
        <f t="shared" si="137"/>
        <v>23.02583035043412</v>
      </c>
      <c r="J326" s="584">
        <f t="shared" si="138"/>
        <v>1.5273531759823102</v>
      </c>
      <c r="K326" s="584">
        <f t="shared" si="139"/>
        <v>1.0000811598742145</v>
      </c>
      <c r="L326" s="585">
        <f t="shared" si="140"/>
        <v>1.2740045956773461E-2</v>
      </c>
      <c r="M326" s="584">
        <f t="shared" si="141"/>
        <v>1.0199251247466306</v>
      </c>
      <c r="N326" s="585">
        <f t="shared" si="142"/>
        <v>-0.19798894885983725</v>
      </c>
      <c r="O326" s="583">
        <f t="shared" si="143"/>
        <v>42666.648375381155</v>
      </c>
      <c r="P326" s="586">
        <f t="shared" si="144"/>
        <v>1.5707728892848467</v>
      </c>
      <c r="Q326" s="595">
        <f t="shared" si="166"/>
        <v>17.805872951374468</v>
      </c>
      <c r="R326" s="596">
        <f t="shared" si="167"/>
        <v>1.5146055165398198</v>
      </c>
      <c r="S326" s="583">
        <f t="shared" si="145"/>
        <v>1.0069988218366823</v>
      </c>
      <c r="T326" s="586">
        <f t="shared" si="146"/>
        <v>0.11796816993762753</v>
      </c>
      <c r="U326" s="587">
        <f t="shared" si="158"/>
        <v>0.97178468919173788</v>
      </c>
      <c r="V326" s="588">
        <f t="shared" si="159"/>
        <v>-0.29219126295020181</v>
      </c>
      <c r="W326" s="589">
        <f t="shared" si="147"/>
        <v>1.8922384148106919</v>
      </c>
      <c r="X326" s="590">
        <f t="shared" si="148"/>
        <v>-124.84342908469732</v>
      </c>
      <c r="Y326" s="593">
        <f t="shared" si="149"/>
        <v>55.15657091530268</v>
      </c>
      <c r="AA326" s="150">
        <f t="shared" si="150"/>
        <v>1000000000</v>
      </c>
      <c r="AB326" s="150">
        <f t="shared" si="151"/>
        <v>555945662.25</v>
      </c>
      <c r="AD326" s="592">
        <f t="shared" si="152"/>
        <v>27.557365250138901</v>
      </c>
      <c r="AE326" s="593">
        <f t="shared" si="153"/>
        <v>-9.9772316703369572</v>
      </c>
      <c r="AG326" s="592">
        <f t="shared" si="154"/>
        <v>0.22001402780349821</v>
      </c>
      <c r="AH326" s="593">
        <f t="shared" si="155"/>
        <v>-81.38354502081323</v>
      </c>
      <c r="AJ326" s="150">
        <f t="shared" si="156"/>
        <v>0</v>
      </c>
      <c r="AK326" s="150">
        <f t="shared" si="168"/>
        <v>0</v>
      </c>
      <c r="AM326" s="150" t="str">
        <f t="shared" si="160"/>
        <v>0.088253522539512+0.410753406362493i</v>
      </c>
      <c r="AN326" s="150" t="str">
        <f t="shared" si="161"/>
        <v>0.423280241703i</v>
      </c>
      <c r="AO326" s="150" t="str">
        <f t="shared" si="162"/>
        <v>0.970405338812633-0.208499036440818i</v>
      </c>
      <c r="AP326" s="150" t="str">
        <f t="shared" si="163"/>
        <v>0.151957746243415-0.0684589010604155i</v>
      </c>
      <c r="AQ326" s="150" t="str">
        <f t="shared" si="164"/>
        <v>0.848042253756585+0.0684589010604155i</v>
      </c>
      <c r="AR326" s="150" t="str">
        <f t="shared" si="165"/>
        <v>0.975902753512429-0.0787805439544416i</v>
      </c>
    </row>
    <row r="327" spans="7:44" x14ac:dyDescent="0.25">
      <c r="G327" s="594">
        <v>23715</v>
      </c>
      <c r="H327" s="582">
        <f t="shared" si="157"/>
        <v>23.715</v>
      </c>
      <c r="I327" s="583">
        <f t="shared" si="137"/>
        <v>23.1588801520146</v>
      </c>
      <c r="J327" s="584">
        <f t="shared" si="138"/>
        <v>1.5276029164812783</v>
      </c>
      <c r="K327" s="584">
        <f t="shared" si="139"/>
        <v>1.0000821022525621</v>
      </c>
      <c r="L327" s="585">
        <f t="shared" si="140"/>
        <v>1.2813792228612432E-2</v>
      </c>
      <c r="M327" s="584">
        <f t="shared" si="141"/>
        <v>1.0201542067778597</v>
      </c>
      <c r="N327" s="585">
        <f t="shared" si="142"/>
        <v>-0.1991051709515608</v>
      </c>
      <c r="O327" s="583">
        <f t="shared" si="143"/>
        <v>42913.652955827303</v>
      </c>
      <c r="P327" s="586">
        <f t="shared" si="144"/>
        <v>1.5707730241876561</v>
      </c>
      <c r="Q327" s="595">
        <f t="shared" si="166"/>
        <v>17.908630024168989</v>
      </c>
      <c r="R327" s="596">
        <f t="shared" si="167"/>
        <v>1.5149282679423082</v>
      </c>
      <c r="S327" s="583">
        <f t="shared" si="145"/>
        <v>1.0070798054957946</v>
      </c>
      <c r="T327" s="586">
        <f t="shared" si="146"/>
        <v>0.11864473519065903</v>
      </c>
      <c r="U327" s="587">
        <f t="shared" si="158"/>
        <v>0.97147447473425141</v>
      </c>
      <c r="V327" s="588">
        <f t="shared" si="159"/>
        <v>-0.29383648023221276</v>
      </c>
      <c r="W327" s="589">
        <f t="shared" si="147"/>
        <v>1.840523296491225</v>
      </c>
      <c r="X327" s="590">
        <f t="shared" si="148"/>
        <v>-125.03201140257327</v>
      </c>
      <c r="Y327" s="593">
        <f t="shared" si="149"/>
        <v>54.967988597426725</v>
      </c>
      <c r="AA327" s="150">
        <f t="shared" si="150"/>
        <v>1000000000</v>
      </c>
      <c r="AB327" s="150">
        <f t="shared" si="151"/>
        <v>562401225</v>
      </c>
      <c r="AD327" s="592">
        <f t="shared" si="152"/>
        <v>27.556509515447061</v>
      </c>
      <c r="AE327" s="593">
        <f t="shared" si="153"/>
        <v>-9.997511440091138</v>
      </c>
      <c r="AG327" s="592">
        <f t="shared" si="154"/>
        <v>0.17470097297187512</v>
      </c>
      <c r="AH327" s="593">
        <f t="shared" si="155"/>
        <v>-81.363319555437101</v>
      </c>
      <c r="AJ327" s="150">
        <f t="shared" si="156"/>
        <v>0</v>
      </c>
      <c r="AK327" s="150">
        <f t="shared" si="168"/>
        <v>0</v>
      </c>
      <c r="AM327" s="150" t="str">
        <f t="shared" si="160"/>
        <v>0.089262786406228+0.412986353013574i</v>
      </c>
      <c r="AN327" s="150" t="str">
        <f t="shared" si="161"/>
        <v>0.42573068397i</v>
      </c>
      <c r="AO327" s="150" t="str">
        <f t="shared" si="162"/>
        <v>0.970064805201299-0.209669609843105i</v>
      </c>
      <c r="AP327" s="150" t="str">
        <f t="shared" si="163"/>
        <v>0.151789535598962-0.0688310588355957i</v>
      </c>
      <c r="AQ327" s="150" t="str">
        <f t="shared" si="164"/>
        <v>0.848210464401038+0.0688310588355957i</v>
      </c>
      <c r="AR327" s="150" t="str">
        <f t="shared" si="165"/>
        <v>0.975642886995623-0.0791720165875897i</v>
      </c>
    </row>
    <row r="328" spans="7:44" x14ac:dyDescent="0.25">
      <c r="G328" s="594">
        <v>23851.5</v>
      </c>
      <c r="H328" s="582">
        <f t="shared" si="157"/>
        <v>23.851500000000001</v>
      </c>
      <c r="I328" s="583">
        <f t="shared" si="137"/>
        <v>23.291931381519806</v>
      </c>
      <c r="J328" s="584">
        <f t="shared" si="138"/>
        <v>1.5278498037945425</v>
      </c>
      <c r="K328" s="584">
        <f t="shared" si="139"/>
        <v>1.0000830500698583</v>
      </c>
      <c r="L328" s="585">
        <f t="shared" si="140"/>
        <v>1.2887538361068099E-2</v>
      </c>
      <c r="M328" s="584">
        <f t="shared" si="141"/>
        <v>1.0203845593003713</v>
      </c>
      <c r="N328" s="585">
        <f t="shared" si="142"/>
        <v>-0.20022089045707142</v>
      </c>
      <c r="O328" s="583">
        <f t="shared" si="143"/>
        <v>43160.65753627423</v>
      </c>
      <c r="P328" s="586">
        <f t="shared" si="144"/>
        <v>1.5707731575463919</v>
      </c>
      <c r="Q328" s="595">
        <f t="shared" si="166"/>
        <v>18.011388941191996</v>
      </c>
      <c r="R328" s="596">
        <f t="shared" si="167"/>
        <v>1.5152473366429</v>
      </c>
      <c r="S328" s="583">
        <f t="shared" si="145"/>
        <v>1.0071612500619063</v>
      </c>
      <c r="T328" s="586">
        <f t="shared" si="146"/>
        <v>0.11932119133175828</v>
      </c>
      <c r="U328" s="587">
        <f t="shared" si="158"/>
        <v>0.97116275200165836</v>
      </c>
      <c r="V328" s="588">
        <f t="shared" si="159"/>
        <v>-0.29548093134846792</v>
      </c>
      <c r="W328" s="589">
        <f t="shared" si="147"/>
        <v>1.7890891534530804</v>
      </c>
      <c r="X328" s="590">
        <f t="shared" si="148"/>
        <v>-125.22056222195692</v>
      </c>
      <c r="Y328" s="593">
        <f t="shared" si="149"/>
        <v>54.779437778043075</v>
      </c>
      <c r="AA328" s="150">
        <f t="shared" si="150"/>
        <v>1000000000</v>
      </c>
      <c r="AB328" s="150">
        <f t="shared" si="151"/>
        <v>568894052.25</v>
      </c>
      <c r="AD328" s="592">
        <f t="shared" si="152"/>
        <v>27.555652548271219</v>
      </c>
      <c r="AE328" s="593">
        <f t="shared" si="153"/>
        <v>-10.017995872999327</v>
      </c>
      <c r="AG328" s="592">
        <f t="shared" si="154"/>
        <v>0.12969887667451677</v>
      </c>
      <c r="AH328" s="593">
        <f t="shared" si="155"/>
        <v>-81.342945724543242</v>
      </c>
      <c r="AJ328" s="150">
        <f t="shared" si="156"/>
        <v>0</v>
      </c>
      <c r="AK328" s="150">
        <f t="shared" si="168"/>
        <v>0</v>
      </c>
      <c r="AM328" s="150" t="str">
        <f t="shared" si="160"/>
        <v>0.090277518944177+0.415216819820245i</v>
      </c>
      <c r="AN328" s="150" t="str">
        <f t="shared" si="161"/>
        <v>0.428181126237i</v>
      </c>
      <c r="AO328" s="150" t="str">
        <f t="shared" si="162"/>
        <v>0.969722377698686-0.210839556936024i</v>
      </c>
      <c r="AP328" s="150" t="str">
        <f t="shared" si="163"/>
        <v>0.151620413509304-0.0692028033033742i</v>
      </c>
      <c r="AQ328" s="150" t="str">
        <f t="shared" si="164"/>
        <v>0.848379586490696+0.0692028033033742i</v>
      </c>
      <c r="AR328" s="150" t="str">
        <f t="shared" si="165"/>
        <v>0.975381855689029-0.0795624503226637i</v>
      </c>
    </row>
    <row r="329" spans="7:44" x14ac:dyDescent="0.25">
      <c r="G329" s="594">
        <v>23988</v>
      </c>
      <c r="H329" s="582">
        <f t="shared" si="157"/>
        <v>23.988</v>
      </c>
      <c r="I329" s="583">
        <f t="shared" si="137"/>
        <v>23.424984014618392</v>
      </c>
      <c r="J329" s="584">
        <f t="shared" si="138"/>
        <v>1.5280938865095639</v>
      </c>
      <c r="K329" s="584">
        <f t="shared" si="139"/>
        <v>1.0000840033260883</v>
      </c>
      <c r="L329" s="585">
        <f t="shared" si="140"/>
        <v>1.2961284353338721E-2</v>
      </c>
      <c r="M329" s="584">
        <f t="shared" si="141"/>
        <v>1.0206161814539179</v>
      </c>
      <c r="N329" s="585">
        <f t="shared" si="142"/>
        <v>-0.20133610493985138</v>
      </c>
      <c r="O329" s="583">
        <f t="shared" si="143"/>
        <v>43407.662116721905</v>
      </c>
      <c r="P329" s="586">
        <f t="shared" si="144"/>
        <v>1.5707732893874131</v>
      </c>
      <c r="Q329" s="595">
        <f t="shared" si="166"/>
        <v>18.114149671057366</v>
      </c>
      <c r="R329" s="596">
        <f t="shared" si="167"/>
        <v>1.5155627852514613</v>
      </c>
      <c r="S329" s="583">
        <f t="shared" si="145"/>
        <v>1.0072431554232124</v>
      </c>
      <c r="T329" s="586">
        <f t="shared" si="146"/>
        <v>0.11999753776838568</v>
      </c>
      <c r="U329" s="587">
        <f t="shared" si="158"/>
        <v>0.97084952543053649</v>
      </c>
      <c r="V329" s="588">
        <f t="shared" si="159"/>
        <v>-0.29712461288008968</v>
      </c>
      <c r="W329" s="589">
        <f t="shared" si="147"/>
        <v>1.7379326905658579</v>
      </c>
      <c r="X329" s="590">
        <f t="shared" si="148"/>
        <v>-125.40908037154043</v>
      </c>
      <c r="Y329" s="593">
        <f t="shared" si="149"/>
        <v>54.590919628459574</v>
      </c>
      <c r="AA329" s="150">
        <f t="shared" si="150"/>
        <v>1000000000</v>
      </c>
      <c r="AB329" s="150">
        <f t="shared" si="151"/>
        <v>575424144</v>
      </c>
      <c r="AD329" s="592">
        <f t="shared" si="152"/>
        <v>27.55479428971741</v>
      </c>
      <c r="AE329" s="593">
        <f t="shared" si="153"/>
        <v>-10.038681349340679</v>
      </c>
      <c r="AG329" s="592">
        <f t="shared" si="154"/>
        <v>8.5004450409208537E-2</v>
      </c>
      <c r="AH329" s="593">
        <f t="shared" si="155"/>
        <v>-81.322426368319128</v>
      </c>
      <c r="AJ329" s="150">
        <f t="shared" si="156"/>
        <v>0</v>
      </c>
      <c r="AK329" s="150">
        <f t="shared" si="168"/>
        <v>0</v>
      </c>
      <c r="AM329" s="150" t="str">
        <f t="shared" si="160"/>
        <v>0.09129771406023+0.417444793389301i</v>
      </c>
      <c r="AN329" s="150" t="str">
        <f t="shared" si="161"/>
        <v>0.430631568504i</v>
      </c>
      <c r="AO329" s="150" t="str">
        <f t="shared" si="162"/>
        <v>0.969378057534172-0.212008874262041i</v>
      </c>
      <c r="AP329" s="150" t="str">
        <f t="shared" si="163"/>
        <v>0.151450380989962-0.0695741322315502i</v>
      </c>
      <c r="AQ329" s="150" t="str">
        <f t="shared" si="164"/>
        <v>0.848549619010038+0.0695741322315502i</v>
      </c>
      <c r="AR329" s="150" t="str">
        <f t="shared" si="165"/>
        <v>0.975119664757695-0.0799518413273063i</v>
      </c>
    </row>
    <row r="330" spans="7:44" x14ac:dyDescent="0.25">
      <c r="G330" s="594">
        <v>24127.75</v>
      </c>
      <c r="H330" s="582">
        <f t="shared" si="157"/>
        <v>24.127749999999999</v>
      </c>
      <c r="I330" s="583">
        <f t="shared" si="137"/>
        <v>23.561205996842006</v>
      </c>
      <c r="J330" s="584">
        <f t="shared" si="138"/>
        <v>1.5283409247449187</v>
      </c>
      <c r="K330" s="584">
        <f t="shared" si="139"/>
        <v>1.0000849849136013</v>
      </c>
      <c r="L330" s="585">
        <f t="shared" si="140"/>
        <v>1.3036786056499597E-2</v>
      </c>
      <c r="M330" s="584">
        <f t="shared" si="141"/>
        <v>1.0208546328530712</v>
      </c>
      <c r="N330" s="585">
        <f t="shared" si="142"/>
        <v>-0.20247734640934262</v>
      </c>
      <c r="O330" s="583">
        <f t="shared" si="143"/>
        <v>43660.547758609588</v>
      </c>
      <c r="P330" s="586">
        <f t="shared" si="144"/>
        <v>1.5707734228220556</v>
      </c>
      <c r="Q330" s="595">
        <f t="shared" si="166"/>
        <v>18.219358931036968</v>
      </c>
      <c r="R330" s="596">
        <f t="shared" si="167"/>
        <v>1.5158820580317849</v>
      </c>
      <c r="S330" s="583">
        <f t="shared" si="145"/>
        <v>1.0073274881775696</v>
      </c>
      <c r="T330" s="586">
        <f t="shared" si="146"/>
        <v>0.12068987341989726</v>
      </c>
      <c r="U330" s="587">
        <f t="shared" si="158"/>
        <v>0.97052728775786146</v>
      </c>
      <c r="V330" s="588">
        <f t="shared" si="159"/>
        <v>-0.29880662884426112</v>
      </c>
      <c r="W330" s="589">
        <f t="shared" si="147"/>
        <v>1.6858425113106057</v>
      </c>
      <c r="X330" s="590">
        <f t="shared" si="148"/>
        <v>-125.60205199976973</v>
      </c>
      <c r="Y330" s="593">
        <f t="shared" si="149"/>
        <v>54.397948000230272</v>
      </c>
      <c r="AA330" s="150">
        <f t="shared" si="150"/>
        <v>1000000000</v>
      </c>
      <c r="AB330" s="150">
        <f t="shared" si="151"/>
        <v>582148320.0625</v>
      </c>
      <c r="AD330" s="592">
        <f t="shared" si="152"/>
        <v>27.553914198880062</v>
      </c>
      <c r="AE330" s="593">
        <f t="shared" si="153"/>
        <v>-10.06006392261907</v>
      </c>
      <c r="AG330" s="592">
        <f t="shared" si="154"/>
        <v>3.9561240154832644E-2</v>
      </c>
      <c r="AH330" s="593">
        <f t="shared" si="155"/>
        <v>-81.301270591408482</v>
      </c>
      <c r="AJ330" s="150">
        <f t="shared" si="156"/>
        <v>0</v>
      </c>
      <c r="AK330" s="150">
        <f t="shared" si="168"/>
        <v>0</v>
      </c>
      <c r="AM330" s="150" t="str">
        <f t="shared" si="160"/>
        <v>0.092347852357697+0.419723216989857i</v>
      </c>
      <c r="AN330" s="150" t="str">
        <f t="shared" si="161"/>
        <v>0.4331403546345i</v>
      </c>
      <c r="AO330" s="150" t="str">
        <f t="shared" si="162"/>
        <v>0.969023579767891-0.213205376431904i</v>
      </c>
      <c r="AP330" s="150" t="str">
        <f t="shared" si="163"/>
        <v>0.151275357940384-0.0699538694983095i</v>
      </c>
      <c r="AQ330" s="150" t="str">
        <f t="shared" si="164"/>
        <v>0.848724642059616+0.0699538694983095i</v>
      </c>
      <c r="AR330" s="150" t="str">
        <f t="shared" si="165"/>
        <v>0.974850035223948-0.0803494193110613i</v>
      </c>
    </row>
    <row r="331" spans="7:44" x14ac:dyDescent="0.25">
      <c r="G331" s="594">
        <v>24267.5</v>
      </c>
      <c r="H331" s="582">
        <f t="shared" si="157"/>
        <v>24.267499999999998</v>
      </c>
      <c r="I331" s="583">
        <f t="shared" si="137"/>
        <v>23.697429400425147</v>
      </c>
      <c r="J331" s="584">
        <f t="shared" si="138"/>
        <v>1.5285851228229066</v>
      </c>
      <c r="K331" s="584">
        <f t="shared" si="139"/>
        <v>1.0000859722020949</v>
      </c>
      <c r="L331" s="585">
        <f t="shared" si="140"/>
        <v>1.3112287611019759E-2</v>
      </c>
      <c r="M331" s="584">
        <f t="shared" si="141"/>
        <v>1.0210944132240618</v>
      </c>
      <c r="N331" s="585">
        <f t="shared" si="142"/>
        <v>-0.20361805337569891</v>
      </c>
      <c r="O331" s="583">
        <f t="shared" si="143"/>
        <v>43913.433400498041</v>
      </c>
      <c r="P331" s="586">
        <f t="shared" si="144"/>
        <v>1.5707735547198698</v>
      </c>
      <c r="Q331" s="595">
        <f t="shared" si="166"/>
        <v>18.324570026882892</v>
      </c>
      <c r="R331" s="596">
        <f t="shared" si="167"/>
        <v>1.5161976646145285</v>
      </c>
      <c r="S331" s="583">
        <f t="shared" si="145"/>
        <v>1.0074123036918816</v>
      </c>
      <c r="T331" s="586">
        <f t="shared" si="146"/>
        <v>0.12138209282566212</v>
      </c>
      <c r="U331" s="587">
        <f t="shared" si="158"/>
        <v>0.97020348323835504</v>
      </c>
      <c r="V331" s="588">
        <f t="shared" si="159"/>
        <v>-0.30048783093697767</v>
      </c>
      <c r="W331" s="589">
        <f t="shared" si="147"/>
        <v>1.634036582901609</v>
      </c>
      <c r="X331" s="590">
        <f t="shared" si="148"/>
        <v>-125.79498696051567</v>
      </c>
      <c r="Y331" s="593">
        <f t="shared" si="149"/>
        <v>54.205013039484328</v>
      </c>
      <c r="AA331" s="150">
        <f t="shared" si="150"/>
        <v>1000000000</v>
      </c>
      <c r="AB331" s="150">
        <f t="shared" si="151"/>
        <v>588911556.25</v>
      </c>
      <c r="AD331" s="592">
        <f t="shared" si="152"/>
        <v>27.553032634966534</v>
      </c>
      <c r="AE331" s="593">
        <f t="shared" si="153"/>
        <v>-10.081649805101437</v>
      </c>
      <c r="AG331" s="592">
        <f t="shared" si="154"/>
        <v>-5.5662762896476117E-3</v>
      </c>
      <c r="AH331" s="593">
        <f t="shared" si="155"/>
        <v>-81.279968100609551</v>
      </c>
      <c r="AJ331" s="150">
        <f t="shared" si="156"/>
        <v>0</v>
      </c>
      <c r="AK331" s="150">
        <f t="shared" si="168"/>
        <v>0</v>
      </c>
      <c r="AM331" s="150" t="str">
        <f t="shared" si="160"/>
        <v>0.093403703421909+0.421998998850577i</v>
      </c>
      <c r="AN331" s="150" t="str">
        <f t="shared" si="161"/>
        <v>0.435649140765i</v>
      </c>
      <c r="AO331" s="150" t="str">
        <f t="shared" si="162"/>
        <v>0.968667120769587-0.214401211162478i</v>
      </c>
      <c r="AP331" s="150" t="str">
        <f t="shared" si="163"/>
        <v>0.151099382763015-0.0703331664750962i</v>
      </c>
      <c r="AQ331" s="150" t="str">
        <f t="shared" si="164"/>
        <v>0.848900617236985+0.0703331664750962i</v>
      </c>
      <c r="AR331" s="150" t="str">
        <f t="shared" si="165"/>
        <v>0.974579201187066-0.0807458962903788i</v>
      </c>
    </row>
    <row r="332" spans="7:44" x14ac:dyDescent="0.25">
      <c r="G332" s="594">
        <v>24407.25</v>
      </c>
      <c r="H332" s="582">
        <f t="shared" si="157"/>
        <v>24.407250000000001</v>
      </c>
      <c r="I332" s="583">
        <f t="shared" si="137"/>
        <v>23.83365420099609</v>
      </c>
      <c r="J332" s="584">
        <f t="shared" si="138"/>
        <v>1.5288265294141781</v>
      </c>
      <c r="K332" s="584">
        <f t="shared" si="139"/>
        <v>1.0000869651915518</v>
      </c>
      <c r="L332" s="585">
        <f t="shared" si="140"/>
        <v>1.3187789016038861E-2</v>
      </c>
      <c r="M332" s="584">
        <f t="shared" si="141"/>
        <v>1.0213355216308759</v>
      </c>
      <c r="N332" s="585">
        <f t="shared" si="142"/>
        <v>-0.20475822324782419</v>
      </c>
      <c r="O332" s="583">
        <f t="shared" si="143"/>
        <v>44166.319042387244</v>
      </c>
      <c r="P332" s="586">
        <f t="shared" si="144"/>
        <v>1.570773685107254</v>
      </c>
      <c r="Q332" s="595">
        <f t="shared" si="166"/>
        <v>18.429782927153624</v>
      </c>
      <c r="R332" s="596">
        <f t="shared" si="167"/>
        <v>1.5165096677256107</v>
      </c>
      <c r="S332" s="583">
        <f t="shared" si="145"/>
        <v>1.0074976018442261</v>
      </c>
      <c r="T332" s="586">
        <f t="shared" si="146"/>
        <v>0.12207419535174426</v>
      </c>
      <c r="U332" s="587">
        <f t="shared" si="158"/>
        <v>0.96987811667750101</v>
      </c>
      <c r="V332" s="588">
        <f t="shared" si="159"/>
        <v>-0.30216821553898859</v>
      </c>
      <c r="W332" s="589">
        <f t="shared" si="147"/>
        <v>1.582511549475706</v>
      </c>
      <c r="X332" s="590">
        <f t="shared" si="148"/>
        <v>-125.9878840578842</v>
      </c>
      <c r="Y332" s="593">
        <f t="shared" si="149"/>
        <v>54.012115942115798</v>
      </c>
      <c r="AA332" s="150">
        <f t="shared" si="150"/>
        <v>1000000000</v>
      </c>
      <c r="AB332" s="150">
        <f t="shared" si="151"/>
        <v>595713852.5625</v>
      </c>
      <c r="AD332" s="592">
        <f t="shared" si="152"/>
        <v>27.552149540191554</v>
      </c>
      <c r="AE332" s="593">
        <f t="shared" si="153"/>
        <v>-10.103435368048043</v>
      </c>
      <c r="AG332" s="592">
        <f t="shared" si="154"/>
        <v>-5.0381453703078692E-2</v>
      </c>
      <c r="AH332" s="593">
        <f t="shared" si="155"/>
        <v>-81.25852174350338</v>
      </c>
      <c r="AJ332" s="150">
        <f t="shared" si="156"/>
        <v>0</v>
      </c>
      <c r="AK332" s="150">
        <f t="shared" si="168"/>
        <v>0</v>
      </c>
      <c r="AM332" s="150" t="str">
        <f t="shared" si="160"/>
        <v>0.094465260607334+0.424272124647679i</v>
      </c>
      <c r="AN332" s="150" t="str">
        <f t="shared" si="161"/>
        <v>0.4381579268955i</v>
      </c>
      <c r="AO332" s="150" t="str">
        <f t="shared" si="162"/>
        <v>0.968308681880511-0.215596374751572i</v>
      </c>
      <c r="AP332" s="150" t="str">
        <f t="shared" si="163"/>
        <v>0.150922456565444-0.0707120207746132i</v>
      </c>
      <c r="AQ332" s="150" t="str">
        <f t="shared" si="164"/>
        <v>0.849077543434556+0.0707120207746132i</v>
      </c>
      <c r="AR332" s="150" t="str">
        <f t="shared" si="165"/>
        <v>0.974307168232455-0.0811412682547505i</v>
      </c>
    </row>
    <row r="333" spans="7:44" x14ac:dyDescent="0.25">
      <c r="G333" s="594">
        <v>24547</v>
      </c>
      <c r="H333" s="582">
        <f t="shared" si="157"/>
        <v>24.547000000000001</v>
      </c>
      <c r="I333" s="583">
        <f t="shared" ref="I333:I396" si="169">SQRT(1+(G333/pole1)^2)</f>
        <v>23.969880374736888</v>
      </c>
      <c r="J333" s="584">
        <f t="shared" ref="J333:J396" si="170">ATAN(G333/pole1)</f>
        <v>1.5290651920842773</v>
      </c>
      <c r="K333" s="584">
        <f t="shared" ref="K333:K396" si="171">SQRT(1+(G333/Zero1)^2)</f>
        <v>1.0000879638819555</v>
      </c>
      <c r="L333" s="585">
        <f t="shared" ref="L333:L396" si="172">ATAN(G333/Zero1)</f>
        <v>1.3263290270696559E-2</v>
      </c>
      <c r="M333" s="584">
        <f t="shared" ref="M333:M396" si="173">SQRT(1+(G333/z_RHP)^2)</f>
        <v>1.0215779571332018</v>
      </c>
      <c r="N333" s="585">
        <f t="shared" ref="N333:N396" si="174">-ATAN(G333/z_RHP)</f>
        <v>-0.20589785344264733</v>
      </c>
      <c r="O333" s="583">
        <f t="shared" ref="O333:O396" si="175">SQRT(1+(G333/Pole2)^2)</f>
        <v>44419.204684277196</v>
      </c>
      <c r="P333" s="586">
        <f t="shared" ref="P333:P396" si="176">ATAN(G333/Pole2)</f>
        <v>1.5707738140100056</v>
      </c>
      <c r="Q333" s="595">
        <f t="shared" si="166"/>
        <v>18.534997601121002</v>
      </c>
      <c r="R333" s="596">
        <f t="shared" si="167"/>
        <v>1.5168181286695273</v>
      </c>
      <c r="S333" s="583">
        <f t="shared" ref="S333:S396" si="177">SQRT(1+(G333/pole4)^2)</f>
        <v>1.0075833825120284</v>
      </c>
      <c r="T333" s="586">
        <f t="shared" ref="T333:T396" si="178">ATAN(G333/pole4)</f>
        <v>0.12276618036486961</v>
      </c>
      <c r="U333" s="587">
        <f t="shared" si="158"/>
        <v>0.96955119289539526</v>
      </c>
      <c r="V333" s="588">
        <f t="shared" si="159"/>
        <v>-0.3038477790478803</v>
      </c>
      <c r="W333" s="589">
        <f t="shared" ref="W333:W396" si="179">20*LOG10(((K333*Q333*M333*U333)/(I333*O333*S333))*Adc)</f>
        <v>1.5312641132165412</v>
      </c>
      <c r="X333" s="590">
        <f t="shared" ref="X333:X396" si="180">((L333+R333+N333+V333)-(J333+P333+T333))*radconv</f>
        <v>-126.1807421155324</v>
      </c>
      <c r="Y333" s="593">
        <f t="shared" ref="Y333:Y396" si="181">IF(X333&gt;0,X333,X333+180)</f>
        <v>53.819257884467604</v>
      </c>
      <c r="AA333" s="150">
        <f t="shared" ref="AA333:AA396" si="182">IF(W333&lt;0,G333,1000000000)</f>
        <v>1000000000</v>
      </c>
      <c r="AB333" s="150">
        <f t="shared" ref="AB333:AB396" si="183">G333^2</f>
        <v>602555209</v>
      </c>
      <c r="AD333" s="592">
        <f t="shared" ref="AD333:AD396" si="184">20*LOG10((Q333/(O333*S333))*Aea)</f>
        <v>27.551264858475321</v>
      </c>
      <c r="AE333" s="593">
        <f t="shared" ref="AE333:AE396" si="185">(R333-(P333+T333))*radconv</f>
        <v>-10.125417064164138</v>
      </c>
      <c r="AG333" s="592">
        <f t="shared" ref="AG333:AG396" si="186">20*LOG10((K333*M333/(I333*U333))*Acs*Am)</f>
        <v>-9.488759072598961E-2</v>
      </c>
      <c r="AH333" s="593">
        <f t="shared" ref="AH333:AH396" si="187">(L333+N333-(J333+V333))*radconv</f>
        <v>-81.236934303848258</v>
      </c>
      <c r="AJ333" s="150">
        <f t="shared" ref="AJ333:AJ396" si="188">SUM((W334&lt;0)*(W333&gt;0))*G333</f>
        <v>0</v>
      </c>
      <c r="AK333" s="150">
        <f t="shared" si="168"/>
        <v>0</v>
      </c>
      <c r="AM333" s="150" t="str">
        <f t="shared" si="160"/>
        <v>0.095532517232526+0.4265425800741i</v>
      </c>
      <c r="AN333" s="150" t="str">
        <f t="shared" si="161"/>
        <v>0.440666713026i</v>
      </c>
      <c r="AO333" s="150" t="str">
        <f t="shared" si="162"/>
        <v>0.967948264449313-0.216790863499802i</v>
      </c>
      <c r="AP333" s="150" t="str">
        <f t="shared" si="163"/>
        <v>0.150744580461246-0.07109043001235i</v>
      </c>
      <c r="AQ333" s="150" t="str">
        <f t="shared" si="164"/>
        <v>0.849255419538754+0.07109043001235i</v>
      </c>
      <c r="AR333" s="150" t="str">
        <f t="shared" si="165"/>
        <v>0.974033941959383-0.0815355312281961i</v>
      </c>
    </row>
    <row r="334" spans="7:44" x14ac:dyDescent="0.25">
      <c r="G334" s="594">
        <v>24690</v>
      </c>
      <c r="H334" s="582">
        <f t="shared" ref="H334:H397" si="189">G334/1000</f>
        <v>24.69</v>
      </c>
      <c r="I334" s="583">
        <f t="shared" si="169"/>
        <v>24.10927599619049</v>
      </c>
      <c r="J334" s="584">
        <f t="shared" si="170"/>
        <v>1.5293066131603612</v>
      </c>
      <c r="K334" s="584">
        <f t="shared" si="171"/>
        <v>1.0000889916990581</v>
      </c>
      <c r="L334" s="585">
        <f t="shared" si="172"/>
        <v>1.3340547211941129E-2</v>
      </c>
      <c r="M334" s="584">
        <f t="shared" si="173"/>
        <v>1.0218274034334704</v>
      </c>
      <c r="N334" s="585">
        <f t="shared" si="174"/>
        <v>-0.20706342532990918</v>
      </c>
      <c r="O334" s="583">
        <f t="shared" si="175"/>
        <v>44677.971387607198</v>
      </c>
      <c r="P334" s="586">
        <f t="shared" si="176"/>
        <v>1.5707739443999709</v>
      </c>
      <c r="Q334" s="595">
        <f t="shared" si="166"/>
        <v>18.642660932693126</v>
      </c>
      <c r="R334" s="596">
        <f t="shared" si="167"/>
        <v>1.5171301589370481</v>
      </c>
      <c r="S334" s="583">
        <f t="shared" si="177"/>
        <v>1.007671657428403</v>
      </c>
      <c r="T334" s="586">
        <f t="shared" si="178"/>
        <v>0.12347413574877544</v>
      </c>
      <c r="U334" s="587">
        <f t="shared" ref="U334:U397" si="190">IMABS(IMPRODUCT(AO334, AR334))</f>
        <v>0.96921505931395668</v>
      </c>
      <c r="V334" s="588">
        <f t="shared" ref="V334:V397" si="191">IMARGUMENT(IMPRODUCT(AO334, AR334))</f>
        <v>-0.30556554847508299</v>
      </c>
      <c r="W334" s="589">
        <f t="shared" si="179"/>
        <v>1.4791088512668638</v>
      </c>
      <c r="X334" s="590">
        <f t="shared" si="180"/>
        <v>-126.37804362501292</v>
      </c>
      <c r="Y334" s="593">
        <f t="shared" si="181"/>
        <v>53.621956374987079</v>
      </c>
      <c r="AA334" s="150">
        <f t="shared" si="182"/>
        <v>1000000000</v>
      </c>
      <c r="AB334" s="150">
        <f t="shared" si="183"/>
        <v>609596100</v>
      </c>
      <c r="AD334" s="592">
        <f t="shared" si="184"/>
        <v>27.550357903264846</v>
      </c>
      <c r="AE334" s="593">
        <f t="shared" si="185"/>
        <v>-10.148109373156853</v>
      </c>
      <c r="AG334" s="592">
        <f t="shared" si="186"/>
        <v>-0.14011223325512526</v>
      </c>
      <c r="AH334" s="593">
        <f t="shared" si="187"/>
        <v>-81.214701627400459</v>
      </c>
      <c r="AJ334" s="150">
        <f t="shared" si="188"/>
        <v>0</v>
      </c>
      <c r="AK334" s="150">
        <f t="shared" si="168"/>
        <v>0</v>
      </c>
      <c r="AM334" s="150" t="str">
        <f t="shared" ref="AM334:AM397" si="192">IMSUB(1,IMEXP(COMPLEX(0,-2*Pi*G334*Tsw)))</f>
        <v>0.096630486570311+0.428863057637059i</v>
      </c>
      <c r="AN334" s="150" t="str">
        <f t="shared" ref="AN334:AN397" si="193">COMPLEX(0, 2*Pi*G334*Tsw)</f>
        <v>0.44323384302i</v>
      </c>
      <c r="AO334" s="150" t="str">
        <f t="shared" ref="AO334:AO397" si="194">IMDIV(AM334, AN334)</f>
        <v>0.967577418535947-0.218012428635669i</v>
      </c>
      <c r="AP334" s="150" t="str">
        <f t="shared" ref="AP334:AP397" si="195">IMDIV(IMEXP(COMPLEX(0,-2*Pi*G334*Tsw)),6)</f>
        <v>0.150561585571615-0.0714771762728432i</v>
      </c>
      <c r="AQ334" s="150" t="str">
        <f t="shared" ref="AQ334:AQ397" si="196">IMSUB(1, AP334)</f>
        <v>0.849438414428385+0.0714771762728432i</v>
      </c>
      <c r="AR334" s="150" t="str">
        <f t="shared" ref="AR334:AR397" si="197">IMDIV(0.833, AQ334)</f>
        <v>0.973753132173708-0.081937811020061i</v>
      </c>
    </row>
    <row r="335" spans="7:44" x14ac:dyDescent="0.25">
      <c r="G335" s="594">
        <v>24833</v>
      </c>
      <c r="H335" s="582">
        <f t="shared" si="189"/>
        <v>24.832999999999998</v>
      </c>
      <c r="I335" s="583">
        <f t="shared" si="169"/>
        <v>24.248673006676661</v>
      </c>
      <c r="J335" s="584">
        <f t="shared" si="170"/>
        <v>1.5295452585621443</v>
      </c>
      <c r="K335" s="584">
        <f t="shared" si="171"/>
        <v>1.0000900254853142</v>
      </c>
      <c r="L335" s="585">
        <f t="shared" si="172"/>
        <v>1.3417803993926867E-2</v>
      </c>
      <c r="M335" s="584">
        <f t="shared" si="173"/>
        <v>1.0220782372666453</v>
      </c>
      <c r="N335" s="585">
        <f t="shared" si="174"/>
        <v>-0.20822842670045139</v>
      </c>
      <c r="O335" s="583">
        <f t="shared" si="175"/>
        <v>44936.73809093795</v>
      </c>
      <c r="P335" s="586">
        <f t="shared" si="176"/>
        <v>1.5707740732882434</v>
      </c>
      <c r="Q335" s="595">
        <f t="shared" si="166"/>
        <v>18.750326058524006</v>
      </c>
      <c r="R335" s="596">
        <f t="shared" si="167"/>
        <v>1.5174386058536391</v>
      </c>
      <c r="S335" s="583">
        <f t="shared" si="177"/>
        <v>1.0077604373020177</v>
      </c>
      <c r="T335" s="586">
        <f t="shared" si="178"/>
        <v>0.12418196675102455</v>
      </c>
      <c r="U335" s="587">
        <f t="shared" si="190"/>
        <v>0.96887730549736917</v>
      </c>
      <c r="V335" s="588">
        <f t="shared" si="191"/>
        <v>-0.30728245059735687</v>
      </c>
      <c r="W335" s="589">
        <f t="shared" si="179"/>
        <v>1.4272374422953265</v>
      </c>
      <c r="X335" s="590">
        <f t="shared" si="180"/>
        <v>-126.57530182638345</v>
      </c>
      <c r="Y335" s="593">
        <f t="shared" si="181"/>
        <v>53.424698173616548</v>
      </c>
      <c r="AA335" s="150">
        <f t="shared" si="182"/>
        <v>1000000000</v>
      </c>
      <c r="AB335" s="150">
        <f t="shared" si="183"/>
        <v>616677889</v>
      </c>
      <c r="AD335" s="592">
        <f t="shared" si="184"/>
        <v>27.549449172865728</v>
      </c>
      <c r="AE335" s="593">
        <f t="shared" si="185"/>
        <v>-10.170999780449947</v>
      </c>
      <c r="AG335" s="592">
        <f t="shared" si="186"/>
        <v>-0.18502010771463689</v>
      </c>
      <c r="AH335" s="593">
        <f t="shared" si="187"/>
        <v>-81.192326930366391</v>
      </c>
      <c r="AJ335" s="150">
        <f t="shared" si="188"/>
        <v>0</v>
      </c>
      <c r="AK335" s="150">
        <f t="shared" si="168"/>
        <v>0</v>
      </c>
      <c r="AM335" s="150" t="str">
        <f t="shared" si="192"/>
        <v>0.097734409251213+0.431180708926944i</v>
      </c>
      <c r="AN335" s="150" t="str">
        <f t="shared" si="193"/>
        <v>0.445800973014i</v>
      </c>
      <c r="AO335" s="150" t="str">
        <f t="shared" si="194"/>
        <v>0.967204503865906-0.21923327934985i</v>
      </c>
      <c r="AP335" s="150" t="str">
        <f t="shared" si="195"/>
        <v>0.150377598458131-0.071863451487824i</v>
      </c>
      <c r="AQ335" s="150" t="str">
        <f t="shared" si="196"/>
        <v>0.849622401541869+0.071863451487824i</v>
      </c>
      <c r="AR335" s="150" t="str">
        <f t="shared" si="197"/>
        <v>0.973471084826164-0.0823389213281672i</v>
      </c>
    </row>
    <row r="336" spans="7:44" x14ac:dyDescent="0.25">
      <c r="G336" s="594">
        <v>24976</v>
      </c>
      <c r="H336" s="582">
        <f t="shared" si="189"/>
        <v>24.975999999999999</v>
      </c>
      <c r="I336" s="583">
        <f t="shared" si="169"/>
        <v>24.38807138237717</v>
      </c>
      <c r="J336" s="584">
        <f t="shared" si="170"/>
        <v>1.5297811758581601</v>
      </c>
      <c r="K336" s="584">
        <f t="shared" si="171"/>
        <v>1.0000910652407058</v>
      </c>
      <c r="L336" s="585">
        <f t="shared" si="172"/>
        <v>1.3495060615732036E-2</v>
      </c>
      <c r="M336" s="584">
        <f t="shared" si="173"/>
        <v>1.0223304576114121</v>
      </c>
      <c r="N336" s="585">
        <f t="shared" si="174"/>
        <v>-0.20939285481303441</v>
      </c>
      <c r="O336" s="583">
        <f t="shared" si="175"/>
        <v>45195.504794269451</v>
      </c>
      <c r="P336" s="586">
        <f t="shared" si="176"/>
        <v>1.5707742007006174</v>
      </c>
      <c r="Q336" s="595">
        <f t="shared" si="166"/>
        <v>18.857992947881993</v>
      </c>
      <c r="R336" s="596">
        <f t="shared" si="167"/>
        <v>1.5177435307359193</v>
      </c>
      <c r="S336" s="583">
        <f t="shared" si="177"/>
        <v>1.0078497219994296</v>
      </c>
      <c r="T336" s="586">
        <f t="shared" si="178"/>
        <v>0.12488967269529919</v>
      </c>
      <c r="U336" s="587">
        <f t="shared" si="190"/>
        <v>0.96853793665617394</v>
      </c>
      <c r="V336" s="588">
        <f t="shared" si="191"/>
        <v>-0.30899848161010357</v>
      </c>
      <c r="W336" s="589">
        <f t="shared" si="179"/>
        <v>1.3756465332229602</v>
      </c>
      <c r="X336" s="590">
        <f t="shared" si="180"/>
        <v>-126.77251551966845</v>
      </c>
      <c r="Y336" s="593">
        <f t="shared" si="181"/>
        <v>53.227484480331555</v>
      </c>
      <c r="AA336" s="150">
        <f t="shared" si="182"/>
        <v>1000000000</v>
      </c>
      <c r="AB336" s="150">
        <f t="shared" si="183"/>
        <v>623800576</v>
      </c>
      <c r="AD336" s="592">
        <f t="shared" si="184"/>
        <v>27.548538612373704</v>
      </c>
      <c r="AE336" s="593">
        <f t="shared" si="185"/>
        <v>-10.194084735587701</v>
      </c>
      <c r="AG336" s="592">
        <f t="shared" si="186"/>
        <v>-0.22961457389407083</v>
      </c>
      <c r="AH336" s="593">
        <f t="shared" si="187"/>
        <v>-81.169812999201085</v>
      </c>
      <c r="AJ336" s="150">
        <f t="shared" si="188"/>
        <v>0</v>
      </c>
      <c r="AK336" s="150">
        <f t="shared" si="168"/>
        <v>0</v>
      </c>
      <c r="AM336" s="150" t="str">
        <f t="shared" si="192"/>
        <v>0.098844278000212+0.433495518670079i</v>
      </c>
      <c r="AN336" s="150" t="str">
        <f t="shared" si="193"/>
        <v>0.448368103008i</v>
      </c>
      <c r="AO336" s="150" t="str">
        <f t="shared" si="194"/>
        <v>0.966829521908128-0.220453411688049i</v>
      </c>
      <c r="AP336" s="150" t="str">
        <f t="shared" si="195"/>
        <v>0.150192620333298-0.0722492531116798i</v>
      </c>
      <c r="AQ336" s="150" t="str">
        <f t="shared" si="196"/>
        <v>0.849807379666702+0.0722492531116798i</v>
      </c>
      <c r="AR336" s="150" t="str">
        <f t="shared" si="197"/>
        <v>0.973187805959249-0.0827388580051244i</v>
      </c>
    </row>
    <row r="337" spans="7:44" x14ac:dyDescent="0.25">
      <c r="G337" s="594">
        <v>25119</v>
      </c>
      <c r="H337" s="582">
        <f t="shared" si="189"/>
        <v>25.119</v>
      </c>
      <c r="I337" s="583">
        <f t="shared" si="169"/>
        <v>24.527471100015013</v>
      </c>
      <c r="J337" s="584">
        <f t="shared" si="170"/>
        <v>1.5300144115367662</v>
      </c>
      <c r="K337" s="584">
        <f t="shared" si="171"/>
        <v>1.0000921109652141</v>
      </c>
      <c r="L337" s="585">
        <f t="shared" si="172"/>
        <v>1.3572317076434913E-2</v>
      </c>
      <c r="M337" s="584">
        <f t="shared" si="173"/>
        <v>1.0225840634418215</v>
      </c>
      <c r="N337" s="585">
        <f t="shared" si="174"/>
        <v>-0.2105567069353341</v>
      </c>
      <c r="O337" s="583">
        <f t="shared" si="175"/>
        <v>45454.271497601665</v>
      </c>
      <c r="P337" s="586">
        <f t="shared" si="176"/>
        <v>1.5707743266622989</v>
      </c>
      <c r="Q337" s="595">
        <f t="shared" si="166"/>
        <v>18.965661570732774</v>
      </c>
      <c r="R337" s="596">
        <f t="shared" si="167"/>
        <v>1.518044993510776</v>
      </c>
      <c r="S337" s="583">
        <f t="shared" si="177"/>
        <v>1.0079395113864846</v>
      </c>
      <c r="T337" s="586">
        <f t="shared" si="178"/>
        <v>0.12559725290602158</v>
      </c>
      <c r="U337" s="587">
        <f t="shared" si="190"/>
        <v>0.96819695801611294</v>
      </c>
      <c r="V337" s="588">
        <f t="shared" si="191"/>
        <v>-0.3107136377273722</v>
      </c>
      <c r="W337" s="589">
        <f t="shared" si="179"/>
        <v>1.3243328289790177</v>
      </c>
      <c r="X337" s="590">
        <f t="shared" si="180"/>
        <v>-126.96968352421652</v>
      </c>
      <c r="Y337" s="593">
        <f t="shared" si="181"/>
        <v>53.030316475783479</v>
      </c>
      <c r="AA337" s="150">
        <f t="shared" si="182"/>
        <v>1000000000</v>
      </c>
      <c r="AB337" s="150">
        <f t="shared" si="183"/>
        <v>630964161</v>
      </c>
      <c r="AD337" s="592">
        <f t="shared" si="184"/>
        <v>27.547626168515134</v>
      </c>
      <c r="AE337" s="593">
        <f t="shared" si="185"/>
        <v>-10.217360767748804</v>
      </c>
      <c r="AG337" s="592">
        <f t="shared" si="186"/>
        <v>-0.27389893541991212</v>
      </c>
      <c r="AH337" s="593">
        <f t="shared" si="187"/>
        <v>-81.147162557912381</v>
      </c>
      <c r="AJ337" s="150">
        <f t="shared" si="188"/>
        <v>0</v>
      </c>
      <c r="AK337" s="150">
        <f t="shared" si="168"/>
        <v>0</v>
      </c>
      <c r="AM337" s="150" t="str">
        <f t="shared" si="192"/>
        <v>0.099960085503104+0.435807471611513i</v>
      </c>
      <c r="AN337" s="150" t="str">
        <f t="shared" si="193"/>
        <v>0.450935233002i</v>
      </c>
      <c r="AO337" s="150" t="str">
        <f t="shared" si="194"/>
        <v>0.966452474139629-0.221672821699121i</v>
      </c>
      <c r="AP337" s="150" t="str">
        <f t="shared" si="195"/>
        <v>0.150006652416149-0.0726345786019188i</v>
      </c>
      <c r="AQ337" s="150" t="str">
        <f t="shared" si="196"/>
        <v>0.849993347583851+0.0726345786019188i</v>
      </c>
      <c r="AR337" s="150" t="str">
        <f t="shared" si="197"/>
        <v>0.972903301629552-0.0831376169415336i</v>
      </c>
    </row>
    <row r="338" spans="7:44" x14ac:dyDescent="0.25">
      <c r="G338" s="594">
        <v>25265.25</v>
      </c>
      <c r="H338" s="582">
        <f t="shared" si="189"/>
        <v>25.265250000000002</v>
      </c>
      <c r="I338" s="583">
        <f t="shared" si="169"/>
        <v>24.670040357377733</v>
      </c>
      <c r="J338" s="584">
        <f t="shared" si="170"/>
        <v>1.5302502216469132</v>
      </c>
      <c r="K338" s="584">
        <f t="shared" si="171"/>
        <v>1.00009318663032</v>
      </c>
      <c r="L338" s="585">
        <f t="shared" si="172"/>
        <v>1.3651329198193507E-2</v>
      </c>
      <c r="M338" s="584">
        <f t="shared" si="173"/>
        <v>1.0228448650429673</v>
      </c>
      <c r="N338" s="585">
        <f t="shared" si="174"/>
        <v>-0.21174641162894467</v>
      </c>
      <c r="O338" s="583">
        <f t="shared" si="175"/>
        <v>45718.919262373995</v>
      </c>
      <c r="P338" s="586">
        <f t="shared" si="176"/>
        <v>1.5707744540118953</v>
      </c>
      <c r="Q338" s="595">
        <f t="shared" si="166"/>
        <v>19.075778970185013</v>
      </c>
      <c r="R338" s="596">
        <f t="shared" si="167"/>
        <v>1.5183497877238858</v>
      </c>
      <c r="S338" s="583">
        <f t="shared" si="177"/>
        <v>1.0080318633261849</v>
      </c>
      <c r="T338" s="586">
        <f t="shared" si="178"/>
        <v>0.12632078372947603</v>
      </c>
      <c r="U338" s="587">
        <f t="shared" si="190"/>
        <v>0.96784657022927501</v>
      </c>
      <c r="V338" s="588">
        <f t="shared" si="191"/>
        <v>-0.31246686579199179</v>
      </c>
      <c r="W338" s="589">
        <f t="shared" si="179"/>
        <v>1.2721362561004899</v>
      </c>
      <c r="X338" s="590">
        <f t="shared" si="180"/>
        <v>-127.17128415094984</v>
      </c>
      <c r="Y338" s="593">
        <f t="shared" si="181"/>
        <v>52.828715849050155</v>
      </c>
      <c r="AA338" s="150">
        <f t="shared" si="182"/>
        <v>1000000000</v>
      </c>
      <c r="AB338" s="150">
        <f t="shared" si="183"/>
        <v>638332857.5625</v>
      </c>
      <c r="AD338" s="592">
        <f t="shared" si="184"/>
        <v>27.546690985368024</v>
      </c>
      <c r="AE338" s="593">
        <f t="shared" si="185"/>
        <v>-10.241359904870981</v>
      </c>
      <c r="AG338" s="592">
        <f t="shared" si="186"/>
        <v>-0.31887238867505818</v>
      </c>
      <c r="AH338" s="593">
        <f t="shared" si="187"/>
        <v>-81.123858910040752</v>
      </c>
      <c r="AJ338" s="150">
        <f t="shared" si="188"/>
        <v>0</v>
      </c>
      <c r="AK338" s="150">
        <f t="shared" si="168"/>
        <v>0</v>
      </c>
      <c r="AM338" s="150" t="str">
        <f t="shared" si="192"/>
        <v>0.10110738734883+0.438168998128752i</v>
      </c>
      <c r="AN338" s="150" t="str">
        <f t="shared" si="193"/>
        <v>0.4535607068595i</v>
      </c>
      <c r="AO338" s="150" t="str">
        <f t="shared" si="194"/>
        <v>0.966064721881836-0.222919194321104i</v>
      </c>
      <c r="AP338" s="150" t="str">
        <f t="shared" si="195"/>
        <v>0.149815435441862-0.073028166354792i</v>
      </c>
      <c r="AQ338" s="150" t="str">
        <f t="shared" si="196"/>
        <v>0.850184564558138+0.073028166354792i</v>
      </c>
      <c r="AR338" s="150" t="str">
        <f t="shared" si="197"/>
        <v>0.972611070062505-0.0835442161431758i</v>
      </c>
    </row>
    <row r="339" spans="7:44" x14ac:dyDescent="0.25">
      <c r="G339" s="594">
        <v>25411.5</v>
      </c>
      <c r="H339" s="582">
        <f t="shared" si="189"/>
        <v>25.4115</v>
      </c>
      <c r="I339" s="583">
        <f t="shared" si="169"/>
        <v>24.812610970788317</v>
      </c>
      <c r="J339" s="584">
        <f t="shared" si="170"/>
        <v>1.5304833218904665</v>
      </c>
      <c r="K339" s="584">
        <f t="shared" si="171"/>
        <v>1.0000942685389096</v>
      </c>
      <c r="L339" s="585">
        <f t="shared" si="172"/>
        <v>1.3730341149493694E-2</v>
      </c>
      <c r="M339" s="584">
        <f t="shared" si="173"/>
        <v>1.0231071136366487</v>
      </c>
      <c r="N339" s="585">
        <f t="shared" si="174"/>
        <v>-0.21293550810122941</v>
      </c>
      <c r="O339" s="583">
        <f t="shared" si="175"/>
        <v>45983.567027147044</v>
      </c>
      <c r="P339" s="586">
        <f t="shared" si="176"/>
        <v>1.5707745798956296</v>
      </c>
      <c r="Q339" s="595">
        <f t="shared" si="166"/>
        <v>19.185898121425438</v>
      </c>
      <c r="R339" s="596">
        <f t="shared" si="167"/>
        <v>1.5186510831782831</v>
      </c>
      <c r="S339" s="583">
        <f t="shared" si="177"/>
        <v>1.0081247428705487</v>
      </c>
      <c r="T339" s="586">
        <f t="shared" si="178"/>
        <v>0.12704418161232706</v>
      </c>
      <c r="U339" s="587">
        <f t="shared" si="190"/>
        <v>0.96749450974332074</v>
      </c>
      <c r="V339" s="588">
        <f t="shared" si="191"/>
        <v>-0.31421917079112616</v>
      </c>
      <c r="W339" s="589">
        <f t="shared" si="179"/>
        <v>1.220222840095617</v>
      </c>
      <c r="X339" s="590">
        <f t="shared" si="180"/>
        <v>-127.37283455044378</v>
      </c>
      <c r="Y339" s="593">
        <f t="shared" si="181"/>
        <v>52.627165449556216</v>
      </c>
      <c r="AA339" s="150">
        <f t="shared" si="182"/>
        <v>1000000000</v>
      </c>
      <c r="AB339" s="150">
        <f t="shared" si="183"/>
        <v>645744332.25</v>
      </c>
      <c r="AD339" s="592">
        <f t="shared" si="184"/>
        <v>27.545753724550138</v>
      </c>
      <c r="AE339" s="593">
        <f t="shared" si="185"/>
        <v>-10.265551805177939</v>
      </c>
      <c r="AG339" s="592">
        <f t="shared" si="186"/>
        <v>-0.36352829655825153</v>
      </c>
      <c r="AH339" s="593">
        <f t="shared" si="187"/>
        <v>-81.100418047258174</v>
      </c>
      <c r="AJ339" s="150">
        <f t="shared" si="188"/>
        <v>0</v>
      </c>
      <c r="AK339" s="150">
        <f t="shared" si="168"/>
        <v>0</v>
      </c>
      <c r="AM339" s="150" t="str">
        <f t="shared" si="192"/>
        <v>0.102260885359331+0.44052750429932i</v>
      </c>
      <c r="AN339" s="150" t="str">
        <f t="shared" si="193"/>
        <v>0.456186180717i</v>
      </c>
      <c r="AO339" s="150" t="str">
        <f t="shared" si="194"/>
        <v>0.965674811996565-0.224164803060463i</v>
      </c>
      <c r="AP339" s="150" t="str">
        <f t="shared" si="195"/>
        <v>0.149623185773445-0.0734212507165533i</v>
      </c>
      <c r="AQ339" s="150" t="str">
        <f t="shared" si="196"/>
        <v>0.850376814226555+0.0734212507165533i</v>
      </c>
      <c r="AR339" s="150" t="str">
        <f t="shared" si="197"/>
        <v>0.972317569554749-0.0839495748897145i</v>
      </c>
    </row>
    <row r="340" spans="7:44" x14ac:dyDescent="0.25">
      <c r="G340" s="594">
        <v>25557.75</v>
      </c>
      <c r="H340" s="582">
        <f t="shared" si="189"/>
        <v>25.557749999999999</v>
      </c>
      <c r="I340" s="583">
        <f t="shared" si="169"/>
        <v>24.955182917005185</v>
      </c>
      <c r="J340" s="584">
        <f t="shared" si="170"/>
        <v>1.5307137586872523</v>
      </c>
      <c r="K340" s="584">
        <f t="shared" si="171"/>
        <v>1.0000953566909625</v>
      </c>
      <c r="L340" s="585">
        <f t="shared" si="172"/>
        <v>1.3809352929349506E-2</v>
      </c>
      <c r="M340" s="584">
        <f t="shared" si="173"/>
        <v>1.0233708081104491</v>
      </c>
      <c r="N340" s="585">
        <f t="shared" si="174"/>
        <v>-0.21412399345842686</v>
      </c>
      <c r="O340" s="583">
        <f t="shared" si="175"/>
        <v>46248.214791920829</v>
      </c>
      <c r="P340" s="586">
        <f t="shared" si="176"/>
        <v>1.5707747043386662</v>
      </c>
      <c r="Q340" s="595">
        <f t="shared" si="166"/>
        <v>19.296018994462578</v>
      </c>
      <c r="R340" s="596">
        <f t="shared" si="167"/>
        <v>1.5189489397202194</v>
      </c>
      <c r="S340" s="583">
        <f t="shared" si="177"/>
        <v>1.008218149873763</v>
      </c>
      <c r="T340" s="586">
        <f t="shared" si="178"/>
        <v>0.12776744583430558</v>
      </c>
      <c r="U340" s="587">
        <f t="shared" si="190"/>
        <v>0.96714078219640509</v>
      </c>
      <c r="V340" s="588">
        <f t="shared" si="191"/>
        <v>-0.31597054873556413</v>
      </c>
      <c r="W340" s="589">
        <f t="shared" si="179"/>
        <v>1.1685892358531054</v>
      </c>
      <c r="X340" s="590">
        <f t="shared" si="180"/>
        <v>-127.57433351928562</v>
      </c>
      <c r="Y340" s="593">
        <f t="shared" si="181"/>
        <v>52.425666480714384</v>
      </c>
      <c r="AA340" s="150">
        <f t="shared" si="182"/>
        <v>1000000000</v>
      </c>
      <c r="AB340" s="150">
        <f t="shared" si="183"/>
        <v>653198585.0625</v>
      </c>
      <c r="AD340" s="592">
        <f t="shared" si="184"/>
        <v>27.544814334016074</v>
      </c>
      <c r="AE340" s="593">
        <f t="shared" si="185"/>
        <v>-10.289932999905458</v>
      </c>
      <c r="AG340" s="592">
        <f t="shared" si="186"/>
        <v>-0.40787001895943392</v>
      </c>
      <c r="AH340" s="593">
        <f t="shared" si="187"/>
        <v>-81.076842692045958</v>
      </c>
      <c r="AJ340" s="150">
        <f t="shared" si="188"/>
        <v>0</v>
      </c>
      <c r="AK340" s="150">
        <f t="shared" si="168"/>
        <v>0</v>
      </c>
      <c r="AM340" s="150" t="str">
        <f t="shared" si="192"/>
        <v>0.103420571583417+0.442882973865775i</v>
      </c>
      <c r="AN340" s="150" t="str">
        <f t="shared" si="193"/>
        <v>0.4588116545745i</v>
      </c>
      <c r="AO340" s="150" t="str">
        <f t="shared" si="194"/>
        <v>0.965282746090011-0.22540964370081i</v>
      </c>
      <c r="AP340" s="150" t="str">
        <f t="shared" si="195"/>
        <v>0.149429904736097-0.0738138289776292i</v>
      </c>
      <c r="AQ340" s="150" t="str">
        <f t="shared" si="196"/>
        <v>0.850570095263903+0.0738138289776292i</v>
      </c>
      <c r="AR340" s="150" t="str">
        <f t="shared" si="197"/>
        <v>0.972022806629177-0.0843536889086373i</v>
      </c>
    </row>
    <row r="341" spans="7:44" x14ac:dyDescent="0.25">
      <c r="G341" s="594">
        <v>25704</v>
      </c>
      <c r="H341" s="582">
        <f t="shared" si="189"/>
        <v>25.704000000000001</v>
      </c>
      <c r="I341" s="583">
        <f t="shared" si="169"/>
        <v>25.097756173314664</v>
      </c>
      <c r="J341" s="584">
        <f t="shared" si="170"/>
        <v>1.5309415774034505</v>
      </c>
      <c r="K341" s="584">
        <f t="shared" si="171"/>
        <v>1.0000964510864585</v>
      </c>
      <c r="L341" s="585">
        <f t="shared" si="172"/>
        <v>1.3888364536774979E-2</v>
      </c>
      <c r="M341" s="584">
        <f t="shared" si="173"/>
        <v>1.0236359473469672</v>
      </c>
      <c r="N341" s="585">
        <f t="shared" si="174"/>
        <v>-0.21531186481665485</v>
      </c>
      <c r="O341" s="583">
        <f t="shared" si="175"/>
        <v>46512.862556695312</v>
      </c>
      <c r="P341" s="586">
        <f t="shared" si="176"/>
        <v>1.5707748273655966</v>
      </c>
      <c r="Q341" s="595">
        <f t="shared" si="166"/>
        <v>19.406141559985223</v>
      </c>
      <c r="R341" s="596">
        <f t="shared" si="167"/>
        <v>1.5192434158399994</v>
      </c>
      <c r="S341" s="583">
        <f t="shared" si="177"/>
        <v>1.0083120841892419</v>
      </c>
      <c r="T341" s="586">
        <f t="shared" si="178"/>
        <v>0.12849057567596789</v>
      </c>
      <c r="U341" s="587">
        <f t="shared" si="190"/>
        <v>0.96678539324240031</v>
      </c>
      <c r="V341" s="588">
        <f t="shared" si="191"/>
        <v>-0.31772099565667705</v>
      </c>
      <c r="W341" s="589">
        <f t="shared" si="179"/>
        <v>1.1172321561144387</v>
      </c>
      <c r="X341" s="590">
        <f t="shared" si="180"/>
        <v>-127.77577987314272</v>
      </c>
      <c r="Y341" s="593">
        <f t="shared" si="181"/>
        <v>52.224220126857276</v>
      </c>
      <c r="AA341" s="150">
        <f t="shared" si="182"/>
        <v>1000000000</v>
      </c>
      <c r="AB341" s="150">
        <f t="shared" si="183"/>
        <v>660695616</v>
      </c>
      <c r="AD341" s="592">
        <f t="shared" si="184"/>
        <v>27.543872763276443</v>
      </c>
      <c r="AE341" s="593">
        <f t="shared" si="185"/>
        <v>-10.314500097993838</v>
      </c>
      <c r="AG341" s="592">
        <f t="shared" si="186"/>
        <v>-0.4519008596975515</v>
      </c>
      <c r="AH341" s="593">
        <f t="shared" si="187"/>
        <v>-81.053135505902574</v>
      </c>
      <c r="AJ341" s="150">
        <f t="shared" si="188"/>
        <v>0</v>
      </c>
      <c r="AK341" s="150">
        <f t="shared" si="168"/>
        <v>0</v>
      </c>
      <c r="AM341" s="150" t="str">
        <f t="shared" si="192"/>
        <v>0.104586438027245+0.44523539059161i</v>
      </c>
      <c r="AN341" s="150" t="str">
        <f t="shared" si="193"/>
        <v>0.461437128432i</v>
      </c>
      <c r="AO341" s="150" t="str">
        <f t="shared" si="194"/>
        <v>0.964888525777185-0.226653712029281i</v>
      </c>
      <c r="AP341" s="150" t="str">
        <f t="shared" si="195"/>
        <v>0.149235593662126-0.074205898431935i</v>
      </c>
      <c r="AQ341" s="150" t="str">
        <f t="shared" si="196"/>
        <v>0.850764406337874+0.074205898431935i</v>
      </c>
      <c r="AR341" s="150" t="str">
        <f t="shared" si="197"/>
        <v>0.971726787822863-0.08475655396911i</v>
      </c>
    </row>
    <row r="342" spans="7:44" x14ac:dyDescent="0.25">
      <c r="G342" s="594">
        <v>25853.75</v>
      </c>
      <c r="H342" s="582">
        <f t="shared" si="189"/>
        <v>25.853750000000002</v>
      </c>
      <c r="I342" s="583">
        <f t="shared" si="169"/>
        <v>25.243742773489224</v>
      </c>
      <c r="J342" s="584">
        <f t="shared" si="170"/>
        <v>1.5311721816857939</v>
      </c>
      <c r="K342" s="584">
        <f t="shared" si="171"/>
        <v>1.0000975781419492</v>
      </c>
      <c r="L342" s="585">
        <f t="shared" si="172"/>
        <v>1.3969266840576302E-2</v>
      </c>
      <c r="M342" s="584">
        <f t="shared" si="173"/>
        <v>1.0239089276634197</v>
      </c>
      <c r="N342" s="585">
        <f t="shared" si="174"/>
        <v>-0.21652752464806618</v>
      </c>
      <c r="O342" s="583">
        <f t="shared" si="175"/>
        <v>46783.84377225145</v>
      </c>
      <c r="P342" s="586">
        <f t="shared" si="176"/>
        <v>1.5707749518945155</v>
      </c>
      <c r="Q342" s="595">
        <f t="shared" si="166"/>
        <v>19.518901261138875</v>
      </c>
      <c r="R342" s="596">
        <f t="shared" si="167"/>
        <v>1.5195414962186278</v>
      </c>
      <c r="S342" s="583">
        <f t="shared" si="177"/>
        <v>1.0084088127439428</v>
      </c>
      <c r="T342" s="586">
        <f t="shared" si="178"/>
        <v>0.1292308711957971</v>
      </c>
      <c r="U342" s="587">
        <f t="shared" si="190"/>
        <v>0.96641978365192505</v>
      </c>
      <c r="V342" s="588">
        <f t="shared" si="191"/>
        <v>-0.31951236478057771</v>
      </c>
      <c r="W342" s="589">
        <f t="shared" si="179"/>
        <v>1.0649291742846712</v>
      </c>
      <c r="X342" s="590">
        <f t="shared" si="180"/>
        <v>-127.98199142915564</v>
      </c>
      <c r="Y342" s="593">
        <f t="shared" si="181"/>
        <v>52.018008570844358</v>
      </c>
      <c r="AA342" s="150">
        <f t="shared" si="182"/>
        <v>1000000000</v>
      </c>
      <c r="AB342" s="150">
        <f t="shared" si="183"/>
        <v>668416389.0625</v>
      </c>
      <c r="AD342" s="592">
        <f t="shared" si="184"/>
        <v>27.542906348972625</v>
      </c>
      <c r="AE342" s="593">
        <f t="shared" si="185"/>
        <v>-10.339844294231863</v>
      </c>
      <c r="AG342" s="592">
        <f t="shared" si="186"/>
        <v>-0.49666669250935969</v>
      </c>
      <c r="AH342" s="593">
        <f t="shared" si="187"/>
        <v>-81.028727084743807</v>
      </c>
      <c r="AJ342" s="150">
        <f t="shared" si="188"/>
        <v>0</v>
      </c>
      <c r="AK342" s="150">
        <f t="shared" si="168"/>
        <v>0</v>
      </c>
      <c r="AM342" s="150" t="str">
        <f t="shared" si="192"/>
        <v>0.105786600997994+0.447640924229767i</v>
      </c>
      <c r="AN342" s="150" t="str">
        <f t="shared" si="193"/>
        <v>0.4641254341425i</v>
      </c>
      <c r="AO342" s="150" t="str">
        <f t="shared" si="194"/>
        <v>0.96448264046725-0.227926748279678i</v>
      </c>
      <c r="AP342" s="150" t="str">
        <f t="shared" si="195"/>
        <v>0.149035566500334-0.0746068207049612i</v>
      </c>
      <c r="AQ342" s="150" t="str">
        <f t="shared" si="196"/>
        <v>0.850964433499666+0.0746068207049612i</v>
      </c>
      <c r="AR342" s="150" t="str">
        <f t="shared" si="197"/>
        <v>0.971422390324734-0.0851677617191162i</v>
      </c>
    </row>
    <row r="343" spans="7:44" x14ac:dyDescent="0.25">
      <c r="G343" s="594">
        <v>26003.5</v>
      </c>
      <c r="H343" s="582">
        <f t="shared" si="189"/>
        <v>26.003499999999999</v>
      </c>
      <c r="I343" s="583">
        <f t="shared" si="169"/>
        <v>25.389730700646584</v>
      </c>
      <c r="J343" s="584">
        <f t="shared" si="170"/>
        <v>1.5314001340858345</v>
      </c>
      <c r="K343" s="584">
        <f t="shared" si="171"/>
        <v>1.0000987117432465</v>
      </c>
      <c r="L343" s="585">
        <f t="shared" si="172"/>
        <v>1.4050168961503337E-2</v>
      </c>
      <c r="M343" s="584">
        <f t="shared" si="173"/>
        <v>1.0241834203340765</v>
      </c>
      <c r="N343" s="585">
        <f t="shared" si="174"/>
        <v>-0.21774253465325147</v>
      </c>
      <c r="O343" s="583">
        <f t="shared" si="175"/>
        <v>47054.824987808308</v>
      </c>
      <c r="P343" s="586">
        <f t="shared" si="176"/>
        <v>1.5707750749891503</v>
      </c>
      <c r="Q343" s="595">
        <f t="shared" ref="Q343:Q406" si="198">SQRT(1+(G343/Zero2)^2)</f>
        <v>19.631662676661399</v>
      </c>
      <c r="R343" s="596">
        <f t="shared" ref="R343:R406" si="199">ATAN(G343/Zero2)</f>
        <v>1.5198361523624928</v>
      </c>
      <c r="S343" s="583">
        <f t="shared" si="177"/>
        <v>1.0085060938382566</v>
      </c>
      <c r="T343" s="586">
        <f t="shared" si="178"/>
        <v>0.12997102430250546</v>
      </c>
      <c r="U343" s="587">
        <f t="shared" si="190"/>
        <v>0.96605244422924885</v>
      </c>
      <c r="V343" s="588">
        <f t="shared" si="191"/>
        <v>-0.32130274943116927</v>
      </c>
      <c r="W343" s="589">
        <f t="shared" si="179"/>
        <v>1.0129093154544713</v>
      </c>
      <c r="X343" s="590">
        <f t="shared" si="180"/>
        <v>-128.18814536786766</v>
      </c>
      <c r="Y343" s="593">
        <f t="shared" si="181"/>
        <v>51.811854632132338</v>
      </c>
      <c r="AA343" s="150">
        <f t="shared" si="182"/>
        <v>1000000000</v>
      </c>
      <c r="AB343" s="150">
        <f t="shared" si="183"/>
        <v>676182012.25</v>
      </c>
      <c r="AD343" s="592">
        <f t="shared" si="184"/>
        <v>27.541937546502595</v>
      </c>
      <c r="AE343" s="593">
        <f t="shared" si="185"/>
        <v>-10.365376442820908</v>
      </c>
      <c r="AG343" s="592">
        <f t="shared" si="186"/>
        <v>-0.54111342167150323</v>
      </c>
      <c r="AH343" s="593">
        <f t="shared" si="187"/>
        <v>-81.004185906264581</v>
      </c>
      <c r="AJ343" s="150">
        <f t="shared" si="188"/>
        <v>0</v>
      </c>
      <c r="AK343" s="150">
        <f t="shared" si="168"/>
        <v>0</v>
      </c>
      <c r="AM343" s="150" t="str">
        <f t="shared" si="192"/>
        <v>0.106993226433992+0.450043222774467i</v>
      </c>
      <c r="AN343" s="150" t="str">
        <f t="shared" si="193"/>
        <v>0.466813739853i</v>
      </c>
      <c r="AO343" s="150" t="str">
        <f t="shared" si="194"/>
        <v>0.964074499855523-0.229198965882376i</v>
      </c>
      <c r="AP343" s="150" t="str">
        <f t="shared" si="195"/>
        <v>0.148834462261001-0.0750072037957445i</v>
      </c>
      <c r="AQ343" s="150" t="str">
        <f t="shared" si="196"/>
        <v>0.851165537738999+0.0750072037957445i</v>
      </c>
      <c r="AR343" s="150" t="str">
        <f t="shared" si="197"/>
        <v>0.971116690031696-0.0855776511724704i</v>
      </c>
    </row>
    <row r="344" spans="7:44" x14ac:dyDescent="0.25">
      <c r="G344" s="594">
        <v>26153.25</v>
      </c>
      <c r="H344" s="582">
        <f t="shared" si="189"/>
        <v>26.15325</v>
      </c>
      <c r="I344" s="583">
        <f t="shared" si="169"/>
        <v>25.535719932027625</v>
      </c>
      <c r="J344" s="584">
        <f t="shared" si="170"/>
        <v>1.5316254800625846</v>
      </c>
      <c r="K344" s="584">
        <f t="shared" si="171"/>
        <v>1.0000998518903279</v>
      </c>
      <c r="L344" s="585">
        <f t="shared" si="172"/>
        <v>1.4131070898497669E-2</v>
      </c>
      <c r="M344" s="584">
        <f t="shared" si="173"/>
        <v>1.0244594241432812</v>
      </c>
      <c r="N344" s="585">
        <f t="shared" si="174"/>
        <v>-0.21895689176868438</v>
      </c>
      <c r="O344" s="583">
        <f t="shared" si="175"/>
        <v>47325.806203365864</v>
      </c>
      <c r="P344" s="586">
        <f t="shared" si="176"/>
        <v>1.5707751966741381</v>
      </c>
      <c r="Q344" s="595">
        <f t="shared" si="198"/>
        <v>19.744425777180261</v>
      </c>
      <c r="R344" s="596">
        <f t="shared" si="199"/>
        <v>1.5201274428887963</v>
      </c>
      <c r="S344" s="583">
        <f t="shared" si="177"/>
        <v>1.008603927312304</v>
      </c>
      <c r="T344" s="586">
        <f t="shared" si="178"/>
        <v>0.13071103422646743</v>
      </c>
      <c r="U344" s="587">
        <f t="shared" si="190"/>
        <v>0.96568338109360841</v>
      </c>
      <c r="V344" s="588">
        <f t="shared" si="191"/>
        <v>-0.323092145415385</v>
      </c>
      <c r="W344" s="589">
        <f t="shared" si="179"/>
        <v>0.961169230693671</v>
      </c>
      <c r="X344" s="590">
        <f t="shared" si="180"/>
        <v>-128.39424047697392</v>
      </c>
      <c r="Y344" s="593">
        <f t="shared" si="181"/>
        <v>51.60575952302608</v>
      </c>
      <c r="AA344" s="150">
        <f t="shared" si="182"/>
        <v>1000000000</v>
      </c>
      <c r="AB344" s="150">
        <f t="shared" si="183"/>
        <v>683992485.5625</v>
      </c>
      <c r="AD344" s="592">
        <f t="shared" si="184"/>
        <v>27.540966306402023</v>
      </c>
      <c r="AE344" s="593">
        <f t="shared" si="185"/>
        <v>-10.391093142558015</v>
      </c>
      <c r="AG344" s="592">
        <f t="shared" si="186"/>
        <v>-0.58524441934948779</v>
      </c>
      <c r="AH344" s="593">
        <f t="shared" si="187"/>
        <v>-80.979514639852979</v>
      </c>
      <c r="AJ344" s="150">
        <f t="shared" si="188"/>
        <v>0</v>
      </c>
      <c r="AK344" s="150">
        <f t="shared" si="168"/>
        <v>0</v>
      </c>
      <c r="AM344" s="150" t="str">
        <f t="shared" si="192"/>
        <v>0.108206305614976+0.452442268864338i</v>
      </c>
      <c r="AN344" s="150" t="str">
        <f t="shared" si="193"/>
        <v>0.4695020455635i</v>
      </c>
      <c r="AO344" s="150" t="str">
        <f t="shared" si="194"/>
        <v>0.963664105704403-0.230470360326345i</v>
      </c>
      <c r="AP344" s="150" t="str">
        <f t="shared" si="195"/>
        <v>0.148632282397504-0.075407044810723i</v>
      </c>
      <c r="AQ344" s="150" t="str">
        <f t="shared" si="196"/>
        <v>0.851367717602496+0.075407044810723i</v>
      </c>
      <c r="AR344" s="150" t="str">
        <f t="shared" si="197"/>
        <v>0.970809694005639-0.0859862179232257i</v>
      </c>
    </row>
    <row r="345" spans="7:44" x14ac:dyDescent="0.25">
      <c r="G345" s="594">
        <v>26303</v>
      </c>
      <c r="H345" s="582">
        <f t="shared" si="189"/>
        <v>26.303000000000001</v>
      </c>
      <c r="I345" s="583">
        <f t="shared" si="169"/>
        <v>25.681710445390529</v>
      </c>
      <c r="J345" s="584">
        <f t="shared" si="170"/>
        <v>1.5318482640424611</v>
      </c>
      <c r="K345" s="584">
        <f t="shared" si="171"/>
        <v>1.0001009985831717</v>
      </c>
      <c r="L345" s="585">
        <f t="shared" si="172"/>
        <v>1.4211972650500905E-2</v>
      </c>
      <c r="M345" s="584">
        <f t="shared" si="173"/>
        <v>1.0247369378699982</v>
      </c>
      <c r="N345" s="585">
        <f t="shared" si="174"/>
        <v>-0.22017059294183247</v>
      </c>
      <c r="O345" s="583">
        <f t="shared" si="175"/>
        <v>47596.787418924112</v>
      </c>
      <c r="P345" s="586">
        <f t="shared" si="176"/>
        <v>1.5707753169735557</v>
      </c>
      <c r="Q345" s="595">
        <f t="shared" si="198"/>
        <v>19.857190533989669</v>
      </c>
      <c r="R345" s="596">
        <f t="shared" si="199"/>
        <v>1.5204154250855568</v>
      </c>
      <c r="S345" s="583">
        <f t="shared" si="177"/>
        <v>1.0087023130053598</v>
      </c>
      <c r="T345" s="586">
        <f t="shared" si="178"/>
        <v>0.13145090019898259</v>
      </c>
      <c r="U345" s="587">
        <f t="shared" si="190"/>
        <v>0.96531260038047939</v>
      </c>
      <c r="V345" s="588">
        <f t="shared" si="191"/>
        <v>-0.32488054856297399</v>
      </c>
      <c r="W345" s="589">
        <f t="shared" si="179"/>
        <v>0.90970562904297214</v>
      </c>
      <c r="X345" s="590">
        <f t="shared" si="180"/>
        <v>-128.6002755631207</v>
      </c>
      <c r="Y345" s="593">
        <f t="shared" si="181"/>
        <v>51.399724436879296</v>
      </c>
      <c r="AA345" s="150">
        <f t="shared" si="182"/>
        <v>1000000000</v>
      </c>
      <c r="AB345" s="150">
        <f t="shared" si="183"/>
        <v>691847809</v>
      </c>
      <c r="AD345" s="592">
        <f t="shared" si="184"/>
        <v>27.539992580698605</v>
      </c>
      <c r="AE345" s="593">
        <f t="shared" si="185"/>
        <v>-10.416991068417683</v>
      </c>
      <c r="AG345" s="592">
        <f t="shared" si="186"/>
        <v>-0.62906300146780125</v>
      </c>
      <c r="AH345" s="593">
        <f t="shared" si="187"/>
        <v>-80.954715895056381</v>
      </c>
      <c r="AJ345" s="150">
        <f t="shared" si="188"/>
        <v>0</v>
      </c>
      <c r="AK345" s="150">
        <f t="shared" si="168"/>
        <v>0</v>
      </c>
      <c r="AM345" s="150" t="str">
        <f t="shared" si="192"/>
        <v>0.109425829774043+0.454838045161514i</v>
      </c>
      <c r="AN345" s="150" t="str">
        <f t="shared" si="193"/>
        <v>0.472190351274i</v>
      </c>
      <c r="AO345" s="150" t="str">
        <f t="shared" si="194"/>
        <v>0.963251459785935-0.231740927104514i</v>
      </c>
      <c r="AP345" s="150" t="str">
        <f t="shared" si="195"/>
        <v>0.148429028370993-0.0758063408602523i</v>
      </c>
      <c r="AQ345" s="150" t="str">
        <f t="shared" si="196"/>
        <v>0.851570971629007+0.0758063408602523i</v>
      </c>
      <c r="AR345" s="150" t="str">
        <f t="shared" si="197"/>
        <v>0.970501409322662-0.0863934576113291i</v>
      </c>
    </row>
    <row r="346" spans="7:44" x14ac:dyDescent="0.25">
      <c r="G346" s="594">
        <v>26456</v>
      </c>
      <c r="H346" s="582">
        <f t="shared" si="189"/>
        <v>26.456</v>
      </c>
      <c r="I346" s="583">
        <f t="shared" si="169"/>
        <v>25.830870668629903</v>
      </c>
      <c r="J346" s="584">
        <f t="shared" si="170"/>
        <v>1.5320732822285201</v>
      </c>
      <c r="K346" s="584">
        <f t="shared" si="171"/>
        <v>1.0001021769228768</v>
      </c>
      <c r="L346" s="585">
        <f t="shared" si="172"/>
        <v>1.4294630007969013E-2</v>
      </c>
      <c r="M346" s="584">
        <f t="shared" si="173"/>
        <v>1.0250220325837425</v>
      </c>
      <c r="N346" s="585">
        <f t="shared" si="174"/>
        <v>-0.22140995426062321</v>
      </c>
      <c r="O346" s="583">
        <f t="shared" si="175"/>
        <v>47873.649695922555</v>
      </c>
      <c r="P346" s="586">
        <f t="shared" si="176"/>
        <v>1.570775438477285</v>
      </c>
      <c r="Q346" s="595">
        <f t="shared" si="198"/>
        <v>19.972404287471402</v>
      </c>
      <c r="R346" s="596">
        <f t="shared" si="199"/>
        <v>1.5207062987480318</v>
      </c>
      <c r="S346" s="583">
        <f t="shared" si="177"/>
        <v>1.0088034041052401</v>
      </c>
      <c r="T346" s="586">
        <f t="shared" si="178"/>
        <v>0.1322066738926298</v>
      </c>
      <c r="U346" s="587">
        <f t="shared" si="190"/>
        <v>0.96493200517633515</v>
      </c>
      <c r="V346" s="588">
        <f t="shared" si="191"/>
        <v>-0.32670673542872292</v>
      </c>
      <c r="W346" s="589">
        <f t="shared" si="179"/>
        <v>0.85740730589090919</v>
      </c>
      <c r="X346" s="590">
        <f t="shared" si="180"/>
        <v>-128.8107189822081</v>
      </c>
      <c r="Y346" s="593">
        <f t="shared" si="181"/>
        <v>51.189281017791899</v>
      </c>
      <c r="AA346" s="150">
        <f t="shared" si="182"/>
        <v>1000000000</v>
      </c>
      <c r="AB346" s="150">
        <f t="shared" si="183"/>
        <v>699919936</v>
      </c>
      <c r="AD346" s="592">
        <f t="shared" si="184"/>
        <v>27.538995106883092</v>
      </c>
      <c r="AE346" s="593">
        <f t="shared" si="185"/>
        <v>-10.443634839780684</v>
      </c>
      <c r="AG346" s="592">
        <f t="shared" si="186"/>
        <v>-0.67351330352489913</v>
      </c>
      <c r="AH346" s="593">
        <f t="shared" si="187"/>
        <v>-80.929249942522375</v>
      </c>
      <c r="AJ346" s="150">
        <f t="shared" si="188"/>
        <v>0</v>
      </c>
      <c r="AK346" s="150">
        <f t="shared" ref="AK346:AK409" si="200">IF(AJ346&gt;0,Y346,0)</f>
        <v>0</v>
      </c>
      <c r="AM346" s="150" t="str">
        <f t="shared" si="192"/>
        <v>0.110678468207255+0.457282421584087i</v>
      </c>
      <c r="AN346" s="150" t="str">
        <f t="shared" si="193"/>
        <v>0.474937000848i</v>
      </c>
      <c r="AO346" s="150" t="str">
        <f t="shared" si="194"/>
        <v>0.962827534531126-0.233038209298578i</v>
      </c>
      <c r="AP346" s="150" t="str">
        <f t="shared" si="195"/>
        <v>0.148220255298791-0.0762137369306812i</v>
      </c>
      <c r="AQ346" s="150" t="str">
        <f t="shared" si="196"/>
        <v>0.851779744701209+0.0762137369306812i</v>
      </c>
      <c r="AR346" s="150" t="str">
        <f t="shared" si="197"/>
        <v>0.97018511045094-0.0868081604921344i</v>
      </c>
    </row>
    <row r="347" spans="7:44" x14ac:dyDescent="0.25">
      <c r="G347" s="594">
        <v>26609</v>
      </c>
      <c r="H347" s="582">
        <f t="shared" si="189"/>
        <v>26.609000000000002</v>
      </c>
      <c r="I347" s="583">
        <f t="shared" si="169"/>
        <v>25.980032184750282</v>
      </c>
      <c r="J347" s="584">
        <f t="shared" si="170"/>
        <v>1.5322957165910764</v>
      </c>
      <c r="K347" s="584">
        <f t="shared" si="171"/>
        <v>1.0001033620955029</v>
      </c>
      <c r="L347" s="585">
        <f t="shared" si="172"/>
        <v>1.4377287170095628E-2</v>
      </c>
      <c r="M347" s="584">
        <f t="shared" si="173"/>
        <v>1.0253087008712336</v>
      </c>
      <c r="N347" s="585">
        <f t="shared" si="174"/>
        <v>-0.22264862444969941</v>
      </c>
      <c r="O347" s="583">
        <f t="shared" si="175"/>
        <v>48150.511972921711</v>
      </c>
      <c r="P347" s="586">
        <f t="shared" si="176"/>
        <v>1.5707755585837375</v>
      </c>
      <c r="Q347" s="595">
        <f t="shared" si="198"/>
        <v>20.087619711383923</v>
      </c>
      <c r="R347" s="596">
        <f t="shared" si="199"/>
        <v>1.5209938357393835</v>
      </c>
      <c r="S347" s="583">
        <f t="shared" si="177"/>
        <v>1.0089050713117811</v>
      </c>
      <c r="T347" s="586">
        <f t="shared" si="178"/>
        <v>0.132962295699417</v>
      </c>
      <c r="U347" s="587">
        <f t="shared" si="190"/>
        <v>0.96454963003216099</v>
      </c>
      <c r="V347" s="588">
        <f t="shared" si="191"/>
        <v>-0.32853187716755639</v>
      </c>
      <c r="W347" s="589">
        <f t="shared" si="179"/>
        <v>0.80539083117924237</v>
      </c>
      <c r="X347" s="590">
        <f t="shared" si="180"/>
        <v>-129.02109728476776</v>
      </c>
      <c r="Y347" s="593">
        <f t="shared" si="181"/>
        <v>50.978902715232238</v>
      </c>
      <c r="AA347" s="150">
        <f t="shared" si="182"/>
        <v>1000000000</v>
      </c>
      <c r="AB347" s="150">
        <f t="shared" si="183"/>
        <v>708038881</v>
      </c>
      <c r="AD347" s="592">
        <f t="shared" si="184"/>
        <v>27.537994941714707</v>
      </c>
      <c r="AE347" s="593">
        <f t="shared" si="185"/>
        <v>-10.470461005782775</v>
      </c>
      <c r="AG347" s="592">
        <f t="shared" si="186"/>
        <v>-0.71764430608104446</v>
      </c>
      <c r="AH347" s="593">
        <f t="shared" si="187"/>
        <v>-80.903656241544311</v>
      </c>
      <c r="AJ347" s="150">
        <f t="shared" si="188"/>
        <v>0</v>
      </c>
      <c r="AK347" s="150">
        <f t="shared" si="200"/>
        <v>0</v>
      </c>
      <c r="AM347" s="150" t="str">
        <f t="shared" si="192"/>
        <v>0.111937815752485+0.459723348231882i</v>
      </c>
      <c r="AN347" s="150" t="str">
        <f t="shared" si="193"/>
        <v>0.477683650422i</v>
      </c>
      <c r="AO347" s="150" t="str">
        <f t="shared" si="194"/>
        <v>0.96240126247936-0.234334618012561i</v>
      </c>
      <c r="AP347" s="150" t="str">
        <f t="shared" si="195"/>
        <v>0.148010364041253-0.076620558038647i</v>
      </c>
      <c r="AQ347" s="150" t="str">
        <f t="shared" si="196"/>
        <v>0.851989635958747+0.076620558038647i</v>
      </c>
      <c r="AR347" s="150" t="str">
        <f t="shared" si="197"/>
        <v>0.96986748135762-0.0872214690282407i</v>
      </c>
    </row>
    <row r="348" spans="7:44" x14ac:dyDescent="0.25">
      <c r="G348" s="594">
        <v>26762</v>
      </c>
      <c r="H348" s="582">
        <f t="shared" si="189"/>
        <v>26.762</v>
      </c>
      <c r="I348" s="583">
        <f t="shared" si="169"/>
        <v>26.129194971609977</v>
      </c>
      <c r="J348" s="584">
        <f t="shared" si="170"/>
        <v>1.5325156113584666</v>
      </c>
      <c r="K348" s="584">
        <f t="shared" si="171"/>
        <v>1.0001045541010252</v>
      </c>
      <c r="L348" s="585">
        <f t="shared" si="172"/>
        <v>1.4459944135751985E-2</v>
      </c>
      <c r="M348" s="584">
        <f t="shared" si="173"/>
        <v>1.0255969414129662</v>
      </c>
      <c r="N348" s="585">
        <f t="shared" si="174"/>
        <v>-0.22388660028920868</v>
      </c>
      <c r="O348" s="583">
        <f t="shared" si="175"/>
        <v>48427.374249921537</v>
      </c>
      <c r="P348" s="586">
        <f t="shared" si="176"/>
        <v>1.5707756773168779</v>
      </c>
      <c r="Q348" s="595">
        <f t="shared" si="198"/>
        <v>20.202836777148178</v>
      </c>
      <c r="R348" s="596">
        <f t="shared" si="199"/>
        <v>1.5212780930989034</v>
      </c>
      <c r="S348" s="583">
        <f t="shared" si="177"/>
        <v>1.0090073144508382</v>
      </c>
      <c r="T348" s="586">
        <f t="shared" si="178"/>
        <v>0.13371776480252123</v>
      </c>
      <c r="U348" s="587">
        <f t="shared" si="190"/>
        <v>0.96416548154244375</v>
      </c>
      <c r="V348" s="588">
        <f t="shared" si="191"/>
        <v>-0.33035596940583956</v>
      </c>
      <c r="W348" s="589">
        <f t="shared" si="179"/>
        <v>0.75365287402390368</v>
      </c>
      <c r="X348" s="590">
        <f t="shared" si="180"/>
        <v>-129.23140925634851</v>
      </c>
      <c r="Y348" s="593">
        <f t="shared" si="181"/>
        <v>50.768590743651487</v>
      </c>
      <c r="AA348" s="150">
        <f t="shared" si="182"/>
        <v>1000000000</v>
      </c>
      <c r="AB348" s="150">
        <f t="shared" si="183"/>
        <v>716204644</v>
      </c>
      <c r="AD348" s="592">
        <f t="shared" si="184"/>
        <v>27.536992038537772</v>
      </c>
      <c r="AE348" s="593">
        <f t="shared" si="185"/>
        <v>-10.49746625288585</v>
      </c>
      <c r="AG348" s="592">
        <f t="shared" si="186"/>
        <v>-0.76145937190689983</v>
      </c>
      <c r="AH348" s="593">
        <f t="shared" si="187"/>
        <v>-80.877937392390777</v>
      </c>
      <c r="AJ348" s="150">
        <f t="shared" si="188"/>
        <v>0</v>
      </c>
      <c r="AK348" s="150">
        <f t="shared" si="200"/>
        <v>0</v>
      </c>
      <c r="AM348" s="150" t="str">
        <f t="shared" si="192"/>
        <v>0.113203862909112+0.462160806690355i</v>
      </c>
      <c r="AN348" s="150" t="str">
        <f t="shared" si="193"/>
        <v>0.480430299996i</v>
      </c>
      <c r="AO348" s="150" t="str">
        <f t="shared" si="194"/>
        <v>0.961972645551712-0.235630148452449i</v>
      </c>
      <c r="AP348" s="150" t="str">
        <f t="shared" si="195"/>
        <v>0.147799356181815-0.0770268011150592i</v>
      </c>
      <c r="AQ348" s="150" t="str">
        <f t="shared" si="196"/>
        <v>0.852200643818185+0.0770268011150592i</v>
      </c>
      <c r="AR348" s="150" t="str">
        <f t="shared" si="197"/>
        <v>0.969548529633269-0.0876333787180205i</v>
      </c>
    </row>
    <row r="349" spans="7:44" x14ac:dyDescent="0.25">
      <c r="G349" s="594">
        <v>26915</v>
      </c>
      <c r="H349" s="582">
        <f t="shared" si="189"/>
        <v>26.914999999999999</v>
      </c>
      <c r="I349" s="583">
        <f t="shared" si="169"/>
        <v>26.278359007569851</v>
      </c>
      <c r="J349" s="584">
        <f t="shared" si="170"/>
        <v>1.5327330097558081</v>
      </c>
      <c r="K349" s="584">
        <f t="shared" si="171"/>
        <v>1.0001057529394197</v>
      </c>
      <c r="L349" s="585">
        <f t="shared" si="172"/>
        <v>1.4542600903809336E-2</v>
      </c>
      <c r="M349" s="584">
        <f t="shared" si="173"/>
        <v>1.0258867528836846</v>
      </c>
      <c r="N349" s="585">
        <f t="shared" si="174"/>
        <v>-0.22512387857142066</v>
      </c>
      <c r="O349" s="583">
        <f t="shared" si="175"/>
        <v>48704.236526922054</v>
      </c>
      <c r="P349" s="586">
        <f t="shared" si="176"/>
        <v>1.5707757947001266</v>
      </c>
      <c r="Q349" s="595">
        <f t="shared" si="198"/>
        <v>20.318055456832941</v>
      </c>
      <c r="R349" s="596">
        <f t="shared" si="199"/>
        <v>1.5215591265742079</v>
      </c>
      <c r="S349" s="583">
        <f t="shared" si="177"/>
        <v>1.0091101333473509</v>
      </c>
      <c r="T349" s="586">
        <f t="shared" si="178"/>
        <v>0.1344730803861468</v>
      </c>
      <c r="U349" s="587">
        <f t="shared" si="190"/>
        <v>0.96377956631822204</v>
      </c>
      <c r="V349" s="588">
        <f t="shared" si="191"/>
        <v>-0.3321790077950022</v>
      </c>
      <c r="W349" s="589">
        <f t="shared" si="179"/>
        <v>0.70219016112945898</v>
      </c>
      <c r="X349" s="590">
        <f t="shared" si="180"/>
        <v>-129.44165370118483</v>
      </c>
      <c r="Y349" s="593">
        <f t="shared" si="181"/>
        <v>50.558346298815167</v>
      </c>
      <c r="AA349" s="150">
        <f t="shared" si="182"/>
        <v>1000000000</v>
      </c>
      <c r="AB349" s="150">
        <f t="shared" si="183"/>
        <v>724417225</v>
      </c>
      <c r="AD349" s="592">
        <f t="shared" si="184"/>
        <v>27.535986352115103</v>
      </c>
      <c r="AE349" s="593">
        <f t="shared" si="185"/>
        <v>-10.524647341587006</v>
      </c>
      <c r="AG349" s="592">
        <f t="shared" si="186"/>
        <v>-0.80496180785084426</v>
      </c>
      <c r="AH349" s="593">
        <f t="shared" si="187"/>
        <v>-80.852095937108544</v>
      </c>
      <c r="AJ349" s="150">
        <f t="shared" si="188"/>
        <v>0</v>
      </c>
      <c r="AK349" s="150">
        <f t="shared" si="200"/>
        <v>0</v>
      </c>
      <c r="AM349" s="150" t="str">
        <f t="shared" si="192"/>
        <v>0.114476600125979+0.464594778571127i</v>
      </c>
      <c r="AN349" s="150" t="str">
        <f t="shared" si="193"/>
        <v>0.48317694957i</v>
      </c>
      <c r="AO349" s="150" t="str">
        <f t="shared" si="194"/>
        <v>0.961541685679729-0.236924795828643i</v>
      </c>
      <c r="AP349" s="150" t="str">
        <f t="shared" si="195"/>
        <v>0.147587233312337-0.0774324630951878i</v>
      </c>
      <c r="AQ349" s="150" t="str">
        <f t="shared" si="196"/>
        <v>0.852412766687663+0.0774324630951878i</v>
      </c>
      <c r="AR349" s="150" t="str">
        <f t="shared" si="197"/>
        <v>0.969228262882408-0.0880438851098935i</v>
      </c>
    </row>
    <row r="350" spans="7:44" x14ac:dyDescent="0.25">
      <c r="G350" s="594">
        <v>27071.75</v>
      </c>
      <c r="H350" s="582">
        <f t="shared" si="189"/>
        <v>27.071750000000002</v>
      </c>
      <c r="I350" s="583">
        <f t="shared" si="169"/>
        <v>26.431180298090556</v>
      </c>
      <c r="J350" s="584">
        <f t="shared" si="170"/>
        <v>1.5329531918151051</v>
      </c>
      <c r="K350" s="584">
        <f t="shared" si="171"/>
        <v>1.0001069882472151</v>
      </c>
      <c r="L350" s="585">
        <f t="shared" si="172"/>
        <v>1.46272833669414E-2</v>
      </c>
      <c r="M350" s="584">
        <f t="shared" si="173"/>
        <v>1.0261852953406814</v>
      </c>
      <c r="N350" s="585">
        <f t="shared" si="174"/>
        <v>-0.22639075554840288</v>
      </c>
      <c r="O350" s="583">
        <f t="shared" si="175"/>
        <v>48987.884644045807</v>
      </c>
      <c r="P350" s="586">
        <f t="shared" si="176"/>
        <v>1.5707759135844195</v>
      </c>
      <c r="Q350" s="595">
        <f t="shared" si="198"/>
        <v>20.436099768964546</v>
      </c>
      <c r="R350" s="596">
        <f t="shared" si="199"/>
        <v>1.5218437617130425</v>
      </c>
      <c r="S350" s="583">
        <f t="shared" si="177"/>
        <v>1.0092160692288088</v>
      </c>
      <c r="T350" s="586">
        <f t="shared" si="178"/>
        <v>0.13524674854507757</v>
      </c>
      <c r="U350" s="587">
        <f t="shared" si="190"/>
        <v>0.96338236709806602</v>
      </c>
      <c r="V350" s="588">
        <f t="shared" si="191"/>
        <v>-0.33404563106731194</v>
      </c>
      <c r="W350" s="589">
        <f t="shared" si="179"/>
        <v>0.64974819028116404</v>
      </c>
      <c r="X350" s="590">
        <f t="shared" si="180"/>
        <v>-129.65697993546678</v>
      </c>
      <c r="Y350" s="593">
        <f t="shared" si="181"/>
        <v>50.343020064533221</v>
      </c>
      <c r="AA350" s="150">
        <f t="shared" si="182"/>
        <v>1000000000</v>
      </c>
      <c r="AB350" s="150">
        <f t="shared" si="183"/>
        <v>732879648.0625</v>
      </c>
      <c r="AD350" s="592">
        <f t="shared" si="184"/>
        <v>27.534953084253463</v>
      </c>
      <c r="AE350" s="593">
        <f t="shared" si="185"/>
        <v>-10.552673681281307</v>
      </c>
      <c r="AG350" s="592">
        <f t="shared" si="186"/>
        <v>-0.84920966238022677</v>
      </c>
      <c r="AH350" s="593">
        <f t="shared" si="187"/>
        <v>-80.825496560563252</v>
      </c>
      <c r="AJ350" s="150">
        <f t="shared" si="188"/>
        <v>0</v>
      </c>
      <c r="AK350" s="150">
        <f t="shared" si="200"/>
        <v>0</v>
      </c>
      <c r="AM350" s="150" t="str">
        <f t="shared" si="192"/>
        <v>0.115787459871082+0.46708477161942i</v>
      </c>
      <c r="AN350" s="150" t="str">
        <f t="shared" si="193"/>
        <v>0.4859909189865i</v>
      </c>
      <c r="AO350" s="150" t="str">
        <f t="shared" si="194"/>
        <v>0.961097735310554-0.238250253960606i</v>
      </c>
      <c r="AP350" s="150" t="str">
        <f t="shared" si="195"/>
        <v>0.147368756688153-0.07784746193657i</v>
      </c>
      <c r="AQ350" s="150" t="str">
        <f t="shared" si="196"/>
        <v>0.852631243311847+0.07784746193657i</v>
      </c>
      <c r="AR350" s="150" t="str">
        <f t="shared" si="197"/>
        <v>0.96889879065331-0.0884629930200497i</v>
      </c>
    </row>
    <row r="351" spans="7:44" x14ac:dyDescent="0.25">
      <c r="G351" s="594">
        <v>27228.5</v>
      </c>
      <c r="H351" s="582">
        <f t="shared" si="189"/>
        <v>27.2285</v>
      </c>
      <c r="I351" s="583">
        <f t="shared" si="169"/>
        <v>26.584002855266103</v>
      </c>
      <c r="J351" s="584">
        <f t="shared" si="170"/>
        <v>1.5331708423785537</v>
      </c>
      <c r="K351" s="584">
        <f t="shared" si="171"/>
        <v>1.0001082307268798</v>
      </c>
      <c r="L351" s="585">
        <f t="shared" si="172"/>
        <v>1.4711965620271026E-2</v>
      </c>
      <c r="M351" s="584">
        <f t="shared" si="173"/>
        <v>1.0264854838421877</v>
      </c>
      <c r="N351" s="585">
        <f t="shared" si="174"/>
        <v>-0.22765689357789473</v>
      </c>
      <c r="O351" s="583">
        <f t="shared" si="175"/>
        <v>49271.532761170252</v>
      </c>
      <c r="P351" s="586">
        <f t="shared" si="176"/>
        <v>1.5707760310999177</v>
      </c>
      <c r="Q351" s="595">
        <f t="shared" si="198"/>
        <v>20.554145717753503</v>
      </c>
      <c r="R351" s="596">
        <f t="shared" si="199"/>
        <v>1.5221251274585927</v>
      </c>
      <c r="S351" s="583">
        <f t="shared" si="177"/>
        <v>1.0093226090620635</v>
      </c>
      <c r="T351" s="586">
        <f t="shared" si="178"/>
        <v>0.13602025383662938</v>
      </c>
      <c r="U351" s="587">
        <f t="shared" si="190"/>
        <v>0.96298332757766103</v>
      </c>
      <c r="V351" s="588">
        <f t="shared" si="191"/>
        <v>-0.33591113903837533</v>
      </c>
      <c r="W351" s="589">
        <f t="shared" si="179"/>
        <v>0.5975883454439016</v>
      </c>
      <c r="X351" s="590">
        <f t="shared" si="180"/>
        <v>-129.87223280951181</v>
      </c>
      <c r="Y351" s="593">
        <f t="shared" si="181"/>
        <v>50.127767190488186</v>
      </c>
      <c r="AA351" s="150">
        <f t="shared" si="182"/>
        <v>1000000000</v>
      </c>
      <c r="AB351" s="150">
        <f t="shared" si="183"/>
        <v>741391212.25</v>
      </c>
      <c r="AD351" s="592">
        <f t="shared" si="184"/>
        <v>27.533916803274856</v>
      </c>
      <c r="AE351" s="593">
        <f t="shared" si="185"/>
        <v>-10.580877933372987</v>
      </c>
      <c r="AG351" s="592">
        <f t="shared" si="186"/>
        <v>-0.89313622663570669</v>
      </c>
      <c r="AH351" s="593">
        <f t="shared" si="187"/>
        <v>-80.798773715492473</v>
      </c>
      <c r="AJ351" s="150">
        <f t="shared" si="188"/>
        <v>0</v>
      </c>
      <c r="AK351" s="150">
        <f t="shared" si="200"/>
        <v>0</v>
      </c>
      <c r="AM351" s="150" t="str">
        <f t="shared" si="192"/>
        <v>0.117105321181254+0.469571066094946i</v>
      </c>
      <c r="AN351" s="150" t="str">
        <f t="shared" si="193"/>
        <v>0.488804888403i</v>
      </c>
      <c r="AO351" s="150" t="str">
        <f t="shared" si="194"/>
        <v>0.960651329877461-0.239574775047473i</v>
      </c>
      <c r="AP351" s="150" t="str">
        <f t="shared" si="195"/>
        <v>0.147149113136458-0.0782618443491577i</v>
      </c>
      <c r="AQ351" s="150" t="str">
        <f t="shared" si="196"/>
        <v>0.852850886863542+0.0782618443491577i</v>
      </c>
      <c r="AR351" s="150" t="str">
        <f t="shared" si="197"/>
        <v>0.968567954348242-0.0888806187017692i</v>
      </c>
    </row>
    <row r="352" spans="7:44" x14ac:dyDescent="0.25">
      <c r="G352" s="594">
        <v>27385.25</v>
      </c>
      <c r="H352" s="582">
        <f t="shared" si="189"/>
        <v>27.385249999999999</v>
      </c>
      <c r="I352" s="583">
        <f t="shared" si="169"/>
        <v>26.736826657376643</v>
      </c>
      <c r="J352" s="584">
        <f t="shared" si="170"/>
        <v>1.5333860048343371</v>
      </c>
      <c r="K352" s="584">
        <f t="shared" si="171"/>
        <v>1.0001094803783868</v>
      </c>
      <c r="L352" s="585">
        <f t="shared" si="172"/>
        <v>1.479664766258447E-2</v>
      </c>
      <c r="M352" s="584">
        <f t="shared" si="173"/>
        <v>1.0267873169445059</v>
      </c>
      <c r="N352" s="585">
        <f t="shared" si="174"/>
        <v>-0.22892228925028735</v>
      </c>
      <c r="O352" s="583">
        <f t="shared" si="175"/>
        <v>49555.180878295367</v>
      </c>
      <c r="P352" s="586">
        <f t="shared" si="176"/>
        <v>1.5707761472701256</v>
      </c>
      <c r="Q352" s="595">
        <f t="shared" si="198"/>
        <v>20.672193275162037</v>
      </c>
      <c r="R352" s="596">
        <f t="shared" si="199"/>
        <v>1.5224032797750582</v>
      </c>
      <c r="S352" s="583">
        <f t="shared" si="177"/>
        <v>1.0094297526558833</v>
      </c>
      <c r="T352" s="586">
        <f t="shared" si="178"/>
        <v>0.13679359538692629</v>
      </c>
      <c r="U352" s="587">
        <f t="shared" si="190"/>
        <v>0.96258245491828709</v>
      </c>
      <c r="V352" s="588">
        <f t="shared" si="191"/>
        <v>-0.33777552711407383</v>
      </c>
      <c r="W352" s="589">
        <f t="shared" si="179"/>
        <v>0.5457072862631116</v>
      </c>
      <c r="X352" s="590">
        <f t="shared" si="180"/>
        <v>-130.08741109553441</v>
      </c>
      <c r="Y352" s="593">
        <f t="shared" si="181"/>
        <v>49.912588904465593</v>
      </c>
      <c r="AA352" s="150">
        <f t="shared" si="182"/>
        <v>1000000000</v>
      </c>
      <c r="AB352" s="150">
        <f t="shared" si="183"/>
        <v>749951917.5625</v>
      </c>
      <c r="AD352" s="592">
        <f t="shared" si="184"/>
        <v>27.532877464861699</v>
      </c>
      <c r="AE352" s="593">
        <f t="shared" si="185"/>
        <v>-10.6092568426269</v>
      </c>
      <c r="AG352" s="592">
        <f t="shared" si="186"/>
        <v>-0.93674488217089147</v>
      </c>
      <c r="AH352" s="593">
        <f t="shared" si="187"/>
        <v>-80.771929955792913</v>
      </c>
      <c r="AJ352" s="150">
        <f t="shared" si="188"/>
        <v>0</v>
      </c>
      <c r="AK352" s="150">
        <f t="shared" si="200"/>
        <v>0</v>
      </c>
      <c r="AM352" s="150" t="str">
        <f t="shared" si="192"/>
        <v>0.11843017362112+0.472053642310183i</v>
      </c>
      <c r="AN352" s="150" t="str">
        <f t="shared" si="193"/>
        <v>0.4916188578195i</v>
      </c>
      <c r="AO352" s="150" t="str">
        <f t="shared" si="194"/>
        <v>0.960202471491644-0.240898353953302i</v>
      </c>
      <c r="AP352" s="150" t="str">
        <f t="shared" si="195"/>
        <v>0.14692830439648-0.0786756070516972i</v>
      </c>
      <c r="AQ352" s="150" t="str">
        <f t="shared" si="196"/>
        <v>0.85307169560352+0.0786756070516972i</v>
      </c>
      <c r="AR352" s="150" t="str">
        <f t="shared" si="197"/>
        <v>0.96823576218774-0.0892967575314883i</v>
      </c>
    </row>
    <row r="353" spans="7:44" x14ac:dyDescent="0.25">
      <c r="G353" s="594">
        <v>27542</v>
      </c>
      <c r="H353" s="582">
        <f t="shared" si="189"/>
        <v>27.542000000000002</v>
      </c>
      <c r="I353" s="583">
        <f t="shared" si="169"/>
        <v>26.88965168319589</v>
      </c>
      <c r="J353" s="584">
        <f t="shared" si="170"/>
        <v>1.5335987215852003</v>
      </c>
      <c r="K353" s="584">
        <f t="shared" si="171"/>
        <v>1.0001107372017091</v>
      </c>
      <c r="L353" s="585">
        <f t="shared" si="172"/>
        <v>1.4881329492668006E-2</v>
      </c>
      <c r="M353" s="584">
        <f t="shared" si="173"/>
        <v>1.02709079319773</v>
      </c>
      <c r="N353" s="585">
        <f t="shared" si="174"/>
        <v>-0.2301869391694783</v>
      </c>
      <c r="O353" s="583">
        <f t="shared" si="175"/>
        <v>49838.828995421136</v>
      </c>
      <c r="P353" s="586">
        <f t="shared" si="176"/>
        <v>1.5707762621180126</v>
      </c>
      <c r="Q353" s="595">
        <f t="shared" si="198"/>
        <v>20.790242413788796</v>
      </c>
      <c r="R353" s="596">
        <f t="shared" si="199"/>
        <v>1.5226782733575721</v>
      </c>
      <c r="S353" s="583">
        <f t="shared" si="177"/>
        <v>1.0095374998180351</v>
      </c>
      <c r="T353" s="586">
        <f t="shared" si="178"/>
        <v>0.13756677232324543</v>
      </c>
      <c r="U353" s="587">
        <f t="shared" si="190"/>
        <v>0.96217975629816654</v>
      </c>
      <c r="V353" s="588">
        <f t="shared" si="191"/>
        <v>-0.33963879072807146</v>
      </c>
      <c r="W353" s="589">
        <f t="shared" si="179"/>
        <v>0.49410173022615866</v>
      </c>
      <c r="X353" s="590">
        <f t="shared" si="180"/>
        <v>-130.30251358440063</v>
      </c>
      <c r="Y353" s="593">
        <f t="shared" si="181"/>
        <v>49.697486415599371</v>
      </c>
      <c r="AA353" s="150">
        <f t="shared" si="182"/>
        <v>1000000000</v>
      </c>
      <c r="AB353" s="150">
        <f t="shared" si="183"/>
        <v>758561764</v>
      </c>
      <c r="AD353" s="592">
        <f t="shared" si="184"/>
        <v>27.531835026060165</v>
      </c>
      <c r="AE353" s="593">
        <f t="shared" si="185"/>
        <v>-10.637807226555442</v>
      </c>
      <c r="AG353" s="592">
        <f t="shared" si="186"/>
        <v>-0.98003895432131849</v>
      </c>
      <c r="AH353" s="593">
        <f t="shared" si="187"/>
        <v>-80.744967778081914</v>
      </c>
      <c r="AJ353" s="150">
        <f t="shared" si="188"/>
        <v>0</v>
      </c>
      <c r="AK353" s="150">
        <f t="shared" si="200"/>
        <v>0</v>
      </c>
      <c r="AM353" s="150" t="str">
        <f t="shared" si="192"/>
        <v>0.119762006699941+0.474532480607055i</v>
      </c>
      <c r="AN353" s="150" t="str">
        <f t="shared" si="193"/>
        <v>0.494432827236i</v>
      </c>
      <c r="AO353" s="150" t="str">
        <f t="shared" si="194"/>
        <v>0.959751162275788-0.242220985547096i</v>
      </c>
      <c r="AP353" s="150" t="str">
        <f t="shared" si="195"/>
        <v>0.146706332216677-0.0790887467678425i</v>
      </c>
      <c r="AQ353" s="150" t="str">
        <f t="shared" si="196"/>
        <v>0.853293667783323+0.0790887467678425i</v>
      </c>
      <c r="AR353" s="150" t="str">
        <f t="shared" si="197"/>
        <v>0.967902222406008-0.0897114049407655i</v>
      </c>
    </row>
    <row r="354" spans="7:44" x14ac:dyDescent="0.25">
      <c r="G354" s="594">
        <v>27702.5</v>
      </c>
      <c r="H354" s="582">
        <f t="shared" si="189"/>
        <v>27.702500000000001</v>
      </c>
      <c r="I354" s="583">
        <f t="shared" si="169"/>
        <v>27.046134056417628</v>
      </c>
      <c r="J354" s="584">
        <f t="shared" si="170"/>
        <v>1.5338140363650703</v>
      </c>
      <c r="K354" s="584">
        <f t="shared" si="171"/>
        <v>1.0001120315237761</v>
      </c>
      <c r="L354" s="585">
        <f t="shared" si="172"/>
        <v>1.4968036982679841E-2</v>
      </c>
      <c r="M354" s="584">
        <f t="shared" si="173"/>
        <v>1.0274032307134449</v>
      </c>
      <c r="N354" s="585">
        <f t="shared" si="174"/>
        <v>-0.23148106761056017</v>
      </c>
      <c r="O354" s="583">
        <f t="shared" si="175"/>
        <v>50129.262952670215</v>
      </c>
      <c r="P354" s="586">
        <f t="shared" si="176"/>
        <v>1.5707763783667497</v>
      </c>
      <c r="Q354" s="595">
        <f t="shared" si="198"/>
        <v>20.911117304931775</v>
      </c>
      <c r="R354" s="596">
        <f t="shared" si="199"/>
        <v>1.5229566285741709</v>
      </c>
      <c r="S354" s="583">
        <f t="shared" si="177"/>
        <v>1.0096484498618674</v>
      </c>
      <c r="T354" s="586">
        <f t="shared" si="178"/>
        <v>0.13835827483688867</v>
      </c>
      <c r="U354" s="587">
        <f t="shared" si="190"/>
        <v>0.9617655392462211</v>
      </c>
      <c r="V354" s="588">
        <f t="shared" si="191"/>
        <v>-0.34154546015165377</v>
      </c>
      <c r="W354" s="589">
        <f t="shared" si="179"/>
        <v>0.4415436909814266</v>
      </c>
      <c r="X354" s="590">
        <f t="shared" si="180"/>
        <v>-130.52268228324664</v>
      </c>
      <c r="Y354" s="593">
        <f t="shared" si="181"/>
        <v>49.477317716753362</v>
      </c>
      <c r="AA354" s="150">
        <f t="shared" si="182"/>
        <v>1000000000</v>
      </c>
      <c r="AB354" s="150">
        <f t="shared" si="183"/>
        <v>767428506.25</v>
      </c>
      <c r="AD354" s="592">
        <f t="shared" si="184"/>
        <v>27.530764392520112</v>
      </c>
      <c r="AE354" s="593">
        <f t="shared" si="185"/>
        <v>-10.667215061540251</v>
      </c>
      <c r="AG354" s="592">
        <f t="shared" si="186"/>
        <v>-1.0240462229070824</v>
      </c>
      <c r="AH354" s="593">
        <f t="shared" si="187"/>
        <v>-80.717240419897664</v>
      </c>
      <c r="AJ354" s="150">
        <f t="shared" si="188"/>
        <v>0</v>
      </c>
      <c r="AK354" s="150">
        <f t="shared" si="200"/>
        <v>0</v>
      </c>
      <c r="AM354" s="150" t="str">
        <f t="shared" si="192"/>
        <v>0.121132923937152+0.477066727631199i</v>
      </c>
      <c r="AN354" s="150" t="str">
        <f t="shared" si="193"/>
        <v>0.497314116495i</v>
      </c>
      <c r="AO354" s="150" t="str">
        <f t="shared" si="194"/>
        <v>0.959286518937967-0.243574272113729i</v>
      </c>
      <c r="AP354" s="150" t="str">
        <f t="shared" si="195"/>
        <v>0.146477846010475-0.0795111212718665i</v>
      </c>
      <c r="AQ354" s="150" t="str">
        <f t="shared" si="196"/>
        <v>0.853522153989525+0.0795111212718665i</v>
      </c>
      <c r="AR354" s="150" t="str">
        <f t="shared" si="197"/>
        <v>0.967559315451166-0.0901344220638776i</v>
      </c>
    </row>
    <row r="355" spans="7:44" x14ac:dyDescent="0.25">
      <c r="G355" s="594">
        <v>27863</v>
      </c>
      <c r="H355" s="582">
        <f t="shared" si="189"/>
        <v>27.863</v>
      </c>
      <c r="I355" s="583">
        <f t="shared" si="169"/>
        <v>27.202617669084674</v>
      </c>
      <c r="J355" s="584">
        <f t="shared" si="170"/>
        <v>1.5340268739493925</v>
      </c>
      <c r="K355" s="584">
        <f t="shared" si="171"/>
        <v>1.0001133333648551</v>
      </c>
      <c r="L355" s="585">
        <f t="shared" si="172"/>
        <v>1.5054744247610392E-2</v>
      </c>
      <c r="M355" s="584">
        <f t="shared" si="173"/>
        <v>1.0277173878437655</v>
      </c>
      <c r="N355" s="585">
        <f t="shared" si="174"/>
        <v>-0.23277440702694097</v>
      </c>
      <c r="O355" s="583">
        <f t="shared" si="175"/>
        <v>50419.696909919963</v>
      </c>
      <c r="P355" s="586">
        <f t="shared" si="176"/>
        <v>1.5707764932762254</v>
      </c>
      <c r="Q355" s="595">
        <f t="shared" si="198"/>
        <v>21.031993797678549</v>
      </c>
      <c r="R355" s="596">
        <f t="shared" si="199"/>
        <v>1.52323178424815</v>
      </c>
      <c r="S355" s="583">
        <f t="shared" si="177"/>
        <v>1.0097600322872227</v>
      </c>
      <c r="T355" s="586">
        <f t="shared" si="178"/>
        <v>0.139149602917954</v>
      </c>
      <c r="U355" s="587">
        <f t="shared" si="190"/>
        <v>0.96134942310657445</v>
      </c>
      <c r="V355" s="588">
        <f t="shared" si="191"/>
        <v>-0.34345094106807089</v>
      </c>
      <c r="W355" s="589">
        <f t="shared" si="179"/>
        <v>0.38926770946496869</v>
      </c>
      <c r="X355" s="590">
        <f t="shared" si="180"/>
        <v>-130.74276900721301</v>
      </c>
      <c r="Y355" s="593">
        <f t="shared" si="181"/>
        <v>49.257230992786987</v>
      </c>
      <c r="AA355" s="150">
        <f t="shared" si="182"/>
        <v>1000000000</v>
      </c>
      <c r="AB355" s="150">
        <f t="shared" si="183"/>
        <v>776346769</v>
      </c>
      <c r="AD355" s="592">
        <f t="shared" si="184"/>
        <v>27.529690421515205</v>
      </c>
      <c r="AE355" s="593">
        <f t="shared" si="185"/>
        <v>-10.696796145829181</v>
      </c>
      <c r="AG355" s="592">
        <f t="shared" si="186"/>
        <v>-1.067730557163703</v>
      </c>
      <c r="AH355" s="593">
        <f t="shared" si="187"/>
        <v>-80.68939403041874</v>
      </c>
      <c r="AJ355" s="150">
        <f t="shared" si="188"/>
        <v>0</v>
      </c>
      <c r="AK355" s="150">
        <f t="shared" si="200"/>
        <v>0</v>
      </c>
      <c r="AM355" s="150" t="str">
        <f t="shared" si="192"/>
        <v>0.122511137372436+0.479597014132265i</v>
      </c>
      <c r="AN355" s="150" t="str">
        <f t="shared" si="193"/>
        <v>0.500195405754i</v>
      </c>
      <c r="AO355" s="150" t="str">
        <f t="shared" si="194"/>
        <v>0.958819310643838-0.244926554628708i</v>
      </c>
      <c r="AP355" s="150" t="str">
        <f t="shared" si="195"/>
        <v>0.146248143771261-0.0799328356887108i</v>
      </c>
      <c r="AQ355" s="150" t="str">
        <f t="shared" si="196"/>
        <v>0.853751856228739+0.0799328356887108i</v>
      </c>
      <c r="AR355" s="150" t="str">
        <f t="shared" si="197"/>
        <v>0.967215013138705-0.0905558660362745i</v>
      </c>
    </row>
    <row r="356" spans="7:44" x14ac:dyDescent="0.25">
      <c r="G356" s="594">
        <v>28023.5</v>
      </c>
      <c r="H356" s="582">
        <f t="shared" si="189"/>
        <v>28.023499999999999</v>
      </c>
      <c r="I356" s="583">
        <f t="shared" si="169"/>
        <v>27.359102499929573</v>
      </c>
      <c r="J356" s="584">
        <f t="shared" si="170"/>
        <v>1.5342372768248833</v>
      </c>
      <c r="K356" s="584">
        <f t="shared" si="171"/>
        <v>1.0001146427249161</v>
      </c>
      <c r="L356" s="585">
        <f t="shared" si="172"/>
        <v>1.5141451286156788E-2</v>
      </c>
      <c r="M356" s="584">
        <f t="shared" si="173"/>
        <v>1.0280332630121991</v>
      </c>
      <c r="N356" s="585">
        <f t="shared" si="174"/>
        <v>-0.23406695381715995</v>
      </c>
      <c r="O356" s="583">
        <f t="shared" si="175"/>
        <v>50710.130867170366</v>
      </c>
      <c r="P356" s="586">
        <f t="shared" si="176"/>
        <v>1.5707766068694504</v>
      </c>
      <c r="Q356" s="595">
        <f t="shared" si="198"/>
        <v>21.15287186457239</v>
      </c>
      <c r="R356" s="596">
        <f t="shared" si="199"/>
        <v>1.5235037951888337</v>
      </c>
      <c r="S356" s="583">
        <f t="shared" si="177"/>
        <v>1.0098722468844819</v>
      </c>
      <c r="T356" s="586">
        <f t="shared" si="178"/>
        <v>0.13994075563336691</v>
      </c>
      <c r="U356" s="587">
        <f t="shared" si="190"/>
        <v>0.96093141563813433</v>
      </c>
      <c r="V356" s="588">
        <f t="shared" si="191"/>
        <v>-0.34535522866622925</v>
      </c>
      <c r="W356" s="589">
        <f t="shared" si="179"/>
        <v>0.3372704418894315</v>
      </c>
      <c r="X356" s="590">
        <f t="shared" si="180"/>
        <v>-130.96277251619424</v>
      </c>
      <c r="Y356" s="593">
        <f t="shared" si="181"/>
        <v>49.037227483805765</v>
      </c>
      <c r="AA356" s="150">
        <f t="shared" si="182"/>
        <v>1000000000</v>
      </c>
      <c r="AB356" s="150">
        <f t="shared" si="183"/>
        <v>785316552.25</v>
      </c>
      <c r="AD356" s="592">
        <f t="shared" si="184"/>
        <v>27.528613071087147</v>
      </c>
      <c r="AE356" s="593">
        <f t="shared" si="185"/>
        <v>-10.726547286936469</v>
      </c>
      <c r="AG356" s="592">
        <f t="shared" si="186"/>
        <v>-1.1110953518279194</v>
      </c>
      <c r="AH356" s="593">
        <f t="shared" si="187"/>
        <v>-80.661431113336164</v>
      </c>
      <c r="AJ356" s="150">
        <f t="shared" si="188"/>
        <v>0</v>
      </c>
      <c r="AK356" s="150">
        <f t="shared" si="200"/>
        <v>0</v>
      </c>
      <c r="AM356" s="150" t="str">
        <f t="shared" si="192"/>
        <v>0.123896635564108+0.482123319104262i</v>
      </c>
      <c r="AN356" s="150" t="str">
        <f t="shared" si="193"/>
        <v>0.503076695013i</v>
      </c>
      <c r="AO356" s="150" t="str">
        <f t="shared" si="194"/>
        <v>0.958349539709454-0.246277827600236i</v>
      </c>
      <c r="AP356" s="150" t="str">
        <f t="shared" si="195"/>
        <v>0.146017227405982-0.080353886517377i</v>
      </c>
      <c r="AQ356" s="150" t="str">
        <f t="shared" si="196"/>
        <v>0.853982772594018+0.080353886517377i</v>
      </c>
      <c r="AR356" s="150" t="str">
        <f t="shared" si="197"/>
        <v>0.966869324349778-0.0909757321332635i</v>
      </c>
    </row>
    <row r="357" spans="7:44" x14ac:dyDescent="0.25">
      <c r="G357" s="594">
        <v>28184</v>
      </c>
      <c r="H357" s="582">
        <f t="shared" si="189"/>
        <v>28.184000000000001</v>
      </c>
      <c r="I357" s="583">
        <f t="shared" si="169"/>
        <v>27.515588528168493</v>
      </c>
      <c r="J357" s="584">
        <f t="shared" si="170"/>
        <v>1.534445286512615</v>
      </c>
      <c r="K357" s="584">
        <f t="shared" si="171"/>
        <v>1.00011595960393</v>
      </c>
      <c r="L357" s="585">
        <f t="shared" si="172"/>
        <v>1.5228158097016173E-2</v>
      </c>
      <c r="M357" s="584">
        <f t="shared" si="173"/>
        <v>1.0283508546355726</v>
      </c>
      <c r="N357" s="585">
        <f t="shared" si="174"/>
        <v>-0.23535870439476303</v>
      </c>
      <c r="O357" s="583">
        <f t="shared" si="175"/>
        <v>51000.564824421417</v>
      </c>
      <c r="P357" s="586">
        <f t="shared" si="176"/>
        <v>1.5707767191689124</v>
      </c>
      <c r="Q357" s="595">
        <f t="shared" si="198"/>
        <v>21.273751478780248</v>
      </c>
      <c r="R357" s="596">
        <f t="shared" si="199"/>
        <v>1.5237727149617037</v>
      </c>
      <c r="S357" s="583">
        <f t="shared" si="177"/>
        <v>1.0099850934429324</v>
      </c>
      <c r="T357" s="586">
        <f t="shared" si="178"/>
        <v>0.14073173205134462</v>
      </c>
      <c r="U357" s="587">
        <f t="shared" si="190"/>
        <v>0.96051152461700551</v>
      </c>
      <c r="V357" s="588">
        <f t="shared" si="191"/>
        <v>-0.34725831816578273</v>
      </c>
      <c r="W357" s="589">
        <f t="shared" si="179"/>
        <v>0.28554860242703978</v>
      </c>
      <c r="X357" s="590">
        <f t="shared" si="180"/>
        <v>-131.18269158869009</v>
      </c>
      <c r="Y357" s="593">
        <f t="shared" si="181"/>
        <v>48.817308411309909</v>
      </c>
      <c r="AA357" s="150">
        <f t="shared" si="182"/>
        <v>1000000000</v>
      </c>
      <c r="AB357" s="150">
        <f t="shared" si="183"/>
        <v>794337856</v>
      </c>
      <c r="AD357" s="592">
        <f t="shared" si="184"/>
        <v>27.527532300585804</v>
      </c>
      <c r="AE357" s="593">
        <f t="shared" si="185"/>
        <v>-10.756465363687292</v>
      </c>
      <c r="AG357" s="592">
        <f t="shared" si="186"/>
        <v>-1.1541439452567785</v>
      </c>
      <c r="AH357" s="593">
        <f t="shared" si="187"/>
        <v>-80.63335411611186</v>
      </c>
      <c r="AJ357" s="150">
        <f t="shared" si="188"/>
        <v>0</v>
      </c>
      <c r="AK357" s="150">
        <f t="shared" si="200"/>
        <v>0</v>
      </c>
      <c r="AM357" s="150" t="str">
        <f t="shared" si="192"/>
        <v>0.12528940701001+0.484645621574259i</v>
      </c>
      <c r="AN357" s="150" t="str">
        <f t="shared" si="193"/>
        <v>0.505957984272i</v>
      </c>
      <c r="AO357" s="150" t="str">
        <f t="shared" si="194"/>
        <v>0.957877208463453-0.24762808554209i</v>
      </c>
      <c r="AP357" s="150" t="str">
        <f t="shared" si="195"/>
        <v>0.145785098831665-0.0807742702623765i</v>
      </c>
      <c r="AQ357" s="150" t="str">
        <f t="shared" si="196"/>
        <v>0.854214901168335+0.0807742702623765i</v>
      </c>
      <c r="AR357" s="150" t="str">
        <f t="shared" si="197"/>
        <v>0.966522257978662-0.0913940156906559i</v>
      </c>
    </row>
    <row r="358" spans="7:44" x14ac:dyDescent="0.25">
      <c r="G358" s="594">
        <v>28348</v>
      </c>
      <c r="H358" s="582">
        <f t="shared" si="189"/>
        <v>28.347999999999999</v>
      </c>
      <c r="I358" s="583">
        <f t="shared" si="169"/>
        <v>27.675488240025697</v>
      </c>
      <c r="J358" s="584">
        <f t="shared" si="170"/>
        <v>1.5346554024178491</v>
      </c>
      <c r="K358" s="584">
        <f t="shared" si="171"/>
        <v>1.0001173129665883</v>
      </c>
      <c r="L358" s="585">
        <f t="shared" si="172"/>
        <v>1.5316755474060183E-2</v>
      </c>
      <c r="M358" s="584">
        <f t="shared" si="173"/>
        <v>1.0286771432875887</v>
      </c>
      <c r="N358" s="585">
        <f t="shared" si="174"/>
        <v>-0.23667779782599874</v>
      </c>
      <c r="O358" s="583">
        <f t="shared" si="175"/>
        <v>51297.332232454297</v>
      </c>
      <c r="P358" s="586">
        <f t="shared" si="176"/>
        <v>1.5707768326037459</v>
      </c>
      <c r="Q358" s="595">
        <f t="shared" si="198"/>
        <v>21.397268668046596</v>
      </c>
      <c r="R358" s="596">
        <f t="shared" si="199"/>
        <v>1.5240443604810878</v>
      </c>
      <c r="S358" s="583">
        <f t="shared" si="177"/>
        <v>1.0101010533924606</v>
      </c>
      <c r="T358" s="586">
        <f t="shared" si="178"/>
        <v>0.14153977410204244</v>
      </c>
      <c r="U358" s="587">
        <f t="shared" si="190"/>
        <v>0.96008053959005968</v>
      </c>
      <c r="V358" s="588">
        <f t="shared" si="191"/>
        <v>-0.34920166554425136</v>
      </c>
      <c r="W358" s="589">
        <f t="shared" si="179"/>
        <v>0.23298001579997862</v>
      </c>
      <c r="X358" s="590">
        <f t="shared" si="180"/>
        <v>-131.4073179337789</v>
      </c>
      <c r="Y358" s="593">
        <f t="shared" si="181"/>
        <v>48.592682066221101</v>
      </c>
      <c r="AA358" s="150">
        <f t="shared" si="182"/>
        <v>1000000000</v>
      </c>
      <c r="AB358" s="150">
        <f t="shared" si="183"/>
        <v>803609104</v>
      </c>
      <c r="AD358" s="592">
        <f t="shared" si="184"/>
        <v>27.526424388150335</v>
      </c>
      <c r="AE358" s="593">
        <f t="shared" si="185"/>
        <v>-10.787205120449357</v>
      </c>
      <c r="AG358" s="592">
        <f t="shared" si="186"/>
        <v>-1.1978080893838925</v>
      </c>
      <c r="AH358" s="593">
        <f t="shared" si="187"/>
        <v>-80.604549498356036</v>
      </c>
      <c r="AJ358" s="150">
        <f t="shared" si="188"/>
        <v>0</v>
      </c>
      <c r="AK358" s="150">
        <f t="shared" si="200"/>
        <v>0</v>
      </c>
      <c r="AM358" s="150" t="str">
        <f t="shared" si="192"/>
        <v>0.126720051282016+0.487218771361608i</v>
      </c>
      <c r="AN358" s="150" t="str">
        <f t="shared" si="193"/>
        <v>0.508902105384i</v>
      </c>
      <c r="AO358" s="150" t="str">
        <f t="shared" si="194"/>
        <v>0.957391934926206-0.249006734185934i</v>
      </c>
      <c r="AP358" s="150" t="str">
        <f t="shared" si="195"/>
        <v>0.145546658119664-0.081203128560268i</v>
      </c>
      <c r="AQ358" s="150" t="str">
        <f t="shared" si="196"/>
        <v>0.854453341880336+0.081203128560268i</v>
      </c>
      <c r="AR358" s="150" t="str">
        <f t="shared" si="197"/>
        <v>0.966166209478508-0.0918197812255238i</v>
      </c>
    </row>
    <row r="359" spans="7:44" x14ac:dyDescent="0.25">
      <c r="G359" s="594">
        <v>28512</v>
      </c>
      <c r="H359" s="582">
        <f t="shared" si="189"/>
        <v>28.512</v>
      </c>
      <c r="I359" s="583">
        <f t="shared" si="169"/>
        <v>27.835389159681895</v>
      </c>
      <c r="J359" s="584">
        <f t="shared" si="170"/>
        <v>1.5348631043025796</v>
      </c>
      <c r="K359" s="584">
        <f t="shared" si="171"/>
        <v>1.0001186741796413</v>
      </c>
      <c r="L359" s="585">
        <f t="shared" si="172"/>
        <v>1.5405352610628443E-2</v>
      </c>
      <c r="M359" s="584">
        <f t="shared" si="173"/>
        <v>1.0290052207085856</v>
      </c>
      <c r="N359" s="585">
        <f t="shared" si="174"/>
        <v>-0.23799605241747807</v>
      </c>
      <c r="O359" s="583">
        <f t="shared" si="175"/>
        <v>51594.099640487831</v>
      </c>
      <c r="P359" s="586">
        <f t="shared" si="176"/>
        <v>1.5707769447336333</v>
      </c>
      <c r="Q359" s="595">
        <f t="shared" si="198"/>
        <v>21.520787418120538</v>
      </c>
      <c r="R359" s="596">
        <f t="shared" si="199"/>
        <v>1.5243128877963668</v>
      </c>
      <c r="S359" s="583">
        <f t="shared" si="177"/>
        <v>1.0102176727175833</v>
      </c>
      <c r="T359" s="586">
        <f t="shared" si="178"/>
        <v>0.14234763011969015</v>
      </c>
      <c r="U359" s="587">
        <f t="shared" si="190"/>
        <v>0.95964760443425023</v>
      </c>
      <c r="V359" s="588">
        <f t="shared" si="191"/>
        <v>-0.3511437520081509</v>
      </c>
      <c r="W359" s="589">
        <f t="shared" si="179"/>
        <v>0.18069224394995348</v>
      </c>
      <c r="X359" s="590">
        <f t="shared" si="180"/>
        <v>-131.63185359865687</v>
      </c>
      <c r="Y359" s="593">
        <f t="shared" si="181"/>
        <v>48.368146401343125</v>
      </c>
      <c r="AA359" s="150">
        <f t="shared" si="182"/>
        <v>1000000000</v>
      </c>
      <c r="AB359" s="150">
        <f t="shared" si="183"/>
        <v>812934144</v>
      </c>
      <c r="AD359" s="592">
        <f t="shared" si="184"/>
        <v>27.525312823035009</v>
      </c>
      <c r="AE359" s="593">
        <f t="shared" si="185"/>
        <v>-10.818112803469987</v>
      </c>
      <c r="AG359" s="592">
        <f t="shared" si="186"/>
        <v>-1.2411489636851882</v>
      </c>
      <c r="AH359" s="593">
        <f t="shared" si="187"/>
        <v>-80.57563076429723</v>
      </c>
      <c r="AJ359" s="150">
        <f t="shared" si="188"/>
        <v>0</v>
      </c>
      <c r="AK359" s="150">
        <f t="shared" si="200"/>
        <v>0</v>
      </c>
      <c r="AM359" s="150" t="str">
        <f t="shared" si="192"/>
        <v>0.128158265007391+0.489787698013208i</v>
      </c>
      <c r="AN359" s="150" t="str">
        <f t="shared" si="193"/>
        <v>0.511846226496i</v>
      </c>
      <c r="AO359" s="150" t="str">
        <f t="shared" si="194"/>
        <v>0.956903993150833-0.25038431148499i</v>
      </c>
      <c r="AP359" s="150" t="str">
        <f t="shared" si="195"/>
        <v>0.145306955832101-0.0816312830022013i</v>
      </c>
      <c r="AQ359" s="150" t="str">
        <f t="shared" si="196"/>
        <v>0.854693044167899+0.0816312830022013i</v>
      </c>
      <c r="AR359" s="150" t="str">
        <f t="shared" si="197"/>
        <v>0.965808741474813-0.092243884795022i</v>
      </c>
    </row>
    <row r="360" spans="7:44" x14ac:dyDescent="0.25">
      <c r="G360" s="594">
        <v>28676</v>
      </c>
      <c r="H360" s="582">
        <f t="shared" si="189"/>
        <v>28.675999999999998</v>
      </c>
      <c r="I360" s="583">
        <f t="shared" si="169"/>
        <v>27.99529126644131</v>
      </c>
      <c r="J360" s="584">
        <f t="shared" si="170"/>
        <v>1.535068433513576</v>
      </c>
      <c r="K360" s="584">
        <f t="shared" si="171"/>
        <v>1.000120043243057</v>
      </c>
      <c r="L360" s="585">
        <f t="shared" si="172"/>
        <v>1.549394950533106E-2</v>
      </c>
      <c r="M360" s="584">
        <f t="shared" si="173"/>
        <v>1.0293350851881733</v>
      </c>
      <c r="N360" s="585">
        <f t="shared" si="174"/>
        <v>-0.23931346439177104</v>
      </c>
      <c r="O360" s="583">
        <f t="shared" si="175"/>
        <v>51890.867048522014</v>
      </c>
      <c r="P360" s="586">
        <f t="shared" si="176"/>
        <v>1.5707770555809637</v>
      </c>
      <c r="Q360" s="595">
        <f t="shared" si="198"/>
        <v>21.644307702280631</v>
      </c>
      <c r="R360" s="596">
        <f t="shared" si="199"/>
        <v>1.524578350253619</v>
      </c>
      <c r="S360" s="583">
        <f t="shared" si="177"/>
        <v>1.0103349511899729</v>
      </c>
      <c r="T360" s="586">
        <f t="shared" si="178"/>
        <v>0.1431552991144262</v>
      </c>
      <c r="U360" s="587">
        <f t="shared" si="190"/>
        <v>0.95921272749879394</v>
      </c>
      <c r="V360" s="588">
        <f t="shared" si="191"/>
        <v>-0.35308457255727754</v>
      </c>
      <c r="W360" s="589">
        <f t="shared" si="179"/>
        <v>0.12868196042533786</v>
      </c>
      <c r="X360" s="590">
        <f t="shared" si="180"/>
        <v>-131.85629733754041</v>
      </c>
      <c r="Y360" s="593">
        <f t="shared" si="181"/>
        <v>48.143702662459589</v>
      </c>
      <c r="AA360" s="150">
        <f t="shared" si="182"/>
        <v>1000000000</v>
      </c>
      <c r="AB360" s="150">
        <f t="shared" si="183"/>
        <v>822312976</v>
      </c>
      <c r="AD360" s="592">
        <f t="shared" si="184"/>
        <v>27.524197565827031</v>
      </c>
      <c r="AE360" s="593">
        <f t="shared" si="185"/>
        <v>-10.849185300811921</v>
      </c>
      <c r="AG360" s="592">
        <f t="shared" si="186"/>
        <v>-1.284169955463041</v>
      </c>
      <c r="AH360" s="593">
        <f t="shared" si="187"/>
        <v>-80.546600353070247</v>
      </c>
      <c r="AJ360" s="150">
        <f t="shared" si="188"/>
        <v>0</v>
      </c>
      <c r="AK360" s="150">
        <f t="shared" si="200"/>
        <v>0</v>
      </c>
      <c r="AM360" s="150" t="str">
        <f t="shared" si="192"/>
        <v>0.129604035719925+0.492352379262006i</v>
      </c>
      <c r="AN360" s="150" t="str">
        <f t="shared" si="193"/>
        <v>0.514790347608i</v>
      </c>
      <c r="AO360" s="150" t="str">
        <f t="shared" si="194"/>
        <v>0.956413385662235-0.251760811604446i</v>
      </c>
      <c r="AP360" s="150" t="str">
        <f t="shared" si="195"/>
        <v>0.145065994046679-0.082058729877001i</v>
      </c>
      <c r="AQ360" s="150" t="str">
        <f t="shared" si="196"/>
        <v>0.854934005953321+0.082058729877001i</v>
      </c>
      <c r="AR360" s="150" t="str">
        <f t="shared" si="197"/>
        <v>0.965449863495857-0.0926663216186532i</v>
      </c>
    </row>
    <row r="361" spans="7:44" x14ac:dyDescent="0.25">
      <c r="G361" s="594">
        <v>28840</v>
      </c>
      <c r="H361" s="582">
        <f t="shared" si="189"/>
        <v>28.84</v>
      </c>
      <c r="I361" s="583">
        <f t="shared" si="169"/>
        <v>28.155194540078153</v>
      </c>
      <c r="J361" s="584">
        <f t="shared" si="170"/>
        <v>1.5352714304591268</v>
      </c>
      <c r="K361" s="584">
        <f t="shared" si="171"/>
        <v>1.0001214201568034</v>
      </c>
      <c r="L361" s="585">
        <f t="shared" si="172"/>
        <v>1.5582546156778163E-2</v>
      </c>
      <c r="M361" s="584">
        <f t="shared" si="173"/>
        <v>1.0296667350088435</v>
      </c>
      <c r="N361" s="585">
        <f t="shared" si="174"/>
        <v>-0.24063002998797448</v>
      </c>
      <c r="O361" s="583">
        <f t="shared" si="175"/>
        <v>52187.634456556814</v>
      </c>
      <c r="P361" s="586">
        <f t="shared" si="176"/>
        <v>1.570777165167617</v>
      </c>
      <c r="Q361" s="595">
        <f t="shared" si="198"/>
        <v>21.76782949441164</v>
      </c>
      <c r="R361" s="596">
        <f t="shared" si="199"/>
        <v>1.524840799989821</v>
      </c>
      <c r="S361" s="583">
        <f t="shared" si="177"/>
        <v>1.0104528885801165</v>
      </c>
      <c r="T361" s="586">
        <f t="shared" si="178"/>
        <v>0.14396278009782332</v>
      </c>
      <c r="U361" s="587">
        <f t="shared" si="190"/>
        <v>0.95877591715005239</v>
      </c>
      <c r="V361" s="588">
        <f t="shared" si="191"/>
        <v>-0.35502412222513136</v>
      </c>
      <c r="W361" s="589">
        <f t="shared" si="179"/>
        <v>7.6945896376034981E-2</v>
      </c>
      <c r="X361" s="590">
        <f t="shared" si="180"/>
        <v>-132.08064792308232</v>
      </c>
      <c r="Y361" s="593">
        <f t="shared" si="181"/>
        <v>47.919352076917676</v>
      </c>
      <c r="AA361" s="150">
        <f t="shared" si="182"/>
        <v>1000000000</v>
      </c>
      <c r="AB361" s="150">
        <f t="shared" si="183"/>
        <v>831745600</v>
      </c>
      <c r="AD361" s="592">
        <f t="shared" si="184"/>
        <v>27.523078578358437</v>
      </c>
      <c r="AE361" s="593">
        <f t="shared" si="185"/>
        <v>-10.880419569867366</v>
      </c>
      <c r="AG361" s="592">
        <f t="shared" si="186"/>
        <v>-1.326874395943189</v>
      </c>
      <c r="AH361" s="593">
        <f t="shared" si="187"/>
        <v>-80.517460649054698</v>
      </c>
      <c r="AJ361" s="150">
        <f t="shared" si="188"/>
        <v>0</v>
      </c>
      <c r="AK361" s="150">
        <f t="shared" si="200"/>
        <v>0</v>
      </c>
      <c r="AM361" s="150" t="str">
        <f t="shared" si="192"/>
        <v>0.131057350887904+0.494912792877749i</v>
      </c>
      <c r="AN361" s="150" t="str">
        <f t="shared" si="193"/>
        <v>0.51773446872i</v>
      </c>
      <c r="AO361" s="150" t="str">
        <f t="shared" si="194"/>
        <v>0.955920114998962-0.253136228715694i</v>
      </c>
      <c r="AP361" s="150" t="str">
        <f t="shared" si="195"/>
        <v>0.144823774852016-0.0824854654796248i</v>
      </c>
      <c r="AQ361" s="150" t="str">
        <f t="shared" si="196"/>
        <v>0.855176225147984+0.0824854654796248i</v>
      </c>
      <c r="AR361" s="150" t="str">
        <f t="shared" si="197"/>
        <v>0.965089585082132-0.0930870869817063i</v>
      </c>
    </row>
    <row r="362" spans="7:44" x14ac:dyDescent="0.25">
      <c r="G362" s="594">
        <v>29008</v>
      </c>
      <c r="H362" s="582">
        <f t="shared" si="189"/>
        <v>29.007999999999999</v>
      </c>
      <c r="I362" s="583">
        <f t="shared" si="169"/>
        <v>28.318999082812947</v>
      </c>
      <c r="J362" s="584">
        <f t="shared" si="170"/>
        <v>1.5354770015440244</v>
      </c>
      <c r="K362" s="584">
        <f t="shared" si="171"/>
        <v>1.0001228387936505</v>
      </c>
      <c r="L362" s="585">
        <f t="shared" si="172"/>
        <v>1.5673303448482716E-2</v>
      </c>
      <c r="M362" s="584">
        <f t="shared" si="173"/>
        <v>1.0300083232362276</v>
      </c>
      <c r="N362" s="585">
        <f t="shared" si="174"/>
        <v>-0.24197782543139673</v>
      </c>
      <c r="O362" s="583">
        <f t="shared" si="175"/>
        <v>52491.640094056529</v>
      </c>
      <c r="P362" s="586">
        <f t="shared" si="176"/>
        <v>1.5707772761422922</v>
      </c>
      <c r="Q362" s="595">
        <f t="shared" si="198"/>
        <v>21.894365550089955</v>
      </c>
      <c r="R362" s="596">
        <f t="shared" si="199"/>
        <v>1.5251065803642585</v>
      </c>
      <c r="S362" s="583">
        <f t="shared" si="177"/>
        <v>1.010574385471307</v>
      </c>
      <c r="T362" s="586">
        <f t="shared" si="178"/>
        <v>0.14478975976192671</v>
      </c>
      <c r="U362" s="587">
        <f t="shared" si="190"/>
        <v>0.95832645693043439</v>
      </c>
      <c r="V362" s="588">
        <f t="shared" si="191"/>
        <v>-0.35700965507143645</v>
      </c>
      <c r="W362" s="589">
        <f t="shared" si="179"/>
        <v>2.4228952787300747E-2</v>
      </c>
      <c r="X362" s="590">
        <f t="shared" si="180"/>
        <v>-132.3103726210017</v>
      </c>
      <c r="Y362" s="593">
        <f t="shared" si="181"/>
        <v>47.689627378998296</v>
      </c>
      <c r="AA362" s="150">
        <f t="shared" si="182"/>
        <v>1000000000</v>
      </c>
      <c r="AB362" s="150">
        <f t="shared" si="183"/>
        <v>841464064</v>
      </c>
      <c r="AD362" s="592">
        <f t="shared" si="184"/>
        <v>27.521928392037417</v>
      </c>
      <c r="AE362" s="593">
        <f t="shared" si="185"/>
        <v>-10.912580279048235</v>
      </c>
      <c r="AG362" s="592">
        <f t="shared" si="186"/>
        <v>-1.3702956060797469</v>
      </c>
      <c r="AH362" s="593">
        <f t="shared" si="187"/>
        <v>-80.487499333177496</v>
      </c>
      <c r="AJ362" s="150">
        <f t="shared" si="188"/>
        <v>29008</v>
      </c>
      <c r="AK362" s="150">
        <f t="shared" si="200"/>
        <v>47.689627378998296</v>
      </c>
      <c r="AM362" s="150" t="str">
        <f t="shared" si="192"/>
        <v>0.13255392231511+0.497531207372061i</v>
      </c>
      <c r="AN362" s="150" t="str">
        <f t="shared" si="193"/>
        <v>0.520750397664i</v>
      </c>
      <c r="AO362" s="150" t="str">
        <f t="shared" si="194"/>
        <v>0.955412054611775-0.254544063546999i</v>
      </c>
      <c r="AP362" s="150" t="str">
        <f t="shared" si="195"/>
        <v>0.144574346280815-0.0829218678953435i</v>
      </c>
      <c r="AQ362" s="150" t="str">
        <f t="shared" si="196"/>
        <v>0.855425653719185+0.0829218678953435i</v>
      </c>
      <c r="AR362" s="150" t="str">
        <f t="shared" si="197"/>
        <v>0.964719077288378-0.0935163769466346i</v>
      </c>
    </row>
    <row r="363" spans="7:44" x14ac:dyDescent="0.25">
      <c r="G363" s="594">
        <v>29176</v>
      </c>
      <c r="H363" s="582">
        <f t="shared" si="189"/>
        <v>29.175999999999998</v>
      </c>
      <c r="I363" s="583">
        <f t="shared" si="169"/>
        <v>28.482804808528666</v>
      </c>
      <c r="J363" s="584">
        <f t="shared" si="170"/>
        <v>1.5356802081427103</v>
      </c>
      <c r="K363" s="584">
        <f t="shared" si="171"/>
        <v>1.0001242656683722</v>
      </c>
      <c r="L363" s="585">
        <f t="shared" si="172"/>
        <v>1.5764060481968427E-2</v>
      </c>
      <c r="M363" s="584">
        <f t="shared" si="173"/>
        <v>1.0303517812852709</v>
      </c>
      <c r="N363" s="585">
        <f t="shared" si="174"/>
        <v>-0.24332472477037662</v>
      </c>
      <c r="O363" s="583">
        <f t="shared" si="175"/>
        <v>52795.645731556884</v>
      </c>
      <c r="P363" s="586">
        <f t="shared" si="176"/>
        <v>1.5707773858389484</v>
      </c>
      <c r="Q363" s="595">
        <f t="shared" si="198"/>
        <v>22.020903134594754</v>
      </c>
      <c r="R363" s="596">
        <f t="shared" si="199"/>
        <v>1.5253693062768516</v>
      </c>
      <c r="S363" s="583">
        <f t="shared" si="177"/>
        <v>1.0106965733231974</v>
      </c>
      <c r="T363" s="586">
        <f t="shared" si="178"/>
        <v>0.14561654003644253</v>
      </c>
      <c r="U363" s="587">
        <f t="shared" si="190"/>
        <v>0.95787498566096851</v>
      </c>
      <c r="V363" s="588">
        <f t="shared" si="191"/>
        <v>-0.35899384384424365</v>
      </c>
      <c r="W363" s="589">
        <f t="shared" si="179"/>
        <v>-2.820699614359512E-2</v>
      </c>
      <c r="X363" s="590">
        <f t="shared" si="180"/>
        <v>-132.53999701625932</v>
      </c>
      <c r="Y363" s="593">
        <f t="shared" si="181"/>
        <v>47.460002983740679</v>
      </c>
      <c r="AA363" s="150">
        <f t="shared" si="182"/>
        <v>29176</v>
      </c>
      <c r="AB363" s="150">
        <f t="shared" si="183"/>
        <v>851238976</v>
      </c>
      <c r="AD363" s="592">
        <f t="shared" si="184"/>
        <v>27.520774214018001</v>
      </c>
      <c r="AE363" s="593">
        <f t="shared" si="185"/>
        <v>-10.944904498594717</v>
      </c>
      <c r="AG363" s="592">
        <f t="shared" si="186"/>
        <v>-1.4133915368039962</v>
      </c>
      <c r="AH363" s="593">
        <f t="shared" si="187"/>
        <v>-80.457428223750597</v>
      </c>
      <c r="AJ363" s="150">
        <f t="shared" si="188"/>
        <v>0</v>
      </c>
      <c r="AK363" s="150">
        <f t="shared" si="200"/>
        <v>0</v>
      </c>
      <c r="AM363" s="150" t="str">
        <f t="shared" si="192"/>
        <v>0.134058383876133+0.500145096411817i</v>
      </c>
      <c r="AN363" s="150" t="str">
        <f t="shared" si="193"/>
        <v>0.523766326608i</v>
      </c>
      <c r="AO363" s="150" t="str">
        <f t="shared" si="194"/>
        <v>0.954901204991245-0.255950749534278i</v>
      </c>
      <c r="AP363" s="150" t="str">
        <f t="shared" si="195"/>
        <v>0.144323602687311-0.0833575160686362i</v>
      </c>
      <c r="AQ363" s="150" t="str">
        <f t="shared" si="196"/>
        <v>0.855676397312689+0.0833575160686362i</v>
      </c>
      <c r="AR363" s="150" t="str">
        <f t="shared" si="197"/>
        <v>0.964347120217195-0.0939439031177024i</v>
      </c>
    </row>
    <row r="364" spans="7:44" x14ac:dyDescent="0.25">
      <c r="G364" s="594">
        <v>29344</v>
      </c>
      <c r="H364" s="582">
        <f t="shared" si="189"/>
        <v>29.344000000000001</v>
      </c>
      <c r="I364" s="583">
        <f t="shared" si="169"/>
        <v>28.64661169693191</v>
      </c>
      <c r="J364" s="584">
        <f t="shared" si="170"/>
        <v>1.5358810908000309</v>
      </c>
      <c r="K364" s="584">
        <f t="shared" si="171"/>
        <v>1.0001257007809328</v>
      </c>
      <c r="L364" s="585">
        <f t="shared" si="172"/>
        <v>1.585481725574131E-2</v>
      </c>
      <c r="M364" s="584">
        <f t="shared" si="173"/>
        <v>1.0306971072867381</v>
      </c>
      <c r="N364" s="585">
        <f t="shared" si="174"/>
        <v>-0.24467072401626783</v>
      </c>
      <c r="O364" s="583">
        <f t="shared" si="175"/>
        <v>53099.651369057865</v>
      </c>
      <c r="P364" s="586">
        <f t="shared" si="176"/>
        <v>1.5707774942795358</v>
      </c>
      <c r="Q364" s="595">
        <f t="shared" si="198"/>
        <v>22.147442221721551</v>
      </c>
      <c r="R364" s="596">
        <f t="shared" si="199"/>
        <v>1.5256290300458859</v>
      </c>
      <c r="S364" s="583">
        <f t="shared" si="177"/>
        <v>1.0108194518852183</v>
      </c>
      <c r="T364" s="586">
        <f t="shared" si="178"/>
        <v>0.14644311986356615</v>
      </c>
      <c r="U364" s="587">
        <f t="shared" si="190"/>
        <v>0.95742151238854645</v>
      </c>
      <c r="V364" s="588">
        <f t="shared" si="191"/>
        <v>-0.36097668331498228</v>
      </c>
      <c r="W364" s="589">
        <f t="shared" si="179"/>
        <v>-8.0365284793138092E-2</v>
      </c>
      <c r="X364" s="590">
        <f t="shared" si="180"/>
        <v>-132.76951984691459</v>
      </c>
      <c r="Y364" s="593">
        <f t="shared" si="181"/>
        <v>47.230480153085409</v>
      </c>
      <c r="AA364" s="150">
        <f t="shared" si="182"/>
        <v>29344</v>
      </c>
      <c r="AB364" s="150">
        <f t="shared" si="183"/>
        <v>861070336</v>
      </c>
      <c r="AD364" s="592">
        <f t="shared" si="184"/>
        <v>27.51961600706835</v>
      </c>
      <c r="AE364" s="593">
        <f t="shared" si="185"/>
        <v>-10.977389171539752</v>
      </c>
      <c r="AG364" s="592">
        <f t="shared" si="186"/>
        <v>-1.4561655942289418</v>
      </c>
      <c r="AH364" s="593">
        <f t="shared" si="187"/>
        <v>-80.427249714950619</v>
      </c>
      <c r="AJ364" s="150">
        <f t="shared" si="188"/>
        <v>0</v>
      </c>
      <c r="AK364" s="150">
        <f t="shared" si="200"/>
        <v>0</v>
      </c>
      <c r="AM364" s="150" t="str">
        <f t="shared" si="192"/>
        <v>0.13557072188666+0.502754436221552i</v>
      </c>
      <c r="AN364" s="150" t="str">
        <f t="shared" si="193"/>
        <v>0.526782255552i</v>
      </c>
      <c r="AO364" s="150" t="str">
        <f t="shared" si="194"/>
        <v>0.954387568910669-0.257356280432414i</v>
      </c>
      <c r="AP364" s="150" t="str">
        <f t="shared" si="195"/>
        <v>0.144071546352223-0.0837924060369253i</v>
      </c>
      <c r="AQ364" s="150" t="str">
        <f t="shared" si="196"/>
        <v>0.855928453647777+0.0837924060369253i</v>
      </c>
      <c r="AR364" s="150" t="str">
        <f t="shared" si="197"/>
        <v>0.963973724160743-0.0943696606411021i</v>
      </c>
    </row>
    <row r="365" spans="7:44" x14ac:dyDescent="0.25">
      <c r="G365" s="594">
        <v>29512</v>
      </c>
      <c r="H365" s="582">
        <f t="shared" si="189"/>
        <v>29.512</v>
      </c>
      <c r="I365" s="583">
        <f t="shared" si="169"/>
        <v>28.810419728190663</v>
      </c>
      <c r="J365" s="584">
        <f t="shared" si="170"/>
        <v>1.5360796891394854</v>
      </c>
      <c r="K365" s="584">
        <f t="shared" si="171"/>
        <v>1.0001271441312973</v>
      </c>
      <c r="L365" s="585">
        <f t="shared" si="172"/>
        <v>1.5945573768307398E-2</v>
      </c>
      <c r="M365" s="584">
        <f t="shared" si="173"/>
        <v>1.0310442993637383</v>
      </c>
      <c r="N365" s="585">
        <f t="shared" si="174"/>
        <v>-0.24601581919879892</v>
      </c>
      <c r="O365" s="583">
        <f t="shared" si="175"/>
        <v>53403.657006559457</v>
      </c>
      <c r="P365" s="586">
        <f t="shared" si="176"/>
        <v>1.5707776014855057</v>
      </c>
      <c r="Q365" s="595">
        <f t="shared" si="198"/>
        <v>22.273982785861055</v>
      </c>
      <c r="R365" s="596">
        <f t="shared" si="199"/>
        <v>1.5258858028023878</v>
      </c>
      <c r="S365" s="583">
        <f t="shared" si="177"/>
        <v>1.010943020905505</v>
      </c>
      <c r="T365" s="586">
        <f t="shared" si="178"/>
        <v>0.14726949818710136</v>
      </c>
      <c r="U365" s="587">
        <f t="shared" si="190"/>
        <v>0.95696604617715553</v>
      </c>
      <c r="V365" s="588">
        <f t="shared" si="191"/>
        <v>-0.3629581682923631</v>
      </c>
      <c r="W365" s="589">
        <f t="shared" si="179"/>
        <v>-0.13224918970947502</v>
      </c>
      <c r="X365" s="590">
        <f t="shared" si="180"/>
        <v>-132.99893986951511</v>
      </c>
      <c r="Y365" s="593">
        <f t="shared" si="181"/>
        <v>47.001060130484888</v>
      </c>
      <c r="AA365" s="150">
        <f t="shared" si="182"/>
        <v>29512</v>
      </c>
      <c r="AB365" s="150">
        <f t="shared" si="183"/>
        <v>870958144</v>
      </c>
      <c r="AD365" s="592">
        <f t="shared" si="184"/>
        <v>27.518453735153535</v>
      </c>
      <c r="AE365" s="593">
        <f t="shared" si="185"/>
        <v>-11.010031309004837</v>
      </c>
      <c r="AG365" s="592">
        <f t="shared" si="186"/>
        <v>-1.4986211281264386</v>
      </c>
      <c r="AH365" s="593">
        <f t="shared" si="187"/>
        <v>-80.396966147081628</v>
      </c>
      <c r="AJ365" s="150">
        <f t="shared" si="188"/>
        <v>0</v>
      </c>
      <c r="AK365" s="150">
        <f t="shared" si="200"/>
        <v>0</v>
      </c>
      <c r="AM365" s="150" t="str">
        <f t="shared" si="192"/>
        <v>0.137090922590737+0.505359203067179i</v>
      </c>
      <c r="AN365" s="150" t="str">
        <f t="shared" si="193"/>
        <v>0.529798184496i</v>
      </c>
      <c r="AO365" s="150" t="str">
        <f t="shared" si="194"/>
        <v>0.953871149158297-0.258760650003269i</v>
      </c>
      <c r="AP365" s="150" t="str">
        <f t="shared" si="195"/>
        <v>0.14381817956821-0.0842265338445298i</v>
      </c>
      <c r="AQ365" s="150" t="str">
        <f t="shared" si="196"/>
        <v>0.85618182043179+0.0842265338445298i</v>
      </c>
      <c r="AR365" s="150" t="str">
        <f t="shared" si="197"/>
        <v>0.963598899422312-0.0947936447351966i</v>
      </c>
    </row>
    <row r="366" spans="7:44" x14ac:dyDescent="0.25">
      <c r="G366" s="594">
        <v>29684</v>
      </c>
      <c r="H366" s="582">
        <f t="shared" si="189"/>
        <v>29.684000000000001</v>
      </c>
      <c r="I366" s="583">
        <f t="shared" si="169"/>
        <v>28.978129114427489</v>
      </c>
      <c r="J366" s="584">
        <f t="shared" si="170"/>
        <v>1.5362806898979866</v>
      </c>
      <c r="K366" s="584">
        <f t="shared" si="171"/>
        <v>1.0001286303814552</v>
      </c>
      <c r="L366" s="585">
        <f t="shared" si="172"/>
        <v>1.6038490878050638E-2</v>
      </c>
      <c r="M366" s="584">
        <f t="shared" si="173"/>
        <v>1.0314016892009039</v>
      </c>
      <c r="N366" s="585">
        <f t="shared" si="174"/>
        <v>-0.24739199972302311</v>
      </c>
      <c r="O366" s="583">
        <f t="shared" si="175"/>
        <v>53714.900873526007</v>
      </c>
      <c r="P366" s="586">
        <f t="shared" si="176"/>
        <v>1.5707777099868268</v>
      </c>
      <c r="Q366" s="595">
        <f t="shared" si="198"/>
        <v>22.403537724622826</v>
      </c>
      <c r="R366" s="596">
        <f t="shared" si="199"/>
        <v>1.5261456841338721</v>
      </c>
      <c r="S366" s="583">
        <f t="shared" si="177"/>
        <v>1.0110702470941615</v>
      </c>
      <c r="T366" s="586">
        <f t="shared" si="178"/>
        <v>0.14811534232654205</v>
      </c>
      <c r="U366" s="587">
        <f t="shared" si="190"/>
        <v>0.95649768033418192</v>
      </c>
      <c r="V366" s="588">
        <f t="shared" si="191"/>
        <v>-0.36498542284980329</v>
      </c>
      <c r="W366" s="589">
        <f t="shared" si="179"/>
        <v>-0.18508752685310409</v>
      </c>
      <c r="X366" s="590">
        <f t="shared" si="180"/>
        <v>-133.23371448523304</v>
      </c>
      <c r="Y366" s="593">
        <f t="shared" si="181"/>
        <v>46.766285514766963</v>
      </c>
      <c r="AA366" s="150">
        <f t="shared" si="182"/>
        <v>29684</v>
      </c>
      <c r="AB366" s="150">
        <f t="shared" si="183"/>
        <v>881139856</v>
      </c>
      <c r="AD366" s="592">
        <f t="shared" si="184"/>
        <v>27.517259542390072</v>
      </c>
      <c r="AE366" s="593">
        <f t="shared" si="185"/>
        <v>-11.043610721558505</v>
      </c>
      <c r="AG366" s="592">
        <f t="shared" si="186"/>
        <v>-1.541760958477153</v>
      </c>
      <c r="AH366" s="593">
        <f t="shared" si="187"/>
        <v>-80.365855089700446</v>
      </c>
      <c r="AJ366" s="150">
        <f t="shared" si="188"/>
        <v>0</v>
      </c>
      <c r="AK366" s="150">
        <f t="shared" si="200"/>
        <v>0</v>
      </c>
      <c r="AM366" s="150" t="str">
        <f t="shared" si="192"/>
        <v>0.138655449842993+0.508021225850676i</v>
      </c>
      <c r="AN366" s="150" t="str">
        <f t="shared" si="193"/>
        <v>0.532885921272i</v>
      </c>
      <c r="AO366" s="150" t="str">
        <f t="shared" si="194"/>
        <v>0.953339552747102-0.260197247305806i</v>
      </c>
      <c r="AP366" s="150" t="str">
        <f t="shared" si="195"/>
        <v>0.143557425026168-0.084670204308446i</v>
      </c>
      <c r="AQ366" s="150" t="str">
        <f t="shared" si="196"/>
        <v>0.856442574973832+0.084670204308446i</v>
      </c>
      <c r="AR366" s="150" t="str">
        <f t="shared" si="197"/>
        <v>0.963213680944026-0.0952258815025781i</v>
      </c>
    </row>
    <row r="367" spans="7:44" x14ac:dyDescent="0.25">
      <c r="G367" s="594">
        <v>29856</v>
      </c>
      <c r="H367" s="582">
        <f t="shared" si="189"/>
        <v>29.856000000000002</v>
      </c>
      <c r="I367" s="583">
        <f t="shared" si="169"/>
        <v>29.145839657945142</v>
      </c>
      <c r="J367" s="584">
        <f t="shared" si="170"/>
        <v>1.5364793774734748</v>
      </c>
      <c r="K367" s="584">
        <f t="shared" si="171"/>
        <v>1.0001301252662873</v>
      </c>
      <c r="L367" s="585">
        <f t="shared" si="172"/>
        <v>1.6131407710831474E-2</v>
      </c>
      <c r="M367" s="584">
        <f t="shared" si="173"/>
        <v>1.0317610310263237</v>
      </c>
      <c r="N367" s="585">
        <f t="shared" si="174"/>
        <v>-0.24876722425768424</v>
      </c>
      <c r="O367" s="583">
        <f t="shared" si="175"/>
        <v>54026.144740493182</v>
      </c>
      <c r="P367" s="586">
        <f t="shared" si="176"/>
        <v>1.5707778172379985</v>
      </c>
      <c r="Q367" s="595">
        <f t="shared" si="198"/>
        <v>22.53309415908231</v>
      </c>
      <c r="R367" s="596">
        <f t="shared" si="199"/>
        <v>1.5264025770515288</v>
      </c>
      <c r="S367" s="583">
        <f t="shared" si="177"/>
        <v>1.0111981964730328</v>
      </c>
      <c r="T367" s="586">
        <f t="shared" si="178"/>
        <v>0.14896097301741199</v>
      </c>
      <c r="U367" s="587">
        <f t="shared" si="190"/>
        <v>0.95602724480125345</v>
      </c>
      <c r="V367" s="588">
        <f t="shared" si="191"/>
        <v>-0.36701124675382352</v>
      </c>
      <c r="W367" s="589">
        <f t="shared" si="179"/>
        <v>-0.23764502939393561</v>
      </c>
      <c r="X367" s="590">
        <f t="shared" si="180"/>
        <v>-133.46837875879481</v>
      </c>
      <c r="Y367" s="593">
        <f t="shared" si="181"/>
        <v>46.531621241205187</v>
      </c>
      <c r="AA367" s="150">
        <f t="shared" si="182"/>
        <v>29856</v>
      </c>
      <c r="AB367" s="150">
        <f t="shared" si="183"/>
        <v>891380736</v>
      </c>
      <c r="AD367" s="592">
        <f t="shared" si="184"/>
        <v>27.51606101601919</v>
      </c>
      <c r="AE367" s="593">
        <f t="shared" si="185"/>
        <v>-11.077349056281593</v>
      </c>
      <c r="AG367" s="592">
        <f t="shared" si="186"/>
        <v>-1.5845738474310873</v>
      </c>
      <c r="AH367" s="593">
        <f t="shared" si="187"/>
        <v>-80.334638708799716</v>
      </c>
      <c r="AJ367" s="150">
        <f t="shared" si="188"/>
        <v>0</v>
      </c>
      <c r="AK367" s="150">
        <f t="shared" si="200"/>
        <v>0</v>
      </c>
      <c r="AM367" s="150" t="str">
        <f t="shared" si="192"/>
        <v>0.140228189249648+0.510678405103506i</v>
      </c>
      <c r="AN367" s="150" t="str">
        <f t="shared" si="193"/>
        <v>0.535973658048i</v>
      </c>
      <c r="AO367" s="150" t="str">
        <f t="shared" si="194"/>
        <v>0.95280504449301-0.261632614110841i</v>
      </c>
      <c r="AP367" s="150" t="str">
        <f t="shared" si="195"/>
        <v>0.143295301791725-0.085113067517251i</v>
      </c>
      <c r="AQ367" s="150" t="str">
        <f t="shared" si="196"/>
        <v>0.856704698208275+0.085113067517251i</v>
      </c>
      <c r="AR367" s="150" t="str">
        <f t="shared" si="197"/>
        <v>0.96282698683125-0.0956562494742811i</v>
      </c>
    </row>
    <row r="368" spans="7:44" x14ac:dyDescent="0.25">
      <c r="G368" s="594">
        <v>30028</v>
      </c>
      <c r="H368" s="582">
        <f t="shared" si="189"/>
        <v>30.027999999999999</v>
      </c>
      <c r="I368" s="583">
        <f t="shared" si="169"/>
        <v>29.313551338880295</v>
      </c>
      <c r="J368" s="584">
        <f t="shared" si="170"/>
        <v>1.5366757915533831</v>
      </c>
      <c r="K368" s="584">
        <f t="shared" si="171"/>
        <v>1.0001316287857547</v>
      </c>
      <c r="L368" s="585">
        <f t="shared" si="172"/>
        <v>1.6224324265046743E-2</v>
      </c>
      <c r="M368" s="584">
        <f t="shared" si="173"/>
        <v>1.0321223228011953</v>
      </c>
      <c r="N368" s="585">
        <f t="shared" si="174"/>
        <v>-0.25014148860224988</v>
      </c>
      <c r="O368" s="583">
        <f t="shared" si="175"/>
        <v>54337.388607460969</v>
      </c>
      <c r="P368" s="586">
        <f t="shared" si="176"/>
        <v>1.5707779232605037</v>
      </c>
      <c r="Q368" s="595">
        <f t="shared" si="198"/>
        <v>22.66265206358797</v>
      </c>
      <c r="R368" s="596">
        <f t="shared" si="199"/>
        <v>1.5266565327736714</v>
      </c>
      <c r="S368" s="583">
        <f t="shared" si="177"/>
        <v>1.0113268687676327</v>
      </c>
      <c r="T368" s="586">
        <f t="shared" si="178"/>
        <v>0.14980638913154967</v>
      </c>
      <c r="U368" s="587">
        <f t="shared" si="190"/>
        <v>0.95555474935806228</v>
      </c>
      <c r="V368" s="588">
        <f t="shared" si="191"/>
        <v>-0.36903563455513805</v>
      </c>
      <c r="W368" s="589">
        <f t="shared" si="179"/>
        <v>-0.28992503365410954</v>
      </c>
      <c r="X368" s="590">
        <f t="shared" si="180"/>
        <v>-133.70293141331962</v>
      </c>
      <c r="Y368" s="593">
        <f t="shared" si="181"/>
        <v>46.297068586680382</v>
      </c>
      <c r="AA368" s="150">
        <f t="shared" si="182"/>
        <v>30028</v>
      </c>
      <c r="AB368" s="150">
        <f t="shared" si="183"/>
        <v>901680784</v>
      </c>
      <c r="AD368" s="592">
        <f t="shared" si="184"/>
        <v>27.514858121014566</v>
      </c>
      <c r="AE368" s="593">
        <f t="shared" si="185"/>
        <v>-11.111243315172883</v>
      </c>
      <c r="AG368" s="592">
        <f t="shared" si="186"/>
        <v>-1.6270632144497572</v>
      </c>
      <c r="AH368" s="593">
        <f t="shared" si="187"/>
        <v>-80.303319349942029</v>
      </c>
      <c r="AJ368" s="150">
        <f t="shared" si="188"/>
        <v>0</v>
      </c>
      <c r="AK368" s="150">
        <f t="shared" si="200"/>
        <v>0</v>
      </c>
      <c r="AM368" s="150" t="str">
        <f t="shared" si="192"/>
        <v>0.141809125816029+0.513330715491827i</v>
      </c>
      <c r="AN368" s="150" t="str">
        <f t="shared" si="193"/>
        <v>0.539061394824i</v>
      </c>
      <c r="AO368" s="150" t="str">
        <f t="shared" si="194"/>
        <v>0.952267627436808-0.263066743746932i</v>
      </c>
      <c r="AP368" s="150" t="str">
        <f t="shared" si="195"/>
        <v>0.143031812363995-0.0855551192486378i</v>
      </c>
      <c r="AQ368" s="150" t="str">
        <f t="shared" si="196"/>
        <v>0.856968187636005+0.0855551192486378i</v>
      </c>
      <c r="AR368" s="150" t="str">
        <f t="shared" si="197"/>
        <v>0.962438828173304-0.0960847437534759i</v>
      </c>
    </row>
    <row r="369" spans="7:44" x14ac:dyDescent="0.25">
      <c r="G369" s="594">
        <v>30200</v>
      </c>
      <c r="H369" s="582">
        <f t="shared" si="189"/>
        <v>30.2</v>
      </c>
      <c r="I369" s="583">
        <f t="shared" si="169"/>
        <v>29.481264137821476</v>
      </c>
      <c r="J369" s="584">
        <f t="shared" si="170"/>
        <v>1.5368699709227609</v>
      </c>
      <c r="K369" s="584">
        <f t="shared" si="171"/>
        <v>1.0001331409398186</v>
      </c>
      <c r="L369" s="585">
        <f t="shared" si="172"/>
        <v>1.6317240539093322E-2</v>
      </c>
      <c r="M369" s="584">
        <f t="shared" si="173"/>
        <v>1.0324855624785148</v>
      </c>
      <c r="N369" s="585">
        <f t="shared" si="174"/>
        <v>-0.2515147885765584</v>
      </c>
      <c r="O369" s="583">
        <f t="shared" si="175"/>
        <v>54648.63247442936</v>
      </c>
      <c r="P369" s="586">
        <f t="shared" si="176"/>
        <v>1.5707780280753354</v>
      </c>
      <c r="Q369" s="595">
        <f t="shared" si="198"/>
        <v>22.792211413071236</v>
      </c>
      <c r="R369" s="596">
        <f t="shared" si="199"/>
        <v>1.5269076013555731</v>
      </c>
      <c r="S369" s="583">
        <f t="shared" si="177"/>
        <v>1.0114562637020641</v>
      </c>
      <c r="T369" s="586">
        <f t="shared" si="178"/>
        <v>0.15065158954259295</v>
      </c>
      <c r="U369" s="587">
        <f t="shared" si="190"/>
        <v>0.95508020380109815</v>
      </c>
      <c r="V369" s="588">
        <f t="shared" si="191"/>
        <v>-0.3710585808455889</v>
      </c>
      <c r="W369" s="589">
        <f t="shared" si="179"/>
        <v>-0.3419308180350647</v>
      </c>
      <c r="X369" s="590">
        <f t="shared" si="180"/>
        <v>-133.93737119045988</v>
      </c>
      <c r="Y369" s="593">
        <f t="shared" si="181"/>
        <v>46.062628809540115</v>
      </c>
      <c r="AA369" s="150">
        <f t="shared" si="182"/>
        <v>30200</v>
      </c>
      <c r="AB369" s="150">
        <f t="shared" si="183"/>
        <v>912040000</v>
      </c>
      <c r="AD369" s="592">
        <f t="shared" si="184"/>
        <v>27.513650823498253</v>
      </c>
      <c r="AE369" s="593">
        <f t="shared" si="185"/>
        <v>-11.145290566943475</v>
      </c>
      <c r="AG369" s="592">
        <f t="shared" si="186"/>
        <v>-1.669232422521054</v>
      </c>
      <c r="AH369" s="593">
        <f t="shared" si="187"/>
        <v>-80.271899305797859</v>
      </c>
      <c r="AJ369" s="150">
        <f t="shared" si="188"/>
        <v>0</v>
      </c>
      <c r="AK369" s="150">
        <f t="shared" si="200"/>
        <v>0</v>
      </c>
      <c r="AM369" s="150" t="str">
        <f t="shared" si="192"/>
        <v>0.143398244469311+0.515978131728218i</v>
      </c>
      <c r="AN369" s="150" t="str">
        <f t="shared" si="193"/>
        <v>0.5421491316i</v>
      </c>
      <c r="AO369" s="150" t="str">
        <f t="shared" si="194"/>
        <v>0.951727304635635-0.264499629550474i</v>
      </c>
      <c r="AP369" s="150" t="str">
        <f t="shared" si="195"/>
        <v>0.142766959255115-0.0859963552880363i</v>
      </c>
      <c r="AQ369" s="150" t="str">
        <f t="shared" si="196"/>
        <v>0.857233040744885+0.0859963552880363i</v>
      </c>
      <c r="AR369" s="150" t="str">
        <f t="shared" si="197"/>
        <v>0.962049216069156-0.0965113595222252i</v>
      </c>
    </row>
    <row r="370" spans="7:44" x14ac:dyDescent="0.25">
      <c r="G370" s="594">
        <v>30375.75</v>
      </c>
      <c r="H370" s="582">
        <f t="shared" si="189"/>
        <v>30.37575</v>
      </c>
      <c r="I370" s="583">
        <f t="shared" si="169"/>
        <v>29.652634600906445</v>
      </c>
      <c r="J370" s="584">
        <f t="shared" si="170"/>
        <v>1.5370661149660927</v>
      </c>
      <c r="K370" s="584">
        <f t="shared" si="171"/>
        <v>1.0001346949813472</v>
      </c>
      <c r="L370" s="585">
        <f t="shared" si="172"/>
        <v>1.641218231293276E-2</v>
      </c>
      <c r="M370" s="584">
        <f t="shared" si="173"/>
        <v>1.03285873155583</v>
      </c>
      <c r="N370" s="585">
        <f t="shared" si="174"/>
        <v>-0.25291702921841192</v>
      </c>
      <c r="O370" s="583">
        <f t="shared" si="175"/>
        <v>54966.662181521227</v>
      </c>
      <c r="P370" s="586">
        <f t="shared" si="176"/>
        <v>1.5707781339492632</v>
      </c>
      <c r="Q370" s="595">
        <f t="shared" si="198"/>
        <v>22.924596924760884</v>
      </c>
      <c r="R370" s="596">
        <f t="shared" si="199"/>
        <v>1.5271612124681482</v>
      </c>
      <c r="S370" s="583">
        <f t="shared" si="177"/>
        <v>1.0115892259028805</v>
      </c>
      <c r="T370" s="586">
        <f t="shared" si="178"/>
        <v>0.1515149933095446</v>
      </c>
      <c r="U370" s="587">
        <f t="shared" si="190"/>
        <v>0.95459320461028407</v>
      </c>
      <c r="V370" s="588">
        <f t="shared" si="191"/>
        <v>-0.37312413748994244</v>
      </c>
      <c r="W370" s="589">
        <f t="shared" si="179"/>
        <v>-0.39479054826138604</v>
      </c>
      <c r="X370" s="590">
        <f t="shared" si="180"/>
        <v>-134.17680441396223</v>
      </c>
      <c r="Y370" s="593">
        <f t="shared" si="181"/>
        <v>45.82319558603777</v>
      </c>
      <c r="AA370" s="150">
        <f t="shared" si="182"/>
        <v>30375.75</v>
      </c>
      <c r="AB370" s="150">
        <f t="shared" si="183"/>
        <v>922686188.0625</v>
      </c>
      <c r="AD370" s="592">
        <f t="shared" si="184"/>
        <v>27.512412622465927</v>
      </c>
      <c r="AE370" s="593">
        <f t="shared" si="185"/>
        <v>-11.18023517858648</v>
      </c>
      <c r="AG370" s="592">
        <f t="shared" si="186"/>
        <v>-1.7119937533202738</v>
      </c>
      <c r="AH370" s="593">
        <f t="shared" si="187"/>
        <v>-80.239692561253364</v>
      </c>
      <c r="AJ370" s="150">
        <f t="shared" si="188"/>
        <v>0</v>
      </c>
      <c r="AK370" s="150">
        <f t="shared" si="200"/>
        <v>0</v>
      </c>
      <c r="AM370" s="150" t="str">
        <f t="shared" si="192"/>
        <v>0.145030445455092+0.518678186162944i</v>
      </c>
      <c r="AN370" s="150" t="str">
        <f t="shared" si="193"/>
        <v>0.5453041882185i</v>
      </c>
      <c r="AO370" s="150" t="str">
        <f t="shared" si="194"/>
        <v>0.951172203275125-0.265962463866093i</v>
      </c>
      <c r="AP370" s="150" t="str">
        <f t="shared" si="195"/>
        <v>0.142494925757485-0.0864463643604907i</v>
      </c>
      <c r="AQ370" s="150" t="str">
        <f t="shared" si="196"/>
        <v>0.857505074242515+0.0864463643604907i</v>
      </c>
      <c r="AR370" s="150" t="str">
        <f t="shared" si="197"/>
        <v>0.961649619747973-0.0969453311857021i</v>
      </c>
    </row>
    <row r="371" spans="7:44" x14ac:dyDescent="0.25">
      <c r="G371" s="594">
        <v>30551.5</v>
      </c>
      <c r="H371" s="582">
        <f t="shared" si="189"/>
        <v>30.551500000000001</v>
      </c>
      <c r="I371" s="583">
        <f t="shared" si="169"/>
        <v>29.824006191691623</v>
      </c>
      <c r="J371" s="584">
        <f t="shared" si="170"/>
        <v>1.5372600048919636</v>
      </c>
      <c r="K371" s="584">
        <f t="shared" si="171"/>
        <v>1.0001362580380022</v>
      </c>
      <c r="L371" s="585">
        <f t="shared" si="172"/>
        <v>1.6507123790869684E-2</v>
      </c>
      <c r="M371" s="584">
        <f t="shared" si="173"/>
        <v>1.0332339300520859</v>
      </c>
      <c r="N371" s="585">
        <f t="shared" si="174"/>
        <v>-0.25431825422180915</v>
      </c>
      <c r="O371" s="583">
        <f t="shared" si="175"/>
        <v>55284.691888613699</v>
      </c>
      <c r="P371" s="586">
        <f t="shared" si="176"/>
        <v>1.5707782386050941</v>
      </c>
      <c r="Q371" s="595">
        <f t="shared" si="198"/>
        <v>23.05698389399646</v>
      </c>
      <c r="R371" s="596">
        <f t="shared" si="199"/>
        <v>1.5274119112637787</v>
      </c>
      <c r="S371" s="583">
        <f t="shared" si="177"/>
        <v>1.0117229420105973</v>
      </c>
      <c r="T371" s="586">
        <f t="shared" si="178"/>
        <v>0.15237816949332719</v>
      </c>
      <c r="U371" s="587">
        <f t="shared" si="190"/>
        <v>0.954104085667833</v>
      </c>
      <c r="V371" s="588">
        <f t="shared" si="191"/>
        <v>-0.37518817779689512</v>
      </c>
      <c r="W371" s="589">
        <f t="shared" si="179"/>
        <v>-0.44737071212027463</v>
      </c>
      <c r="X371" s="590">
        <f t="shared" si="180"/>
        <v>-134.41611718559352</v>
      </c>
      <c r="Y371" s="593">
        <f t="shared" si="181"/>
        <v>45.583882814406479</v>
      </c>
      <c r="AA371" s="150">
        <f t="shared" si="182"/>
        <v>30551.5</v>
      </c>
      <c r="AB371" s="150">
        <f t="shared" si="183"/>
        <v>933394152.25</v>
      </c>
      <c r="AD371" s="592">
        <f t="shared" si="184"/>
        <v>27.511169756850702</v>
      </c>
      <c r="AE371" s="593">
        <f t="shared" si="185"/>
        <v>-11.215333544352314</v>
      </c>
      <c r="AG371" s="592">
        <f t="shared" si="186"/>
        <v>-1.7544277366828376</v>
      </c>
      <c r="AH371" s="593">
        <f t="shared" si="187"/>
        <v>-80.207385370182024</v>
      </c>
      <c r="AJ371" s="150">
        <f t="shared" si="188"/>
        <v>0</v>
      </c>
      <c r="AK371" s="150">
        <f t="shared" si="200"/>
        <v>0</v>
      </c>
      <c r="AM371" s="150" t="str">
        <f t="shared" si="192"/>
        <v>0.146671157127584+0.521373077481014i</v>
      </c>
      <c r="AN371" s="150" t="str">
        <f t="shared" si="193"/>
        <v>0.548459244837i</v>
      </c>
      <c r="AO371" s="150" t="str">
        <f t="shared" si="194"/>
        <v>0.950614074589925-0.267423985479858i</v>
      </c>
      <c r="AP371" s="150" t="str">
        <f t="shared" si="195"/>
        <v>0.142221473812069-0.0868955129135023i</v>
      </c>
      <c r="AQ371" s="150" t="str">
        <f t="shared" si="196"/>
        <v>0.857778526187931+0.0868955129135023i</v>
      </c>
      <c r="AR371" s="150" t="str">
        <f t="shared" si="197"/>
        <v>0.961248529369814-0.0973773316151301i</v>
      </c>
    </row>
    <row r="372" spans="7:44" x14ac:dyDescent="0.25">
      <c r="G372" s="594">
        <v>30727.25</v>
      </c>
      <c r="H372" s="582">
        <f t="shared" si="189"/>
        <v>30.727250000000002</v>
      </c>
      <c r="I372" s="583">
        <f t="shared" si="169"/>
        <v>29.995378890848453</v>
      </c>
      <c r="J372" s="584">
        <f t="shared" si="170"/>
        <v>1.5374516793210398</v>
      </c>
      <c r="K372" s="584">
        <f t="shared" si="171"/>
        <v>1.0001378301097414</v>
      </c>
      <c r="L372" s="585">
        <f t="shared" si="172"/>
        <v>1.6602064971193903E-2</v>
      </c>
      <c r="M372" s="584">
        <f t="shared" si="173"/>
        <v>1.0336111557572596</v>
      </c>
      <c r="N372" s="585">
        <f t="shared" si="174"/>
        <v>-0.255718459193362</v>
      </c>
      <c r="O372" s="583">
        <f t="shared" si="175"/>
        <v>55602.721595706775</v>
      </c>
      <c r="P372" s="586">
        <f t="shared" si="176"/>
        <v>1.5707783420637296</v>
      </c>
      <c r="Q372" s="595">
        <f t="shared" si="198"/>
        <v>23.189372295814785</v>
      </c>
      <c r="R372" s="596">
        <f t="shared" si="199"/>
        <v>1.5276597475900351</v>
      </c>
      <c r="S372" s="583">
        <f t="shared" si="177"/>
        <v>1.0118574117263295</v>
      </c>
      <c r="T372" s="586">
        <f t="shared" si="178"/>
        <v>0.15324111689816286</v>
      </c>
      <c r="U372" s="587">
        <f t="shared" si="190"/>
        <v>0.9536128574761672</v>
      </c>
      <c r="V372" s="588">
        <f t="shared" si="191"/>
        <v>-0.37725069613005707</v>
      </c>
      <c r="W372" s="589">
        <f t="shared" si="179"/>
        <v>-0.49967462821539627</v>
      </c>
      <c r="X372" s="590">
        <f t="shared" si="180"/>
        <v>-134.65530822021813</v>
      </c>
      <c r="Y372" s="593">
        <f t="shared" si="181"/>
        <v>45.344691779781868</v>
      </c>
      <c r="AA372" s="150">
        <f t="shared" si="182"/>
        <v>30727.25</v>
      </c>
      <c r="AB372" s="150">
        <f t="shared" si="183"/>
        <v>944163892.5625</v>
      </c>
      <c r="AD372" s="592">
        <f t="shared" si="184"/>
        <v>27.509922193983257</v>
      </c>
      <c r="AE372" s="593">
        <f t="shared" si="185"/>
        <v>-11.250582740870088</v>
      </c>
      <c r="AG372" s="592">
        <f t="shared" si="186"/>
        <v>-1.7965377858593814</v>
      </c>
      <c r="AH372" s="593">
        <f t="shared" si="187"/>
        <v>-80.174980016701767</v>
      </c>
      <c r="AJ372" s="150">
        <f t="shared" si="188"/>
        <v>0</v>
      </c>
      <c r="AK372" s="150">
        <f t="shared" si="200"/>
        <v>0</v>
      </c>
      <c r="AM372" s="150" t="str">
        <f t="shared" si="192"/>
        <v>0.148320363154531+0.524062778856474i</v>
      </c>
      <c r="AN372" s="150" t="str">
        <f t="shared" si="193"/>
        <v>0.5516143014555i</v>
      </c>
      <c r="AO372" s="150" t="str">
        <f t="shared" si="194"/>
        <v>0.950052921894287-0.26888418730836i</v>
      </c>
      <c r="AP372" s="150" t="str">
        <f t="shared" si="195"/>
        <v>0.141946606140912-0.087343796476079i</v>
      </c>
      <c r="AQ372" s="150" t="str">
        <f t="shared" si="196"/>
        <v>0.858053393859088+0.087343796476079i</v>
      </c>
      <c r="AR372" s="150" t="str">
        <f t="shared" si="197"/>
        <v>0.960845956802565-0.0978073559249961i</v>
      </c>
    </row>
    <row r="373" spans="7:44" x14ac:dyDescent="0.25">
      <c r="G373" s="594">
        <v>30903</v>
      </c>
      <c r="H373" s="582">
        <f t="shared" si="189"/>
        <v>30.902999999999999</v>
      </c>
      <c r="I373" s="583">
        <f t="shared" si="169"/>
        <v>30.16675267948747</v>
      </c>
      <c r="J373" s="584">
        <f t="shared" si="170"/>
        <v>1.5376411759970494</v>
      </c>
      <c r="K373" s="584">
        <f t="shared" si="171"/>
        <v>1.0001394111965223</v>
      </c>
      <c r="L373" s="585">
        <f t="shared" si="172"/>
        <v>1.6697005852195263E-2</v>
      </c>
      <c r="M373" s="584">
        <f t="shared" si="173"/>
        <v>1.0339904064526206</v>
      </c>
      <c r="N373" s="585">
        <f t="shared" si="174"/>
        <v>-0.25711763976207541</v>
      </c>
      <c r="O373" s="583">
        <f t="shared" si="175"/>
        <v>55920.751302800425</v>
      </c>
      <c r="P373" s="586">
        <f t="shared" si="176"/>
        <v>1.5707784443455954</v>
      </c>
      <c r="Q373" s="595">
        <f t="shared" si="198"/>
        <v>23.321762105819243</v>
      </c>
      <c r="R373" s="596">
        <f t="shared" si="199"/>
        <v>1.5279047701640409</v>
      </c>
      <c r="S373" s="583">
        <f t="shared" si="177"/>
        <v>1.0119926347496677</v>
      </c>
      <c r="T373" s="586">
        <f t="shared" si="178"/>
        <v>0.15410383433027042</v>
      </c>
      <c r="U373" s="587">
        <f t="shared" si="190"/>
        <v>0.95311953055382148</v>
      </c>
      <c r="V373" s="588">
        <f t="shared" si="191"/>
        <v>-0.37931168689800016</v>
      </c>
      <c r="W373" s="589">
        <f t="shared" si="179"/>
        <v>-0.55170555758805595</v>
      </c>
      <c r="X373" s="590">
        <f t="shared" si="180"/>
        <v>-134.89437625117176</v>
      </c>
      <c r="Y373" s="593">
        <f t="shared" si="181"/>
        <v>45.105623748828236</v>
      </c>
      <c r="AA373" s="150">
        <f t="shared" si="182"/>
        <v>30903</v>
      </c>
      <c r="AB373" s="150">
        <f t="shared" si="183"/>
        <v>954995409</v>
      </c>
      <c r="AD373" s="592">
        <f t="shared" si="184"/>
        <v>27.508669902287831</v>
      </c>
      <c r="AE373" s="593">
        <f t="shared" si="185"/>
        <v>-11.285979909625937</v>
      </c>
      <c r="AG373" s="592">
        <f t="shared" si="186"/>
        <v>-1.8383272579347845</v>
      </c>
      <c r="AH373" s="593">
        <f t="shared" si="187"/>
        <v>-80.142478733392522</v>
      </c>
      <c r="AJ373" s="150">
        <f t="shared" si="188"/>
        <v>0</v>
      </c>
      <c r="AK373" s="150">
        <f t="shared" si="200"/>
        <v>0</v>
      </c>
      <c r="AM373" s="150" t="str">
        <f t="shared" si="192"/>
        <v>0.149978047119118+0.526747263515029i</v>
      </c>
      <c r="AN373" s="150" t="str">
        <f t="shared" si="193"/>
        <v>0.554769358074i</v>
      </c>
      <c r="AO373" s="150" t="str">
        <f t="shared" si="194"/>
        <v>0.949488748520186-0.270343062276905i</v>
      </c>
      <c r="AP373" s="150" t="str">
        <f t="shared" si="195"/>
        <v>0.141670325480147-0.0877912105858382i</v>
      </c>
      <c r="AQ373" s="150" t="str">
        <f t="shared" si="196"/>
        <v>0.858329674519853+0.0877912105858382i</v>
      </c>
      <c r="AR373" s="150" t="str">
        <f t="shared" si="197"/>
        <v>0.96044191392181-0.098235399315237i</v>
      </c>
    </row>
    <row r="374" spans="7:44" x14ac:dyDescent="0.25">
      <c r="G374" s="594">
        <v>31083</v>
      </c>
      <c r="H374" s="582">
        <f t="shared" si="189"/>
        <v>31.082999999999998</v>
      </c>
      <c r="I374" s="583">
        <f t="shared" si="169"/>
        <v>30.342271752277345</v>
      </c>
      <c r="J374" s="584">
        <f t="shared" si="170"/>
        <v>1.537833036256006</v>
      </c>
      <c r="K374" s="584">
        <f t="shared" si="171"/>
        <v>1.0001410398619017</v>
      </c>
      <c r="L374" s="585">
        <f t="shared" si="172"/>
        <v>1.6794242288819049E-2</v>
      </c>
      <c r="M374" s="584">
        <f t="shared" si="173"/>
        <v>1.0343809249249096</v>
      </c>
      <c r="N374" s="585">
        <f t="shared" si="174"/>
        <v>-0.2585495890183771</v>
      </c>
      <c r="O374" s="583">
        <f t="shared" si="175"/>
        <v>56246.471628700645</v>
      </c>
      <c r="P374" s="586">
        <f t="shared" si="176"/>
        <v>1.5707785479019083</v>
      </c>
      <c r="Q374" s="595">
        <f t="shared" si="198"/>
        <v>23.457354811141929</v>
      </c>
      <c r="R374" s="596">
        <f t="shared" si="199"/>
        <v>1.5281528510050479</v>
      </c>
      <c r="S374" s="583">
        <f t="shared" si="177"/>
        <v>1.0121319082837157</v>
      </c>
      <c r="T374" s="586">
        <f t="shared" si="178"/>
        <v>0.15498717443449481</v>
      </c>
      <c r="U374" s="587">
        <f t="shared" si="190"/>
        <v>0.95261210949753905</v>
      </c>
      <c r="V374" s="588">
        <f t="shared" si="191"/>
        <v>-0.3814209274862983</v>
      </c>
      <c r="W374" s="589">
        <f t="shared" si="179"/>
        <v>-0.60471508267551266</v>
      </c>
      <c r="X374" s="590">
        <f t="shared" si="180"/>
        <v>-135.13909663768123</v>
      </c>
      <c r="Y374" s="593">
        <f t="shared" si="181"/>
        <v>44.860903362318766</v>
      </c>
      <c r="AA374" s="150">
        <f t="shared" si="182"/>
        <v>31083</v>
      </c>
      <c r="AB374" s="150">
        <f t="shared" si="183"/>
        <v>966152889</v>
      </c>
      <c r="AD374" s="592">
        <f t="shared" si="184"/>
        <v>27.507382393955734</v>
      </c>
      <c r="AE374" s="593">
        <f t="shared" si="185"/>
        <v>-11.322383517686143</v>
      </c>
      <c r="AG374" s="592">
        <f t="shared" si="186"/>
        <v>-1.8807984372554758</v>
      </c>
      <c r="AH374" s="593">
        <f t="shared" si="187"/>
        <v>-80.109094344191249</v>
      </c>
      <c r="AJ374" s="150">
        <f t="shared" si="188"/>
        <v>0</v>
      </c>
      <c r="AK374" s="150">
        <f t="shared" si="200"/>
        <v>0</v>
      </c>
      <c r="AM374" s="150" t="str">
        <f t="shared" si="192"/>
        <v>0.151684588019365+0.529491229196598i</v>
      </c>
      <c r="AN374" s="150" t="str">
        <f t="shared" si="193"/>
        <v>0.558000710514i</v>
      </c>
      <c r="AO374" s="150" t="str">
        <f t="shared" si="194"/>
        <v>0.948907804631394-0.271835833111469i</v>
      </c>
      <c r="AP374" s="150" t="str">
        <f t="shared" si="195"/>
        <v>0.141385901996773-0.088248538199433i</v>
      </c>
      <c r="AQ374" s="150" t="str">
        <f t="shared" si="196"/>
        <v>0.858614098003227+0.088248538199433i</v>
      </c>
      <c r="AR374" s="150" t="str">
        <f t="shared" si="197"/>
        <v>0.960026588785221-0.0986717354046585i</v>
      </c>
    </row>
    <row r="375" spans="7:44" x14ac:dyDescent="0.25">
      <c r="G375" s="594">
        <v>31263</v>
      </c>
      <c r="H375" s="582">
        <f t="shared" si="189"/>
        <v>31.263000000000002</v>
      </c>
      <c r="I375" s="583">
        <f t="shared" si="169"/>
        <v>30.517791929129586</v>
      </c>
      <c r="J375" s="584">
        <f t="shared" si="170"/>
        <v>1.5380226895898248</v>
      </c>
      <c r="K375" s="584">
        <f t="shared" si="171"/>
        <v>1.0001426779835085</v>
      </c>
      <c r="L375" s="585">
        <f t="shared" si="172"/>
        <v>1.6891478407837425E-2</v>
      </c>
      <c r="M375" s="584">
        <f t="shared" si="173"/>
        <v>1.0347735627697965</v>
      </c>
      <c r="N375" s="585">
        <f t="shared" si="174"/>
        <v>-0.2599804545198246</v>
      </c>
      <c r="O375" s="583">
        <f t="shared" si="175"/>
        <v>56572.191954601469</v>
      </c>
      <c r="P375" s="586">
        <f t="shared" si="176"/>
        <v>1.5707786502657486</v>
      </c>
      <c r="Q375" s="595">
        <f t="shared" si="198"/>
        <v>23.592948943532498</v>
      </c>
      <c r="R375" s="596">
        <f t="shared" si="199"/>
        <v>1.5283980803051012</v>
      </c>
      <c r="S375" s="583">
        <f t="shared" si="177"/>
        <v>1.01227197135623</v>
      </c>
      <c r="T375" s="586">
        <f t="shared" si="178"/>
        <v>0.15587027078081786</v>
      </c>
      <c r="U375" s="587">
        <f t="shared" si="190"/>
        <v>0.95210250936307295</v>
      </c>
      <c r="V375" s="588">
        <f t="shared" si="191"/>
        <v>-0.38352855400929992</v>
      </c>
      <c r="W375" s="589">
        <f t="shared" si="179"/>
        <v>-0.65744500325011435</v>
      </c>
      <c r="X375" s="590">
        <f t="shared" si="180"/>
        <v>-135.38368536782255</v>
      </c>
      <c r="Y375" s="593">
        <f t="shared" si="181"/>
        <v>44.616314632177449</v>
      </c>
      <c r="AA375" s="150">
        <f t="shared" si="182"/>
        <v>31263</v>
      </c>
      <c r="AB375" s="150">
        <f t="shared" si="183"/>
        <v>977375169</v>
      </c>
      <c r="AD375" s="592">
        <f t="shared" si="184"/>
        <v>27.50608986164201</v>
      </c>
      <c r="AE375" s="593">
        <f t="shared" si="185"/>
        <v>-11.358936472385674</v>
      </c>
      <c r="AG375" s="592">
        <f t="shared" si="186"/>
        <v>-1.9229403004244583</v>
      </c>
      <c r="AH375" s="593">
        <f t="shared" si="187"/>
        <v>-80.075613910241401</v>
      </c>
      <c r="AJ375" s="150">
        <f t="shared" si="188"/>
        <v>0</v>
      </c>
      <c r="AK375" s="150">
        <f t="shared" si="200"/>
        <v>0</v>
      </c>
      <c r="AM375" s="150" t="str">
        <f t="shared" si="192"/>
        <v>0.153399986714847+0.532229666126926i</v>
      </c>
      <c r="AN375" s="150" t="str">
        <f t="shared" si="193"/>
        <v>0.561232062954i</v>
      </c>
      <c r="AO375" s="150" t="str">
        <f t="shared" si="194"/>
        <v>0.948323699336738-0.273327197144508i</v>
      </c>
      <c r="AP375" s="150" t="str">
        <f t="shared" si="195"/>
        <v>0.141100002214192-0.0887049443544877i</v>
      </c>
      <c r="AQ375" s="150" t="str">
        <f t="shared" si="196"/>
        <v>0.858899997785808+0.0887049443544877i</v>
      </c>
      <c r="AR375" s="150" t="str">
        <f t="shared" si="197"/>
        <v>0.959609746601575-0.0991059836928122i</v>
      </c>
    </row>
    <row r="376" spans="7:44" x14ac:dyDescent="0.25">
      <c r="G376" s="594">
        <v>31443</v>
      </c>
      <c r="H376" s="582">
        <f t="shared" si="189"/>
        <v>31.443000000000001</v>
      </c>
      <c r="I376" s="583">
        <f t="shared" si="169"/>
        <v>30.69331319110341</v>
      </c>
      <c r="J376" s="584">
        <f t="shared" si="170"/>
        <v>1.5382101738459832</v>
      </c>
      <c r="K376" s="584">
        <f t="shared" si="171"/>
        <v>1.0001443255612961</v>
      </c>
      <c r="L376" s="585">
        <f t="shared" si="172"/>
        <v>1.6988714207413245E-2</v>
      </c>
      <c r="M376" s="584">
        <f t="shared" si="173"/>
        <v>1.035168317575657</v>
      </c>
      <c r="N376" s="585">
        <f t="shared" si="174"/>
        <v>-0.26141023164392424</v>
      </c>
      <c r="O376" s="583">
        <f t="shared" si="175"/>
        <v>56897.912280502867</v>
      </c>
      <c r="P376" s="586">
        <f t="shared" si="176"/>
        <v>1.5707787514575957</v>
      </c>
      <c r="Q376" s="595">
        <f t="shared" si="198"/>
        <v>23.728544478526484</v>
      </c>
      <c r="R376" s="596">
        <f t="shared" si="199"/>
        <v>1.5286405069193985</v>
      </c>
      <c r="S376" s="583">
        <f t="shared" si="177"/>
        <v>1.0124128236395229</v>
      </c>
      <c r="T376" s="586">
        <f t="shared" si="178"/>
        <v>0.15675312209331377</v>
      </c>
      <c r="U376" s="587">
        <f t="shared" si="190"/>
        <v>0.95159074149963041</v>
      </c>
      <c r="V376" s="588">
        <f t="shared" si="191"/>
        <v>-0.38563456060690193</v>
      </c>
      <c r="W376" s="589">
        <f t="shared" si="179"/>
        <v>-0.70989864340564024</v>
      </c>
      <c r="X376" s="590">
        <f t="shared" si="180"/>
        <v>-135.62814113846466</v>
      </c>
      <c r="Y376" s="593">
        <f t="shared" si="181"/>
        <v>44.371858861535344</v>
      </c>
      <c r="AA376" s="150">
        <f t="shared" si="182"/>
        <v>31443</v>
      </c>
      <c r="AB376" s="150">
        <f t="shared" si="183"/>
        <v>988662249</v>
      </c>
      <c r="AD376" s="592">
        <f t="shared" si="184"/>
        <v>27.504792274759513</v>
      </c>
      <c r="AE376" s="593">
        <f t="shared" si="185"/>
        <v>-11.395635902596089</v>
      </c>
      <c r="AG376" s="592">
        <f t="shared" si="186"/>
        <v>-1.9647562790037556</v>
      </c>
      <c r="AH376" s="593">
        <f t="shared" si="187"/>
        <v>-80.04203967105876</v>
      </c>
      <c r="AJ376" s="150">
        <f t="shared" si="188"/>
        <v>0</v>
      </c>
      <c r="AK376" s="150">
        <f t="shared" si="200"/>
        <v>0</v>
      </c>
      <c r="AM376" s="150" t="str">
        <f t="shared" si="192"/>
        <v>0.155124225294008+0.534962545712268i</v>
      </c>
      <c r="AN376" s="150" t="str">
        <f t="shared" si="193"/>
        <v>0.564463415394i</v>
      </c>
      <c r="AO376" s="150" t="str">
        <f t="shared" si="194"/>
        <v>0.947736436273482-0.274817146804333i</v>
      </c>
      <c r="AP376" s="150" t="str">
        <f t="shared" si="195"/>
        <v>0.140812629117665-0.089160424285378i</v>
      </c>
      <c r="AQ376" s="150" t="str">
        <f t="shared" si="196"/>
        <v>0.859187370882335+0.089160424285378i</v>
      </c>
      <c r="AR376" s="150" t="str">
        <f t="shared" si="197"/>
        <v>0.959191400149483-0.0995381393006135i</v>
      </c>
    </row>
    <row r="377" spans="7:44" x14ac:dyDescent="0.25">
      <c r="G377" s="594">
        <v>31623</v>
      </c>
      <c r="H377" s="582">
        <f t="shared" si="189"/>
        <v>31.623000000000001</v>
      </c>
      <c r="I377" s="583">
        <f t="shared" si="169"/>
        <v>30.868835519688691</v>
      </c>
      <c r="J377" s="584">
        <f t="shared" si="170"/>
        <v>1.5383955260117628</v>
      </c>
      <c r="K377" s="584">
        <f t="shared" si="171"/>
        <v>1.0001459825952177</v>
      </c>
      <c r="L377" s="585">
        <f t="shared" si="172"/>
        <v>1.7085949685709406E-2</v>
      </c>
      <c r="M377" s="584">
        <f t="shared" si="173"/>
        <v>1.0355651869215503</v>
      </c>
      <c r="N377" s="585">
        <f t="shared" si="174"/>
        <v>-0.26283891579301111</v>
      </c>
      <c r="O377" s="583">
        <f t="shared" si="175"/>
        <v>57223.632606404855</v>
      </c>
      <c r="P377" s="586">
        <f t="shared" si="176"/>
        <v>1.5707788514974625</v>
      </c>
      <c r="Q377" s="595">
        <f t="shared" si="198"/>
        <v>23.864141392215206</v>
      </c>
      <c r="R377" s="596">
        <f t="shared" si="199"/>
        <v>1.5288801785940838</v>
      </c>
      <c r="S377" s="583">
        <f t="shared" si="177"/>
        <v>1.0125544648042426</v>
      </c>
      <c r="T377" s="586">
        <f t="shared" si="178"/>
        <v>0.15763572709829266</v>
      </c>
      <c r="U377" s="587">
        <f t="shared" si="190"/>
        <v>0.95107681727174209</v>
      </c>
      <c r="V377" s="588">
        <f t="shared" si="191"/>
        <v>-0.38773894146857502</v>
      </c>
      <c r="W377" s="589">
        <f t="shared" si="179"/>
        <v>-0.76207926949287197</v>
      </c>
      <c r="X377" s="590">
        <f t="shared" si="180"/>
        <v>-135.87246266509945</v>
      </c>
      <c r="Y377" s="593">
        <f t="shared" si="181"/>
        <v>44.127537334900552</v>
      </c>
      <c r="AA377" s="150">
        <f t="shared" si="182"/>
        <v>31623</v>
      </c>
      <c r="AB377" s="150">
        <f t="shared" si="183"/>
        <v>1000014129</v>
      </c>
      <c r="AD377" s="592">
        <f t="shared" si="184"/>
        <v>27.503489603772621</v>
      </c>
      <c r="AE377" s="593">
        <f t="shared" si="185"/>
        <v>-11.432479000834451</v>
      </c>
      <c r="AG377" s="592">
        <f t="shared" si="186"/>
        <v>-2.0062497481727584</v>
      </c>
      <c r="AH377" s="593">
        <f t="shared" si="187"/>
        <v>-80.008373815455698</v>
      </c>
      <c r="AJ377" s="150">
        <f t="shared" si="188"/>
        <v>0</v>
      </c>
      <c r="AK377" s="150">
        <f t="shared" si="200"/>
        <v>0</v>
      </c>
      <c r="AM377" s="150" t="str">
        <f t="shared" si="192"/>
        <v>0.156857285752987+0.537689839416908i</v>
      </c>
      <c r="AN377" s="150" t="str">
        <f t="shared" si="193"/>
        <v>0.567694767834i</v>
      </c>
      <c r="AO377" s="150" t="str">
        <f t="shared" si="194"/>
        <v>0.947146019098302-0.276305674529052i</v>
      </c>
      <c r="AP377" s="150" t="str">
        <f t="shared" si="195"/>
        <v>0.140523785707835-0.0896149732361513i</v>
      </c>
      <c r="AQ377" s="150" t="str">
        <f t="shared" si="196"/>
        <v>0.859476214292165+0.0896149732361513i</v>
      </c>
      <c r="AR377" s="150" t="str">
        <f t="shared" si="197"/>
        <v>0.958771562212919-0.0999681974422698i</v>
      </c>
    </row>
    <row r="378" spans="7:44" x14ac:dyDescent="0.25">
      <c r="G378" s="594">
        <v>31807</v>
      </c>
      <c r="H378" s="582">
        <f t="shared" si="189"/>
        <v>31.806999999999999</v>
      </c>
      <c r="I378" s="583">
        <f t="shared" si="169"/>
        <v>31.048259428058024</v>
      </c>
      <c r="J378" s="584">
        <f t="shared" si="170"/>
        <v>1.5385828310654646</v>
      </c>
      <c r="K378" s="584">
        <f t="shared" si="171"/>
        <v>1.0001476862257399</v>
      </c>
      <c r="L378" s="585">
        <f t="shared" si="172"/>
        <v>1.7185345618431009E-2</v>
      </c>
      <c r="M378" s="584">
        <f t="shared" si="173"/>
        <v>1.0359730586025966</v>
      </c>
      <c r="N378" s="585">
        <f t="shared" si="174"/>
        <v>-0.26429821404014814</v>
      </c>
      <c r="O378" s="583">
        <f t="shared" si="175"/>
        <v>57556.591161771903</v>
      </c>
      <c r="P378" s="586">
        <f t="shared" si="176"/>
        <v>1.5707789525901381</v>
      </c>
      <c r="Q378" s="595">
        <f t="shared" si="198"/>
        <v>24.002752971315022</v>
      </c>
      <c r="R378" s="596">
        <f t="shared" si="199"/>
        <v>1.5291223774415283</v>
      </c>
      <c r="S378" s="583">
        <f t="shared" si="177"/>
        <v>1.0127000685779899</v>
      </c>
      <c r="T378" s="586">
        <f t="shared" si="178"/>
        <v>0.15853768964538117</v>
      </c>
      <c r="U378" s="587">
        <f t="shared" si="190"/>
        <v>0.95054925557831427</v>
      </c>
      <c r="V378" s="588">
        <f t="shared" si="191"/>
        <v>-0.38988840002265807</v>
      </c>
      <c r="W378" s="589">
        <f t="shared" si="179"/>
        <v>-0.81514062506987905</v>
      </c>
      <c r="X378" s="590">
        <f t="shared" si="180"/>
        <v>-136.12207348864578</v>
      </c>
      <c r="Y378" s="593">
        <f t="shared" si="181"/>
        <v>43.877926511354218</v>
      </c>
      <c r="AA378" s="150">
        <f t="shared" si="182"/>
        <v>31807</v>
      </c>
      <c r="AB378" s="150">
        <f t="shared" si="183"/>
        <v>1011685249</v>
      </c>
      <c r="AD378" s="592">
        <f t="shared" si="184"/>
        <v>27.502152700022581</v>
      </c>
      <c r="AE378" s="593">
        <f t="shared" si="185"/>
        <v>-11.470286468526837</v>
      </c>
      <c r="AG378" s="592">
        <f t="shared" si="186"/>
        <v>-2.0483354117450454</v>
      </c>
      <c r="AH378" s="593">
        <f t="shared" si="187"/>
        <v>-79.973867364253678</v>
      </c>
      <c r="AJ378" s="150">
        <f t="shared" si="188"/>
        <v>0</v>
      </c>
      <c r="AK378" s="150">
        <f t="shared" si="200"/>
        <v>0</v>
      </c>
      <c r="AM378" s="150" t="str">
        <f t="shared" si="192"/>
        <v>0.158637957944611+0.540471936541006i</v>
      </c>
      <c r="AN378" s="150" t="str">
        <f t="shared" si="193"/>
        <v>0.570997928106i</v>
      </c>
      <c r="AO378" s="150" t="str">
        <f t="shared" si="194"/>
        <v>0.946539225341415-0.27782580310022i</v>
      </c>
      <c r="AP378" s="150" t="str">
        <f t="shared" si="195"/>
        <v>0.140227007009231-0.0900786560901677i</v>
      </c>
      <c r="AQ378" s="150" t="str">
        <f t="shared" si="196"/>
        <v>0.859772992990769+0.0900786560901677i</v>
      </c>
      <c r="AR378" s="150" t="str">
        <f t="shared" si="197"/>
        <v>0.958340866291478-0.100405639646267i</v>
      </c>
    </row>
    <row r="379" spans="7:44" x14ac:dyDescent="0.25">
      <c r="G379" s="594">
        <v>31991</v>
      </c>
      <c r="H379" s="582">
        <f t="shared" si="189"/>
        <v>31.991</v>
      </c>
      <c r="I379" s="583">
        <f t="shared" si="169"/>
        <v>31.227684413181912</v>
      </c>
      <c r="J379" s="584">
        <f t="shared" si="170"/>
        <v>1.5387679837273607</v>
      </c>
      <c r="K379" s="584">
        <f t="shared" si="171"/>
        <v>1.0001493997372388</v>
      </c>
      <c r="L379" s="585">
        <f t="shared" si="172"/>
        <v>1.7284741211553326E-2</v>
      </c>
      <c r="M379" s="584">
        <f t="shared" si="173"/>
        <v>1.0363831347022738</v>
      </c>
      <c r="N379" s="585">
        <f t="shared" si="174"/>
        <v>-0.26575636056012081</v>
      </c>
      <c r="O379" s="583">
        <f t="shared" si="175"/>
        <v>57889.54971713954</v>
      </c>
      <c r="P379" s="586">
        <f t="shared" si="176"/>
        <v>1.5707790525199206</v>
      </c>
      <c r="Q379" s="595">
        <f t="shared" si="198"/>
        <v>24.141365942254431</v>
      </c>
      <c r="R379" s="596">
        <f t="shared" si="199"/>
        <v>1.5293617950268044</v>
      </c>
      <c r="S379" s="583">
        <f t="shared" si="177"/>
        <v>1.0128464959828776</v>
      </c>
      <c r="T379" s="586">
        <f t="shared" si="178"/>
        <v>0.15943939213207736</v>
      </c>
      <c r="U379" s="587">
        <f t="shared" si="190"/>
        <v>0.95001946467784748</v>
      </c>
      <c r="V379" s="588">
        <f t="shared" si="191"/>
        <v>-0.3920361476634337</v>
      </c>
      <c r="W379" s="589">
        <f t="shared" si="179"/>
        <v>-0.8679234209182316</v>
      </c>
      <c r="X379" s="590">
        <f t="shared" si="180"/>
        <v>-136.37154137905813</v>
      </c>
      <c r="Y379" s="593">
        <f t="shared" si="181"/>
        <v>43.628458620941871</v>
      </c>
      <c r="AA379" s="150">
        <f t="shared" si="182"/>
        <v>31991</v>
      </c>
      <c r="AB379" s="150">
        <f t="shared" si="183"/>
        <v>1023424081</v>
      </c>
      <c r="AD379" s="592">
        <f t="shared" si="184"/>
        <v>27.500810424499864</v>
      </c>
      <c r="AE379" s="593">
        <f t="shared" si="185"/>
        <v>-11.508238323811598</v>
      </c>
      <c r="AG379" s="592">
        <f t="shared" si="186"/>
        <v>-2.0900910301508495</v>
      </c>
      <c r="AH379" s="593">
        <f t="shared" si="187"/>
        <v>-79.939269648548787</v>
      </c>
      <c r="AJ379" s="150">
        <f t="shared" si="188"/>
        <v>0</v>
      </c>
      <c r="AK379" s="150">
        <f t="shared" si="200"/>
        <v>0</v>
      </c>
      <c r="AM379" s="150" t="str">
        <f t="shared" si="192"/>
        <v>0.160427810117885+0.543248136652626i</v>
      </c>
      <c r="AN379" s="150" t="str">
        <f t="shared" si="193"/>
        <v>0.574301088378i</v>
      </c>
      <c r="AO379" s="150" t="str">
        <f t="shared" si="194"/>
        <v>0.945929143521081-0.279344429889523i</v>
      </c>
      <c r="AP379" s="150" t="str">
        <f t="shared" si="195"/>
        <v>0.139928698313686-0.090541356108771i</v>
      </c>
      <c r="AQ379" s="150" t="str">
        <f t="shared" si="196"/>
        <v>0.860071301686314+0.090541356108771i</v>
      </c>
      <c r="AR379" s="150" t="str">
        <f t="shared" si="197"/>
        <v>0.957908638888428-0.100840880312151i</v>
      </c>
    </row>
    <row r="380" spans="7:44" x14ac:dyDescent="0.25">
      <c r="G380" s="594">
        <v>32175</v>
      </c>
      <c r="H380" s="582">
        <f t="shared" si="189"/>
        <v>32.174999999999997</v>
      </c>
      <c r="I380" s="583">
        <f t="shared" si="169"/>
        <v>31.407110456606265</v>
      </c>
      <c r="J380" s="584">
        <f t="shared" si="170"/>
        <v>1.5389510208739186</v>
      </c>
      <c r="K380" s="584">
        <f t="shared" si="171"/>
        <v>1.0001511231296636</v>
      </c>
      <c r="L380" s="585">
        <f t="shared" si="172"/>
        <v>1.7384136463114163E-2</v>
      </c>
      <c r="M380" s="584">
        <f t="shared" si="173"/>
        <v>1.0367954126048895</v>
      </c>
      <c r="N380" s="585">
        <f t="shared" si="174"/>
        <v>-0.26721335052262718</v>
      </c>
      <c r="O380" s="583">
        <f t="shared" si="175"/>
        <v>58222.508272507745</v>
      </c>
      <c r="P380" s="586">
        <f t="shared" si="176"/>
        <v>1.5707791513067613</v>
      </c>
      <c r="Q380" s="595">
        <f t="shared" si="198"/>
        <v>24.279980281195634</v>
      </c>
      <c r="R380" s="596">
        <f t="shared" si="199"/>
        <v>1.5295984789568806</v>
      </c>
      <c r="S380" s="583">
        <f t="shared" si="177"/>
        <v>1.0129937466617396</v>
      </c>
      <c r="T380" s="586">
        <f t="shared" si="178"/>
        <v>0.16034083320518533</v>
      </c>
      <c r="U380" s="587">
        <f t="shared" si="190"/>
        <v>0.94948745675511026</v>
      </c>
      <c r="V380" s="588">
        <f t="shared" si="191"/>
        <v>-0.39418217834509822</v>
      </c>
      <c r="W380" s="589">
        <f t="shared" si="179"/>
        <v>-0.92043096737191965</v>
      </c>
      <c r="X380" s="590">
        <f t="shared" si="180"/>
        <v>-136.62086502209232</v>
      </c>
      <c r="Y380" s="593">
        <f t="shared" si="181"/>
        <v>43.379134977907682</v>
      </c>
      <c r="AA380" s="150">
        <f t="shared" si="182"/>
        <v>32175</v>
      </c>
      <c r="AB380" s="150">
        <f t="shared" si="183"/>
        <v>1035230625</v>
      </c>
      <c r="AD380" s="592">
        <f t="shared" si="184"/>
        <v>27.499462748841704</v>
      </c>
      <c r="AE380" s="593">
        <f t="shared" si="185"/>
        <v>-11.546331762621069</v>
      </c>
      <c r="AG380" s="592">
        <f t="shared" si="186"/>
        <v>-2.1315200341152893</v>
      </c>
      <c r="AH380" s="593">
        <f t="shared" si="187"/>
        <v>-79.904582850962541</v>
      </c>
      <c r="AJ380" s="150">
        <f t="shared" si="188"/>
        <v>0</v>
      </c>
      <c r="AK380" s="150">
        <f t="shared" si="200"/>
        <v>0</v>
      </c>
      <c r="AM380" s="150" t="str">
        <f t="shared" si="192"/>
        <v>0.162226822743989+0.546018409461044i</v>
      </c>
      <c r="AN380" s="150" t="str">
        <f t="shared" si="193"/>
        <v>0.57760424865i</v>
      </c>
      <c r="AO380" s="150" t="str">
        <f t="shared" si="194"/>
        <v>0.945315777605896-0.280861546851762i</v>
      </c>
      <c r="AP380" s="150" t="str">
        <f t="shared" si="195"/>
        <v>0.139628862876002-0.0910030682435073i</v>
      </c>
      <c r="AQ380" s="150" t="str">
        <f t="shared" si="196"/>
        <v>0.860371137123998+0.0910030682435073i</v>
      </c>
      <c r="AR380" s="150" t="str">
        <f t="shared" si="197"/>
        <v>0.957474893671402-0.101273914628851i</v>
      </c>
    </row>
    <row r="381" spans="7:44" x14ac:dyDescent="0.25">
      <c r="G381" s="594">
        <v>32359</v>
      </c>
      <c r="H381" s="582">
        <f t="shared" si="189"/>
        <v>32.359000000000002</v>
      </c>
      <c r="I381" s="583">
        <f t="shared" si="169"/>
        <v>31.586537540296177</v>
      </c>
      <c r="J381" s="584">
        <f t="shared" si="170"/>
        <v>1.5391319785442736</v>
      </c>
      <c r="K381" s="584">
        <f t="shared" si="171"/>
        <v>1.0001528564029636</v>
      </c>
      <c r="L381" s="585">
        <f t="shared" si="172"/>
        <v>1.7483531371151346E-2</v>
      </c>
      <c r="M381" s="584">
        <f t="shared" si="173"/>
        <v>1.0372098896848767</v>
      </c>
      <c r="N381" s="585">
        <f t="shared" si="174"/>
        <v>-0.26866917912466598</v>
      </c>
      <c r="O381" s="583">
        <f t="shared" si="175"/>
        <v>58555.466827876517</v>
      </c>
      <c r="P381" s="586">
        <f t="shared" si="176"/>
        <v>1.5707792489701566</v>
      </c>
      <c r="Q381" s="595">
        <f t="shared" si="198"/>
        <v>24.418595964841881</v>
      </c>
      <c r="R381" s="596">
        <f t="shared" si="199"/>
        <v>1.5298324757589752</v>
      </c>
      <c r="S381" s="583">
        <f t="shared" si="177"/>
        <v>1.0131418202556111</v>
      </c>
      <c r="T381" s="586">
        <f t="shared" si="178"/>
        <v>0.16124201151399314</v>
      </c>
      <c r="U381" s="587">
        <f t="shared" si="190"/>
        <v>0.94895324400891945</v>
      </c>
      <c r="V381" s="588">
        <f t="shared" si="191"/>
        <v>-0.39632648607604842</v>
      </c>
      <c r="W381" s="589">
        <f t="shared" si="179"/>
        <v>-0.97266651728277709</v>
      </c>
      <c r="X381" s="590">
        <f t="shared" si="180"/>
        <v>-136.87004312217942</v>
      </c>
      <c r="Y381" s="593">
        <f t="shared" si="181"/>
        <v>43.129956877820575</v>
      </c>
      <c r="AA381" s="150">
        <f t="shared" si="182"/>
        <v>32359</v>
      </c>
      <c r="AB381" s="150">
        <f t="shared" si="183"/>
        <v>1047104881</v>
      </c>
      <c r="AD381" s="592">
        <f t="shared" si="184"/>
        <v>27.498109645689063</v>
      </c>
      <c r="AE381" s="593">
        <f t="shared" si="185"/>
        <v>-11.584564042868967</v>
      </c>
      <c r="AG381" s="592">
        <f t="shared" si="186"/>
        <v>-2.1726257981943622</v>
      </c>
      <c r="AH381" s="593">
        <f t="shared" si="187"/>
        <v>-79.869809104599582</v>
      </c>
      <c r="AJ381" s="150">
        <f t="shared" si="188"/>
        <v>0</v>
      </c>
      <c r="AK381" s="150">
        <f t="shared" si="200"/>
        <v>0</v>
      </c>
      <c r="AM381" s="150" t="str">
        <f t="shared" si="192"/>
        <v>0.16403497619415+0.548782724740206i</v>
      </c>
      <c r="AN381" s="150" t="str">
        <f t="shared" si="193"/>
        <v>0.580907408922i</v>
      </c>
      <c r="AO381" s="150" t="str">
        <f t="shared" si="194"/>
        <v>0.944699131585517-0.282377145952662i</v>
      </c>
      <c r="AP381" s="150" t="str">
        <f t="shared" si="195"/>
        <v>0.139327503967642-0.091463787456701i</v>
      </c>
      <c r="AQ381" s="150" t="str">
        <f t="shared" si="196"/>
        <v>0.860672496032358+0.091463787456701i</v>
      </c>
      <c r="AR381" s="150" t="str">
        <f t="shared" si="197"/>
        <v>0.957039644310496-0.101704737886223i</v>
      </c>
    </row>
    <row r="382" spans="7:44" x14ac:dyDescent="0.25">
      <c r="G382" s="594">
        <v>32547.5</v>
      </c>
      <c r="H382" s="582">
        <f t="shared" si="189"/>
        <v>32.547499999999999</v>
      </c>
      <c r="I382" s="583">
        <f t="shared" si="169"/>
        <v>31.770353846671586</v>
      </c>
      <c r="J382" s="584">
        <f t="shared" si="170"/>
        <v>1.5393152422475038</v>
      </c>
      <c r="K382" s="584">
        <f t="shared" si="171"/>
        <v>1.0001546423123535</v>
      </c>
      <c r="L382" s="585">
        <f t="shared" si="172"/>
        <v>1.7585356774637944E-2</v>
      </c>
      <c r="M382" s="584">
        <f t="shared" si="173"/>
        <v>1.037636781188811</v>
      </c>
      <c r="N382" s="585">
        <f t="shared" si="174"/>
        <v>-0.27015940292604279</v>
      </c>
      <c r="O382" s="583">
        <f t="shared" si="175"/>
        <v>58896.568391393455</v>
      </c>
      <c r="P382" s="586">
        <f t="shared" si="176"/>
        <v>1.570779347876984</v>
      </c>
      <c r="Q382" s="595">
        <f t="shared" si="198"/>
        <v>24.56060307660367</v>
      </c>
      <c r="R382" s="596">
        <f t="shared" si="199"/>
        <v>1.530069456338383</v>
      </c>
      <c r="S382" s="583">
        <f t="shared" si="177"/>
        <v>1.0132943681869542</v>
      </c>
      <c r="T382" s="586">
        <f t="shared" si="178"/>
        <v>0.16216495561790603</v>
      </c>
      <c r="U382" s="587">
        <f t="shared" si="190"/>
        <v>0.94840369267795932</v>
      </c>
      <c r="V382" s="588">
        <f t="shared" si="191"/>
        <v>-0.39852144323674982</v>
      </c>
      <c r="W382" s="589">
        <f t="shared" si="179"/>
        <v>-1.0259008526104161</v>
      </c>
      <c r="X382" s="590">
        <f t="shared" si="180"/>
        <v>-137.12516299100389</v>
      </c>
      <c r="Y382" s="593">
        <f t="shared" si="181"/>
        <v>42.87483700899611</v>
      </c>
      <c r="AA382" s="150">
        <f t="shared" si="182"/>
        <v>32547.5</v>
      </c>
      <c r="AB382" s="150">
        <f t="shared" si="183"/>
        <v>1059339756.25</v>
      </c>
      <c r="AD382" s="592">
        <f t="shared" si="184"/>
        <v>27.496717794534405</v>
      </c>
      <c r="AE382" s="593">
        <f t="shared" si="185"/>
        <v>-11.623872524711722</v>
      </c>
      <c r="AG382" s="592">
        <f t="shared" si="186"/>
        <v>-2.2144051418957642</v>
      </c>
      <c r="AH382" s="593">
        <f t="shared" si="187"/>
        <v>-79.83409692825343</v>
      </c>
      <c r="AJ382" s="150">
        <f t="shared" si="188"/>
        <v>0</v>
      </c>
      <c r="AK382" s="150">
        <f t="shared" si="200"/>
        <v>0</v>
      </c>
      <c r="AM382" s="150" t="str">
        <f t="shared" si="192"/>
        <v>0.165896809049779+0.551608436163425i</v>
      </c>
      <c r="AN382" s="150" t="str">
        <f t="shared" si="193"/>
        <v>0.584291353005i</v>
      </c>
      <c r="AO382" s="150" t="str">
        <f t="shared" si="194"/>
        <v>0.944064007325306-0.283928228950462i</v>
      </c>
      <c r="AP382" s="150" t="str">
        <f t="shared" si="195"/>
        <v>0.139017198491703-0.0919347393605708i</v>
      </c>
      <c r="AQ382" s="150" t="str">
        <f t="shared" si="196"/>
        <v>0.860982801508297+0.0919347393605708i</v>
      </c>
      <c r="AR382" s="150" t="str">
        <f t="shared" si="197"/>
        <v>0.956592204784151-0.102143799930871i</v>
      </c>
    </row>
    <row r="383" spans="7:44" x14ac:dyDescent="0.25">
      <c r="G383" s="594">
        <v>32736</v>
      </c>
      <c r="H383" s="582">
        <f t="shared" si="189"/>
        <v>32.735999999999997</v>
      </c>
      <c r="I383" s="583">
        <f t="shared" si="169"/>
        <v>31.954171207796762</v>
      </c>
      <c r="J383" s="584">
        <f t="shared" si="170"/>
        <v>1.5394963974964841</v>
      </c>
      <c r="K383" s="584">
        <f t="shared" si="171"/>
        <v>1.0001564385917225</v>
      </c>
      <c r="L383" s="585">
        <f t="shared" si="172"/>
        <v>1.7687181813423783E-2</v>
      </c>
      <c r="M383" s="584">
        <f t="shared" si="173"/>
        <v>1.0380659751439911</v>
      </c>
      <c r="N383" s="585">
        <f t="shared" si="174"/>
        <v>-0.27164839774978139</v>
      </c>
      <c r="O383" s="583">
        <f t="shared" si="175"/>
        <v>59237.669954910976</v>
      </c>
      <c r="P383" s="586">
        <f t="shared" si="176"/>
        <v>1.5707794456447635</v>
      </c>
      <c r="Q383" s="595">
        <f t="shared" si="198"/>
        <v>24.702611551825356</v>
      </c>
      <c r="R383" s="596">
        <f t="shared" si="199"/>
        <v>1.5303037122593286</v>
      </c>
      <c r="S383" s="583">
        <f t="shared" si="177"/>
        <v>1.0134477790083245</v>
      </c>
      <c r="T383" s="586">
        <f t="shared" si="178"/>
        <v>0.1630876210859456</v>
      </c>
      <c r="U383" s="587">
        <f t="shared" si="190"/>
        <v>0.94785185332118094</v>
      </c>
      <c r="V383" s="588">
        <f t="shared" si="191"/>
        <v>-0.40071457958556106</v>
      </c>
      <c r="W383" s="589">
        <f t="shared" si="179"/>
        <v>-1.0788564565077023</v>
      </c>
      <c r="X383" s="590">
        <f t="shared" si="180"/>
        <v>-137.38012741663402</v>
      </c>
      <c r="Y383" s="593">
        <f t="shared" si="181"/>
        <v>42.619872583365975</v>
      </c>
      <c r="AA383" s="150">
        <f t="shared" si="182"/>
        <v>32736</v>
      </c>
      <c r="AB383" s="150">
        <f t="shared" si="183"/>
        <v>1071645696</v>
      </c>
      <c r="AD383" s="592">
        <f t="shared" si="184"/>
        <v>27.495320192122392</v>
      </c>
      <c r="AE383" s="593">
        <f t="shared" si="185"/>
        <v>-11.663321088062919</v>
      </c>
      <c r="AG383" s="592">
        <f t="shared" si="186"/>
        <v>-2.2558522363435469</v>
      </c>
      <c r="AH383" s="593">
        <f t="shared" si="187"/>
        <v>-79.798297876877982</v>
      </c>
      <c r="AJ383" s="150">
        <f t="shared" si="188"/>
        <v>0</v>
      </c>
      <c r="AK383" s="150">
        <f t="shared" si="200"/>
        <v>0</v>
      </c>
      <c r="AM383" s="150" t="str">
        <f t="shared" si="192"/>
        <v>0.167768193276623+0.554427831081688i</v>
      </c>
      <c r="AN383" s="150" t="str">
        <f t="shared" si="193"/>
        <v>0.587675297088i</v>
      </c>
      <c r="AO383" s="150" t="str">
        <f t="shared" si="194"/>
        <v>0.943425449102494-0.285477701900921i</v>
      </c>
      <c r="AP383" s="150" t="str">
        <f t="shared" si="195"/>
        <v>0.138705301120563-0.0924046385136147i</v>
      </c>
      <c r="AQ383" s="150" t="str">
        <f t="shared" si="196"/>
        <v>0.861294698879437+0.0924046385136147i</v>
      </c>
      <c r="AR383" s="150" t="str">
        <f t="shared" si="197"/>
        <v>0.956143215690978-0.102580531760056i</v>
      </c>
    </row>
    <row r="384" spans="7:44" x14ac:dyDescent="0.25">
      <c r="G384" s="594">
        <v>32924.5</v>
      </c>
      <c r="H384" s="582">
        <f t="shared" si="189"/>
        <v>32.924500000000002</v>
      </c>
      <c r="I384" s="583">
        <f t="shared" si="169"/>
        <v>32.137989605573381</v>
      </c>
      <c r="J384" s="584">
        <f t="shared" si="170"/>
        <v>1.5396754804581507</v>
      </c>
      <c r="K384" s="584">
        <f t="shared" si="171"/>
        <v>1.0001582452410149</v>
      </c>
      <c r="L384" s="585">
        <f t="shared" si="172"/>
        <v>1.7789006485399314E-2</v>
      </c>
      <c r="M384" s="584">
        <f t="shared" si="173"/>
        <v>1.0384974686957216</v>
      </c>
      <c r="N384" s="585">
        <f t="shared" si="174"/>
        <v>-0.27313615852122114</v>
      </c>
      <c r="O384" s="583">
        <f t="shared" si="175"/>
        <v>59578.77151842905</v>
      </c>
      <c r="P384" s="586">
        <f t="shared" si="176"/>
        <v>1.5707795422930588</v>
      </c>
      <c r="Q384" s="595">
        <f t="shared" si="198"/>
        <v>24.844621367126891</v>
      </c>
      <c r="R384" s="596">
        <f t="shared" si="199"/>
        <v>1.530535290217651</v>
      </c>
      <c r="S384" s="583">
        <f t="shared" si="177"/>
        <v>1.0136020523279208</v>
      </c>
      <c r="T384" s="586">
        <f t="shared" si="178"/>
        <v>0.16401000647403485</v>
      </c>
      <c r="U384" s="587">
        <f t="shared" si="190"/>
        <v>0.94729773909595816</v>
      </c>
      <c r="V384" s="588">
        <f t="shared" si="191"/>
        <v>-0.40290588885744194</v>
      </c>
      <c r="W384" s="589">
        <f t="shared" si="179"/>
        <v>-1.1315366471623076</v>
      </c>
      <c r="X384" s="590">
        <f t="shared" si="180"/>
        <v>-137.63493506459352</v>
      </c>
      <c r="Y384" s="593">
        <f t="shared" si="181"/>
        <v>42.36506493540648</v>
      </c>
      <c r="AA384" s="150">
        <f t="shared" si="182"/>
        <v>32924.5</v>
      </c>
      <c r="AB384" s="150">
        <f t="shared" si="183"/>
        <v>1084022700.25</v>
      </c>
      <c r="AD384" s="592">
        <f t="shared" si="184"/>
        <v>27.493916812102409</v>
      </c>
      <c r="AE384" s="593">
        <f t="shared" si="185"/>
        <v>-11.702906975829498</v>
      </c>
      <c r="AG384" s="592">
        <f t="shared" si="186"/>
        <v>-2.2969705346083242</v>
      </c>
      <c r="AH384" s="593">
        <f t="shared" si="187"/>
        <v>-79.762414091010655</v>
      </c>
      <c r="AJ384" s="150">
        <f t="shared" si="188"/>
        <v>0</v>
      </c>
      <c r="AK384" s="150">
        <f t="shared" si="200"/>
        <v>0</v>
      </c>
      <c r="AM384" s="150" t="str">
        <f t="shared" si="192"/>
        <v>0.169649107445338+0.557240877209916i</v>
      </c>
      <c r="AN384" s="150" t="str">
        <f t="shared" si="193"/>
        <v>0.591059241171i</v>
      </c>
      <c r="AO384" s="150" t="str">
        <f t="shared" si="194"/>
        <v>0.942783461275246-0.28702555620183i</v>
      </c>
      <c r="AP384" s="150" t="str">
        <f t="shared" si="195"/>
        <v>0.138391815425777-0.092873479534986i</v>
      </c>
      <c r="AQ384" s="150" t="str">
        <f t="shared" si="196"/>
        <v>0.861608184574223+0.092873479534986i</v>
      </c>
      <c r="AR384" s="150" t="str">
        <f t="shared" si="197"/>
        <v>0.955692691731238-0.103014928637311i</v>
      </c>
    </row>
    <row r="385" spans="7:44" x14ac:dyDescent="0.25">
      <c r="G385" s="594">
        <v>33113</v>
      </c>
      <c r="H385" s="582">
        <f t="shared" si="189"/>
        <v>33.113</v>
      </c>
      <c r="I385" s="583">
        <f t="shared" si="169"/>
        <v>32.32180902231471</v>
      </c>
      <c r="J385" s="584">
        <f t="shared" si="170"/>
        <v>1.5398525264772287</v>
      </c>
      <c r="K385" s="584">
        <f t="shared" si="171"/>
        <v>1.0001600622601741</v>
      </c>
      <c r="L385" s="585">
        <f t="shared" si="172"/>
        <v>1.7890830788455044E-2</v>
      </c>
      <c r="M385" s="584">
        <f t="shared" si="173"/>
        <v>1.0389312589787663</v>
      </c>
      <c r="N385" s="585">
        <f t="shared" si="174"/>
        <v>-0.27462268019596126</v>
      </c>
      <c r="O385" s="583">
        <f t="shared" si="175"/>
        <v>59919.873081947677</v>
      </c>
      <c r="P385" s="586">
        <f t="shared" si="176"/>
        <v>1.5707796378409884</v>
      </c>
      <c r="Q385" s="595">
        <f t="shared" si="198"/>
        <v>24.986632499659521</v>
      </c>
      <c r="R385" s="596">
        <f t="shared" si="199"/>
        <v>1.530764235848773</v>
      </c>
      <c r="S385" s="583">
        <f t="shared" si="177"/>
        <v>1.0137571877519793</v>
      </c>
      <c r="T385" s="586">
        <f t="shared" si="178"/>
        <v>0.16493211034087971</v>
      </c>
      <c r="U385" s="587">
        <f t="shared" si="190"/>
        <v>0.94674136317218616</v>
      </c>
      <c r="V385" s="588">
        <f t="shared" si="191"/>
        <v>-0.40509536484707548</v>
      </c>
      <c r="W385" s="589">
        <f t="shared" si="179"/>
        <v>-1.1839446850379047</v>
      </c>
      <c r="X385" s="590">
        <f t="shared" si="180"/>
        <v>-137.88958461934359</v>
      </c>
      <c r="Y385" s="593">
        <f t="shared" si="181"/>
        <v>42.110415380656406</v>
      </c>
      <c r="AA385" s="150">
        <f t="shared" si="182"/>
        <v>33113</v>
      </c>
      <c r="AB385" s="150">
        <f t="shared" si="183"/>
        <v>1096470769</v>
      </c>
      <c r="AD385" s="592">
        <f t="shared" si="184"/>
        <v>27.49250762909076</v>
      </c>
      <c r="AE385" s="593">
        <f t="shared" si="185"/>
        <v>-11.742627491809641</v>
      </c>
      <c r="AG385" s="592">
        <f t="shared" si="186"/>
        <v>-2.3377634333135511</v>
      </c>
      <c r="AH385" s="593">
        <f t="shared" si="187"/>
        <v>-79.72644766239145</v>
      </c>
      <c r="AJ385" s="150">
        <f t="shared" si="188"/>
        <v>0</v>
      </c>
      <c r="AK385" s="150">
        <f t="shared" si="200"/>
        <v>0</v>
      </c>
      <c r="AM385" s="150" t="str">
        <f t="shared" si="192"/>
        <v>0.171539530017449+0.56004754233573i</v>
      </c>
      <c r="AN385" s="150" t="str">
        <f t="shared" si="193"/>
        <v>0.594443185254i</v>
      </c>
      <c r="AO385" s="150" t="str">
        <f t="shared" si="194"/>
        <v>0.942138048224789-0.288571783263277i</v>
      </c>
      <c r="AP385" s="150" t="str">
        <f t="shared" si="195"/>
        <v>0.138076744997092-0.093341257055955i</v>
      </c>
      <c r="AQ385" s="150" t="str">
        <f t="shared" si="196"/>
        <v>0.861923255002908+0.093341257055955i</v>
      </c>
      <c r="AR385" s="150" t="str">
        <f t="shared" si="197"/>
        <v>0.955240647604169-0.10344698593614i</v>
      </c>
    </row>
    <row r="386" spans="7:44" x14ac:dyDescent="0.25">
      <c r="G386" s="594">
        <v>33305.75</v>
      </c>
      <c r="H386" s="582">
        <f t="shared" si="189"/>
        <v>33.305750000000003</v>
      </c>
      <c r="I386" s="583">
        <f t="shared" si="169"/>
        <v>32.509773944341156</v>
      </c>
      <c r="J386" s="584">
        <f t="shared" si="170"/>
        <v>1.540031493887825</v>
      </c>
      <c r="K386" s="584">
        <f t="shared" si="171"/>
        <v>1.0001619309697578</v>
      </c>
      <c r="L386" s="585">
        <f t="shared" si="172"/>
        <v>1.7994950481233816E-2</v>
      </c>
      <c r="M386" s="584">
        <f t="shared" si="173"/>
        <v>1.0393772016729228</v>
      </c>
      <c r="N386" s="585">
        <f t="shared" si="174"/>
        <v>-0.27614143107021111</v>
      </c>
      <c r="O386" s="583">
        <f t="shared" si="175"/>
        <v>60268.66526427299</v>
      </c>
      <c r="P386" s="586">
        <f t="shared" si="176"/>
        <v>1.5707797344247876</v>
      </c>
      <c r="Q386" s="595">
        <f t="shared" si="198"/>
        <v>25.131846813552986</v>
      </c>
      <c r="R386" s="596">
        <f t="shared" si="199"/>
        <v>1.5309956678289727</v>
      </c>
      <c r="S386" s="583">
        <f t="shared" si="177"/>
        <v>1.0139167119916681</v>
      </c>
      <c r="T386" s="586">
        <f t="shared" si="178"/>
        <v>0.16587471173553825</v>
      </c>
      <c r="U386" s="587">
        <f t="shared" si="190"/>
        <v>0.94617011793376316</v>
      </c>
      <c r="V386" s="588">
        <f t="shared" si="191"/>
        <v>-0.40733230352841027</v>
      </c>
      <c r="W386" s="589">
        <f t="shared" si="179"/>
        <v>-1.2372562482468283</v>
      </c>
      <c r="X386" s="590">
        <f t="shared" si="180"/>
        <v>-138.14981077848577</v>
      </c>
      <c r="Y386" s="593">
        <f t="shared" si="181"/>
        <v>41.850189221514228</v>
      </c>
      <c r="AA386" s="150">
        <f t="shared" si="182"/>
        <v>33305.75</v>
      </c>
      <c r="AB386" s="150">
        <f t="shared" si="183"/>
        <v>1109272983.0625</v>
      </c>
      <c r="AD386" s="592">
        <f t="shared" si="184"/>
        <v>27.491060647860508</v>
      </c>
      <c r="AE386" s="593">
        <f t="shared" si="185"/>
        <v>-11.78338003166755</v>
      </c>
      <c r="AG386" s="592">
        <f t="shared" si="186"/>
        <v>-2.3791430596091594</v>
      </c>
      <c r="AH386" s="593">
        <f t="shared" si="187"/>
        <v>-79.689586990442749</v>
      </c>
      <c r="AJ386" s="150">
        <f t="shared" si="188"/>
        <v>0</v>
      </c>
      <c r="AK386" s="150">
        <f t="shared" si="200"/>
        <v>0</v>
      </c>
      <c r="AM386" s="150" t="str">
        <f t="shared" si="192"/>
        <v>0.173482384686134+0.562910855798571i</v>
      </c>
      <c r="AN386" s="150" t="str">
        <f t="shared" si="193"/>
        <v>0.5979034251585i</v>
      </c>
      <c r="AO386" s="150" t="str">
        <f t="shared" si="194"/>
        <v>0.941474546076312-0.29015118058597i</v>
      </c>
      <c r="AP386" s="150" t="str">
        <f t="shared" si="195"/>
        <v>0.137752935885644-0.0938184759664285i</v>
      </c>
      <c r="AQ386" s="150" t="str">
        <f t="shared" si="196"/>
        <v>0.862247064114356+0.0938184759664285i</v>
      </c>
      <c r="AR386" s="150" t="str">
        <f t="shared" si="197"/>
        <v>0.95477685484783-0.103886360577927i</v>
      </c>
    </row>
    <row r="387" spans="7:44" x14ac:dyDescent="0.25">
      <c r="G387" s="594">
        <v>33498.5</v>
      </c>
      <c r="H387" s="582">
        <f t="shared" si="189"/>
        <v>33.4985</v>
      </c>
      <c r="I387" s="583">
        <f t="shared" si="169"/>
        <v>32.697739895662437</v>
      </c>
      <c r="J387" s="584">
        <f t="shared" si="170"/>
        <v>1.5402084036829442</v>
      </c>
      <c r="K387" s="584">
        <f t="shared" si="171"/>
        <v>1.0001638105219668</v>
      </c>
      <c r="L387" s="585">
        <f t="shared" si="172"/>
        <v>1.8099069783808645E-2</v>
      </c>
      <c r="M387" s="584">
        <f t="shared" si="173"/>
        <v>1.0398255397393528</v>
      </c>
      <c r="N387" s="585">
        <f t="shared" si="174"/>
        <v>-0.27765887577272547</v>
      </c>
      <c r="O387" s="583">
        <f t="shared" si="175"/>
        <v>60617.457446598848</v>
      </c>
      <c r="P387" s="586">
        <f t="shared" si="176"/>
        <v>1.5707798298971023</v>
      </c>
      <c r="Q387" s="595">
        <f t="shared" si="198"/>
        <v>25.277062458061046</v>
      </c>
      <c r="R387" s="596">
        <f t="shared" si="199"/>
        <v>1.5312244406876199</v>
      </c>
      <c r="S387" s="583">
        <f t="shared" si="177"/>
        <v>1.0140771368098127</v>
      </c>
      <c r="T387" s="586">
        <f t="shared" si="178"/>
        <v>0.16681701573219179</v>
      </c>
      <c r="U387" s="587">
        <f t="shared" si="190"/>
        <v>0.94559653574891411</v>
      </c>
      <c r="V387" s="588">
        <f t="shared" si="191"/>
        <v>-0.40956731239585725</v>
      </c>
      <c r="W387" s="589">
        <f t="shared" si="179"/>
        <v>-1.2902899642409671</v>
      </c>
      <c r="X387" s="590">
        <f t="shared" si="180"/>
        <v>-138.40986891209167</v>
      </c>
      <c r="Y387" s="593">
        <f t="shared" si="181"/>
        <v>41.590131087908333</v>
      </c>
      <c r="AA387" s="150">
        <f t="shared" si="182"/>
        <v>33498.5</v>
      </c>
      <c r="AB387" s="150">
        <f t="shared" si="183"/>
        <v>1122149502.25</v>
      </c>
      <c r="AD387" s="592">
        <f t="shared" si="184"/>
        <v>27.489607548293655</v>
      </c>
      <c r="AE387" s="593">
        <f t="shared" si="185"/>
        <v>-11.8242678246339</v>
      </c>
      <c r="AG387" s="592">
        <f t="shared" si="186"/>
        <v>-2.4201894556579977</v>
      </c>
      <c r="AH387" s="593">
        <f t="shared" si="187"/>
        <v>-79.652644180231533</v>
      </c>
      <c r="AJ387" s="150">
        <f t="shared" si="188"/>
        <v>0</v>
      </c>
      <c r="AK387" s="150">
        <f t="shared" si="200"/>
        <v>0</v>
      </c>
      <c r="AM387" s="150" t="str">
        <f t="shared" si="192"/>
        <v>0.17543513545541+0.565767429389994i</v>
      </c>
      <c r="AN387" s="150" t="str">
        <f t="shared" si="193"/>
        <v>0.601363665063i</v>
      </c>
      <c r="AO387" s="150" t="str">
        <f t="shared" si="194"/>
        <v>0.940807471849373-0.29172885833904i</v>
      </c>
      <c r="AP387" s="150" t="str">
        <f t="shared" si="195"/>
        <v>0.137427477424098-0.094294571564999i</v>
      </c>
      <c r="AQ387" s="150" t="str">
        <f t="shared" si="196"/>
        <v>0.862572522575902+0.094294571564999i</v>
      </c>
      <c r="AR387" s="150" t="str">
        <f t="shared" si="197"/>
        <v>0.954311503681072-0.104323279520231i</v>
      </c>
    </row>
    <row r="388" spans="7:44" x14ac:dyDescent="0.25">
      <c r="G388" s="594">
        <v>33691.25</v>
      </c>
      <c r="H388" s="582">
        <f t="shared" si="189"/>
        <v>33.691249999999997</v>
      </c>
      <c r="I388" s="583">
        <f t="shared" si="169"/>
        <v>32.885706858629014</v>
      </c>
      <c r="J388" s="584">
        <f t="shared" si="170"/>
        <v>1.5403832911339548</v>
      </c>
      <c r="K388" s="584">
        <f t="shared" si="171"/>
        <v>1.00016570091674</v>
      </c>
      <c r="L388" s="585">
        <f t="shared" si="172"/>
        <v>1.8203188693924253E-2</v>
      </c>
      <c r="M388" s="584">
        <f t="shared" si="173"/>
        <v>1.0402762700809856</v>
      </c>
      <c r="N388" s="585">
        <f t="shared" si="174"/>
        <v>-0.27917500900858616</v>
      </c>
      <c r="O388" s="583">
        <f t="shared" si="175"/>
        <v>60966.249628925259</v>
      </c>
      <c r="P388" s="586">
        <f t="shared" si="176"/>
        <v>1.5707799242770095</v>
      </c>
      <c r="Q388" s="595">
        <f t="shared" si="198"/>
        <v>25.422279410381734</v>
      </c>
      <c r="R388" s="596">
        <f t="shared" si="199"/>
        <v>1.5314505999688028</v>
      </c>
      <c r="S388" s="583">
        <f t="shared" si="177"/>
        <v>1.0142384617790723</v>
      </c>
      <c r="T388" s="586">
        <f t="shared" si="178"/>
        <v>0.16775902079894697</v>
      </c>
      <c r="U388" s="587">
        <f t="shared" si="190"/>
        <v>0.94502063073431508</v>
      </c>
      <c r="V388" s="588">
        <f t="shared" si="191"/>
        <v>-0.41180038500848015</v>
      </c>
      <c r="W388" s="589">
        <f t="shared" si="179"/>
        <v>-1.3430491402435965</v>
      </c>
      <c r="X388" s="590">
        <f t="shared" si="180"/>
        <v>-138.66975767261391</v>
      </c>
      <c r="Y388" s="593">
        <f t="shared" si="181"/>
        <v>41.330242327386088</v>
      </c>
      <c r="AA388" s="150">
        <f t="shared" si="182"/>
        <v>33691.25</v>
      </c>
      <c r="AB388" s="150">
        <f t="shared" si="183"/>
        <v>1135100326.5625</v>
      </c>
      <c r="AD388" s="592">
        <f t="shared" si="184"/>
        <v>27.488148306184709</v>
      </c>
      <c r="AE388" s="593">
        <f t="shared" si="185"/>
        <v>-11.865288174546645</v>
      </c>
      <c r="AG388" s="592">
        <f t="shared" si="186"/>
        <v>-2.4609060781500625</v>
      </c>
      <c r="AH388" s="593">
        <f t="shared" si="187"/>
        <v>-79.615621318449584</v>
      </c>
      <c r="AJ388" s="150">
        <f t="shared" si="188"/>
        <v>0</v>
      </c>
      <c r="AK388" s="150">
        <f t="shared" si="200"/>
        <v>0</v>
      </c>
      <c r="AM388" s="150" t="str">
        <f t="shared" si="192"/>
        <v>0.177397758944507+0.568617228907532i</v>
      </c>
      <c r="AN388" s="150" t="str">
        <f t="shared" si="193"/>
        <v>0.6048239049675i</v>
      </c>
      <c r="AO388" s="150" t="str">
        <f t="shared" si="194"/>
        <v>0.940136830302841-0.293304807378669i</v>
      </c>
      <c r="AP388" s="150" t="str">
        <f t="shared" si="195"/>
        <v>0.137100373509249-0.0947695381512553i</v>
      </c>
      <c r="AQ388" s="150" t="str">
        <f t="shared" si="196"/>
        <v>0.862899626490751+0.0947695381512553i</v>
      </c>
      <c r="AR388" s="150" t="str">
        <f t="shared" si="197"/>
        <v>0.953844609810573-0.104757738171047i</v>
      </c>
    </row>
    <row r="389" spans="7:44" x14ac:dyDescent="0.25">
      <c r="G389" s="594">
        <v>33884</v>
      </c>
      <c r="H389" s="582">
        <f t="shared" si="189"/>
        <v>33.884</v>
      </c>
      <c r="I389" s="583">
        <f t="shared" si="169"/>
        <v>33.073674815992497</v>
      </c>
      <c r="J389" s="584">
        <f t="shared" si="170"/>
        <v>1.5405561907108938</v>
      </c>
      <c r="K389" s="584">
        <f t="shared" si="171"/>
        <v>1.0001676021540158</v>
      </c>
      <c r="L389" s="585">
        <f t="shared" si="172"/>
        <v>1.8307307209325416E-2</v>
      </c>
      <c r="M389" s="584">
        <f t="shared" si="173"/>
        <v>1.0407293895896033</v>
      </c>
      <c r="N389" s="585">
        <f t="shared" si="174"/>
        <v>-0.28068982551614019</v>
      </c>
      <c r="O389" s="583">
        <f t="shared" si="175"/>
        <v>61315.041811252202</v>
      </c>
      <c r="P389" s="586">
        <f t="shared" si="176"/>
        <v>1.5707800175831517</v>
      </c>
      <c r="Q389" s="595">
        <f t="shared" si="198"/>
        <v>25.567497648230905</v>
      </c>
      <c r="R389" s="596">
        <f t="shared" si="199"/>
        <v>1.5316741901829676</v>
      </c>
      <c r="S389" s="583">
        <f t="shared" si="177"/>
        <v>1.0144006864699808</v>
      </c>
      <c r="T389" s="586">
        <f t="shared" si="178"/>
        <v>0.16870072540700434</v>
      </c>
      <c r="U389" s="587">
        <f t="shared" si="190"/>
        <v>0.94444241701708198</v>
      </c>
      <c r="V389" s="588">
        <f t="shared" si="191"/>
        <v>-0.41403151499057989</v>
      </c>
      <c r="W389" s="589">
        <f t="shared" si="179"/>
        <v>-1.395537025943828</v>
      </c>
      <c r="X389" s="590">
        <f t="shared" si="180"/>
        <v>-138.92947573161209</v>
      </c>
      <c r="Y389" s="593">
        <f t="shared" si="181"/>
        <v>41.070524268387913</v>
      </c>
      <c r="AA389" s="150">
        <f t="shared" si="182"/>
        <v>33884</v>
      </c>
      <c r="AB389" s="150">
        <f t="shared" si="183"/>
        <v>1148125456</v>
      </c>
      <c r="AD389" s="592">
        <f t="shared" si="184"/>
        <v>27.486682898253076</v>
      </c>
      <c r="AE389" s="593">
        <f t="shared" si="185"/>
        <v>-11.906438444619454</v>
      </c>
      <c r="AG389" s="592">
        <f t="shared" si="186"/>
        <v>-2.5012963274707851</v>
      </c>
      <c r="AH389" s="593">
        <f t="shared" si="187"/>
        <v>-79.578520444043917</v>
      </c>
      <c r="AJ389" s="150">
        <f t="shared" si="188"/>
        <v>0</v>
      </c>
      <c r="AK389" s="150">
        <f t="shared" si="200"/>
        <v>0</v>
      </c>
      <c r="AM389" s="150" t="str">
        <f t="shared" si="192"/>
        <v>0.179370231654448+0.57146022022983i</v>
      </c>
      <c r="AN389" s="150" t="str">
        <f t="shared" si="193"/>
        <v>0.608284144872i</v>
      </c>
      <c r="AO389" s="150" t="str">
        <f t="shared" si="194"/>
        <v>0.939462626220648-0.294879018574769i</v>
      </c>
      <c r="AP389" s="150" t="str">
        <f t="shared" si="195"/>
        <v>0.136771628057592-0.095243370038305i</v>
      </c>
      <c r="AQ389" s="150" t="str">
        <f t="shared" si="196"/>
        <v>0.863228371942408+0.095243370038305i</v>
      </c>
      <c r="AR389" s="150" t="str">
        <f t="shared" si="197"/>
        <v>0.953376188937823-0.105189732057106i</v>
      </c>
    </row>
    <row r="390" spans="7:44" x14ac:dyDescent="0.25">
      <c r="G390" s="594">
        <v>34081.5</v>
      </c>
      <c r="H390" s="582">
        <f t="shared" si="189"/>
        <v>34.081499999999998</v>
      </c>
      <c r="I390" s="583">
        <f t="shared" si="169"/>
        <v>33.266275941775945</v>
      </c>
      <c r="J390" s="584">
        <f t="shared" si="170"/>
        <v>1.5407313243772118</v>
      </c>
      <c r="K390" s="584">
        <f t="shared" si="171"/>
        <v>1.0001695614906143</v>
      </c>
      <c r="L390" s="585">
        <f t="shared" si="172"/>
        <v>1.8413991138874011E-2</v>
      </c>
      <c r="M390" s="584">
        <f t="shared" si="173"/>
        <v>1.0411961504132263</v>
      </c>
      <c r="N390" s="585">
        <f t="shared" si="174"/>
        <v>-0.28224060086368508</v>
      </c>
      <c r="O390" s="583">
        <f t="shared" si="175"/>
        <v>61672.429391068952</v>
      </c>
      <c r="P390" s="586">
        <f t="shared" si="176"/>
        <v>1.5707801120939369</v>
      </c>
      <c r="Q390" s="595">
        <f t="shared" si="198"/>
        <v>25.716295856301251</v>
      </c>
      <c r="R390" s="596">
        <f t="shared" si="199"/>
        <v>1.5319006710815177</v>
      </c>
      <c r="S390" s="583">
        <f t="shared" si="177"/>
        <v>1.014567841717597</v>
      </c>
      <c r="T390" s="586">
        <f t="shared" si="178"/>
        <v>0.16966532349149152</v>
      </c>
      <c r="U390" s="587">
        <f t="shared" si="190"/>
        <v>0.94384757423325916</v>
      </c>
      <c r="V390" s="588">
        <f t="shared" si="191"/>
        <v>-0.41631560579488452</v>
      </c>
      <c r="W390" s="589">
        <f t="shared" si="179"/>
        <v>-1.4490403258436131</v>
      </c>
      <c r="X390" s="590">
        <f t="shared" si="180"/>
        <v>-139.19541567304952</v>
      </c>
      <c r="Y390" s="593">
        <f t="shared" si="181"/>
        <v>40.804584326950476</v>
      </c>
      <c r="AA390" s="150">
        <f t="shared" si="182"/>
        <v>34081.5</v>
      </c>
      <c r="AB390" s="150">
        <f t="shared" si="183"/>
        <v>1161548642.25</v>
      </c>
      <c r="AD390" s="592">
        <f t="shared" si="184"/>
        <v>27.485174958784601</v>
      </c>
      <c r="AE390" s="593">
        <f t="shared" si="185"/>
        <v>-11.948734859277163</v>
      </c>
      <c r="AG390" s="592">
        <f t="shared" si="186"/>
        <v>-2.5423468881793125</v>
      </c>
      <c r="AH390" s="593">
        <f t="shared" si="187"/>
        <v>-79.540426444302028</v>
      </c>
      <c r="AJ390" s="150">
        <f t="shared" si="188"/>
        <v>0</v>
      </c>
      <c r="AK390" s="150">
        <f t="shared" si="200"/>
        <v>0</v>
      </c>
      <c r="AM390" s="150" t="str">
        <f t="shared" si="192"/>
        <v>0.181401504230007+0.57436617477277i</v>
      </c>
      <c r="AN390" s="150" t="str">
        <f t="shared" si="193"/>
        <v>0.611829656577i</v>
      </c>
      <c r="AO390" s="150" t="str">
        <f t="shared" si="194"/>
        <v>0.93876811723409-0.296490211417493i</v>
      </c>
      <c r="AP390" s="150" t="str">
        <f t="shared" si="195"/>
        <v>0.136433082628332-0.0957276957954617i</v>
      </c>
      <c r="AQ390" s="150" t="str">
        <f t="shared" si="196"/>
        <v>0.863566917371668+0.0957276957954617i</v>
      </c>
      <c r="AR390" s="150" t="str">
        <f t="shared" si="197"/>
        <v>0.952894657121837-0.105629810530156i</v>
      </c>
    </row>
    <row r="391" spans="7:44" x14ac:dyDescent="0.25">
      <c r="G391" s="594">
        <v>34279</v>
      </c>
      <c r="H391" s="582">
        <f t="shared" si="189"/>
        <v>34.279000000000003</v>
      </c>
      <c r="I391" s="583">
        <f t="shared" si="169"/>
        <v>33.458878076149141</v>
      </c>
      <c r="J391" s="584">
        <f t="shared" si="170"/>
        <v>1.5409044417756876</v>
      </c>
      <c r="K391" s="584">
        <f t="shared" si="171"/>
        <v>1.0001715322105587</v>
      </c>
      <c r="L391" s="585">
        <f t="shared" si="172"/>
        <v>1.852067464922063E-2</v>
      </c>
      <c r="M391" s="584">
        <f t="shared" si="173"/>
        <v>1.0416654129662926</v>
      </c>
      <c r="N391" s="585">
        <f t="shared" si="174"/>
        <v>-0.28378998270893901</v>
      </c>
      <c r="O391" s="583">
        <f t="shared" si="175"/>
        <v>62029.816970886241</v>
      </c>
      <c r="P391" s="586">
        <f t="shared" si="176"/>
        <v>1.5707802055156654</v>
      </c>
      <c r="Q391" s="595">
        <f t="shared" si="198"/>
        <v>25.865095368275913</v>
      </c>
      <c r="R391" s="596">
        <f t="shared" si="199"/>
        <v>1.5321245461439317</v>
      </c>
      <c r="S391" s="583">
        <f t="shared" si="177"/>
        <v>1.0147359406577985</v>
      </c>
      <c r="T391" s="586">
        <f t="shared" si="178"/>
        <v>0.17062960288652004</v>
      </c>
      <c r="U391" s="587">
        <f t="shared" si="190"/>
        <v>0.94325033761606147</v>
      </c>
      <c r="V391" s="588">
        <f t="shared" si="191"/>
        <v>-0.41859764370049618</v>
      </c>
      <c r="W391" s="589">
        <f t="shared" si="179"/>
        <v>-1.5022655278612806</v>
      </c>
      <c r="X391" s="590">
        <f t="shared" si="180"/>
        <v>-139.46117363209009</v>
      </c>
      <c r="Y391" s="593">
        <f t="shared" si="181"/>
        <v>40.538826367909905</v>
      </c>
      <c r="AA391" s="150">
        <f t="shared" si="182"/>
        <v>34279</v>
      </c>
      <c r="AB391" s="150">
        <f t="shared" si="183"/>
        <v>1175049841</v>
      </c>
      <c r="AD391" s="592">
        <f t="shared" si="184"/>
        <v>27.483660499217667</v>
      </c>
      <c r="AE391" s="593">
        <f t="shared" si="185"/>
        <v>-11.991162255388414</v>
      </c>
      <c r="AG391" s="592">
        <f t="shared" si="186"/>
        <v>-2.5830618439558823</v>
      </c>
      <c r="AH391" s="593">
        <f t="shared" si="187"/>
        <v>-79.502254725571674</v>
      </c>
      <c r="AJ391" s="150">
        <f t="shared" si="188"/>
        <v>0</v>
      </c>
      <c r="AK391" s="150">
        <f t="shared" si="200"/>
        <v>0</v>
      </c>
      <c r="AM391" s="150" t="str">
        <f t="shared" si="192"/>
        <v>0.183443067112627+0.577264909165252i</v>
      </c>
      <c r="AN391" s="150" t="str">
        <f t="shared" si="193"/>
        <v>0.615375168282i</v>
      </c>
      <c r="AO391" s="150" t="str">
        <f t="shared" si="194"/>
        <v>0.938069878212434-0.298099560345865i</v>
      </c>
      <c r="AP391" s="150" t="str">
        <f t="shared" si="195"/>
        <v>0.136092822147896-0.0962108181942087i</v>
      </c>
      <c r="AQ391" s="150" t="str">
        <f t="shared" si="196"/>
        <v>0.863907177852104+0.0962108181942087i</v>
      </c>
      <c r="AR391" s="150" t="str">
        <f t="shared" si="197"/>
        <v>0.952411555470435-0.106067292133457i</v>
      </c>
    </row>
    <row r="392" spans="7:44" x14ac:dyDescent="0.25">
      <c r="G392" s="594">
        <v>34476.5</v>
      </c>
      <c r="H392" s="582">
        <f t="shared" si="189"/>
        <v>34.476500000000001</v>
      </c>
      <c r="I392" s="583">
        <f t="shared" si="169"/>
        <v>33.651481201794276</v>
      </c>
      <c r="J392" s="584">
        <f t="shared" si="170"/>
        <v>1.5410755775159788</v>
      </c>
      <c r="K392" s="584">
        <f t="shared" si="171"/>
        <v>1.0001735143137818</v>
      </c>
      <c r="L392" s="585">
        <f t="shared" si="172"/>
        <v>1.8627357737939356E-2</v>
      </c>
      <c r="M392" s="584">
        <f t="shared" si="173"/>
        <v>1.0421371738693006</v>
      </c>
      <c r="N392" s="585">
        <f t="shared" si="174"/>
        <v>-0.28533796550053625</v>
      </c>
      <c r="O392" s="583">
        <f t="shared" si="175"/>
        <v>62387.204550704068</v>
      </c>
      <c r="P392" s="586">
        <f t="shared" si="176"/>
        <v>1.570780297867054</v>
      </c>
      <c r="Q392" s="595">
        <f t="shared" si="198"/>
        <v>26.01389616177989</v>
      </c>
      <c r="R392" s="596">
        <f t="shared" si="199"/>
        <v>1.5323458600641144</v>
      </c>
      <c r="S392" s="583">
        <f t="shared" si="177"/>
        <v>1.0149049828216732</v>
      </c>
      <c r="T392" s="586">
        <f t="shared" si="178"/>
        <v>0.17159356195765013</v>
      </c>
      <c r="U392" s="587">
        <f t="shared" si="190"/>
        <v>0.94265072239170544</v>
      </c>
      <c r="V392" s="588">
        <f t="shared" si="191"/>
        <v>-0.42087762206160201</v>
      </c>
      <c r="W392" s="589">
        <f t="shared" si="179"/>
        <v>-1.5552159484248058</v>
      </c>
      <c r="X392" s="590">
        <f t="shared" si="180"/>
        <v>-139.72674823966696</v>
      </c>
      <c r="Y392" s="593">
        <f t="shared" si="181"/>
        <v>40.273251760333039</v>
      </c>
      <c r="AA392" s="150">
        <f t="shared" si="182"/>
        <v>34476.5</v>
      </c>
      <c r="AB392" s="150">
        <f t="shared" si="183"/>
        <v>1188629052.25</v>
      </c>
      <c r="AD392" s="592">
        <f t="shared" si="184"/>
        <v>27.482139497335375</v>
      </c>
      <c r="AE392" s="593">
        <f t="shared" si="185"/>
        <v>-12.033717979606976</v>
      </c>
      <c r="AG392" s="592">
        <f t="shared" si="186"/>
        <v>-2.6234446771083113</v>
      </c>
      <c r="AH392" s="593">
        <f t="shared" si="187"/>
        <v>-79.464007333686382</v>
      </c>
      <c r="AJ392" s="150">
        <f t="shared" si="188"/>
        <v>0</v>
      </c>
      <c r="AK392" s="150">
        <f t="shared" si="200"/>
        <v>0</v>
      </c>
      <c r="AM392" s="150" t="str">
        <f t="shared" si="192"/>
        <v>0.185494894638558+0.580156386968329i</v>
      </c>
      <c r="AN392" s="150" t="str">
        <f t="shared" si="193"/>
        <v>0.618920679987i</v>
      </c>
      <c r="AO392" s="150" t="str">
        <f t="shared" si="194"/>
        <v>0.937367914383657-0.299707055583365i</v>
      </c>
      <c r="AP392" s="150" t="str">
        <f t="shared" si="195"/>
        <v>0.135750850893574-0.0966927311613882i</v>
      </c>
      <c r="AQ392" s="150" t="str">
        <f t="shared" si="196"/>
        <v>0.864249149106426+0.0966927311613882i</v>
      </c>
      <c r="AR392" s="150" t="str">
        <f t="shared" si="197"/>
        <v>0.951926900851181-0.106502172440047i</v>
      </c>
    </row>
    <row r="393" spans="7:44" x14ac:dyDescent="0.25">
      <c r="G393" s="594">
        <v>34674</v>
      </c>
      <c r="H393" s="582">
        <f t="shared" si="189"/>
        <v>34.673999999999999</v>
      </c>
      <c r="I393" s="583">
        <f t="shared" si="169"/>
        <v>33.844085301787672</v>
      </c>
      <c r="J393" s="584">
        <f t="shared" si="170"/>
        <v>1.5412447654203698</v>
      </c>
      <c r="K393" s="584">
        <f t="shared" si="171"/>
        <v>1.0001755078002161</v>
      </c>
      <c r="L393" s="585">
        <f t="shared" si="172"/>
        <v>1.8734040402604322E-2</v>
      </c>
      <c r="M393" s="584">
        <f t="shared" si="173"/>
        <v>1.0426114297308902</v>
      </c>
      <c r="N393" s="585">
        <f t="shared" si="174"/>
        <v>-0.28688454372395156</v>
      </c>
      <c r="O393" s="583">
        <f t="shared" si="175"/>
        <v>62744.592130522411</v>
      </c>
      <c r="P393" s="586">
        <f t="shared" si="176"/>
        <v>1.5707803891663921</v>
      </c>
      <c r="Q393" s="595">
        <f t="shared" si="198"/>
        <v>26.162698214947014</v>
      </c>
      <c r="R393" s="596">
        <f t="shared" si="199"/>
        <v>1.5325646565201896</v>
      </c>
      <c r="S393" s="583">
        <f t="shared" si="177"/>
        <v>1.0150749677379913</v>
      </c>
      <c r="T393" s="586">
        <f t="shared" si="178"/>
        <v>0.17255719907390907</v>
      </c>
      <c r="U393" s="587">
        <f t="shared" si="190"/>
        <v>0.94204874379431991</v>
      </c>
      <c r="V393" s="588">
        <f t="shared" si="191"/>
        <v>-0.42315553430415626</v>
      </c>
      <c r="W393" s="589">
        <f t="shared" si="179"/>
        <v>-1.6078948461477449</v>
      </c>
      <c r="X393" s="590">
        <f t="shared" si="180"/>
        <v>-139.99213814619705</v>
      </c>
      <c r="Y393" s="593">
        <f t="shared" si="181"/>
        <v>40.00786185380295</v>
      </c>
      <c r="AA393" s="150">
        <f t="shared" si="182"/>
        <v>34674</v>
      </c>
      <c r="AB393" s="150">
        <f t="shared" si="183"/>
        <v>1202286276</v>
      </c>
      <c r="AD393" s="592">
        <f t="shared" si="184"/>
        <v>27.480611931813272</v>
      </c>
      <c r="AE393" s="593">
        <f t="shared" si="185"/>
        <v>-12.076399436960759</v>
      </c>
      <c r="AG393" s="592">
        <f t="shared" si="186"/>
        <v>-2.6634988133201092</v>
      </c>
      <c r="AH393" s="593">
        <f t="shared" si="187"/>
        <v>-79.42568626736535</v>
      </c>
      <c r="AJ393" s="150">
        <f t="shared" si="188"/>
        <v>0</v>
      </c>
      <c r="AK393" s="150">
        <f t="shared" si="200"/>
        <v>0</v>
      </c>
      <c r="AM393" s="150" t="str">
        <f t="shared" si="192"/>
        <v>0.187556961015013+0.583040571834275i</v>
      </c>
      <c r="AN393" s="150" t="str">
        <f t="shared" si="193"/>
        <v>0.622466191692i</v>
      </c>
      <c r="AO393" s="150" t="str">
        <f t="shared" si="194"/>
        <v>0.936662231003169-0.301312687368919i</v>
      </c>
      <c r="AP393" s="150" t="str">
        <f t="shared" si="195"/>
        <v>0.135407173164165-0.0971734286390458i</v>
      </c>
      <c r="AQ393" s="150" t="str">
        <f t="shared" si="196"/>
        <v>0.864592826835835+0.0971734286390458i</v>
      </c>
      <c r="AR393" s="150" t="str">
        <f t="shared" si="197"/>
        <v>0.951440710121474-0.106934447151997i</v>
      </c>
    </row>
    <row r="394" spans="7:44" x14ac:dyDescent="0.25">
      <c r="G394" s="594">
        <v>34875.75</v>
      </c>
      <c r="H394" s="582">
        <f t="shared" si="189"/>
        <v>34.875749999999996</v>
      </c>
      <c r="I394" s="583">
        <f t="shared" si="169"/>
        <v>34.040835035796327</v>
      </c>
      <c r="J394" s="584">
        <f t="shared" si="170"/>
        <v>1.5414156172895634</v>
      </c>
      <c r="K394" s="584">
        <f t="shared" si="171"/>
        <v>1.0001775559376682</v>
      </c>
      <c r="L394" s="585">
        <f t="shared" si="172"/>
        <v>1.8843018329817409E-2</v>
      </c>
      <c r="M394" s="584">
        <f t="shared" si="173"/>
        <v>1.0430984636290654</v>
      </c>
      <c r="N394" s="585">
        <f t="shared" si="174"/>
        <v>-0.28846294681777968</v>
      </c>
      <c r="O394" s="583">
        <f t="shared" si="175"/>
        <v>63109.670329147521</v>
      </c>
      <c r="P394" s="586">
        <f t="shared" si="176"/>
        <v>1.5707804813627335</v>
      </c>
      <c r="Q394" s="595">
        <f t="shared" si="198"/>
        <v>26.314703616005424</v>
      </c>
      <c r="R394" s="596">
        <f t="shared" si="199"/>
        <v>1.5327856063372216</v>
      </c>
      <c r="S394" s="583">
        <f t="shared" si="177"/>
        <v>1.0152495834664546</v>
      </c>
      <c r="T394" s="586">
        <f t="shared" si="178"/>
        <v>0.17354123857101059</v>
      </c>
      <c r="U394" s="587">
        <f t="shared" si="190"/>
        <v>0.94143138687032979</v>
      </c>
      <c r="V394" s="588">
        <f t="shared" si="191"/>
        <v>-0.42548032486186232</v>
      </c>
      <c r="W394" s="589">
        <f t="shared" si="179"/>
        <v>-1.6614303199764815</v>
      </c>
      <c r="X394" s="590">
        <f t="shared" si="180"/>
        <v>-140.26304688561834</v>
      </c>
      <c r="Y394" s="593">
        <f t="shared" si="181"/>
        <v>39.736953114381663</v>
      </c>
      <c r="AA394" s="150">
        <f t="shared" si="182"/>
        <v>34875.75</v>
      </c>
      <c r="AB394" s="150">
        <f t="shared" si="183"/>
        <v>1216317938.0625</v>
      </c>
      <c r="AD394" s="592">
        <f t="shared" si="184"/>
        <v>27.479044696331094</v>
      </c>
      <c r="AE394" s="593">
        <f t="shared" si="185"/>
        <v>-12.120126537529956</v>
      </c>
      <c r="AG394" s="592">
        <f t="shared" si="186"/>
        <v>-2.7040789956658555</v>
      </c>
      <c r="AH394" s="593">
        <f t="shared" si="187"/>
        <v>-79.386466531496183</v>
      </c>
      <c r="AJ394" s="150">
        <f t="shared" si="188"/>
        <v>0</v>
      </c>
      <c r="AK394" s="150">
        <f t="shared" si="200"/>
        <v>0</v>
      </c>
      <c r="AM394" s="150" t="str">
        <f t="shared" si="192"/>
        <v>0.189673945730522+0.58597925370448i</v>
      </c>
      <c r="AN394" s="150" t="str">
        <f t="shared" si="193"/>
        <v>0.6260879992185i</v>
      </c>
      <c r="AO394" s="150" t="str">
        <f t="shared" si="194"/>
        <v>0.935937527050375-0.302950936557286i</v>
      </c>
      <c r="AP394" s="150" t="str">
        <f t="shared" si="195"/>
        <v>0.135054342378246-0.0976632089507467i</v>
      </c>
      <c r="AQ394" s="150" t="str">
        <f t="shared" si="196"/>
        <v>0.864945657621754+0.0976632089507467i</v>
      </c>
      <c r="AR394" s="150" t="str">
        <f t="shared" si="197"/>
        <v>0.950942488528669-0.107373329340341i</v>
      </c>
    </row>
    <row r="395" spans="7:44" x14ac:dyDescent="0.25">
      <c r="G395" s="594">
        <v>35077.5</v>
      </c>
      <c r="H395" s="582">
        <f t="shared" si="189"/>
        <v>35.077500000000001</v>
      </c>
      <c r="I395" s="583">
        <f t="shared" si="169"/>
        <v>34.237585752048844</v>
      </c>
      <c r="J395" s="584">
        <f t="shared" si="170"/>
        <v>1.5415845055188968</v>
      </c>
      <c r="K395" s="584">
        <f t="shared" si="171"/>
        <v>1.0001796159533689</v>
      </c>
      <c r="L395" s="585">
        <f t="shared" si="172"/>
        <v>1.8951995809412876E-2</v>
      </c>
      <c r="M395" s="584">
        <f t="shared" si="173"/>
        <v>1.0435880938278115</v>
      </c>
      <c r="N395" s="585">
        <f t="shared" si="174"/>
        <v>-0.29003987272830167</v>
      </c>
      <c r="O395" s="583">
        <f t="shared" si="175"/>
        <v>63474.748527773154</v>
      </c>
      <c r="P395" s="586">
        <f t="shared" si="176"/>
        <v>1.5707805724985309</v>
      </c>
      <c r="Q395" s="595">
        <f t="shared" si="198"/>
        <v>26.466710286960407</v>
      </c>
      <c r="R395" s="596">
        <f t="shared" si="199"/>
        <v>1.5330040181957376</v>
      </c>
      <c r="S395" s="583">
        <f t="shared" si="177"/>
        <v>1.0154251819566662</v>
      </c>
      <c r="T395" s="586">
        <f t="shared" si="178"/>
        <v>0.17452493867852345</v>
      </c>
      <c r="U395" s="587">
        <f t="shared" si="190"/>
        <v>0.94081159592124974</v>
      </c>
      <c r="V395" s="588">
        <f t="shared" si="191"/>
        <v>-0.42780294578384803</v>
      </c>
      <c r="W395" s="589">
        <f t="shared" si="179"/>
        <v>-1.7146891544871425</v>
      </c>
      <c r="X395" s="590">
        <f t="shared" si="180"/>
        <v>-140.5337601030264</v>
      </c>
      <c r="Y395" s="593">
        <f t="shared" si="181"/>
        <v>39.466239896973605</v>
      </c>
      <c r="AA395" s="150">
        <f t="shared" si="182"/>
        <v>35077.5</v>
      </c>
      <c r="AB395" s="150">
        <f t="shared" si="183"/>
        <v>1230431006.25</v>
      </c>
      <c r="AD395" s="592">
        <f t="shared" si="184"/>
        <v>27.47747056942513</v>
      </c>
      <c r="AE395" s="593">
        <f t="shared" si="185"/>
        <v>-12.16397954605509</v>
      </c>
      <c r="AG395" s="592">
        <f t="shared" si="186"/>
        <v>-2.7443232335199994</v>
      </c>
      <c r="AH395" s="593">
        <f t="shared" si="187"/>
        <v>-79.347173987597898</v>
      </c>
      <c r="AJ395" s="150">
        <f t="shared" si="188"/>
        <v>0</v>
      </c>
      <c r="AK395" s="150">
        <f t="shared" si="200"/>
        <v>0</v>
      </c>
      <c r="AM395" s="150" t="str">
        <f t="shared" si="192"/>
        <v>0.191801559878131+0.588910249006228i</v>
      </c>
      <c r="AN395" s="150" t="str">
        <f t="shared" si="193"/>
        <v>0.629709806745i</v>
      </c>
      <c r="AO395" s="150" t="str">
        <f t="shared" si="194"/>
        <v>0.935208952914888-0.30458722069069i</v>
      </c>
      <c r="AP395" s="150" t="str">
        <f t="shared" si="195"/>
        <v>0.134699740020312-0.0981517081677047i</v>
      </c>
      <c r="AQ395" s="150" t="str">
        <f t="shared" si="196"/>
        <v>0.865300259979688+0.0981517081677047i</v>
      </c>
      <c r="AR395" s="150" t="str">
        <f t="shared" si="197"/>
        <v>0.950442699525798-0.107809483931244i</v>
      </c>
    </row>
    <row r="396" spans="7:44" x14ac:dyDescent="0.25">
      <c r="G396" s="594">
        <v>35279.25</v>
      </c>
      <c r="H396" s="582">
        <f t="shared" si="189"/>
        <v>35.279249999999998</v>
      </c>
      <c r="I396" s="583">
        <f t="shared" si="169"/>
        <v>34.434337433708208</v>
      </c>
      <c r="J396" s="584">
        <f t="shared" si="170"/>
        <v>1.541751463758319</v>
      </c>
      <c r="K396" s="584">
        <f t="shared" si="171"/>
        <v>1.0001816878472447</v>
      </c>
      <c r="L396" s="585">
        <f t="shared" si="172"/>
        <v>1.9060972838805045E-2</v>
      </c>
      <c r="M396" s="584">
        <f t="shared" si="173"/>
        <v>1.0440803166744574</v>
      </c>
      <c r="N396" s="585">
        <f t="shared" si="174"/>
        <v>-0.29161531569659743</v>
      </c>
      <c r="O396" s="583">
        <f t="shared" si="175"/>
        <v>63839.826726399304</v>
      </c>
      <c r="P396" s="586">
        <f t="shared" si="176"/>
        <v>1.5707806625919793</v>
      </c>
      <c r="Q396" s="595">
        <f t="shared" si="198"/>
        <v>26.618718206056666</v>
      </c>
      <c r="R396" s="596">
        <f t="shared" si="199"/>
        <v>1.5332199355542497</v>
      </c>
      <c r="S396" s="583">
        <f t="shared" si="177"/>
        <v>1.0156017626988654</v>
      </c>
      <c r="T396" s="586">
        <f t="shared" si="178"/>
        <v>0.17550829766919976</v>
      </c>
      <c r="U396" s="587">
        <f t="shared" si="190"/>
        <v>0.94018938720572331</v>
      </c>
      <c r="V396" s="588">
        <f t="shared" si="191"/>
        <v>-0.43012339029413693</v>
      </c>
      <c r="W396" s="589">
        <f t="shared" si="179"/>
        <v>-1.7676746447870051</v>
      </c>
      <c r="X396" s="590">
        <f t="shared" si="180"/>
        <v>-140.80427642046203</v>
      </c>
      <c r="Y396" s="593">
        <f t="shared" si="181"/>
        <v>39.195723579537969</v>
      </c>
      <c r="AA396" s="150">
        <f t="shared" si="182"/>
        <v>35279.25</v>
      </c>
      <c r="AB396" s="150">
        <f t="shared" si="183"/>
        <v>1244625480.5625</v>
      </c>
      <c r="AD396" s="592">
        <f t="shared" si="184"/>
        <v>27.4758895310644</v>
      </c>
      <c r="AE396" s="593">
        <f t="shared" si="185"/>
        <v>-12.207955874625336</v>
      </c>
      <c r="AG396" s="592">
        <f t="shared" si="186"/>
        <v>-2.7842350036785279</v>
      </c>
      <c r="AH396" s="593">
        <f t="shared" si="187"/>
        <v>-79.307810622091736</v>
      </c>
      <c r="AJ396" s="150">
        <f t="shared" si="188"/>
        <v>0</v>
      </c>
      <c r="AK396" s="150">
        <f t="shared" si="200"/>
        <v>0</v>
      </c>
      <c r="AM396" s="150" t="str">
        <f t="shared" si="192"/>
        <v>0.193939775548912+0.59183351929226i</v>
      </c>
      <c r="AN396" s="150" t="str">
        <f t="shared" si="193"/>
        <v>0.6333316142715i</v>
      </c>
      <c r="AO396" s="150" t="str">
        <f t="shared" si="194"/>
        <v>0.93447651428711-0.30622152941472i</v>
      </c>
      <c r="AP396" s="150" t="str">
        <f t="shared" si="195"/>
        <v>0.134343370741848-0.0986389198820433i</v>
      </c>
      <c r="AQ396" s="150" t="str">
        <f t="shared" si="196"/>
        <v>0.865656629258152+0.0986389198820433i</v>
      </c>
      <c r="AR396" s="150" t="str">
        <f t="shared" si="197"/>
        <v>0.949941361042077-0.108242906757115i</v>
      </c>
    </row>
    <row r="397" spans="7:44" x14ac:dyDescent="0.25">
      <c r="G397" s="594">
        <v>35481</v>
      </c>
      <c r="H397" s="582">
        <f t="shared" si="189"/>
        <v>35.481000000000002</v>
      </c>
      <c r="I397" s="583">
        <f t="shared" ref="I397:I460" si="201">SQRT(1+(G397/pole1)^2)</f>
        <v>34.631090064319956</v>
      </c>
      <c r="J397" s="584">
        <f t="shared" ref="J397:J460" si="202">ATAN(G397/pole1)</f>
        <v>1.5419165248935016</v>
      </c>
      <c r="K397" s="584">
        <f t="shared" ref="K397:K460" si="203">SQRT(1+(G397/Zero1)^2)</f>
        <v>1.0001837716192221</v>
      </c>
      <c r="L397" s="585">
        <f t="shared" ref="L397:L460" si="204">ATAN(G397/Zero1)</f>
        <v>1.9169949415408304E-2</v>
      </c>
      <c r="M397" s="584">
        <f t="shared" ref="M397:M460" si="205">SQRT(1+(G397/z_RHP)^2)</f>
        <v>1.0445751285038947</v>
      </c>
      <c r="N397" s="585">
        <f t="shared" ref="N397:N460" si="206">-ATAN(G397/z_RHP)</f>
        <v>-0.2931892700040184</v>
      </c>
      <c r="O397" s="583">
        <f t="shared" ref="O397:O460" si="207">SQRT(1+(G397/Pole2)^2)</f>
        <v>64204.90492502597</v>
      </c>
      <c r="P397" s="586">
        <f t="shared" ref="P397:P460" si="208">ATAN(G397/Pole2)</f>
        <v>1.5707807516608596</v>
      </c>
      <c r="Q397" s="595">
        <f t="shared" si="198"/>
        <v>26.770727352032839</v>
      </c>
      <c r="R397" s="596">
        <f t="shared" si="199"/>
        <v>1.5334334008851509</v>
      </c>
      <c r="S397" s="583">
        <f t="shared" ref="S397:S460" si="209">SQRT(1+(G397/pole4)^2)</f>
        <v>1.0157793251807945</v>
      </c>
      <c r="T397" s="586">
        <f t="shared" ref="T397:T460" si="210">ATAN(G397/pole4)</f>
        <v>0.17649131381962821</v>
      </c>
      <c r="U397" s="587">
        <f t="shared" si="190"/>
        <v>0.9395647769871005</v>
      </c>
      <c r="V397" s="588">
        <f t="shared" si="191"/>
        <v>-0.43244165169468007</v>
      </c>
      <c r="W397" s="589">
        <f t="shared" ref="W397:W460" si="211">20*LOG10(((K397*Q397*M397*U397)/(I397*O397*S397))*Adc)</f>
        <v>-1.8203900285924248</v>
      </c>
      <c r="X397" s="590">
        <f t="shared" ref="X397:X460" si="212">((L397+R397+N397+V397)-(J397+P397+T397))*radconv</f>
        <v>-141.07459447964493</v>
      </c>
      <c r="Y397" s="593">
        <f t="shared" ref="Y397:Y460" si="213">IF(X397&gt;0,X397,X397+180)</f>
        <v>38.925405520355071</v>
      </c>
      <c r="AA397" s="150">
        <f t="shared" ref="AA397:AA460" si="214">IF(W397&lt;0,G397,1000000000)</f>
        <v>35481</v>
      </c>
      <c r="AB397" s="150">
        <f t="shared" ref="AB397:AB460" si="215">G397^2</f>
        <v>1258901361</v>
      </c>
      <c r="AD397" s="592">
        <f t="shared" ref="AD397:AD460" si="216">20*LOG10((Q397/(O397*S397))*Aea)</f>
        <v>27.474301562069083</v>
      </c>
      <c r="AE397" s="593">
        <f t="shared" ref="AE397:AE460" si="217">(R397-(P397+T397))*radconv</f>
        <v>-12.2520529920264</v>
      </c>
      <c r="AG397" s="592">
        <f t="shared" ref="AG397:AG460" si="218">20*LOG10((K397*M397/(I397*U397))*Acs*Am)</f>
        <v>-2.823817726679918</v>
      </c>
      <c r="AH397" s="593">
        <f t="shared" ref="AH397:AH460" si="219">(L397+N397-(J397+V397))*radconv</f>
        <v>-79.26837837545159</v>
      </c>
      <c r="AJ397" s="150">
        <f t="shared" ref="AJ397:AJ460" si="220">SUM((W398&lt;0)*(W397&gt;0))*G397</f>
        <v>0</v>
      </c>
      <c r="AK397" s="150">
        <f t="shared" si="200"/>
        <v>0</v>
      </c>
      <c r="AM397" s="150" t="str">
        <f t="shared" si="192"/>
        <v>0.196088564694875+0.59474902621665i</v>
      </c>
      <c r="AN397" s="150" t="str">
        <f t="shared" si="193"/>
        <v>0.636953421798i</v>
      </c>
      <c r="AO397" s="150" t="str">
        <f t="shared" si="194"/>
        <v>0.933740216887108-0.307853852392148i</v>
      </c>
      <c r="AP397" s="150" t="str">
        <f t="shared" si="195"/>
        <v>0.133985239217521-0.099124837702775i</v>
      </c>
      <c r="AQ397" s="150" t="str">
        <f t="shared" si="196"/>
        <v>0.866014760782479+0.099124837702775i</v>
      </c>
      <c r="AR397" s="150" t="str">
        <f t="shared" si="197"/>
        <v>0.949438490990856-0.108673593788634i</v>
      </c>
    </row>
    <row r="398" spans="7:44" x14ac:dyDescent="0.25">
      <c r="G398" s="594">
        <v>35687.75</v>
      </c>
      <c r="H398" s="582">
        <f t="shared" ref="H398:H461" si="221">G398/1000</f>
        <v>35.687750000000001</v>
      </c>
      <c r="I398" s="583">
        <f t="shared" si="201"/>
        <v>34.832719812089074</v>
      </c>
      <c r="J398" s="584">
        <f t="shared" si="202"/>
        <v>1.5420837421704958</v>
      </c>
      <c r="K398" s="584">
        <f t="shared" si="203"/>
        <v>1.0001859193568641</v>
      </c>
      <c r="L398" s="585">
        <f t="shared" si="204"/>
        <v>1.9281626302114288E-2</v>
      </c>
      <c r="M398" s="584">
        <f t="shared" si="205"/>
        <v>1.0450848855035912</v>
      </c>
      <c r="N398" s="585">
        <f t="shared" si="206"/>
        <v>-0.29480068145495225</v>
      </c>
      <c r="O398" s="583">
        <f t="shared" si="207"/>
        <v>64579.030910484049</v>
      </c>
      <c r="P398" s="586">
        <f t="shared" si="208"/>
        <v>1.5707808418923526</v>
      </c>
      <c r="Q398" s="595">
        <f t="shared" si="198"/>
        <v>26.926505014219234</v>
      </c>
      <c r="R398" s="596">
        <f t="shared" si="199"/>
        <v>1.5336496560445785</v>
      </c>
      <c r="S398" s="583">
        <f t="shared" si="209"/>
        <v>1.0159623062185541</v>
      </c>
      <c r="T398" s="586">
        <f t="shared" si="210"/>
        <v>0.17749833471501805</v>
      </c>
      <c r="U398" s="587">
        <f t="shared" ref="U398:U461" si="222">IMABS(IMPRODUCT(AO398, AR398))</f>
        <v>0.93892221246175367</v>
      </c>
      <c r="V398" s="588">
        <f t="shared" ref="V398:V461" si="223">IMARGUMENT(IMPRODUCT(AO398, AR398))</f>
        <v>-0.43481509504810684</v>
      </c>
      <c r="W398" s="589">
        <f t="shared" si="211"/>
        <v>-1.8741349627480592</v>
      </c>
      <c r="X398" s="590">
        <f t="shared" si="212"/>
        <v>-141.35140478131746</v>
      </c>
      <c r="Y398" s="593">
        <f t="shared" si="213"/>
        <v>38.648595218682544</v>
      </c>
      <c r="AA398" s="150">
        <f t="shared" si="214"/>
        <v>35687.75</v>
      </c>
      <c r="AB398" s="150">
        <f t="shared" si="215"/>
        <v>1273615500.0625</v>
      </c>
      <c r="AD398" s="592">
        <f t="shared" si="216"/>
        <v>27.47266702860021</v>
      </c>
      <c r="AE398" s="593">
        <f t="shared" si="217"/>
        <v>-12.297365701216096</v>
      </c>
      <c r="AG398" s="592">
        <f t="shared" si="218"/>
        <v>-2.8640435738903309</v>
      </c>
      <c r="AH398" s="593">
        <f t="shared" si="219"/>
        <v>-79.227899393494184</v>
      </c>
      <c r="AJ398" s="150">
        <f t="shared" si="220"/>
        <v>0</v>
      </c>
      <c r="AK398" s="150">
        <f t="shared" si="200"/>
        <v>0</v>
      </c>
      <c r="AM398" s="150" t="str">
        <f t="shared" ref="AM398:AM461" si="224">IMSUB(1,IMEXP(COMPLEX(0,-2*Pi*G398*Tsw)))</f>
        <v>0.198301547901759+0.597728694227811i</v>
      </c>
      <c r="AN398" s="150" t="str">
        <f t="shared" ref="AN398:AN461" si="225">COMPLEX(0, 2*Pi*G398*Tsw)</f>
        <v>0.6406649891145i</v>
      </c>
      <c r="AO398" s="150" t="str">
        <f t="shared" ref="AO398:AO461" si="226">IMDIV(AM398, AN398)</f>
        <v>0.932981674328679-0.30952455849951i</v>
      </c>
      <c r="AP398" s="150" t="str">
        <f t="shared" ref="AP398:AP461" si="227">IMDIV(IMEXP(COMPLEX(0,-2*Pi*G398*Tsw)),6)</f>
        <v>0.13361640868304-0.0996214490379685i</v>
      </c>
      <c r="AQ398" s="150" t="str">
        <f t="shared" ref="AQ398:AQ461" si="228">IMSUB(1, AP398)</f>
        <v>0.86638359131696+0.0996214490379685i</v>
      </c>
      <c r="AR398" s="150" t="str">
        <f t="shared" ref="AR398:AR461" si="229">IMDIV(0.833, AQ398)</f>
        <v>0.948921587983909-0.109112112193481i</v>
      </c>
    </row>
    <row r="399" spans="7:44" x14ac:dyDescent="0.25">
      <c r="G399" s="594">
        <v>35894.5</v>
      </c>
      <c r="H399" s="582">
        <f t="shared" si="221"/>
        <v>35.894500000000001</v>
      </c>
      <c r="I399" s="583">
        <f t="shared" si="201"/>
        <v>35.034350522626482</v>
      </c>
      <c r="J399" s="584">
        <f t="shared" si="202"/>
        <v>1.5422490347046198</v>
      </c>
      <c r="K399" s="584">
        <f t="shared" si="203"/>
        <v>1.0001880795684981</v>
      </c>
      <c r="L399" s="585">
        <f t="shared" si="204"/>
        <v>1.9393302707812379E-2</v>
      </c>
      <c r="M399" s="584">
        <f t="shared" si="205"/>
        <v>1.0455973535695502</v>
      </c>
      <c r="N399" s="585">
        <f t="shared" si="206"/>
        <v>-0.29641051751303121</v>
      </c>
      <c r="O399" s="583">
        <f t="shared" si="207"/>
        <v>64953.156895942659</v>
      </c>
      <c r="P399" s="586">
        <f t="shared" si="208"/>
        <v>1.5707809310843903</v>
      </c>
      <c r="Q399" s="595">
        <f t="shared" si="198"/>
        <v>27.082283921171964</v>
      </c>
      <c r="R399" s="596">
        <f t="shared" si="199"/>
        <v>1.533863423388844</v>
      </c>
      <c r="S399" s="583">
        <f t="shared" si="209"/>
        <v>1.016146317162969</v>
      </c>
      <c r="T399" s="586">
        <f t="shared" si="210"/>
        <v>0.17850499191404537</v>
      </c>
      <c r="U399" s="587">
        <f t="shared" si="222"/>
        <v>0.93827716051782029</v>
      </c>
      <c r="V399" s="588">
        <f t="shared" si="223"/>
        <v>-0.4371862317502076</v>
      </c>
      <c r="W399" s="589">
        <f t="shared" si="211"/>
        <v>-1.9276029417710741</v>
      </c>
      <c r="X399" s="590">
        <f t="shared" si="212"/>
        <v>-141.62800404964491</v>
      </c>
      <c r="Y399" s="593">
        <f t="shared" si="213"/>
        <v>38.371995950355085</v>
      </c>
      <c r="AA399" s="150">
        <f t="shared" si="214"/>
        <v>35894.5</v>
      </c>
      <c r="AB399" s="150">
        <f t="shared" si="215"/>
        <v>1288415130.25</v>
      </c>
      <c r="AD399" s="592">
        <f t="shared" si="216"/>
        <v>27.471025178553212</v>
      </c>
      <c r="AE399" s="593">
        <f t="shared" si="217"/>
        <v>-12.342800053891933</v>
      </c>
      <c r="AG399" s="592">
        <f t="shared" si="218"/>
        <v>-2.9039309598708059</v>
      </c>
      <c r="AH399" s="593">
        <f t="shared" si="219"/>
        <v>-79.187352057477455</v>
      </c>
      <c r="AJ399" s="150">
        <f t="shared" si="220"/>
        <v>0</v>
      </c>
      <c r="AK399" s="150">
        <f t="shared" si="200"/>
        <v>0</v>
      </c>
      <c r="AM399" s="150" t="str">
        <f t="shared" si="224"/>
        <v>0.200525575078941+0.600700128098157i</v>
      </c>
      <c r="AN399" s="150" t="str">
        <f t="shared" si="225"/>
        <v>0.644376556431i</v>
      </c>
      <c r="AO399" s="150" t="str">
        <f t="shared" si="226"/>
        <v>0.932219091621283-0.311193157289256i</v>
      </c>
      <c r="AP399" s="150" t="str">
        <f t="shared" si="227"/>
        <v>0.133245737486843-0.100116688016359i</v>
      </c>
      <c r="AQ399" s="150" t="str">
        <f t="shared" si="228"/>
        <v>0.866754262513157+0.100116688016359i</v>
      </c>
      <c r="AR399" s="150" t="str">
        <f t="shared" si="229"/>
        <v>0.948403114589151-0.109547749395261i</v>
      </c>
    </row>
    <row r="400" spans="7:44" x14ac:dyDescent="0.25">
      <c r="G400" s="594">
        <v>36101.25</v>
      </c>
      <c r="H400" s="582">
        <f t="shared" si="221"/>
        <v>36.10125</v>
      </c>
      <c r="I400" s="583">
        <f t="shared" si="201"/>
        <v>35.235982179404431</v>
      </c>
      <c r="J400" s="584">
        <f t="shared" si="202"/>
        <v>1.5424124355287621</v>
      </c>
      <c r="K400" s="584">
        <f t="shared" si="203"/>
        <v>1.0001902522540436</v>
      </c>
      <c r="L400" s="585">
        <f t="shared" si="204"/>
        <v>1.9504978629720126E-2</v>
      </c>
      <c r="M400" s="584">
        <f t="shared" si="205"/>
        <v>1.0461125287174919</v>
      </c>
      <c r="N400" s="585">
        <f t="shared" si="206"/>
        <v>-0.29801877215564854</v>
      </c>
      <c r="O400" s="583">
        <f t="shared" si="207"/>
        <v>65327.28288140177</v>
      </c>
      <c r="P400" s="586">
        <f t="shared" si="208"/>
        <v>1.5707810192548317</v>
      </c>
      <c r="Q400" s="595">
        <f t="shared" si="198"/>
        <v>27.238064051533968</v>
      </c>
      <c r="R400" s="596">
        <f t="shared" si="199"/>
        <v>1.5340747455832318</v>
      </c>
      <c r="S400" s="583">
        <f t="shared" si="209"/>
        <v>1.0163313574546327</v>
      </c>
      <c r="T400" s="586">
        <f t="shared" si="210"/>
        <v>0.17951128357460308</v>
      </c>
      <c r="U400" s="587">
        <f t="shared" si="222"/>
        <v>0.93762963866701843</v>
      </c>
      <c r="V400" s="588">
        <f t="shared" si="223"/>
        <v>-0.43955505484668883</v>
      </c>
      <c r="W400" s="589">
        <f t="shared" si="211"/>
        <v>-1.9807972709968624</v>
      </c>
      <c r="X400" s="590">
        <f t="shared" si="212"/>
        <v>-141.9043908848478</v>
      </c>
      <c r="Y400" s="593">
        <f t="shared" si="213"/>
        <v>38.0956091151522</v>
      </c>
      <c r="AA400" s="150">
        <f t="shared" si="214"/>
        <v>36101.25</v>
      </c>
      <c r="AB400" s="150">
        <f t="shared" si="215"/>
        <v>1303300251.5625</v>
      </c>
      <c r="AD400" s="592">
        <f t="shared" si="216"/>
        <v>27.469375993891457</v>
      </c>
      <c r="AE400" s="593">
        <f t="shared" si="217"/>
        <v>-12.388353500991462</v>
      </c>
      <c r="AG400" s="592">
        <f t="shared" si="218"/>
        <v>-2.9434833901696811</v>
      </c>
      <c r="AH400" s="593">
        <f t="shared" si="219"/>
        <v>-79.146738313587605</v>
      </c>
      <c r="AJ400" s="150">
        <f t="shared" si="220"/>
        <v>0</v>
      </c>
      <c r="AK400" s="150">
        <f t="shared" si="200"/>
        <v>0</v>
      </c>
      <c r="AM400" s="150" t="str">
        <f t="shared" si="224"/>
        <v>0.202760615588855+0.603663286894059i</v>
      </c>
      <c r="AN400" s="150" t="str">
        <f t="shared" si="225"/>
        <v>0.6480881237475i</v>
      </c>
      <c r="AO400" s="150" t="str">
        <f t="shared" si="226"/>
        <v>0.931452475017504-0.312859637693117i</v>
      </c>
      <c r="AP400" s="150" t="str">
        <f t="shared" si="227"/>
        <v>0.132873230735191-0.100610547815677i</v>
      </c>
      <c r="AQ400" s="150" t="str">
        <f t="shared" si="228"/>
        <v>0.867126769264809+0.100610547815677i</v>
      </c>
      <c r="AR400" s="150" t="str">
        <f t="shared" si="229"/>
        <v>0.947883090025411-0.109980501505599i</v>
      </c>
    </row>
    <row r="401" spans="7:44" x14ac:dyDescent="0.25">
      <c r="G401" s="594">
        <v>36308</v>
      </c>
      <c r="H401" s="582">
        <f t="shared" si="221"/>
        <v>36.308</v>
      </c>
      <c r="I401" s="583">
        <f t="shared" si="201"/>
        <v>35.437614766271281</v>
      </c>
      <c r="J401" s="584">
        <f t="shared" si="202"/>
        <v>1.5425739769244193</v>
      </c>
      <c r="K401" s="584">
        <f t="shared" si="203"/>
        <v>1.000192437413419</v>
      </c>
      <c r="L401" s="585">
        <f t="shared" si="204"/>
        <v>1.9616654065055153E-2</v>
      </c>
      <c r="M401" s="584">
        <f t="shared" si="205"/>
        <v>1.0466304069499557</v>
      </c>
      <c r="N401" s="585">
        <f t="shared" si="206"/>
        <v>-0.29962543940474623</v>
      </c>
      <c r="O401" s="583">
        <f t="shared" si="207"/>
        <v>65701.408866861384</v>
      </c>
      <c r="P401" s="586">
        <f t="shared" si="208"/>
        <v>1.5707811064211286</v>
      </c>
      <c r="Q401" s="595">
        <f t="shared" si="198"/>
        <v>27.393845384433821</v>
      </c>
      <c r="R401" s="596">
        <f t="shared" si="199"/>
        <v>1.5342836643234077</v>
      </c>
      <c r="S401" s="583">
        <f t="shared" si="209"/>
        <v>1.0165174265314179</v>
      </c>
      <c r="T401" s="586">
        <f t="shared" si="210"/>
        <v>0.18051720785888281</v>
      </c>
      <c r="U401" s="587">
        <f t="shared" si="222"/>
        <v>0.93697966442195502</v>
      </c>
      <c r="V401" s="588">
        <f t="shared" si="223"/>
        <v>-0.44192155746883777</v>
      </c>
      <c r="W401" s="589">
        <f t="shared" si="211"/>
        <v>-2.0337211980591969</v>
      </c>
      <c r="X401" s="590">
        <f t="shared" si="212"/>
        <v>-142.18056390732878</v>
      </c>
      <c r="Y401" s="593">
        <f t="shared" si="213"/>
        <v>37.819436092671225</v>
      </c>
      <c r="AA401" s="150">
        <f t="shared" si="214"/>
        <v>36308</v>
      </c>
      <c r="AB401" s="150">
        <f t="shared" si="215"/>
        <v>1318270864</v>
      </c>
      <c r="AD401" s="592">
        <f t="shared" si="216"/>
        <v>27.467719457401031</v>
      </c>
      <c r="AE401" s="593">
        <f t="shared" si="217"/>
        <v>-12.434023549230247</v>
      </c>
      <c r="AG401" s="592">
        <f t="shared" si="218"/>
        <v>-2.9827043137212068</v>
      </c>
      <c r="AH401" s="593">
        <f t="shared" si="219"/>
        <v>-79.106060062608393</v>
      </c>
      <c r="AJ401" s="150">
        <f t="shared" si="220"/>
        <v>0</v>
      </c>
      <c r="AK401" s="150">
        <f t="shared" si="200"/>
        <v>0</v>
      </c>
      <c r="AM401" s="150" t="str">
        <f t="shared" si="224"/>
        <v>0.205006638642217+0.606618129795882i</v>
      </c>
      <c r="AN401" s="150" t="str">
        <f t="shared" si="225"/>
        <v>0.651799691064i</v>
      </c>
      <c r="AO401" s="150" t="str">
        <f t="shared" si="226"/>
        <v>0.9306818308024-0.314523988662166i</v>
      </c>
      <c r="AP401" s="150" t="str">
        <f t="shared" si="227"/>
        <v>0.13249889355963-0.101103021632647i</v>
      </c>
      <c r="AQ401" s="150" t="str">
        <f t="shared" si="228"/>
        <v>0.86750110644037+0.101103021632647i</v>
      </c>
      <c r="AR401" s="150" t="str">
        <f t="shared" si="229"/>
        <v>0.947361533488803-0.110410364785903i</v>
      </c>
    </row>
    <row r="402" spans="7:44" x14ac:dyDescent="0.25">
      <c r="G402" s="594">
        <v>36519.5</v>
      </c>
      <c r="H402" s="582">
        <f t="shared" si="221"/>
        <v>36.519500000000001</v>
      </c>
      <c r="I402" s="583">
        <f t="shared" si="201"/>
        <v>35.64388072851213</v>
      </c>
      <c r="J402" s="584">
        <f t="shared" si="202"/>
        <v>1.5427373385642162</v>
      </c>
      <c r="K402" s="584">
        <f t="shared" si="203"/>
        <v>1.0001946856828812</v>
      </c>
      <c r="L402" s="585">
        <f t="shared" si="204"/>
        <v>1.9730894693259723E-2</v>
      </c>
      <c r="M402" s="584">
        <f t="shared" si="205"/>
        <v>1.0471629760010257</v>
      </c>
      <c r="N402" s="585">
        <f t="shared" si="206"/>
        <v>-0.30126737049914376</v>
      </c>
      <c r="O402" s="583">
        <f t="shared" si="207"/>
        <v>66084.130249810914</v>
      </c>
      <c r="P402" s="586">
        <f t="shared" si="208"/>
        <v>1.5707811945688046</v>
      </c>
      <c r="Q402" s="595">
        <f t="shared" si="198"/>
        <v>27.553206955267246</v>
      </c>
      <c r="R402" s="596">
        <f t="shared" si="199"/>
        <v>1.5344949384594326</v>
      </c>
      <c r="S402" s="583">
        <f t="shared" si="209"/>
        <v>1.0167088343937083</v>
      </c>
      <c r="T402" s="586">
        <f t="shared" si="210"/>
        <v>0.18154586081289092</v>
      </c>
      <c r="U402" s="587">
        <f t="shared" si="222"/>
        <v>0.93631223797769847</v>
      </c>
      <c r="V402" s="588">
        <f t="shared" si="223"/>
        <v>-0.44434002143197771</v>
      </c>
      <c r="W402" s="589">
        <f t="shared" si="211"/>
        <v>-2.0875845664692863</v>
      </c>
      <c r="X402" s="590">
        <f t="shared" si="212"/>
        <v>-142.4628592412773</v>
      </c>
      <c r="Y402" s="593">
        <f t="shared" si="213"/>
        <v>37.5371407587227</v>
      </c>
      <c r="AA402" s="150">
        <f t="shared" si="214"/>
        <v>36519.5</v>
      </c>
      <c r="AB402" s="150">
        <f t="shared" si="215"/>
        <v>1333673880.25</v>
      </c>
      <c r="AD402" s="592">
        <f t="shared" si="216"/>
        <v>27.466017238395398</v>
      </c>
      <c r="AE402" s="593">
        <f t="shared" si="217"/>
        <v>-12.480860956307399</v>
      </c>
      <c r="AG402" s="592">
        <f t="shared" si="218"/>
        <v>-3.0224868419952133</v>
      </c>
      <c r="AH402" s="593">
        <f t="shared" si="219"/>
        <v>-79.064382433178295</v>
      </c>
      <c r="AJ402" s="150">
        <f t="shared" si="220"/>
        <v>0</v>
      </c>
      <c r="AK402" s="150">
        <f t="shared" si="200"/>
        <v>0</v>
      </c>
      <c r="AM402" s="150" t="str">
        <f t="shared" si="224"/>
        <v>0.207315594852827+0.609632211941325i</v>
      </c>
      <c r="AN402" s="150" t="str">
        <f t="shared" si="225"/>
        <v>0.655596530181i</v>
      </c>
      <c r="AO402" s="150" t="str">
        <f t="shared" si="226"/>
        <v>0.929889320452955-0.316224362559683i</v>
      </c>
      <c r="AP402" s="150" t="str">
        <f t="shared" si="227"/>
        <v>0.132114067524529-0.101605368656888i</v>
      </c>
      <c r="AQ402" s="150" t="str">
        <f t="shared" si="228"/>
        <v>0.867885932475471+0.101605368656888i</v>
      </c>
      <c r="AR402" s="150" t="str">
        <f t="shared" si="229"/>
        <v>0.946826429213487-0.110847111117382i</v>
      </c>
    </row>
    <row r="403" spans="7:44" x14ac:dyDescent="0.25">
      <c r="G403" s="594">
        <v>36731</v>
      </c>
      <c r="H403" s="582">
        <f t="shared" si="221"/>
        <v>36.731000000000002</v>
      </c>
      <c r="I403" s="583">
        <f t="shared" si="201"/>
        <v>35.850147631036194</v>
      </c>
      <c r="J403" s="584">
        <f t="shared" si="202"/>
        <v>1.5428988203778391</v>
      </c>
      <c r="K403" s="584">
        <f t="shared" si="203"/>
        <v>1.0001969470057464</v>
      </c>
      <c r="L403" s="585">
        <f t="shared" si="204"/>
        <v>1.9845134806387076E-2</v>
      </c>
      <c r="M403" s="584">
        <f t="shared" si="205"/>
        <v>1.0476983652637448</v>
      </c>
      <c r="N403" s="585">
        <f t="shared" si="206"/>
        <v>-0.30290762790997505</v>
      </c>
      <c r="O403" s="583">
        <f t="shared" si="207"/>
        <v>66466.85163276094</v>
      </c>
      <c r="P403" s="586">
        <f t="shared" si="208"/>
        <v>1.570781281701358</v>
      </c>
      <c r="Q403" s="595">
        <f t="shared" si="198"/>
        <v>27.71256974184158</v>
      </c>
      <c r="R403" s="596">
        <f t="shared" si="199"/>
        <v>1.5347037827156287</v>
      </c>
      <c r="S403" s="583">
        <f t="shared" si="209"/>
        <v>1.0169013176573107</v>
      </c>
      <c r="T403" s="586">
        <f t="shared" si="210"/>
        <v>0.18257412543926779</v>
      </c>
      <c r="U403" s="587">
        <f t="shared" si="222"/>
        <v>0.93564228223154156</v>
      </c>
      <c r="V403" s="588">
        <f t="shared" si="223"/>
        <v>-0.44675604280469605</v>
      </c>
      <c r="W403" s="589">
        <f t="shared" si="211"/>
        <v>-2.1411716612079741</v>
      </c>
      <c r="X403" s="590">
        <f t="shared" si="212"/>
        <v>-142.74492796766683</v>
      </c>
      <c r="Y403" s="593">
        <f t="shared" si="213"/>
        <v>37.255072032333175</v>
      </c>
      <c r="AA403" s="150">
        <f t="shared" si="214"/>
        <v>36731</v>
      </c>
      <c r="AB403" s="150">
        <f t="shared" si="215"/>
        <v>1349166361</v>
      </c>
      <c r="AD403" s="592">
        <f t="shared" si="216"/>
        <v>27.46430729195076</v>
      </c>
      <c r="AE403" s="593">
        <f t="shared" si="217"/>
        <v>-12.52781527754704</v>
      </c>
      <c r="AG403" s="592">
        <f t="shared" si="218"/>
        <v>-3.0619295815274312</v>
      </c>
      <c r="AH403" s="593">
        <f t="shared" si="219"/>
        <v>-79.022641182271528</v>
      </c>
      <c r="AJ403" s="150">
        <f t="shared" si="220"/>
        <v>0</v>
      </c>
      <c r="AK403" s="150">
        <f t="shared" si="200"/>
        <v>0</v>
      </c>
      <c r="AM403" s="150" t="str">
        <f t="shared" si="224"/>
        <v>0.209635978378012+0.612637505647114i</v>
      </c>
      <c r="AN403" s="150" t="str">
        <f t="shared" si="225"/>
        <v>0.659393369298i</v>
      </c>
      <c r="AO403" s="150" t="str">
        <f t="shared" si="226"/>
        <v>0.929092608709937-0.317922484724397i</v>
      </c>
      <c r="AP403" s="150" t="str">
        <f t="shared" si="227"/>
        <v>0.131727336936998-0.102106250941186i</v>
      </c>
      <c r="AQ403" s="150" t="str">
        <f t="shared" si="228"/>
        <v>0.868272663063002+0.102106250941186i</v>
      </c>
      <c r="AR403" s="150" t="str">
        <f t="shared" si="229"/>
        <v>0.946289762323515-0.111280826916774i</v>
      </c>
    </row>
    <row r="404" spans="7:44" x14ac:dyDescent="0.25">
      <c r="G404" s="594">
        <v>36942.5</v>
      </c>
      <c r="H404" s="582">
        <f t="shared" si="221"/>
        <v>36.942500000000003</v>
      </c>
      <c r="I404" s="583">
        <f t="shared" si="201"/>
        <v>36.056415457706343</v>
      </c>
      <c r="J404" s="584">
        <f t="shared" si="202"/>
        <v>1.5430584546185413</v>
      </c>
      <c r="K404" s="584">
        <f t="shared" si="203"/>
        <v>1.0001992213819262</v>
      </c>
      <c r="L404" s="585">
        <f t="shared" si="204"/>
        <v>1.9959374401458858E-2</v>
      </c>
      <c r="M404" s="584">
        <f t="shared" si="205"/>
        <v>1.0482365704168242</v>
      </c>
      <c r="N404" s="585">
        <f t="shared" si="206"/>
        <v>-0.30454620538249533</v>
      </c>
      <c r="O404" s="583">
        <f t="shared" si="207"/>
        <v>66849.573015711489</v>
      </c>
      <c r="P404" s="586">
        <f t="shared" si="208"/>
        <v>1.5707813678362239</v>
      </c>
      <c r="Q404" s="595">
        <f t="shared" si="198"/>
        <v>27.871933723303179</v>
      </c>
      <c r="R404" s="596">
        <f t="shared" si="199"/>
        <v>1.534910238753755</v>
      </c>
      <c r="S404" s="583">
        <f t="shared" si="209"/>
        <v>1.0170948757116725</v>
      </c>
      <c r="T404" s="586">
        <f t="shared" si="210"/>
        <v>0.18360199978467787</v>
      </c>
      <c r="U404" s="587">
        <f t="shared" si="222"/>
        <v>0.9349698159270009</v>
      </c>
      <c r="V404" s="588">
        <f t="shared" si="223"/>
        <v>-0.44916961451120091</v>
      </c>
      <c r="W404" s="589">
        <f t="shared" si="211"/>
        <v>-2.1944857799617736</v>
      </c>
      <c r="X404" s="590">
        <f t="shared" si="212"/>
        <v>-143.02676867289799</v>
      </c>
      <c r="Y404" s="593">
        <f t="shared" si="213"/>
        <v>36.973231327102013</v>
      </c>
      <c r="AA404" s="150">
        <f t="shared" si="214"/>
        <v>36942.5</v>
      </c>
      <c r="AB404" s="150">
        <f t="shared" si="215"/>
        <v>1364748306.25</v>
      </c>
      <c r="AD404" s="592">
        <f t="shared" si="216"/>
        <v>27.462589602142216</v>
      </c>
      <c r="AE404" s="593">
        <f t="shared" si="217"/>
        <v>-12.574884014987243</v>
      </c>
      <c r="AG404" s="592">
        <f t="shared" si="218"/>
        <v>-3.1010360487881221</v>
      </c>
      <c r="AH404" s="593">
        <f t="shared" si="219"/>
        <v>-78.98083820507658</v>
      </c>
      <c r="AJ404" s="150">
        <f t="shared" si="220"/>
        <v>0</v>
      </c>
      <c r="AK404" s="150">
        <f t="shared" si="200"/>
        <v>0</v>
      </c>
      <c r="AM404" s="150" t="str">
        <f t="shared" si="224"/>
        <v>0.211967755767191+0.615633967589023i</v>
      </c>
      <c r="AN404" s="150" t="str">
        <f t="shared" si="225"/>
        <v>0.663190208415i</v>
      </c>
      <c r="AO404" s="150" t="str">
        <f t="shared" si="226"/>
        <v>0.928291702406713-0.319618343391689i</v>
      </c>
      <c r="AP404" s="150" t="str">
        <f t="shared" si="227"/>
        <v>0.131338707372135-0.102605661264837i</v>
      </c>
      <c r="AQ404" s="150" t="str">
        <f t="shared" si="228"/>
        <v>0.868661292627865+0.102605661264837i</v>
      </c>
      <c r="AR404" s="150" t="str">
        <f t="shared" si="229"/>
        <v>0.945751553286509-0.111711508663689i</v>
      </c>
    </row>
    <row r="405" spans="7:44" x14ac:dyDescent="0.25">
      <c r="G405" s="594">
        <v>37154</v>
      </c>
      <c r="H405" s="582">
        <f t="shared" si="221"/>
        <v>37.154000000000003</v>
      </c>
      <c r="I405" s="583">
        <f t="shared" si="201"/>
        <v>36.262684192752495</v>
      </c>
      <c r="J405" s="584">
        <f t="shared" si="202"/>
        <v>1.5432162728061078</v>
      </c>
      <c r="K405" s="584">
        <f t="shared" si="203"/>
        <v>1.0002015088113319</v>
      </c>
      <c r="L405" s="585">
        <f t="shared" si="204"/>
        <v>2.0073613475496806E-2</v>
      </c>
      <c r="M405" s="584">
        <f t="shared" si="205"/>
        <v>1.0487775871251404</v>
      </c>
      <c r="N405" s="585">
        <f t="shared" si="206"/>
        <v>-0.30618309671084948</v>
      </c>
      <c r="O405" s="583">
        <f t="shared" si="207"/>
        <v>67232.294398662503</v>
      </c>
      <c r="P405" s="586">
        <f t="shared" si="208"/>
        <v>1.5707814529904403</v>
      </c>
      <c r="Q405" s="595">
        <f t="shared" si="198"/>
        <v>28.031298879272466</v>
      </c>
      <c r="R405" s="596">
        <f t="shared" si="199"/>
        <v>1.535114347288965</v>
      </c>
      <c r="S405" s="583">
        <f t="shared" si="209"/>
        <v>1.0172895079432971</v>
      </c>
      <c r="T405" s="586">
        <f t="shared" si="210"/>
        <v>0.18462948190056683</v>
      </c>
      <c r="U405" s="587">
        <f t="shared" si="222"/>
        <v>0.93429485780388233</v>
      </c>
      <c r="V405" s="588">
        <f t="shared" si="223"/>
        <v>-0.45158072956892936</v>
      </c>
      <c r="W405" s="589">
        <f t="shared" si="211"/>
        <v>-2.2475301628160977</v>
      </c>
      <c r="X405" s="590">
        <f t="shared" si="212"/>
        <v>-143.3083799639771</v>
      </c>
      <c r="Y405" s="593">
        <f t="shared" si="213"/>
        <v>36.691620036022897</v>
      </c>
      <c r="AA405" s="150">
        <f t="shared" si="214"/>
        <v>37154</v>
      </c>
      <c r="AB405" s="150">
        <f t="shared" si="215"/>
        <v>1380419716</v>
      </c>
      <c r="AD405" s="592">
        <f t="shared" si="216"/>
        <v>27.46086415383499</v>
      </c>
      <c r="AE405" s="593">
        <f t="shared" si="217"/>
        <v>-12.622064725153844</v>
      </c>
      <c r="AG405" s="592">
        <f t="shared" si="218"/>
        <v>-3.1398097036754686</v>
      </c>
      <c r="AH405" s="593">
        <f t="shared" si="219"/>
        <v>-78.938975352216843</v>
      </c>
      <c r="AJ405" s="150">
        <f t="shared" si="220"/>
        <v>0</v>
      </c>
      <c r="AK405" s="150">
        <f t="shared" si="200"/>
        <v>0</v>
      </c>
      <c r="AM405" s="150" t="str">
        <f t="shared" si="224"/>
        <v>0.214310893405532+0.618621554570148i</v>
      </c>
      <c r="AN405" s="150" t="str">
        <f t="shared" si="225"/>
        <v>0.666987047532i</v>
      </c>
      <c r="AO405" s="150" t="str">
        <f t="shared" si="226"/>
        <v>0.92748660841194-0.321311926818564i</v>
      </c>
      <c r="AP405" s="150" t="str">
        <f t="shared" si="227"/>
        <v>0.130948184432411-0.103103592428358i</v>
      </c>
      <c r="AQ405" s="150" t="str">
        <f t="shared" si="228"/>
        <v>0.869051815567589+0.103103592428358i</v>
      </c>
      <c r="AR405" s="150" t="str">
        <f t="shared" si="229"/>
        <v>0.945211822539587-0.112139152998533i</v>
      </c>
    </row>
    <row r="406" spans="7:44" x14ac:dyDescent="0.25">
      <c r="G406" s="594">
        <v>37370.25</v>
      </c>
      <c r="H406" s="582">
        <f t="shared" si="221"/>
        <v>37.370249999999999</v>
      </c>
      <c r="I406" s="583">
        <f t="shared" si="201"/>
        <v>36.473586363913348</v>
      </c>
      <c r="J406" s="584">
        <f t="shared" si="202"/>
        <v>1.5433757897705636</v>
      </c>
      <c r="K406" s="584">
        <f t="shared" si="203"/>
        <v>1.0002038611094259</v>
      </c>
      <c r="L406" s="585">
        <f t="shared" si="204"/>
        <v>2.0190417660677681E-2</v>
      </c>
      <c r="M406" s="584">
        <f t="shared" si="205"/>
        <v>1.0493336567765708</v>
      </c>
      <c r="N406" s="585">
        <f t="shared" si="206"/>
        <v>-0.30785500058858367</v>
      </c>
      <c r="O406" s="583">
        <f t="shared" si="207"/>
        <v>67623.611179103464</v>
      </c>
      <c r="P406" s="586">
        <f t="shared" si="208"/>
        <v>1.5707815390605151</v>
      </c>
      <c r="Q406" s="595">
        <f t="shared" si="198"/>
        <v>28.194244351754104</v>
      </c>
      <c r="R406" s="596">
        <f t="shared" si="199"/>
        <v>1.5353206540932156</v>
      </c>
      <c r="S406" s="583">
        <f t="shared" si="209"/>
        <v>1.01748962134082</v>
      </c>
      <c r="T406" s="586">
        <f t="shared" si="210"/>
        <v>0.18567963228934939</v>
      </c>
      <c r="U406" s="587">
        <f t="shared" si="222"/>
        <v>0.93360218417134611</v>
      </c>
      <c r="V406" s="588">
        <f t="shared" si="223"/>
        <v>-0.45404344776096595</v>
      </c>
      <c r="W406" s="589">
        <f t="shared" si="211"/>
        <v>-2.3014902751815089</v>
      </c>
      <c r="X406" s="590">
        <f t="shared" si="212"/>
        <v>-143.59607722818396</v>
      </c>
      <c r="Y406" s="593">
        <f t="shared" si="213"/>
        <v>36.403922771816042</v>
      </c>
      <c r="AA406" s="150">
        <f t="shared" si="214"/>
        <v>37370.25</v>
      </c>
      <c r="AB406" s="150">
        <f t="shared" si="215"/>
        <v>1396535585.0625</v>
      </c>
      <c r="AD406" s="592">
        <f t="shared" si="216"/>
        <v>27.459091917536806</v>
      </c>
      <c r="AE406" s="593">
        <f t="shared" si="217"/>
        <v>-12.670418332623997</v>
      </c>
      <c r="AG406" s="592">
        <f t="shared" si="218"/>
        <v>-3.1791135998059139</v>
      </c>
      <c r="AH406" s="593">
        <f t="shared" si="219"/>
        <v>-78.896112291563526</v>
      </c>
      <c r="AJ406" s="150">
        <f t="shared" si="220"/>
        <v>0</v>
      </c>
      <c r="AK406" s="150">
        <f t="shared" si="200"/>
        <v>0</v>
      </c>
      <c r="AM406" s="150" t="str">
        <f t="shared" si="224"/>
        <v>0.216718365332543+0.621667017616888i</v>
      </c>
      <c r="AN406" s="150" t="str">
        <f t="shared" si="225"/>
        <v>0.6708691584495i</v>
      </c>
      <c r="AO406" s="150" t="str">
        <f t="shared" si="226"/>
        <v>0.926659110479416-0.32304118113496i</v>
      </c>
      <c r="AP406" s="150" t="str">
        <f t="shared" si="227"/>
        <v>0.130546939111243-0.103611169602815i</v>
      </c>
      <c r="AQ406" s="150" t="str">
        <f t="shared" si="228"/>
        <v>0.869453060888757+0.103611169602815i</v>
      </c>
      <c r="AR406" s="150" t="str">
        <f t="shared" si="229"/>
        <v>0.944658418078731-0.112573257804432i</v>
      </c>
    </row>
    <row r="407" spans="7:44" x14ac:dyDescent="0.25">
      <c r="G407" s="594">
        <v>37586.5</v>
      </c>
      <c r="H407" s="582">
        <f t="shared" si="221"/>
        <v>37.586500000000001</v>
      </c>
      <c r="I407" s="583">
        <f t="shared" si="201"/>
        <v>36.684489452497353</v>
      </c>
      <c r="J407" s="584">
        <f t="shared" si="202"/>
        <v>1.5435334725785081</v>
      </c>
      <c r="K407" s="584">
        <f t="shared" si="203"/>
        <v>1.0002062270534546</v>
      </c>
      <c r="L407" s="585">
        <f t="shared" si="204"/>
        <v>2.0307221294861753E-2</v>
      </c>
      <c r="M407" s="584">
        <f t="shared" si="205"/>
        <v>1.0498926564792561</v>
      </c>
      <c r="N407" s="585">
        <f t="shared" si="206"/>
        <v>-0.30952512877001226</v>
      </c>
      <c r="O407" s="583">
        <f t="shared" si="207"/>
        <v>68014.927959544919</v>
      </c>
      <c r="P407" s="586">
        <f t="shared" si="208"/>
        <v>1.5707816241401995</v>
      </c>
      <c r="Q407" s="595">
        <f t="shared" ref="Q407:Q470" si="230">SQRT(1+(G407/Zero2)^2)</f>
        <v>28.357191010462135</v>
      </c>
      <c r="R407" s="596">
        <f t="shared" ref="R407:R470" si="231">ATAN(G407/Zero2)</f>
        <v>1.5355245899374854</v>
      </c>
      <c r="S407" s="583">
        <f t="shared" si="209"/>
        <v>1.0176908564000025</v>
      </c>
      <c r="T407" s="586">
        <f t="shared" si="210"/>
        <v>0.18672936852840263</v>
      </c>
      <c r="U407" s="587">
        <f t="shared" si="222"/>
        <v>0.93290694514289607</v>
      </c>
      <c r="V407" s="588">
        <f t="shared" si="223"/>
        <v>-0.45650358325341867</v>
      </c>
      <c r="W407" s="589">
        <f t="shared" si="211"/>
        <v>-2.3551750717120163</v>
      </c>
      <c r="X407" s="590">
        <f t="shared" si="212"/>
        <v>-143.88353177706691</v>
      </c>
      <c r="Y407" s="593">
        <f t="shared" si="213"/>
        <v>36.116468222933094</v>
      </c>
      <c r="AA407" s="150">
        <f t="shared" si="214"/>
        <v>37586.5</v>
      </c>
      <c r="AB407" s="150">
        <f t="shared" si="215"/>
        <v>1412744982.25</v>
      </c>
      <c r="AD407" s="592">
        <f t="shared" si="216"/>
        <v>27.457311540756137</v>
      </c>
      <c r="AE407" s="593">
        <f t="shared" si="217"/>
        <v>-12.7188840003178</v>
      </c>
      <c r="AG407" s="592">
        <f t="shared" si="218"/>
        <v>-3.2180767064753573</v>
      </c>
      <c r="AH407" s="593">
        <f t="shared" si="219"/>
        <v>-78.853190410934758</v>
      </c>
      <c r="AJ407" s="150">
        <f t="shared" si="220"/>
        <v>0</v>
      </c>
      <c r="AK407" s="150">
        <f t="shared" si="200"/>
        <v>0</v>
      </c>
      <c r="AM407" s="150" t="str">
        <f t="shared" si="224"/>
        <v>0.219137641913976+0.624703111665321i</v>
      </c>
      <c r="AN407" s="150" t="str">
        <f t="shared" si="225"/>
        <v>0.674751269367i</v>
      </c>
      <c r="AO407" s="150" t="str">
        <f t="shared" si="226"/>
        <v>0.925827249278641-0.324768032106934i</v>
      </c>
      <c r="AP407" s="150" t="str">
        <f t="shared" si="227"/>
        <v>0.130143726347671-0.104117185277553i</v>
      </c>
      <c r="AQ407" s="150" t="str">
        <f t="shared" si="228"/>
        <v>0.869856273652329+0.104117185277553i</v>
      </c>
      <c r="AR407" s="150" t="str">
        <f t="shared" si="229"/>
        <v>0.94410346589654-0.113004180641477i</v>
      </c>
    </row>
    <row r="408" spans="7:44" x14ac:dyDescent="0.25">
      <c r="G408" s="594">
        <v>37802.75</v>
      </c>
      <c r="H408" s="582">
        <f t="shared" si="221"/>
        <v>37.802750000000003</v>
      </c>
      <c r="I408" s="583">
        <f t="shared" si="201"/>
        <v>36.895393442771862</v>
      </c>
      <c r="J408" s="584">
        <f t="shared" si="202"/>
        <v>1.5436893526756281</v>
      </c>
      <c r="K408" s="584">
        <f t="shared" si="203"/>
        <v>1.0002086066433213</v>
      </c>
      <c r="L408" s="585">
        <f t="shared" si="204"/>
        <v>2.0424024374865821E-2</v>
      </c>
      <c r="M408" s="584">
        <f t="shared" si="205"/>
        <v>1.0504545815555135</v>
      </c>
      <c r="N408" s="585">
        <f t="shared" si="206"/>
        <v>-0.31119347478033771</v>
      </c>
      <c r="O408" s="583">
        <f t="shared" si="207"/>
        <v>68406.244739986869</v>
      </c>
      <c r="P408" s="586">
        <f t="shared" si="208"/>
        <v>1.5707817082464901</v>
      </c>
      <c r="Q408" s="595">
        <f t="shared" si="230"/>
        <v>28.520138835064444</v>
      </c>
      <c r="R408" s="596">
        <f t="shared" si="231"/>
        <v>1.5357261954436077</v>
      </c>
      <c r="S408" s="583">
        <f t="shared" si="209"/>
        <v>1.0178932124555951</v>
      </c>
      <c r="T408" s="586">
        <f t="shared" si="210"/>
        <v>0.18777868855053914</v>
      </c>
      <c r="U408" s="587">
        <f t="shared" si="222"/>
        <v>0.93220916072995519</v>
      </c>
      <c r="V408" s="588">
        <f t="shared" si="223"/>
        <v>-0.45896112888396395</v>
      </c>
      <c r="W408" s="589">
        <f t="shared" si="211"/>
        <v>-2.4085878373933092</v>
      </c>
      <c r="X408" s="590">
        <f t="shared" si="212"/>
        <v>-144.17074218623705</v>
      </c>
      <c r="Y408" s="593">
        <f t="shared" si="213"/>
        <v>35.82925781376295</v>
      </c>
      <c r="AA408" s="150">
        <f t="shared" si="214"/>
        <v>37802.75</v>
      </c>
      <c r="AB408" s="150">
        <f t="shared" si="215"/>
        <v>1429047907.5625</v>
      </c>
      <c r="AD408" s="592">
        <f t="shared" si="216"/>
        <v>27.455523009715833</v>
      </c>
      <c r="AE408" s="593">
        <f t="shared" si="217"/>
        <v>-12.767459283308375</v>
      </c>
      <c r="AG408" s="592">
        <f t="shared" si="218"/>
        <v>-3.2567025467200681</v>
      </c>
      <c r="AH408" s="593">
        <f t="shared" si="219"/>
        <v>-78.81021155161045</v>
      </c>
      <c r="AJ408" s="150">
        <f t="shared" si="220"/>
        <v>0</v>
      </c>
      <c r="AK408" s="150">
        <f t="shared" si="200"/>
        <v>0</v>
      </c>
      <c r="AM408" s="150" t="str">
        <f t="shared" si="224"/>
        <v>0.221568686689481+0.627729790959183i</v>
      </c>
      <c r="AN408" s="150" t="str">
        <f t="shared" si="225"/>
        <v>0.6786333802845i</v>
      </c>
      <c r="AO408" s="150" t="str">
        <f t="shared" si="226"/>
        <v>0.924991032265497-0.326492467253223i</v>
      </c>
      <c r="AP408" s="150" t="str">
        <f t="shared" si="227"/>
        <v>0.12973855221842-0.104621631826531i</v>
      </c>
      <c r="AQ408" s="150" t="str">
        <f t="shared" si="228"/>
        <v>0.87026144778158+0.104621631826531i</v>
      </c>
      <c r="AR408" s="150" t="str">
        <f t="shared" si="229"/>
        <v>0.943546987730369-0.113431918434395i</v>
      </c>
    </row>
    <row r="409" spans="7:44" x14ac:dyDescent="0.25">
      <c r="G409" s="594">
        <v>38019</v>
      </c>
      <c r="H409" s="582">
        <f t="shared" si="221"/>
        <v>38.018999999999998</v>
      </c>
      <c r="I409" s="583">
        <f t="shared" si="201"/>
        <v>37.106298319361848</v>
      </c>
      <c r="J409" s="584">
        <f t="shared" si="202"/>
        <v>1.54384346079304</v>
      </c>
      <c r="K409" s="584">
        <f t="shared" si="203"/>
        <v>1.0002109998789286</v>
      </c>
      <c r="L409" s="585">
        <f t="shared" si="204"/>
        <v>2.0540826897506775E-2</v>
      </c>
      <c r="M409" s="584">
        <f t="shared" si="205"/>
        <v>1.0510194273132105</v>
      </c>
      <c r="N409" s="585">
        <f t="shared" si="206"/>
        <v>-0.31286003219825675</v>
      </c>
      <c r="O409" s="583">
        <f t="shared" si="207"/>
        <v>68797.561520429314</v>
      </c>
      <c r="P409" s="586">
        <f t="shared" si="208"/>
        <v>1.5707817913959967</v>
      </c>
      <c r="Q409" s="595">
        <f t="shared" si="230"/>
        <v>28.683087805690793</v>
      </c>
      <c r="R409" s="596">
        <f t="shared" si="231"/>
        <v>1.5359255103110907</v>
      </c>
      <c r="S409" s="583">
        <f t="shared" si="209"/>
        <v>1.0180966888391729</v>
      </c>
      <c r="T409" s="586">
        <f t="shared" si="210"/>
        <v>0.18882759029387666</v>
      </c>
      <c r="U409" s="587">
        <f t="shared" si="222"/>
        <v>0.93150885093482916</v>
      </c>
      <c r="V409" s="588">
        <f t="shared" si="223"/>
        <v>-0.46141607759148257</v>
      </c>
      <c r="W409" s="589">
        <f t="shared" si="211"/>
        <v>-2.4617317998249608</v>
      </c>
      <c r="X409" s="590">
        <f t="shared" si="212"/>
        <v>-144.45770705235446</v>
      </c>
      <c r="Y409" s="593">
        <f t="shared" si="213"/>
        <v>35.542292947645535</v>
      </c>
      <c r="AA409" s="150">
        <f t="shared" si="214"/>
        <v>38019</v>
      </c>
      <c r="AB409" s="150">
        <f t="shared" si="215"/>
        <v>1445444361</v>
      </c>
      <c r="AD409" s="592">
        <f t="shared" si="216"/>
        <v>27.453726311396565</v>
      </c>
      <c r="AE409" s="593">
        <f t="shared" si="217"/>
        <v>-12.816141789795978</v>
      </c>
      <c r="AG409" s="592">
        <f t="shared" si="218"/>
        <v>-3.2949945871534672</v>
      </c>
      <c r="AH409" s="593">
        <f t="shared" si="219"/>
        <v>-78.76717751119493</v>
      </c>
      <c r="AJ409" s="150">
        <f t="shared" si="220"/>
        <v>0</v>
      </c>
      <c r="AK409" s="150">
        <f t="shared" si="200"/>
        <v>0</v>
      </c>
      <c r="AM409" s="150" t="str">
        <f t="shared" si="224"/>
        <v>0.224011463021348+0.630747009884099i</v>
      </c>
      <c r="AN409" s="150" t="str">
        <f t="shared" si="225"/>
        <v>0.682515491202i</v>
      </c>
      <c r="AO409" s="150" t="str">
        <f t="shared" si="226"/>
        <v>0.924150466934121-0.328214474116674i</v>
      </c>
      <c r="AP409" s="150" t="str">
        <f t="shared" si="227"/>
        <v>0.129331422829775-0.10512450164735i</v>
      </c>
      <c r="AQ409" s="150" t="str">
        <f t="shared" si="228"/>
        <v>0.870668577170225+0.10512450164735i</v>
      </c>
      <c r="AR409" s="150" t="str">
        <f t="shared" si="229"/>
        <v>0.942989005278225-0.113856468279804i</v>
      </c>
    </row>
    <row r="410" spans="7:44" x14ac:dyDescent="0.25">
      <c r="G410" s="594">
        <v>38240.5</v>
      </c>
      <c r="H410" s="582">
        <f t="shared" si="221"/>
        <v>38.240499999999997</v>
      </c>
      <c r="I410" s="583">
        <f t="shared" si="201"/>
        <v>37.322324333099765</v>
      </c>
      <c r="J410" s="584">
        <f t="shared" si="202"/>
        <v>1.5439995046200357</v>
      </c>
      <c r="K410" s="584">
        <f t="shared" si="203"/>
        <v>1.0002134653627948</v>
      </c>
      <c r="L410" s="585">
        <f t="shared" si="204"/>
        <v>2.0660464507176471E-2</v>
      </c>
      <c r="M410" s="584">
        <f t="shared" si="205"/>
        <v>1.0516010090727714</v>
      </c>
      <c r="N410" s="585">
        <f t="shared" si="206"/>
        <v>-0.31456518848377502</v>
      </c>
      <c r="O410" s="583">
        <f t="shared" si="207"/>
        <v>69198.378477044811</v>
      </c>
      <c r="P410" s="586">
        <f t="shared" si="208"/>
        <v>1.5707818755892176</v>
      </c>
      <c r="Q410" s="595">
        <f t="shared" si="230"/>
        <v>28.849993930688324</v>
      </c>
      <c r="R410" s="596">
        <f t="shared" si="231"/>
        <v>1.536127329854311</v>
      </c>
      <c r="S410" s="583">
        <f t="shared" si="209"/>
        <v>1.0183062658661468</v>
      </c>
      <c r="T410" s="586">
        <f t="shared" si="210"/>
        <v>0.18990152092035761</v>
      </c>
      <c r="U410" s="587">
        <f t="shared" si="222"/>
        <v>0.93078894220132491</v>
      </c>
      <c r="V410" s="588">
        <f t="shared" si="223"/>
        <v>-0.46392792667811011</v>
      </c>
      <c r="W410" s="589">
        <f t="shared" si="211"/>
        <v>-2.5158906054568568</v>
      </c>
      <c r="X410" s="590">
        <f t="shared" si="212"/>
        <v>-144.75138269355242</v>
      </c>
      <c r="Y410" s="593">
        <f t="shared" si="213"/>
        <v>35.248617306447585</v>
      </c>
      <c r="AA410" s="150">
        <f t="shared" si="214"/>
        <v>38240.5</v>
      </c>
      <c r="AB410" s="150">
        <f t="shared" si="215"/>
        <v>1462335840.25</v>
      </c>
      <c r="AD410" s="592">
        <f t="shared" si="216"/>
        <v>27.451877513869608</v>
      </c>
      <c r="AE410" s="593">
        <f t="shared" si="217"/>
        <v>-12.866114898106712</v>
      </c>
      <c r="AG410" s="592">
        <f t="shared" si="218"/>
        <v>-3.3338737720179563</v>
      </c>
      <c r="AH410" s="593">
        <f t="shared" si="219"/>
        <v>-78.723043340878178</v>
      </c>
      <c r="AJ410" s="150">
        <f t="shared" si="220"/>
        <v>0</v>
      </c>
      <c r="AK410" s="150">
        <f t="shared" ref="AK410:AK473" si="232">IF(AJ410&gt;0,Y410,0)</f>
        <v>0</v>
      </c>
      <c r="AM410" s="150" t="str">
        <f t="shared" si="224"/>
        <v>0.226525667505881+0.633827624021529i</v>
      </c>
      <c r="AN410" s="150" t="str">
        <f t="shared" si="225"/>
        <v>0.686491849899i</v>
      </c>
      <c r="AO410" s="150" t="str">
        <f t="shared" si="226"/>
        <v>0.923284994737783-0.329975756506372i</v>
      </c>
      <c r="AP410" s="150" t="str">
        <f t="shared" si="227"/>
        <v>0.12891238874902-0.105637937336922i</v>
      </c>
      <c r="AQ410" s="150" t="str">
        <f t="shared" si="228"/>
        <v>0.87108761125098+0.105637937336922i</v>
      </c>
      <c r="AR410" s="150" t="str">
        <f t="shared" si="229"/>
        <v>0.942415939555319-0.114288017281166i</v>
      </c>
    </row>
    <row r="411" spans="7:44" x14ac:dyDescent="0.25">
      <c r="G411" s="594">
        <v>38462</v>
      </c>
      <c r="H411" s="582">
        <f t="shared" si="221"/>
        <v>38.462000000000003</v>
      </c>
      <c r="I411" s="583">
        <f t="shared" si="201"/>
        <v>37.538351245164385</v>
      </c>
      <c r="J411" s="584">
        <f t="shared" si="202"/>
        <v>1.5441537524386744</v>
      </c>
      <c r="K411" s="584">
        <f t="shared" si="203"/>
        <v>1.0002159451628032</v>
      </c>
      <c r="L411" s="585">
        <f t="shared" si="204"/>
        <v>2.0780101525331954E-2</v>
      </c>
      <c r="M411" s="584">
        <f t="shared" si="205"/>
        <v>1.0521856450379461</v>
      </c>
      <c r="N411" s="585">
        <f t="shared" si="206"/>
        <v>-0.31626845481249993</v>
      </c>
      <c r="O411" s="583">
        <f t="shared" si="207"/>
        <v>69599.195433660789</v>
      </c>
      <c r="P411" s="586">
        <f t="shared" si="208"/>
        <v>1.5707819588127123</v>
      </c>
      <c r="Q411" s="595">
        <f t="shared" si="230"/>
        <v>29.01690121726028</v>
      </c>
      <c r="R411" s="596">
        <f t="shared" si="231"/>
        <v>1.5363268276447488</v>
      </c>
      <c r="S411" s="583">
        <f t="shared" si="209"/>
        <v>1.0185170168491102</v>
      </c>
      <c r="T411" s="586">
        <f t="shared" si="210"/>
        <v>0.19097500835022133</v>
      </c>
      <c r="U411" s="587">
        <f t="shared" si="222"/>
        <v>0.93006642642282511</v>
      </c>
      <c r="V411" s="588">
        <f t="shared" si="223"/>
        <v>-0.46643703654627328</v>
      </c>
      <c r="W411" s="589">
        <f t="shared" si="211"/>
        <v>-2.5697740734110797</v>
      </c>
      <c r="X411" s="590">
        <f t="shared" si="212"/>
        <v>-145.04479781051626</v>
      </c>
      <c r="Y411" s="593">
        <f t="shared" si="213"/>
        <v>34.955202189483742</v>
      </c>
      <c r="AA411" s="150">
        <f t="shared" si="214"/>
        <v>38462</v>
      </c>
      <c r="AB411" s="150">
        <f t="shared" si="215"/>
        <v>1479325444</v>
      </c>
      <c r="AD411" s="592">
        <f t="shared" si="216"/>
        <v>27.450020122372241</v>
      </c>
      <c r="AE411" s="593">
        <f t="shared" si="217"/>
        <v>-12.916195584196206</v>
      </c>
      <c r="AG411" s="592">
        <f t="shared" si="218"/>
        <v>-3.3724099389740809</v>
      </c>
      <c r="AH411" s="593">
        <f t="shared" si="219"/>
        <v>-78.67885495986323</v>
      </c>
      <c r="AJ411" s="150">
        <f t="shared" si="220"/>
        <v>0</v>
      </c>
      <c r="AK411" s="150">
        <f t="shared" si="232"/>
        <v>0</v>
      </c>
      <c r="AM411" s="150" t="str">
        <f t="shared" si="224"/>
        <v>0.229052101708394+0.636898216452014i</v>
      </c>
      <c r="AN411" s="150" t="str">
        <f t="shared" si="225"/>
        <v>0.690468208596i</v>
      </c>
      <c r="AO411" s="150" t="str">
        <f t="shared" si="226"/>
        <v>0.922414976566531-0.331734464899042i</v>
      </c>
      <c r="AP411" s="150" t="str">
        <f t="shared" si="227"/>
        <v>0.128491316381934-0.106149702742002i</v>
      </c>
      <c r="AQ411" s="150" t="str">
        <f t="shared" si="228"/>
        <v>0.871508683618066+0.106149702742002i</v>
      </c>
      <c r="AR411" s="150" t="str">
        <f t="shared" si="229"/>
        <v>0.941841341567802-0.114716216047899i</v>
      </c>
    </row>
    <row r="412" spans="7:44" x14ac:dyDescent="0.25">
      <c r="G412" s="594">
        <v>38683.5</v>
      </c>
      <c r="H412" s="582">
        <f t="shared" si="221"/>
        <v>38.683500000000002</v>
      </c>
      <c r="I412" s="583">
        <f t="shared" si="201"/>
        <v>37.754379040135305</v>
      </c>
      <c r="J412" s="584">
        <f t="shared" si="202"/>
        <v>1.5443062350714376</v>
      </c>
      <c r="K412" s="584">
        <f t="shared" si="203"/>
        <v>1.0002184392788473</v>
      </c>
      <c r="L412" s="585">
        <f t="shared" si="204"/>
        <v>2.0899737948552911E-2</v>
      </c>
      <c r="M412" s="584">
        <f t="shared" si="205"/>
        <v>1.052773330120464</v>
      </c>
      <c r="N412" s="585">
        <f t="shared" si="206"/>
        <v>-0.31796982445858896</v>
      </c>
      <c r="O412" s="583">
        <f t="shared" si="207"/>
        <v>70000.012390277247</v>
      </c>
      <c r="P412" s="586">
        <f t="shared" si="208"/>
        <v>1.570782041083139</v>
      </c>
      <c r="Q412" s="595">
        <f t="shared" si="230"/>
        <v>29.183809645476931</v>
      </c>
      <c r="R412" s="596">
        <f t="shared" si="231"/>
        <v>1.5365240435021834</v>
      </c>
      <c r="S412" s="583">
        <f t="shared" si="209"/>
        <v>1.0187289410594718</v>
      </c>
      <c r="T412" s="586">
        <f t="shared" si="210"/>
        <v>0.19204805038517886</v>
      </c>
      <c r="U412" s="587">
        <f t="shared" si="222"/>
        <v>0.92934132505612999</v>
      </c>
      <c r="V412" s="588">
        <f t="shared" si="223"/>
        <v>-0.46894339993699752</v>
      </c>
      <c r="W412" s="589">
        <f t="shared" si="211"/>
        <v>-2.6233854933291481</v>
      </c>
      <c r="X412" s="590">
        <f t="shared" si="212"/>
        <v>-145.33795096166557</v>
      </c>
      <c r="Y412" s="593">
        <f t="shared" si="213"/>
        <v>34.66204903833443</v>
      </c>
      <c r="AA412" s="150">
        <f t="shared" si="214"/>
        <v>38683.5</v>
      </c>
      <c r="AB412" s="150">
        <f t="shared" si="215"/>
        <v>1496413172.25</v>
      </c>
      <c r="AD412" s="592">
        <f t="shared" si="216"/>
        <v>27.44815412523149</v>
      </c>
      <c r="AE412" s="593">
        <f t="shared" si="217"/>
        <v>-12.966381441560925</v>
      </c>
      <c r="AG412" s="592">
        <f t="shared" si="218"/>
        <v>-3.4106066374078048</v>
      </c>
      <c r="AH412" s="593">
        <f t="shared" si="219"/>
        <v>-78.634614164890422</v>
      </c>
      <c r="AJ412" s="150">
        <f t="shared" si="220"/>
        <v>0</v>
      </c>
      <c r="AK412" s="150">
        <f t="shared" si="232"/>
        <v>0</v>
      </c>
      <c r="AM412" s="150" t="str">
        <f t="shared" si="224"/>
        <v>0.231590725682408+0.639958738625164i</v>
      </c>
      <c r="AN412" s="150" t="str">
        <f t="shared" si="225"/>
        <v>0.694444567293i</v>
      </c>
      <c r="AO412" s="150" t="str">
        <f t="shared" si="226"/>
        <v>0.921540420597966-0.333490585987543i</v>
      </c>
      <c r="AP412" s="150" t="str">
        <f t="shared" si="227"/>
        <v>0.128068212386265-0.106659789770861i</v>
      </c>
      <c r="AQ412" s="150" t="str">
        <f t="shared" si="228"/>
        <v>0.871931787613735+0.106659789770861i</v>
      </c>
      <c r="AR412" s="150" t="str">
        <f t="shared" si="229"/>
        <v>0.941265234494634-0.115141062014237i</v>
      </c>
    </row>
    <row r="413" spans="7:44" x14ac:dyDescent="0.25">
      <c r="G413" s="594">
        <v>38905</v>
      </c>
      <c r="H413" s="582">
        <f t="shared" si="221"/>
        <v>38.905000000000001</v>
      </c>
      <c r="I413" s="583">
        <f t="shared" si="201"/>
        <v>37.970407702942957</v>
      </c>
      <c r="J413" s="584">
        <f t="shared" si="202"/>
        <v>1.544456982639695</v>
      </c>
      <c r="K413" s="584">
        <f t="shared" si="203"/>
        <v>1.0002209477108204</v>
      </c>
      <c r="L413" s="585">
        <f t="shared" si="204"/>
        <v>2.1019373773419114E-2</v>
      </c>
      <c r="M413" s="584">
        <f t="shared" si="205"/>
        <v>1.0533640592169027</v>
      </c>
      <c r="N413" s="585">
        <f t="shared" si="206"/>
        <v>-0.31966929075509209</v>
      </c>
      <c r="O413" s="583">
        <f t="shared" si="207"/>
        <v>70400.829346894199</v>
      </c>
      <c r="P413" s="586">
        <f t="shared" si="208"/>
        <v>1.5707821224167762</v>
      </c>
      <c r="Q413" s="595">
        <f t="shared" si="230"/>
        <v>29.350719195861728</v>
      </c>
      <c r="R413" s="596">
        <f t="shared" si="231"/>
        <v>1.5367190163413373</v>
      </c>
      <c r="S413" s="583">
        <f t="shared" si="209"/>
        <v>1.0189420377651917</v>
      </c>
      <c r="T413" s="586">
        <f t="shared" si="210"/>
        <v>0.19312064483286767</v>
      </c>
      <c r="U413" s="587">
        <f t="shared" si="222"/>
        <v>0.92861365954248976</v>
      </c>
      <c r="V413" s="588">
        <f t="shared" si="223"/>
        <v>-0.47144700970182046</v>
      </c>
      <c r="W413" s="589">
        <f t="shared" si="211"/>
        <v>-2.6767280972752876</v>
      </c>
      <c r="X413" s="590">
        <f t="shared" si="212"/>
        <v>-145.63084072712897</v>
      </c>
      <c r="Y413" s="593">
        <f t="shared" si="213"/>
        <v>34.36915927287103</v>
      </c>
      <c r="AA413" s="150">
        <f t="shared" si="214"/>
        <v>38905</v>
      </c>
      <c r="AB413" s="150">
        <f t="shared" si="215"/>
        <v>1513599025</v>
      </c>
      <c r="AD413" s="592">
        <f t="shared" si="216"/>
        <v>27.446279511507051</v>
      </c>
      <c r="AE413" s="593">
        <f t="shared" si="217"/>
        <v>-13.016670115871062</v>
      </c>
      <c r="AG413" s="592">
        <f t="shared" si="218"/>
        <v>-3.4484673600251643</v>
      </c>
      <c r="AH413" s="593">
        <f t="shared" si="219"/>
        <v>-78.590322709571694</v>
      </c>
      <c r="AJ413" s="150">
        <f t="shared" si="220"/>
        <v>0</v>
      </c>
      <c r="AK413" s="150">
        <f t="shared" si="232"/>
        <v>0</v>
      </c>
      <c r="AM413" s="150" t="str">
        <f t="shared" si="224"/>
        <v>0.234141499288702+0.643009142149816i</v>
      </c>
      <c r="AN413" s="150" t="str">
        <f t="shared" si="225"/>
        <v>0.69842092599i</v>
      </c>
      <c r="AO413" s="150" t="str">
        <f t="shared" si="226"/>
        <v>0.920661335051439-0.335244106491813i</v>
      </c>
      <c r="AP413" s="150" t="str">
        <f t="shared" si="227"/>
        <v>0.127643083451883-0.107168190358303i</v>
      </c>
      <c r="AQ413" s="150" t="str">
        <f t="shared" si="228"/>
        <v>0.872356916548117+0.107168190358303i</v>
      </c>
      <c r="AR413" s="150" t="str">
        <f t="shared" si="229"/>
        <v>0.940687641465011-0.11556255279907i</v>
      </c>
    </row>
    <row r="414" spans="7:44" x14ac:dyDescent="0.25">
      <c r="G414" s="594">
        <v>39131.5</v>
      </c>
      <c r="H414" s="582">
        <f t="shared" si="221"/>
        <v>39.131500000000003</v>
      </c>
      <c r="I414" s="583">
        <f t="shared" si="201"/>
        <v>38.191313741366841</v>
      </c>
      <c r="J414" s="584">
        <f t="shared" si="202"/>
        <v>1.5446093695012517</v>
      </c>
      <c r="K414" s="584">
        <f t="shared" si="203"/>
        <v>1.0002235275707418</v>
      </c>
      <c r="L414" s="585">
        <f t="shared" si="204"/>
        <v>2.1141709558908491E-2</v>
      </c>
      <c r="M414" s="584">
        <f t="shared" si="205"/>
        <v>1.0539712655829301</v>
      </c>
      <c r="N414" s="585">
        <f t="shared" si="206"/>
        <v>-0.32140514455535496</v>
      </c>
      <c r="O414" s="583">
        <f t="shared" si="207"/>
        <v>70810.694090342688</v>
      </c>
      <c r="P414" s="586">
        <f t="shared" si="208"/>
        <v>1.5707822046342135</v>
      </c>
      <c r="Q414" s="595">
        <f t="shared" si="230"/>
        <v>29.521397596807066</v>
      </c>
      <c r="R414" s="596">
        <f t="shared" si="231"/>
        <v>1.5369161104584865</v>
      </c>
      <c r="S414" s="583">
        <f t="shared" si="209"/>
        <v>1.0191611565088172</v>
      </c>
      <c r="T414" s="586">
        <f t="shared" si="210"/>
        <v>0.1942169862102277</v>
      </c>
      <c r="U414" s="587">
        <f t="shared" si="222"/>
        <v>0.92786693887020644</v>
      </c>
      <c r="V414" s="588">
        <f t="shared" si="223"/>
        <v>-0.47400427946199725</v>
      </c>
      <c r="W414" s="589">
        <f t="shared" si="211"/>
        <v>-2.7310001451561066</v>
      </c>
      <c r="X414" s="590">
        <f t="shared" si="212"/>
        <v>-145.93006817170166</v>
      </c>
      <c r="Y414" s="593">
        <f t="shared" si="213"/>
        <v>34.069931828298337</v>
      </c>
      <c r="AA414" s="150">
        <f t="shared" si="214"/>
        <v>39131.5</v>
      </c>
      <c r="AB414" s="150">
        <f t="shared" si="215"/>
        <v>1531274292.25</v>
      </c>
      <c r="AD414" s="592">
        <f t="shared" si="216"/>
        <v>27.444353660253434</v>
      </c>
      <c r="AE414" s="593">
        <f t="shared" si="217"/>
        <v>-13.068197899390878</v>
      </c>
      <c r="AG414" s="592">
        <f t="shared" si="218"/>
        <v>-3.4868388699139574</v>
      </c>
      <c r="AH414" s="593">
        <f t="shared" si="219"/>
        <v>-78.544980841620614</v>
      </c>
      <c r="AJ414" s="150">
        <f t="shared" si="220"/>
        <v>0</v>
      </c>
      <c r="AK414" s="150">
        <f t="shared" si="232"/>
        <v>0</v>
      </c>
      <c r="AM414" s="150" t="str">
        <f t="shared" si="224"/>
        <v>0.236762374527316+0.646117889446515i</v>
      </c>
      <c r="AN414" s="150" t="str">
        <f t="shared" si="225"/>
        <v>0.702487044477i</v>
      </c>
      <c r="AO414" s="150" t="str">
        <f t="shared" si="226"/>
        <v>0.91975773009102-0.337034506741096i</v>
      </c>
      <c r="AP414" s="150" t="str">
        <f t="shared" si="227"/>
        <v>0.127206270912114-0.107686314907753i</v>
      </c>
      <c r="AQ414" s="150" t="str">
        <f t="shared" si="228"/>
        <v>0.872793729087886+0.107686314907753i</v>
      </c>
      <c r="AR414" s="150" t="str">
        <f t="shared" si="229"/>
        <v>0.940095497612821-0.115990086117015i</v>
      </c>
    </row>
    <row r="415" spans="7:44" x14ac:dyDescent="0.25">
      <c r="G415" s="594">
        <v>39358</v>
      </c>
      <c r="H415" s="582">
        <f t="shared" si="221"/>
        <v>39.357999999999997</v>
      </c>
      <c r="I415" s="583">
        <f t="shared" si="201"/>
        <v>38.412220656459425</v>
      </c>
      <c r="J415" s="584">
        <f t="shared" si="202"/>
        <v>1.5447600036266027</v>
      </c>
      <c r="K415" s="584">
        <f t="shared" si="203"/>
        <v>1.0002261223999758</v>
      </c>
      <c r="L415" s="585">
        <f t="shared" si="204"/>
        <v>2.126404471149131E-2</v>
      </c>
      <c r="M415" s="584">
        <f t="shared" si="205"/>
        <v>1.0545816441002507</v>
      </c>
      <c r="N415" s="585">
        <f t="shared" si="206"/>
        <v>-0.32313899419455755</v>
      </c>
      <c r="O415" s="583">
        <f t="shared" si="207"/>
        <v>71220.558833791642</v>
      </c>
      <c r="P415" s="586">
        <f t="shared" si="208"/>
        <v>1.57078228590535</v>
      </c>
      <c r="Q415" s="595">
        <f t="shared" si="230"/>
        <v>29.692077131359127</v>
      </c>
      <c r="R415" s="596">
        <f t="shared" si="231"/>
        <v>1.5371109386633695</v>
      </c>
      <c r="S415" s="583">
        <f t="shared" si="209"/>
        <v>1.0193814997203958</v>
      </c>
      <c r="T415" s="586">
        <f t="shared" si="210"/>
        <v>0.19531285494754247</v>
      </c>
      <c r="U415" s="587">
        <f t="shared" si="222"/>
        <v>0.92711758227238394</v>
      </c>
      <c r="V415" s="588">
        <f t="shared" si="223"/>
        <v>-0.47655865511022882</v>
      </c>
      <c r="W415" s="589">
        <f t="shared" si="211"/>
        <v>-2.7849977608241723</v>
      </c>
      <c r="X415" s="590">
        <f t="shared" si="212"/>
        <v>-146.2290172704904</v>
      </c>
      <c r="Y415" s="593">
        <f t="shared" si="213"/>
        <v>33.770982729509598</v>
      </c>
      <c r="AA415" s="150">
        <f t="shared" si="214"/>
        <v>39358</v>
      </c>
      <c r="AB415" s="150">
        <f t="shared" si="215"/>
        <v>1549052164</v>
      </c>
      <c r="AD415" s="592">
        <f t="shared" si="216"/>
        <v>27.442418778123113</v>
      </c>
      <c r="AE415" s="593">
        <f t="shared" si="217"/>
        <v>-13.119828375621559</v>
      </c>
      <c r="AG415" s="592">
        <f t="shared" si="218"/>
        <v>-3.5248662754193245</v>
      </c>
      <c r="AH415" s="593">
        <f t="shared" si="219"/>
        <v>-78.499589575974852</v>
      </c>
      <c r="AJ415" s="150">
        <f t="shared" si="220"/>
        <v>0</v>
      </c>
      <c r="AK415" s="150">
        <f t="shared" si="232"/>
        <v>0</v>
      </c>
      <c r="AM415" s="150" t="str">
        <f t="shared" si="224"/>
        <v>0.239395868600099+0.649215954284399i</v>
      </c>
      <c r="AN415" s="150" t="str">
        <f t="shared" si="225"/>
        <v>0.706553162964i</v>
      </c>
      <c r="AO415" s="150" t="str">
        <f t="shared" si="226"/>
        <v>0.918849406265382-0.338822159674199i</v>
      </c>
      <c r="AP415" s="150" t="str">
        <f t="shared" si="227"/>
        <v>0.126767355233317-0.1082026590474i</v>
      </c>
      <c r="AQ415" s="150" t="str">
        <f t="shared" si="228"/>
        <v>0.873232644766683+0.1082026590474i</v>
      </c>
      <c r="AR415" s="150" t="str">
        <f t="shared" si="229"/>
        <v>0.939501848711196-0.116414106618358i</v>
      </c>
    </row>
    <row r="416" spans="7:44" x14ac:dyDescent="0.25">
      <c r="G416" s="594">
        <v>39584.5</v>
      </c>
      <c r="H416" s="582">
        <f t="shared" si="221"/>
        <v>39.584499999999998</v>
      </c>
      <c r="I416" s="583">
        <f t="shared" si="201"/>
        <v>38.633128433182129</v>
      </c>
      <c r="J416" s="584">
        <f t="shared" si="202"/>
        <v>1.5449089150757722</v>
      </c>
      <c r="K416" s="584">
        <f t="shared" si="203"/>
        <v>1.0002287321984056</v>
      </c>
      <c r="L416" s="585">
        <f t="shared" si="204"/>
        <v>2.1386379227510813E-2</v>
      </c>
      <c r="M416" s="584">
        <f t="shared" si="205"/>
        <v>1.0551951892640643</v>
      </c>
      <c r="N416" s="585">
        <f t="shared" si="206"/>
        <v>-0.32487083273498202</v>
      </c>
      <c r="O416" s="583">
        <f t="shared" si="207"/>
        <v>71630.423577241076</v>
      </c>
      <c r="P416" s="586">
        <f t="shared" si="208"/>
        <v>1.57078236624643</v>
      </c>
      <c r="Q416" s="595">
        <f t="shared" si="230"/>
        <v>29.862757780080631</v>
      </c>
      <c r="R416" s="596">
        <f t="shared" si="231"/>
        <v>1.5373035397935446</v>
      </c>
      <c r="S416" s="583">
        <f t="shared" si="209"/>
        <v>1.0196030666060802</v>
      </c>
      <c r="T416" s="586">
        <f t="shared" si="210"/>
        <v>0.19640824871997148</v>
      </c>
      <c r="U416" s="587">
        <f t="shared" si="222"/>
        <v>0.92636561261596562</v>
      </c>
      <c r="V416" s="588">
        <f t="shared" si="223"/>
        <v>-0.47911012935989211</v>
      </c>
      <c r="W416" s="589">
        <f t="shared" si="211"/>
        <v>-2.8387242218668893</v>
      </c>
      <c r="X416" s="590">
        <f t="shared" si="212"/>
        <v>-146.52768657352141</v>
      </c>
      <c r="Y416" s="593">
        <f t="shared" si="213"/>
        <v>33.472313426478593</v>
      </c>
      <c r="AA416" s="150">
        <f t="shared" si="214"/>
        <v>39584.5</v>
      </c>
      <c r="AB416" s="150">
        <f t="shared" si="215"/>
        <v>1566932640.25</v>
      </c>
      <c r="AD416" s="592">
        <f t="shared" si="216"/>
        <v>27.440474855646734</v>
      </c>
      <c r="AE416" s="593">
        <f t="shared" si="217"/>
        <v>-13.171559187062083</v>
      </c>
      <c r="AG416" s="592">
        <f t="shared" si="218"/>
        <v>-3.5625531354854334</v>
      </c>
      <c r="AH416" s="593">
        <f t="shared" si="219"/>
        <v>-78.454150655147231</v>
      </c>
      <c r="AJ416" s="150">
        <f t="shared" si="220"/>
        <v>0</v>
      </c>
      <c r="AK416" s="150">
        <f t="shared" si="232"/>
        <v>0</v>
      </c>
      <c r="AM416" s="150" t="str">
        <f t="shared" si="224"/>
        <v>0.242041937966712+0.652303285442242i</v>
      </c>
      <c r="AN416" s="150" t="str">
        <f t="shared" si="225"/>
        <v>0.710619281451i</v>
      </c>
      <c r="AO416" s="150" t="str">
        <f t="shared" si="226"/>
        <v>0.917936372497966-0.340607051180051i</v>
      </c>
      <c r="AP416" s="150" t="str">
        <f t="shared" si="227"/>
        <v>0.126326343672215-0.108717214240374i</v>
      </c>
      <c r="AQ416" s="150" t="str">
        <f t="shared" si="228"/>
        <v>0.873673656327785+0.108717214240374i</v>
      </c>
      <c r="AR416" s="150" t="str">
        <f t="shared" si="229"/>
        <v>0.938906719319551-0.116834612348313i</v>
      </c>
    </row>
    <row r="417" spans="7:44" x14ac:dyDescent="0.25">
      <c r="G417" s="594">
        <v>39811</v>
      </c>
      <c r="H417" s="582">
        <f t="shared" si="221"/>
        <v>39.811</v>
      </c>
      <c r="I417" s="583">
        <f t="shared" si="201"/>
        <v>38.854037056838379</v>
      </c>
      <c r="J417" s="584">
        <f t="shared" si="202"/>
        <v>1.5450561332254571</v>
      </c>
      <c r="K417" s="584">
        <f t="shared" si="203"/>
        <v>1.000231356965914</v>
      </c>
      <c r="L417" s="585">
        <f t="shared" si="204"/>
        <v>2.1508713103310342E-2</v>
      </c>
      <c r="M417" s="584">
        <f t="shared" si="205"/>
        <v>1.0558118955538398</v>
      </c>
      <c r="N417" s="585">
        <f t="shared" si="206"/>
        <v>-0.32660065330324967</v>
      </c>
      <c r="O417" s="583">
        <f t="shared" si="207"/>
        <v>72040.288320690946</v>
      </c>
      <c r="P417" s="586">
        <f t="shared" si="208"/>
        <v>1.5707824456733277</v>
      </c>
      <c r="Q417" s="595">
        <f t="shared" si="230"/>
        <v>30.033439523976053</v>
      </c>
      <c r="R417" s="596">
        <f t="shared" si="231"/>
        <v>1.5374939518043764</v>
      </c>
      <c r="S417" s="583">
        <f t="shared" si="209"/>
        <v>1.0198258563683056</v>
      </c>
      <c r="T417" s="586">
        <f t="shared" si="210"/>
        <v>0.19750316520924832</v>
      </c>
      <c r="U417" s="587">
        <f t="shared" si="222"/>
        <v>0.92561105274494115</v>
      </c>
      <c r="V417" s="588">
        <f t="shared" si="223"/>
        <v>-0.48165869504409242</v>
      </c>
      <c r="W417" s="589">
        <f t="shared" si="211"/>
        <v>-2.8921827484892644</v>
      </c>
      <c r="X417" s="590">
        <f t="shared" si="212"/>
        <v>-146.82607465311708</v>
      </c>
      <c r="Y417" s="593">
        <f t="shared" si="213"/>
        <v>33.173925346882925</v>
      </c>
      <c r="AA417" s="150">
        <f t="shared" si="214"/>
        <v>39811</v>
      </c>
      <c r="AB417" s="150">
        <f t="shared" si="215"/>
        <v>1584915721</v>
      </c>
      <c r="AD417" s="592">
        <f t="shared" si="216"/>
        <v>27.438521884059238</v>
      </c>
      <c r="AE417" s="593">
        <f t="shared" si="217"/>
        <v>-13.223388027112907</v>
      </c>
      <c r="AG417" s="592">
        <f t="shared" si="218"/>
        <v>-3.5999029524912567</v>
      </c>
      <c r="AH417" s="593">
        <f t="shared" si="219"/>
        <v>-78.408665779325233</v>
      </c>
      <c r="AJ417" s="150">
        <f t="shared" si="220"/>
        <v>0</v>
      </c>
      <c r="AK417" s="150">
        <f t="shared" si="232"/>
        <v>0</v>
      </c>
      <c r="AM417" s="150" t="str">
        <f t="shared" si="224"/>
        <v>0.244700538878905+0.655379831876282i</v>
      </c>
      <c r="AN417" s="150" t="str">
        <f t="shared" si="225"/>
        <v>0.714685399938i</v>
      </c>
      <c r="AO417" s="150" t="str">
        <f t="shared" si="226"/>
        <v>0.917018637757449-0.3423891671778i</v>
      </c>
      <c r="AP417" s="150" t="str">
        <f t="shared" si="227"/>
        <v>0.125883243520183-0.10922997197938i</v>
      </c>
      <c r="AQ417" s="150" t="str">
        <f t="shared" si="228"/>
        <v>0.874116756479817+0.10922997197938i</v>
      </c>
      <c r="AR417" s="150" t="str">
        <f t="shared" si="229"/>
        <v>0.938310133936024-0.117251601548685i</v>
      </c>
    </row>
    <row r="418" spans="7:44" x14ac:dyDescent="0.25">
      <c r="G418" s="594">
        <v>40042.75</v>
      </c>
      <c r="H418" s="582">
        <f t="shared" si="221"/>
        <v>40.042749999999998</v>
      </c>
      <c r="I418" s="583">
        <f t="shared" si="201"/>
        <v>39.080066940683089</v>
      </c>
      <c r="J418" s="584">
        <f t="shared" si="202"/>
        <v>1.5452050410333764</v>
      </c>
      <c r="K418" s="584">
        <f t="shared" si="203"/>
        <v>1.0002340580658295</v>
      </c>
      <c r="L418" s="585">
        <f t="shared" si="204"/>
        <v>2.1633881866057289E-2</v>
      </c>
      <c r="M418" s="584">
        <f t="shared" si="205"/>
        <v>1.0564461624677142</v>
      </c>
      <c r="N418" s="585">
        <f t="shared" si="206"/>
        <v>-0.32836847327303126</v>
      </c>
      <c r="O418" s="583">
        <f t="shared" si="207"/>
        <v>72459.653240313986</v>
      </c>
      <c r="P418" s="586">
        <f t="shared" si="208"/>
        <v>1.5707825260112147</v>
      </c>
      <c r="Q418" s="595">
        <f t="shared" si="230"/>
        <v>30.208078581415897</v>
      </c>
      <c r="R418" s="596">
        <f t="shared" si="231"/>
        <v>1.5376865502089441</v>
      </c>
      <c r="S418" s="583">
        <f t="shared" si="209"/>
        <v>1.0200550750181416</v>
      </c>
      <c r="T418" s="586">
        <f t="shared" si="210"/>
        <v>0.19862296414079311</v>
      </c>
      <c r="U418" s="587">
        <f t="shared" si="222"/>
        <v>0.92483634590946395</v>
      </c>
      <c r="V418" s="588">
        <f t="shared" si="223"/>
        <v>-0.48426331562039998</v>
      </c>
      <c r="W418" s="589">
        <f t="shared" si="211"/>
        <v>-2.946606358002652</v>
      </c>
      <c r="X418" s="590">
        <f t="shared" si="212"/>
        <v>-147.13108647000641</v>
      </c>
      <c r="Y418" s="593">
        <f t="shared" si="213"/>
        <v>32.868913529993591</v>
      </c>
      <c r="AA418" s="150">
        <f t="shared" si="214"/>
        <v>40042.75</v>
      </c>
      <c r="AB418" s="150">
        <f t="shared" si="215"/>
        <v>1603421827.5625</v>
      </c>
      <c r="AD418" s="592">
        <f t="shared" si="216"/>
        <v>27.436514270328203</v>
      </c>
      <c r="AE418" s="593">
        <f t="shared" si="217"/>
        <v>-13.276517307153574</v>
      </c>
      <c r="AG418" s="592">
        <f t="shared" si="218"/>
        <v>-3.6377732368465305</v>
      </c>
      <c r="AH418" s="593">
        <f t="shared" si="219"/>
        <v>-78.362080783322128</v>
      </c>
      <c r="AJ418" s="150">
        <f t="shared" si="220"/>
        <v>0</v>
      </c>
      <c r="AK418" s="150">
        <f t="shared" si="232"/>
        <v>0</v>
      </c>
      <c r="AM418" s="150" t="str">
        <f t="shared" si="224"/>
        <v>0.247433687754135+0.658516473349498i</v>
      </c>
      <c r="AN418" s="150" t="str">
        <f t="shared" si="225"/>
        <v>0.7188457662045i</v>
      </c>
      <c r="AO418" s="150" t="str">
        <f t="shared" si="226"/>
        <v>0.916074774741263-0.34420970309192i</v>
      </c>
      <c r="AP418" s="150" t="str">
        <f t="shared" si="227"/>
        <v>0.125427718707644-0.10975274555825i</v>
      </c>
      <c r="AQ418" s="150" t="str">
        <f t="shared" si="228"/>
        <v>0.874572281292356+0.10975274555825i</v>
      </c>
      <c r="AR418" s="150" t="str">
        <f t="shared" si="229"/>
        <v>0.937698238895572-0.117674614694908i</v>
      </c>
    </row>
    <row r="419" spans="7:44" x14ac:dyDescent="0.25">
      <c r="G419" s="594">
        <v>40274.5</v>
      </c>
      <c r="H419" s="582">
        <f t="shared" si="221"/>
        <v>40.274500000000003</v>
      </c>
      <c r="I419" s="583">
        <f t="shared" si="201"/>
        <v>39.306097681104909</v>
      </c>
      <c r="J419" s="584">
        <f t="shared" si="202"/>
        <v>1.5453522362480581</v>
      </c>
      <c r="K419" s="584">
        <f t="shared" si="203"/>
        <v>1.0002367748365464</v>
      </c>
      <c r="L419" s="585">
        <f t="shared" si="204"/>
        <v>2.1759049950816598E-2</v>
      </c>
      <c r="M419" s="584">
        <f t="shared" si="205"/>
        <v>1.0570837270058429</v>
      </c>
      <c r="N419" s="585">
        <f t="shared" si="206"/>
        <v>-0.33013416628605485</v>
      </c>
      <c r="O419" s="583">
        <f t="shared" si="207"/>
        <v>72879.018159937492</v>
      </c>
      <c r="P419" s="586">
        <f t="shared" si="208"/>
        <v>1.5707826054245313</v>
      </c>
      <c r="Q419" s="595">
        <f t="shared" si="230"/>
        <v>30.382718746516872</v>
      </c>
      <c r="R419" s="596">
        <f t="shared" si="231"/>
        <v>1.5378769345054728</v>
      </c>
      <c r="S419" s="583">
        <f t="shared" si="209"/>
        <v>1.0202855721900161</v>
      </c>
      <c r="T419" s="586">
        <f t="shared" si="210"/>
        <v>0.19974225851801017</v>
      </c>
      <c r="U419" s="587">
        <f t="shared" si="222"/>
        <v>0.92405897569655493</v>
      </c>
      <c r="V419" s="588">
        <f t="shared" si="223"/>
        <v>-0.48686487643708087</v>
      </c>
      <c r="W419" s="589">
        <f t="shared" si="211"/>
        <v>-3.0007561105680081</v>
      </c>
      <c r="X419" s="590">
        <f t="shared" si="212"/>
        <v>-147.43580092165678</v>
      </c>
      <c r="Y419" s="593">
        <f t="shared" si="213"/>
        <v>32.564199078343222</v>
      </c>
      <c r="AA419" s="150">
        <f t="shared" si="214"/>
        <v>40274.5</v>
      </c>
      <c r="AB419" s="150">
        <f t="shared" si="215"/>
        <v>1622035350.25</v>
      </c>
      <c r="AD419" s="592">
        <f t="shared" si="216"/>
        <v>27.434497166727411</v>
      </c>
      <c r="AE419" s="593">
        <f t="shared" si="217"/>
        <v>-13.329744484432874</v>
      </c>
      <c r="AG419" s="592">
        <f t="shared" si="218"/>
        <v>-3.6752979148865697</v>
      </c>
      <c r="AH419" s="593">
        <f t="shared" si="219"/>
        <v>-78.315451147467741</v>
      </c>
      <c r="AJ419" s="150">
        <f t="shared" si="220"/>
        <v>0</v>
      </c>
      <c r="AK419" s="150">
        <f t="shared" si="232"/>
        <v>0</v>
      </c>
      <c r="AM419" s="150" t="str">
        <f t="shared" si="224"/>
        <v>0.250179862515575+0.661641716809663i</v>
      </c>
      <c r="AN419" s="150" t="str">
        <f t="shared" si="225"/>
        <v>0.723006132471i</v>
      </c>
      <c r="AO419" s="150" t="str">
        <f t="shared" si="226"/>
        <v>0.915126009441146-0.346027303614344i</v>
      </c>
      <c r="AP419" s="150" t="str">
        <f t="shared" si="227"/>
        <v>0.124970022914071-0.110273619468277i</v>
      </c>
      <c r="AQ419" s="150" t="str">
        <f t="shared" si="228"/>
        <v>0.875029977085929+0.110273619468277i</v>
      </c>
      <c r="AR419" s="150" t="str">
        <f t="shared" si="229"/>
        <v>0.937084871269493-0.118093943304646i</v>
      </c>
    </row>
    <row r="420" spans="7:44" x14ac:dyDescent="0.25">
      <c r="G420" s="594">
        <v>40506.25</v>
      </c>
      <c r="H420" s="582">
        <f t="shared" si="221"/>
        <v>40.506250000000001</v>
      </c>
      <c r="I420" s="583">
        <f t="shared" si="201"/>
        <v>39.532129263411029</v>
      </c>
      <c r="J420" s="584">
        <f t="shared" si="202"/>
        <v>1.5454977482391856</v>
      </c>
      <c r="K420" s="584">
        <f t="shared" si="203"/>
        <v>1.0002395072779369</v>
      </c>
      <c r="L420" s="585">
        <f t="shared" si="204"/>
        <v>2.188421735367178E-2</v>
      </c>
      <c r="M420" s="584">
        <f t="shared" si="205"/>
        <v>1.0577245832050999</v>
      </c>
      <c r="N420" s="585">
        <f t="shared" si="206"/>
        <v>-0.33189772518879945</v>
      </c>
      <c r="O420" s="583">
        <f t="shared" si="207"/>
        <v>73298.383079561434</v>
      </c>
      <c r="P420" s="586">
        <f t="shared" si="208"/>
        <v>1.5707826839291468</v>
      </c>
      <c r="Q420" s="595">
        <f t="shared" si="230"/>
        <v>30.557360000287606</v>
      </c>
      <c r="R420" s="596">
        <f t="shared" si="231"/>
        <v>1.5380651426422149</v>
      </c>
      <c r="S420" s="583">
        <f t="shared" si="209"/>
        <v>1.0205173470176165</v>
      </c>
      <c r="T420" s="586">
        <f t="shared" si="210"/>
        <v>0.20086104587918557</v>
      </c>
      <c r="U420" s="587">
        <f t="shared" si="222"/>
        <v>0.92327896649162255</v>
      </c>
      <c r="V420" s="588">
        <f t="shared" si="223"/>
        <v>-0.48946337020443192</v>
      </c>
      <c r="W420" s="589">
        <f t="shared" si="211"/>
        <v>-3.054635277446625</v>
      </c>
      <c r="X420" s="590">
        <f t="shared" si="212"/>
        <v>-147.74021654910456</v>
      </c>
      <c r="Y420" s="593">
        <f t="shared" si="213"/>
        <v>32.259783450895441</v>
      </c>
      <c r="AA420" s="150">
        <f t="shared" si="214"/>
        <v>40506.25</v>
      </c>
      <c r="AB420" s="150">
        <f t="shared" si="215"/>
        <v>1640756289.0625</v>
      </c>
      <c r="AD420" s="592">
        <f t="shared" si="216"/>
        <v>27.432470566015738</v>
      </c>
      <c r="AE420" s="593">
        <f t="shared" si="217"/>
        <v>-13.383067244539523</v>
      </c>
      <c r="AG420" s="592">
        <f t="shared" si="218"/>
        <v>-3.7124805625321318</v>
      </c>
      <c r="AH420" s="593">
        <f t="shared" si="219"/>
        <v>-78.268778562548079</v>
      </c>
      <c r="AJ420" s="150">
        <f t="shared" si="220"/>
        <v>0</v>
      </c>
      <c r="AK420" s="150">
        <f t="shared" si="232"/>
        <v>0</v>
      </c>
      <c r="AM420" s="150" t="str">
        <f t="shared" si="224"/>
        <v>0.252939015630721+0.664755508163117i</v>
      </c>
      <c r="AN420" s="150" t="str">
        <f t="shared" si="225"/>
        <v>0.7271664987375i</v>
      </c>
      <c r="AO420" s="150" t="str">
        <f t="shared" si="226"/>
        <v>0.914172351610339-0.347841953761445i</v>
      </c>
      <c r="AP420" s="150" t="str">
        <f t="shared" si="227"/>
        <v>0.124510164061547-0.110792584693853i</v>
      </c>
      <c r="AQ420" s="150" t="str">
        <f t="shared" si="228"/>
        <v>0.875489835938453+0.110792584693853i</v>
      </c>
      <c r="AR420" s="150" t="str">
        <f t="shared" si="229"/>
        <v>0.936470057089161-0.118509586124541i</v>
      </c>
    </row>
    <row r="421" spans="7:44" x14ac:dyDescent="0.25">
      <c r="G421" s="594">
        <v>40738</v>
      </c>
      <c r="H421" s="582">
        <f t="shared" si="221"/>
        <v>40.738</v>
      </c>
      <c r="I421" s="583">
        <f t="shared" si="201"/>
        <v>39.758161673242697</v>
      </c>
      <c r="J421" s="584">
        <f t="shared" si="202"/>
        <v>1.545641605708844</v>
      </c>
      <c r="K421" s="584">
        <f t="shared" si="203"/>
        <v>1.0002422553898729</v>
      </c>
      <c r="L421" s="585">
        <f t="shared" si="204"/>
        <v>2.2009384070706482E-2</v>
      </c>
      <c r="M421" s="584">
        <f t="shared" si="205"/>
        <v>1.0583687250860525</v>
      </c>
      <c r="N421" s="585">
        <f t="shared" si="206"/>
        <v>-0.33365914289812465</v>
      </c>
      <c r="O421" s="583">
        <f t="shared" si="207"/>
        <v>73717.747999185842</v>
      </c>
      <c r="P421" s="586">
        <f t="shared" si="208"/>
        <v>1.5707827615405696</v>
      </c>
      <c r="Q421" s="595">
        <f t="shared" si="230"/>
        <v>30.732002324168288</v>
      </c>
      <c r="R421" s="596">
        <f t="shared" si="231"/>
        <v>1.5382512117054463</v>
      </c>
      <c r="S421" s="583">
        <f t="shared" si="209"/>
        <v>1.0207503986306172</v>
      </c>
      <c r="T421" s="586">
        <f t="shared" si="210"/>
        <v>0.20197932376991218</v>
      </c>
      <c r="U421" s="587">
        <f t="shared" si="222"/>
        <v>0.92249634264852232</v>
      </c>
      <c r="V421" s="588">
        <f t="shared" si="223"/>
        <v>-0.49205878976258266</v>
      </c>
      <c r="W421" s="589">
        <f t="shared" si="211"/>
        <v>-3.1082470725766971</v>
      </c>
      <c r="X421" s="590">
        <f t="shared" si="212"/>
        <v>-148.04433191639228</v>
      </c>
      <c r="Y421" s="593">
        <f t="shared" si="213"/>
        <v>31.955668083607719</v>
      </c>
      <c r="AA421" s="150">
        <f t="shared" si="214"/>
        <v>40738</v>
      </c>
      <c r="AB421" s="150">
        <f t="shared" si="215"/>
        <v>1659584644</v>
      </c>
      <c r="AD421" s="592">
        <f t="shared" si="216"/>
        <v>27.430434461631258</v>
      </c>
      <c r="AE421" s="593">
        <f t="shared" si="217"/>
        <v>-13.436483322847845</v>
      </c>
      <c r="AG421" s="592">
        <f t="shared" si="218"/>
        <v>-3.7493246991107569</v>
      </c>
      <c r="AH421" s="593">
        <f t="shared" si="219"/>
        <v>-78.22206467769216</v>
      </c>
      <c r="AJ421" s="150">
        <f t="shared" si="220"/>
        <v>0</v>
      </c>
      <c r="AK421" s="150">
        <f t="shared" si="232"/>
        <v>0</v>
      </c>
      <c r="AM421" s="150" t="str">
        <f t="shared" si="224"/>
        <v>0.255711099342435+0.667857793514423i</v>
      </c>
      <c r="AN421" s="150" t="str">
        <f t="shared" si="225"/>
        <v>0.731326865004i</v>
      </c>
      <c r="AO421" s="150" t="str">
        <f t="shared" si="226"/>
        <v>0.913213811051191-0.349653638583394i</v>
      </c>
      <c r="AP421" s="150" t="str">
        <f t="shared" si="227"/>
        <v>0.124048150109594-0.111309632252404i</v>
      </c>
      <c r="AQ421" s="150" t="str">
        <f t="shared" si="228"/>
        <v>0.875951849890406+0.111309632252404i</v>
      </c>
      <c r="AR421" s="150" t="str">
        <f t="shared" si="229"/>
        <v>0.935853822311531-0.11892154211049i</v>
      </c>
    </row>
    <row r="422" spans="7:44" x14ac:dyDescent="0.25">
      <c r="G422" s="594">
        <v>40975.25</v>
      </c>
      <c r="H422" s="582">
        <f t="shared" si="221"/>
        <v>40.975250000000003</v>
      </c>
      <c r="I422" s="583">
        <f t="shared" si="201"/>
        <v>39.989559233102035</v>
      </c>
      <c r="J422" s="584">
        <f t="shared" si="202"/>
        <v>1.5457871926712698</v>
      </c>
      <c r="K422" s="584">
        <f t="shared" si="203"/>
        <v>1.0002450849539684</v>
      </c>
      <c r="L422" s="585">
        <f t="shared" si="204"/>
        <v>2.2137520588623279E-2</v>
      </c>
      <c r="M422" s="584">
        <f t="shared" si="205"/>
        <v>1.0590315513582407</v>
      </c>
      <c r="N422" s="585">
        <f t="shared" si="206"/>
        <v>-0.33546013805939773</v>
      </c>
      <c r="O422" s="583">
        <f t="shared" si="207"/>
        <v>74147.065484324965</v>
      </c>
      <c r="P422" s="586">
        <f t="shared" si="208"/>
        <v>1.5707828400844854</v>
      </c>
      <c r="Q422" s="595">
        <f t="shared" si="230"/>
        <v>30.91079043138803</v>
      </c>
      <c r="R422" s="596">
        <f t="shared" si="231"/>
        <v>1.5384395186642594</v>
      </c>
      <c r="S422" s="583">
        <f t="shared" si="209"/>
        <v>1.0209903028180956</v>
      </c>
      <c r="T422" s="586">
        <f t="shared" si="210"/>
        <v>0.20312361085220956</v>
      </c>
      <c r="U422" s="587">
        <f t="shared" si="222"/>
        <v>0.92169246214850231</v>
      </c>
      <c r="V422" s="588">
        <f t="shared" si="223"/>
        <v>-0.49471261318610016</v>
      </c>
      <c r="W422" s="589">
        <f t="shared" si="211"/>
        <v>-3.1628575396814544</v>
      </c>
      <c r="X422" s="590">
        <f t="shared" si="212"/>
        <v>-148.35535218358254</v>
      </c>
      <c r="Y422" s="593">
        <f t="shared" si="213"/>
        <v>31.644647816417461</v>
      </c>
      <c r="AA422" s="150">
        <f t="shared" si="214"/>
        <v>40975.25</v>
      </c>
      <c r="AB422" s="150">
        <f t="shared" si="215"/>
        <v>1678971112.5625</v>
      </c>
      <c r="AD422" s="592">
        <f t="shared" si="216"/>
        <v>27.428340184632084</v>
      </c>
      <c r="AE422" s="593">
        <f t="shared" si="217"/>
        <v>-13.491261449519374</v>
      </c>
      <c r="AG422" s="592">
        <f t="shared" si="218"/>
        <v>-3.7866961974593045</v>
      </c>
      <c r="AH422" s="593">
        <f t="shared" si="219"/>
        <v>-78.174201054382365</v>
      </c>
      <c r="AJ422" s="150">
        <f t="shared" si="220"/>
        <v>0</v>
      </c>
      <c r="AK422" s="150">
        <f t="shared" si="232"/>
        <v>0</v>
      </c>
      <c r="AM422" s="150" t="str">
        <f t="shared" si="224"/>
        <v>0.258562315902026+0.671021728857891i</v>
      </c>
      <c r="AN422" s="150" t="str">
        <f t="shared" si="225"/>
        <v>0.7355859670395i</v>
      </c>
      <c r="AO422" s="150" t="str">
        <f t="shared" si="226"/>
        <v>0.91222747432029-0.351505231866586i</v>
      </c>
      <c r="AP422" s="150" t="str">
        <f t="shared" si="227"/>
        <v>0.123572947349662-0.111836954809649i</v>
      </c>
      <c r="AQ422" s="150" t="str">
        <f t="shared" si="228"/>
        <v>0.876427052650338+0.111836954809649i</v>
      </c>
      <c r="AR422" s="150" t="str">
        <f t="shared" si="229"/>
        <v>0.935221518212522-0.119339454838888i</v>
      </c>
    </row>
    <row r="423" spans="7:44" x14ac:dyDescent="0.25">
      <c r="G423" s="594">
        <v>41212.5</v>
      </c>
      <c r="H423" s="582">
        <f t="shared" si="221"/>
        <v>41.212499999999999</v>
      </c>
      <c r="I423" s="583">
        <f t="shared" si="201"/>
        <v>40.220957630809849</v>
      </c>
      <c r="J423" s="584">
        <f t="shared" si="202"/>
        <v>1.545931104460798</v>
      </c>
      <c r="K423" s="584">
        <f t="shared" si="203"/>
        <v>1.0002479309409622</v>
      </c>
      <c r="L423" s="585">
        <f t="shared" si="204"/>
        <v>2.2265656379474977E-2</v>
      </c>
      <c r="M423" s="584">
        <f t="shared" si="205"/>
        <v>1.0596978083841135</v>
      </c>
      <c r="N423" s="585">
        <f t="shared" si="206"/>
        <v>-0.33725887439258512</v>
      </c>
      <c r="O423" s="583">
        <f t="shared" si="207"/>
        <v>74576.382969464539</v>
      </c>
      <c r="P423" s="586">
        <f t="shared" si="208"/>
        <v>1.5707829177240862</v>
      </c>
      <c r="Q423" s="595">
        <f t="shared" si="230"/>
        <v>31.089579622082695</v>
      </c>
      <c r="R423" s="596">
        <f t="shared" si="231"/>
        <v>1.538625659807545</v>
      </c>
      <c r="S423" s="583">
        <f t="shared" si="209"/>
        <v>1.0212315432539243</v>
      </c>
      <c r="T423" s="586">
        <f t="shared" si="210"/>
        <v>0.20426735881306973</v>
      </c>
      <c r="U423" s="587">
        <f t="shared" si="222"/>
        <v>0.9208858929787157</v>
      </c>
      <c r="V423" s="588">
        <f t="shared" si="223"/>
        <v>-0.49736319998140333</v>
      </c>
      <c r="W423" s="589">
        <f t="shared" si="211"/>
        <v>-3.217194431753398</v>
      </c>
      <c r="X423" s="590">
        <f t="shared" si="212"/>
        <v>-148.66605479653319</v>
      </c>
      <c r="Y423" s="593">
        <f t="shared" si="213"/>
        <v>31.333945203466811</v>
      </c>
      <c r="AA423" s="150">
        <f t="shared" si="214"/>
        <v>41212.5</v>
      </c>
      <c r="AB423" s="150">
        <f t="shared" si="215"/>
        <v>1698470156.25</v>
      </c>
      <c r="AD423" s="592">
        <f t="shared" si="216"/>
        <v>27.426235935688904</v>
      </c>
      <c r="AE423" s="593">
        <f t="shared" si="217"/>
        <v>-13.546132727083492</v>
      </c>
      <c r="AG423" s="592">
        <f t="shared" si="218"/>
        <v>-3.8237202146488518</v>
      </c>
      <c r="AH423" s="593">
        <f t="shared" si="219"/>
        <v>-78.126297516213896</v>
      </c>
      <c r="AJ423" s="150">
        <f t="shared" si="220"/>
        <v>0</v>
      </c>
      <c r="AK423" s="150">
        <f t="shared" si="232"/>
        <v>0</v>
      </c>
      <c r="AM423" s="150" t="str">
        <f t="shared" si="224"/>
        <v>0.261426982083914+0.67417349191905i</v>
      </c>
      <c r="AN423" s="150" t="str">
        <f t="shared" si="225"/>
        <v>0.739845069075i</v>
      </c>
      <c r="AO423" s="150" t="str">
        <f t="shared" si="226"/>
        <v>0.911236041299759-0.353353685807173i</v>
      </c>
      <c r="AP423" s="150" t="str">
        <f t="shared" si="227"/>
        <v>0.123095502986014-0.112362248653175i</v>
      </c>
      <c r="AQ423" s="150" t="str">
        <f t="shared" si="228"/>
        <v>0.876904497013986+0.112362248653175i</v>
      </c>
      <c r="AR423" s="150" t="str">
        <f t="shared" si="229"/>
        <v>0.934587780093845-0.119753502111928i</v>
      </c>
    </row>
    <row r="424" spans="7:44" x14ac:dyDescent="0.25">
      <c r="G424" s="594">
        <v>41449.75</v>
      </c>
      <c r="H424" s="582">
        <f t="shared" si="221"/>
        <v>41.449750000000002</v>
      </c>
      <c r="I424" s="583">
        <f t="shared" si="201"/>
        <v>40.452356851987965</v>
      </c>
      <c r="J424" s="584">
        <f t="shared" si="202"/>
        <v>1.5460733698188405</v>
      </c>
      <c r="K424" s="584">
        <f t="shared" si="203"/>
        <v>1.0002507933507139</v>
      </c>
      <c r="L424" s="585">
        <f t="shared" si="204"/>
        <v>2.2393791439060142E-2</v>
      </c>
      <c r="M424" s="584">
        <f t="shared" si="205"/>
        <v>1.0603674896967707</v>
      </c>
      <c r="N424" s="585">
        <f t="shared" si="206"/>
        <v>-0.33905534452708341</v>
      </c>
      <c r="O424" s="583">
        <f t="shared" si="207"/>
        <v>75005.700454604565</v>
      </c>
      <c r="P424" s="586">
        <f t="shared" si="208"/>
        <v>1.5707829944749001</v>
      </c>
      <c r="Q424" s="595">
        <f t="shared" si="230"/>
        <v>31.268369877666704</v>
      </c>
      <c r="R424" s="596">
        <f t="shared" si="231"/>
        <v>1.5388096722742168</v>
      </c>
      <c r="S424" s="583">
        <f t="shared" si="209"/>
        <v>1.021474118991363</v>
      </c>
      <c r="T424" s="586">
        <f t="shared" si="210"/>
        <v>0.20541056504311908</v>
      </c>
      <c r="U424" s="587">
        <f t="shared" si="222"/>
        <v>0.92007666115536879</v>
      </c>
      <c r="V424" s="588">
        <f t="shared" si="223"/>
        <v>-0.50001054288697999</v>
      </c>
      <c r="W424" s="589">
        <f t="shared" si="211"/>
        <v>-3.2712610187849309</v>
      </c>
      <c r="X424" s="590">
        <f t="shared" si="212"/>
        <v>-148.97643828736872</v>
      </c>
      <c r="Y424" s="593">
        <f t="shared" si="213"/>
        <v>31.023561712631277</v>
      </c>
      <c r="AA424" s="150">
        <f t="shared" si="214"/>
        <v>41449.75</v>
      </c>
      <c r="AB424" s="150">
        <f t="shared" si="215"/>
        <v>1718081775.0625</v>
      </c>
      <c r="AD424" s="592">
        <f t="shared" si="216"/>
        <v>27.424121709837614</v>
      </c>
      <c r="AE424" s="593">
        <f t="shared" si="217"/>
        <v>-13.60109487902081</v>
      </c>
      <c r="AG424" s="592">
        <f t="shared" si="218"/>
        <v>-3.8604003504465032</v>
      </c>
      <c r="AH424" s="593">
        <f t="shared" si="219"/>
        <v>-78.078355703938584</v>
      </c>
      <c r="AJ424" s="150">
        <f t="shared" si="220"/>
        <v>0</v>
      </c>
      <c r="AK424" s="150">
        <f t="shared" si="232"/>
        <v>0</v>
      </c>
      <c r="AM424" s="150" t="str">
        <f t="shared" si="224"/>
        <v>0.264305045923275+0.67731302552516i</v>
      </c>
      <c r="AN424" s="150" t="str">
        <f t="shared" si="225"/>
        <v>0.7441041711105i</v>
      </c>
      <c r="AO424" s="150" t="str">
        <f t="shared" si="226"/>
        <v>0.910239522665676-0.355198984476631i</v>
      </c>
      <c r="AP424" s="150" t="str">
        <f t="shared" si="227"/>
        <v>0.122615825679454-0.112885504254193i</v>
      </c>
      <c r="AQ424" s="150" t="str">
        <f t="shared" si="228"/>
        <v>0.877384174320546+0.112885504254193i</v>
      </c>
      <c r="AR424" s="150" t="str">
        <f t="shared" si="229"/>
        <v>0.933952635550854-0.120163683480314i</v>
      </c>
    </row>
    <row r="425" spans="7:44" x14ac:dyDescent="0.25">
      <c r="G425" s="594">
        <v>41687</v>
      </c>
      <c r="H425" s="582">
        <f t="shared" si="221"/>
        <v>41.686999999999998</v>
      </c>
      <c r="I425" s="583">
        <f t="shared" si="201"/>
        <v>40.6837568825853</v>
      </c>
      <c r="J425" s="584">
        <f t="shared" si="202"/>
        <v>1.5462140168331819</v>
      </c>
      <c r="K425" s="584">
        <f t="shared" si="203"/>
        <v>1.0002536721830828</v>
      </c>
      <c r="L425" s="585">
        <f t="shared" si="204"/>
        <v>2.2521925763177467E-2</v>
      </c>
      <c r="M425" s="584">
        <f t="shared" si="205"/>
        <v>1.0610405888124426</v>
      </c>
      <c r="N425" s="585">
        <f t="shared" si="206"/>
        <v>-0.34084954116935884</v>
      </c>
      <c r="O425" s="583">
        <f t="shared" si="207"/>
        <v>75435.017939745027</v>
      </c>
      <c r="P425" s="586">
        <f t="shared" si="208"/>
        <v>1.570783070352102</v>
      </c>
      <c r="Q425" s="595">
        <f t="shared" si="230"/>
        <v>31.447161179977023</v>
      </c>
      <c r="R425" s="596">
        <f t="shared" si="231"/>
        <v>1.5389915923591677</v>
      </c>
      <c r="S425" s="583">
        <f t="shared" si="209"/>
        <v>1.0217180290793313</v>
      </c>
      <c r="T425" s="586">
        <f t="shared" si="210"/>
        <v>0.20655322694111916</v>
      </c>
      <c r="U425" s="587">
        <f t="shared" si="222"/>
        <v>0.91926479265311845</v>
      </c>
      <c r="V425" s="588">
        <f t="shared" si="223"/>
        <v>-0.5026546347821863</v>
      </c>
      <c r="W425" s="589">
        <f t="shared" si="211"/>
        <v>-3.3250605133847886</v>
      </c>
      <c r="X425" s="590">
        <f t="shared" si="212"/>
        <v>-149.28650121205513</v>
      </c>
      <c r="Y425" s="593">
        <f t="shared" si="213"/>
        <v>30.713498787944872</v>
      </c>
      <c r="AA425" s="150">
        <f t="shared" si="214"/>
        <v>41687</v>
      </c>
      <c r="AB425" s="150">
        <f t="shared" si="215"/>
        <v>1737805969</v>
      </c>
      <c r="AD425" s="592">
        <f t="shared" si="216"/>
        <v>27.421997502771212</v>
      </c>
      <c r="AE425" s="593">
        <f t="shared" si="217"/>
        <v>-13.656145677616612</v>
      </c>
      <c r="AG425" s="592">
        <f t="shared" si="218"/>
        <v>-3.8967401478684893</v>
      </c>
      <c r="AH425" s="593">
        <f t="shared" si="219"/>
        <v>-78.030377217202826</v>
      </c>
      <c r="AJ425" s="150">
        <f t="shared" si="220"/>
        <v>0</v>
      </c>
      <c r="AK425" s="150">
        <f t="shared" si="232"/>
        <v>0</v>
      </c>
      <c r="AM425" s="150" t="str">
        <f t="shared" si="224"/>
        <v>0.267196455212254+0.680440272725325i</v>
      </c>
      <c r="AN425" s="150" t="str">
        <f t="shared" si="225"/>
        <v>0.748363273146i</v>
      </c>
      <c r="AO425" s="150" t="str">
        <f t="shared" si="226"/>
        <v>0.909237929147515-0.357041111984294i</v>
      </c>
      <c r="AP425" s="150" t="str">
        <f t="shared" si="227"/>
        <v>0.122133924131291-0.113406712120888i</v>
      </c>
      <c r="AQ425" s="150" t="str">
        <f t="shared" si="228"/>
        <v>0.877866075868709+0.113406712120888i</v>
      </c>
      <c r="AR425" s="150" t="str">
        <f t="shared" si="229"/>
        <v>0.933316112089492-0.120569998717377i</v>
      </c>
    </row>
    <row r="426" spans="7:44" x14ac:dyDescent="0.25">
      <c r="G426" s="594">
        <v>41929.75</v>
      </c>
      <c r="H426" s="582">
        <f t="shared" si="221"/>
        <v>41.929749999999999</v>
      </c>
      <c r="I426" s="583">
        <f t="shared" si="201"/>
        <v>40.920522120914129</v>
      </c>
      <c r="J426" s="584">
        <f t="shared" si="202"/>
        <v>1.5463562779448983</v>
      </c>
      <c r="K426" s="584">
        <f t="shared" si="203"/>
        <v>1.000256634751352</v>
      </c>
      <c r="L426" s="585">
        <f t="shared" si="204"/>
        <v>2.2653029769650033E-2</v>
      </c>
      <c r="M426" s="584">
        <f t="shared" si="205"/>
        <v>1.0617328227017733</v>
      </c>
      <c r="N426" s="585">
        <f t="shared" si="206"/>
        <v>-0.34268297072438636</v>
      </c>
      <c r="O426" s="583">
        <f t="shared" si="207"/>
        <v>75874.287990400248</v>
      </c>
      <c r="P426" s="586">
        <f t="shared" si="208"/>
        <v>1.5707831470995544</v>
      </c>
      <c r="Q426" s="595">
        <f t="shared" si="230"/>
        <v>31.630098340278032</v>
      </c>
      <c r="R426" s="596">
        <f t="shared" si="231"/>
        <v>1.5391756010630031</v>
      </c>
      <c r="S426" s="583">
        <f t="shared" si="209"/>
        <v>1.0219689736759388</v>
      </c>
      <c r="T426" s="586">
        <f t="shared" si="210"/>
        <v>0.20772181225553518</v>
      </c>
      <c r="U426" s="587">
        <f t="shared" si="222"/>
        <v>0.91843140114744659</v>
      </c>
      <c r="V426" s="588">
        <f t="shared" si="223"/>
        <v>-0.50535665058880319</v>
      </c>
      <c r="W426" s="589">
        <f t="shared" si="211"/>
        <v>-3.3798340439924157</v>
      </c>
      <c r="X426" s="590">
        <f t="shared" si="212"/>
        <v>-149.60341882659239</v>
      </c>
      <c r="Y426" s="593">
        <f t="shared" si="213"/>
        <v>30.396581173407611</v>
      </c>
      <c r="AA426" s="150">
        <f t="shared" si="214"/>
        <v>41929.75</v>
      </c>
      <c r="AB426" s="150">
        <f t="shared" si="215"/>
        <v>1758103935.0625</v>
      </c>
      <c r="AD426" s="592">
        <f t="shared" si="216"/>
        <v>27.419813716902496</v>
      </c>
      <c r="AE426" s="593">
        <f t="shared" si="217"/>
        <v>-13.712562159379745</v>
      </c>
      <c r="AG426" s="592">
        <f t="shared" si="218"/>
        <v>-3.9335737580205676</v>
      </c>
      <c r="AH426" s="593">
        <f t="shared" si="219"/>
        <v>-77.981250145829577</v>
      </c>
      <c r="AJ426" s="150">
        <f t="shared" si="220"/>
        <v>0</v>
      </c>
      <c r="AK426" s="150">
        <f t="shared" si="232"/>
        <v>0</v>
      </c>
      <c r="AM426" s="150" t="str">
        <f t="shared" si="224"/>
        <v>0.270168652404636+0.683627240583006i</v>
      </c>
      <c r="AN426" s="150" t="str">
        <f t="shared" si="225"/>
        <v>0.7527211109505i</v>
      </c>
      <c r="AO426" s="150" t="str">
        <f t="shared" si="226"/>
        <v>0.908207874918978-0.358922645418407i</v>
      </c>
      <c r="AP426" s="150" t="str">
        <f t="shared" si="227"/>
        <v>0.121638557932561-0.113937873430501i</v>
      </c>
      <c r="AQ426" s="150" t="str">
        <f t="shared" si="228"/>
        <v>0.878361442067439+0.113937873430501i</v>
      </c>
      <c r="AR426" s="150" t="str">
        <f t="shared" si="229"/>
        <v>0.932663433907516-0.120981731661272i</v>
      </c>
    </row>
    <row r="427" spans="7:44" x14ac:dyDescent="0.25">
      <c r="G427" s="594">
        <v>42172.5</v>
      </c>
      <c r="H427" s="582">
        <f t="shared" si="221"/>
        <v>42.172499999999999</v>
      </c>
      <c r="I427" s="583">
        <f t="shared" si="201"/>
        <v>41.157288177873362</v>
      </c>
      <c r="J427" s="584">
        <f t="shared" si="202"/>
        <v>1.5464969022848074</v>
      </c>
      <c r="K427" s="584">
        <f t="shared" si="203"/>
        <v>1.0002596145121907</v>
      </c>
      <c r="L427" s="585">
        <f t="shared" si="204"/>
        <v>2.2784132997261647E-2</v>
      </c>
      <c r="M427" s="584">
        <f t="shared" si="205"/>
        <v>1.0624286209099105</v>
      </c>
      <c r="N427" s="585">
        <f t="shared" si="206"/>
        <v>-0.34451400495433826</v>
      </c>
      <c r="O427" s="583">
        <f t="shared" si="207"/>
        <v>76313.55804105592</v>
      </c>
      <c r="P427" s="586">
        <f t="shared" si="208"/>
        <v>1.5707832229634715</v>
      </c>
      <c r="Q427" s="595">
        <f t="shared" si="230"/>
        <v>31.813036559231968</v>
      </c>
      <c r="R427" s="596">
        <f t="shared" si="231"/>
        <v>1.5393574935194654</v>
      </c>
      <c r="S427" s="583">
        <f t="shared" si="209"/>
        <v>1.0222213131785118</v>
      </c>
      <c r="T427" s="586">
        <f t="shared" si="210"/>
        <v>0.20888982222421423</v>
      </c>
      <c r="U427" s="587">
        <f t="shared" si="222"/>
        <v>0.9175953041731485</v>
      </c>
      <c r="V427" s="588">
        <f t="shared" si="223"/>
        <v>-0.50805524827365167</v>
      </c>
      <c r="W427" s="589">
        <f t="shared" si="211"/>
        <v>-3.4343345811898871</v>
      </c>
      <c r="X427" s="590">
        <f t="shared" si="212"/>
        <v>-149.91999785620712</v>
      </c>
      <c r="Y427" s="593">
        <f t="shared" si="213"/>
        <v>30.080002143792882</v>
      </c>
      <c r="AA427" s="150">
        <f t="shared" si="214"/>
        <v>42172.5</v>
      </c>
      <c r="AB427" s="150">
        <f t="shared" si="215"/>
        <v>1778519756.25</v>
      </c>
      <c r="AD427" s="592">
        <f t="shared" si="216"/>
        <v>27.417619474576711</v>
      </c>
      <c r="AE427" s="593">
        <f t="shared" si="217"/>
        <v>-13.769066877680544</v>
      </c>
      <c r="AG427" s="592">
        <f t="shared" si="218"/>
        <v>-3.9700583951213009</v>
      </c>
      <c r="AH427" s="593">
        <f t="shared" si="219"/>
        <v>-77.932087940898953</v>
      </c>
      <c r="AJ427" s="150">
        <f t="shared" si="220"/>
        <v>0</v>
      </c>
      <c r="AK427" s="150">
        <f t="shared" si="232"/>
        <v>0</v>
      </c>
      <c r="AM427" s="150" t="str">
        <f t="shared" si="224"/>
        <v>0.27315470961999+0.686801225866989i</v>
      </c>
      <c r="AN427" s="150" t="str">
        <f t="shared" si="225"/>
        <v>0.757078948755i</v>
      </c>
      <c r="AO427" s="150" t="str">
        <f t="shared" si="226"/>
        <v>0.907172530680478-0.360800825421427i</v>
      </c>
      <c r="AP427" s="150" t="str">
        <f t="shared" si="227"/>
        <v>0.121140881730002-0.114466870977831i</v>
      </c>
      <c r="AQ427" s="150" t="str">
        <f t="shared" si="228"/>
        <v>0.878859118269998+0.114466870977831i</v>
      </c>
      <c r="AR427" s="150" t="str">
        <f t="shared" si="229"/>
        <v>0.932009370098141-0.121389417370053i</v>
      </c>
    </row>
    <row r="428" spans="7:44" x14ac:dyDescent="0.25">
      <c r="G428" s="594">
        <v>42415.25</v>
      </c>
      <c r="H428" s="582">
        <f t="shared" si="221"/>
        <v>42.41525</v>
      </c>
      <c r="I428" s="583">
        <f t="shared" si="201"/>
        <v>41.394055039415747</v>
      </c>
      <c r="J428" s="584">
        <f t="shared" si="202"/>
        <v>1.5466359179334572</v>
      </c>
      <c r="K428" s="584">
        <f t="shared" si="203"/>
        <v>1.0002626114654456</v>
      </c>
      <c r="L428" s="585">
        <f t="shared" si="204"/>
        <v>2.2915235441512465E-2</v>
      </c>
      <c r="M428" s="584">
        <f t="shared" si="205"/>
        <v>1.063127976438506</v>
      </c>
      <c r="N428" s="585">
        <f t="shared" si="206"/>
        <v>-0.34634263629662854</v>
      </c>
      <c r="O428" s="583">
        <f t="shared" si="207"/>
        <v>76752.828091712028</v>
      </c>
      <c r="P428" s="586">
        <f t="shared" si="208"/>
        <v>1.5707832979590233</v>
      </c>
      <c r="Q428" s="595">
        <f t="shared" si="230"/>
        <v>31.995975818680165</v>
      </c>
      <c r="R428" s="596">
        <f t="shared" si="231"/>
        <v>1.5395373060157973</v>
      </c>
      <c r="S428" s="583">
        <f t="shared" si="209"/>
        <v>1.0224750465542927</v>
      </c>
      <c r="T428" s="586">
        <f t="shared" si="210"/>
        <v>0.21005725408740564</v>
      </c>
      <c r="U428" s="587">
        <f t="shared" si="222"/>
        <v>0.91675652940749597</v>
      </c>
      <c r="V428" s="588">
        <f t="shared" si="223"/>
        <v>-0.51075042066414611</v>
      </c>
      <c r="W428" s="589">
        <f t="shared" si="211"/>
        <v>-3.4885653881435696</v>
      </c>
      <c r="X428" s="590">
        <f t="shared" si="212"/>
        <v>-150.23623682943207</v>
      </c>
      <c r="Y428" s="593">
        <f t="shared" si="213"/>
        <v>29.763763170567927</v>
      </c>
      <c r="AA428" s="150">
        <f t="shared" si="214"/>
        <v>42415.25</v>
      </c>
      <c r="AB428" s="150">
        <f t="shared" si="215"/>
        <v>1799053432.5625</v>
      </c>
      <c r="AD428" s="592">
        <f t="shared" si="216"/>
        <v>27.415414773186143</v>
      </c>
      <c r="AE428" s="593">
        <f t="shared" si="217"/>
        <v>-13.825657596160246</v>
      </c>
      <c r="AG428" s="592">
        <f t="shared" si="218"/>
        <v>-4.0061976780584763</v>
      </c>
      <c r="AH428" s="593">
        <f t="shared" si="219"/>
        <v>-77.882892189220286</v>
      </c>
      <c r="AJ428" s="150">
        <f t="shared" si="220"/>
        <v>0</v>
      </c>
      <c r="AK428" s="150">
        <f t="shared" si="232"/>
        <v>0</v>
      </c>
      <c r="AM428" s="150" t="str">
        <f t="shared" si="224"/>
        <v>0.276154570150936+0.689962168301005i</v>
      </c>
      <c r="AN428" s="150" t="str">
        <f t="shared" si="225"/>
        <v>0.7614367865595i</v>
      </c>
      <c r="AO428" s="150" t="str">
        <f t="shared" si="226"/>
        <v>0.906131908097784-0.362675635096016i</v>
      </c>
      <c r="AP428" s="150" t="str">
        <f t="shared" si="227"/>
        <v>0.120640904974844-0.114993694716834i</v>
      </c>
      <c r="AQ428" s="150" t="str">
        <f t="shared" si="228"/>
        <v>0.879359095025156+0.114993694716834i</v>
      </c>
      <c r="AR428" s="150" t="str">
        <f t="shared" si="229"/>
        <v>0.931353949822238-0.12179305631235i</v>
      </c>
    </row>
    <row r="429" spans="7:44" x14ac:dyDescent="0.25">
      <c r="G429" s="594">
        <v>42658</v>
      </c>
      <c r="H429" s="582">
        <f t="shared" si="221"/>
        <v>42.658000000000001</v>
      </c>
      <c r="I429" s="583">
        <f t="shared" si="201"/>
        <v>41.630822691813599</v>
      </c>
      <c r="J429" s="584">
        <f t="shared" si="202"/>
        <v>1.5467733523328362</v>
      </c>
      <c r="K429" s="584">
        <f t="shared" si="203"/>
        <v>1.0002656256109617</v>
      </c>
      <c r="L429" s="585">
        <f t="shared" si="204"/>
        <v>2.3046337097902811E-2</v>
      </c>
      <c r="M429" s="584">
        <f t="shared" si="205"/>
        <v>1.0638308822718818</v>
      </c>
      <c r="N429" s="585">
        <f t="shared" si="206"/>
        <v>-0.34816885727278657</v>
      </c>
      <c r="O429" s="583">
        <f t="shared" si="207"/>
        <v>77192.098142368544</v>
      </c>
      <c r="P429" s="586">
        <f t="shared" si="208"/>
        <v>1.5707833721010342</v>
      </c>
      <c r="Q429" s="595">
        <f t="shared" si="230"/>
        <v>32.178916100876783</v>
      </c>
      <c r="R429" s="596">
        <f t="shared" si="231"/>
        <v>1.5397150740146011</v>
      </c>
      <c r="S429" s="583">
        <f t="shared" si="209"/>
        <v>1.0227301727658455</v>
      </c>
      <c r="T429" s="586">
        <f t="shared" si="210"/>
        <v>0.21122410509439307</v>
      </c>
      <c r="U429" s="587">
        <f t="shared" si="222"/>
        <v>0.91591510447489088</v>
      </c>
      <c r="V429" s="588">
        <f t="shared" si="223"/>
        <v>-0.51344216073998317</v>
      </c>
      <c r="W429" s="589">
        <f t="shared" si="211"/>
        <v>-3.5425296707031189</v>
      </c>
      <c r="X429" s="590">
        <f t="shared" si="212"/>
        <v>-150.55213429950419</v>
      </c>
      <c r="Y429" s="593">
        <f t="shared" si="213"/>
        <v>29.447865700495811</v>
      </c>
      <c r="AA429" s="150">
        <f t="shared" si="214"/>
        <v>42658</v>
      </c>
      <c r="AB429" s="150">
        <f t="shared" si="215"/>
        <v>1819704964</v>
      </c>
      <c r="AD429" s="592">
        <f t="shared" si="216"/>
        <v>27.413199610758102</v>
      </c>
      <c r="AE429" s="593">
        <f t="shared" si="217"/>
        <v>-13.882332126206341</v>
      </c>
      <c r="AG429" s="592">
        <f t="shared" si="218"/>
        <v>-4.0419951689253883</v>
      </c>
      <c r="AH429" s="593">
        <f t="shared" si="219"/>
        <v>-77.833664437110457</v>
      </c>
      <c r="AJ429" s="150">
        <f t="shared" si="220"/>
        <v>0</v>
      </c>
      <c r="AK429" s="150">
        <f t="shared" si="232"/>
        <v>0</v>
      </c>
      <c r="AM429" s="150" t="str">
        <f t="shared" si="224"/>
        <v>0.279168177027965+0.693110007856482i</v>
      </c>
      <c r="AN429" s="150" t="str">
        <f t="shared" si="225"/>
        <v>0.765794624364i</v>
      </c>
      <c r="AO429" s="150" t="str">
        <f t="shared" si="226"/>
        <v>0.905086018894579-0.364547057587166i</v>
      </c>
      <c r="AP429" s="150" t="str">
        <f t="shared" si="227"/>
        <v>0.120138637162006-0.115518334642747i</v>
      </c>
      <c r="AQ429" s="150" t="str">
        <f t="shared" si="228"/>
        <v>0.879861362837994+0.115518334642747i</v>
      </c>
      <c r="AR429" s="150" t="str">
        <f t="shared" si="229"/>
        <v>0.930697202134651-0.122192649192456i</v>
      </c>
    </row>
    <row r="430" spans="7:44" x14ac:dyDescent="0.25">
      <c r="G430" s="594">
        <v>42906.5</v>
      </c>
      <c r="H430" s="582">
        <f t="shared" si="221"/>
        <v>42.906500000000001</v>
      </c>
      <c r="I430" s="583">
        <f t="shared" si="201"/>
        <v>41.873199445989343</v>
      </c>
      <c r="J430" s="584">
        <f t="shared" si="202"/>
        <v>1.5469124322522616</v>
      </c>
      <c r="K430" s="584">
        <f t="shared" si="203"/>
        <v>1.0002687289600736</v>
      </c>
      <c r="L430" s="585">
        <f t="shared" si="204"/>
        <v>2.3180543328059838E-2</v>
      </c>
      <c r="M430" s="584">
        <f t="shared" si="205"/>
        <v>1.064554107882254</v>
      </c>
      <c r="N430" s="585">
        <f t="shared" si="206"/>
        <v>-0.35003583139761907</v>
      </c>
      <c r="O430" s="583">
        <f t="shared" si="207"/>
        <v>77641.773147881438</v>
      </c>
      <c r="P430" s="586">
        <f t="shared" si="208"/>
        <v>1.5707834471302589</v>
      </c>
      <c r="Q430" s="595">
        <f t="shared" si="230"/>
        <v>32.36619071629945</v>
      </c>
      <c r="R430" s="596">
        <f t="shared" si="231"/>
        <v>1.5398949712581662</v>
      </c>
      <c r="S430" s="583">
        <f t="shared" si="209"/>
        <v>1.0229927837582753</v>
      </c>
      <c r="T430" s="586">
        <f t="shared" si="210"/>
        <v>0.21241799068925521</v>
      </c>
      <c r="U430" s="587">
        <f t="shared" si="222"/>
        <v>0.91505103248690667</v>
      </c>
      <c r="V430" s="588">
        <f t="shared" si="223"/>
        <v>-0.5161940974507534</v>
      </c>
      <c r="W430" s="589">
        <f t="shared" si="211"/>
        <v>-3.5974994201320531</v>
      </c>
      <c r="X430" s="590">
        <f t="shared" si="212"/>
        <v>-150.87515919038898</v>
      </c>
      <c r="Y430" s="593">
        <f t="shared" si="213"/>
        <v>29.124840809611015</v>
      </c>
      <c r="AA430" s="150">
        <f t="shared" si="214"/>
        <v>42906.5</v>
      </c>
      <c r="AB430" s="150">
        <f t="shared" si="215"/>
        <v>1840967742.25</v>
      </c>
      <c r="AD430" s="592">
        <f t="shared" si="216"/>
        <v>27.410921140883278</v>
      </c>
      <c r="AE430" s="593">
        <f t="shared" si="217"/>
        <v>-13.940433678135387</v>
      </c>
      <c r="AG430" s="592">
        <f t="shared" si="218"/>
        <v>-4.0782902206462674</v>
      </c>
      <c r="AH430" s="593">
        <f t="shared" si="219"/>
        <v>-77.783239057677349</v>
      </c>
      <c r="AJ430" s="150">
        <f t="shared" si="220"/>
        <v>0</v>
      </c>
      <c r="AK430" s="150">
        <f t="shared" si="232"/>
        <v>0</v>
      </c>
      <c r="AM430" s="150" t="str">
        <f t="shared" si="224"/>
        <v>0.282267345837733+0.696318775525397i</v>
      </c>
      <c r="AN430" s="150" t="str">
        <f t="shared" si="225"/>
        <v>0.770255685927i</v>
      </c>
      <c r="AO430" s="150" t="str">
        <f t="shared" si="226"/>
        <v>0.904009912873775-0.366459282281085i</v>
      </c>
      <c r="AP430" s="150" t="str">
        <f t="shared" si="227"/>
        <v>0.119622109027044-0.116053129254233i</v>
      </c>
      <c r="AQ430" s="150" t="str">
        <f t="shared" si="228"/>
        <v>0.880377890972956+0.116053129254233i</v>
      </c>
      <c r="AR430" s="150" t="str">
        <f t="shared" si="229"/>
        <v>0.930023553388707-0.12259751722254i</v>
      </c>
    </row>
    <row r="431" spans="7:44" x14ac:dyDescent="0.25">
      <c r="G431" s="594">
        <v>43155</v>
      </c>
      <c r="H431" s="582">
        <f t="shared" si="221"/>
        <v>43.155000000000001</v>
      </c>
      <c r="I431" s="583">
        <f t="shared" si="201"/>
        <v>42.115577000805025</v>
      </c>
      <c r="J431" s="584">
        <f t="shared" si="202"/>
        <v>1.5470499113485363</v>
      </c>
      <c r="K431" s="584">
        <f t="shared" si="203"/>
        <v>1.0002718503252257</v>
      </c>
      <c r="L431" s="585">
        <f t="shared" si="204"/>
        <v>2.3314748723048465E-2</v>
      </c>
      <c r="M431" s="584">
        <f t="shared" si="205"/>
        <v>1.0652810390484779</v>
      </c>
      <c r="N431" s="585">
        <f t="shared" si="206"/>
        <v>-0.35190026402568331</v>
      </c>
      <c r="O431" s="583">
        <f t="shared" si="207"/>
        <v>78091.44815339474</v>
      </c>
      <c r="P431" s="586">
        <f t="shared" si="208"/>
        <v>1.5707835212954</v>
      </c>
      <c r="Q431" s="595">
        <f t="shared" si="230"/>
        <v>32.553466367137908</v>
      </c>
      <c r="R431" s="596">
        <f t="shared" si="231"/>
        <v>1.5400727986588325</v>
      </c>
      <c r="S431" s="583">
        <f t="shared" si="209"/>
        <v>1.0232568521369267</v>
      </c>
      <c r="T431" s="586">
        <f t="shared" si="210"/>
        <v>0.2136112617803283</v>
      </c>
      <c r="U431" s="587">
        <f t="shared" si="222"/>
        <v>0.91418424170177981</v>
      </c>
      <c r="V431" s="588">
        <f t="shared" si="223"/>
        <v>-0.51894242291770287</v>
      </c>
      <c r="W431" s="589">
        <f t="shared" si="211"/>
        <v>-3.6521964895747128</v>
      </c>
      <c r="X431" s="590">
        <f t="shared" si="212"/>
        <v>-151.1978232179269</v>
      </c>
      <c r="Y431" s="593">
        <f t="shared" si="213"/>
        <v>28.802176782073104</v>
      </c>
      <c r="AA431" s="150">
        <f t="shared" si="214"/>
        <v>43155</v>
      </c>
      <c r="AB431" s="150">
        <f t="shared" si="215"/>
        <v>1862354025</v>
      </c>
      <c r="AD431" s="592">
        <f t="shared" si="216"/>
        <v>27.408631706293825</v>
      </c>
      <c r="AE431" s="593">
        <f t="shared" si="217"/>
        <v>-13.998618565344948</v>
      </c>
      <c r="AG431" s="592">
        <f t="shared" si="218"/>
        <v>-4.1142344737384953</v>
      </c>
      <c r="AH431" s="593">
        <f t="shared" si="219"/>
        <v>-77.732783297676818</v>
      </c>
      <c r="AJ431" s="150">
        <f t="shared" si="220"/>
        <v>0</v>
      </c>
      <c r="AK431" s="150">
        <f t="shared" si="232"/>
        <v>0</v>
      </c>
      <c r="AM431" s="150" t="str">
        <f t="shared" si="224"/>
        <v>0.285380798271798+0.699513685728412i</v>
      </c>
      <c r="AN431" s="150" t="str">
        <f t="shared" si="225"/>
        <v>0.77471674749i</v>
      </c>
      <c r="AO431" s="150" t="str">
        <f t="shared" si="226"/>
        <v>0.902928312824993-0.368367921819686i</v>
      </c>
      <c r="AP431" s="150" t="str">
        <f t="shared" si="227"/>
        <v>0.119103200288034-0.116585614288069i</v>
      </c>
      <c r="AQ431" s="150" t="str">
        <f t="shared" si="228"/>
        <v>0.880896799711966+0.116585614288069i</v>
      </c>
      <c r="AR431" s="150" t="str">
        <f t="shared" si="229"/>
        <v>0.929348574869386-0.122998147483697i</v>
      </c>
    </row>
    <row r="432" spans="7:44" x14ac:dyDescent="0.25">
      <c r="G432" s="594">
        <v>43403.5</v>
      </c>
      <c r="H432" s="582">
        <f t="shared" si="221"/>
        <v>43.403500000000001</v>
      </c>
      <c r="I432" s="583">
        <f t="shared" si="201"/>
        <v>42.357955342516554</v>
      </c>
      <c r="J432" s="584">
        <f t="shared" si="202"/>
        <v>1.5471858170968427</v>
      </c>
      <c r="K432" s="584">
        <f t="shared" si="203"/>
        <v>1.0002749897062497</v>
      </c>
      <c r="L432" s="585">
        <f t="shared" si="204"/>
        <v>2.3448953278042164E-2</v>
      </c>
      <c r="M432" s="584">
        <f t="shared" si="205"/>
        <v>1.0660116681899126</v>
      </c>
      <c r="N432" s="585">
        <f t="shared" si="206"/>
        <v>-0.35376214740760098</v>
      </c>
      <c r="O432" s="583">
        <f t="shared" si="207"/>
        <v>78541.123158908493</v>
      </c>
      <c r="P432" s="586">
        <f t="shared" si="208"/>
        <v>1.5707835946112989</v>
      </c>
      <c r="Q432" s="595">
        <f t="shared" si="230"/>
        <v>32.740743035624547</v>
      </c>
      <c r="R432" s="596">
        <f t="shared" si="231"/>
        <v>1.5402485917236874</v>
      </c>
      <c r="S432" s="583">
        <f t="shared" si="209"/>
        <v>1.0235223767737849</v>
      </c>
      <c r="T432" s="586">
        <f t="shared" si="210"/>
        <v>0.21480391544637048</v>
      </c>
      <c r="U432" s="587">
        <f t="shared" si="222"/>
        <v>0.91331476156983671</v>
      </c>
      <c r="V432" s="588">
        <f t="shared" si="223"/>
        <v>-0.52168713010189538</v>
      </c>
      <c r="W432" s="589">
        <f t="shared" si="211"/>
        <v>-3.7066241399484041</v>
      </c>
      <c r="X432" s="590">
        <f t="shared" si="212"/>
        <v>-151.52012490836779</v>
      </c>
      <c r="Y432" s="593">
        <f t="shared" si="213"/>
        <v>28.479875091632209</v>
      </c>
      <c r="AA432" s="150">
        <f t="shared" si="214"/>
        <v>43403.5</v>
      </c>
      <c r="AB432" s="150">
        <f t="shared" si="215"/>
        <v>1883863812.25</v>
      </c>
      <c r="AD432" s="592">
        <f t="shared" si="216"/>
        <v>27.406331306816305</v>
      </c>
      <c r="AE432" s="593">
        <f t="shared" si="217"/>
        <v>-14.056884586904276</v>
      </c>
      <c r="AG432" s="592">
        <f t="shared" si="218"/>
        <v>-4.1498315727169368</v>
      </c>
      <c r="AH432" s="593">
        <f t="shared" si="219"/>
        <v>-77.682298690892054</v>
      </c>
      <c r="AJ432" s="150">
        <f t="shared" si="220"/>
        <v>0</v>
      </c>
      <c r="AK432" s="150">
        <f t="shared" si="232"/>
        <v>0</v>
      </c>
      <c r="AM432" s="150" t="str">
        <f t="shared" si="224"/>
        <v>0.288508472369226+0.7026946748835i</v>
      </c>
      <c r="AN432" s="150" t="str">
        <f t="shared" si="225"/>
        <v>0.779177809053i</v>
      </c>
      <c r="AO432" s="150" t="str">
        <f t="shared" si="226"/>
        <v>0.901841231512411-0.370272958260804i</v>
      </c>
      <c r="AP432" s="150" t="str">
        <f t="shared" si="227"/>
        <v>0.118581921271796-0.11711577914725i</v>
      </c>
      <c r="AQ432" s="150" t="str">
        <f t="shared" si="228"/>
        <v>0.881418078728204+0.11711577914725i</v>
      </c>
      <c r="AR432" s="150" t="str">
        <f t="shared" si="229"/>
        <v>0.928672297387614-0.123394541484729i</v>
      </c>
    </row>
    <row r="433" spans="7:44" x14ac:dyDescent="0.25">
      <c r="G433" s="594">
        <v>43652</v>
      </c>
      <c r="H433" s="582">
        <f t="shared" si="221"/>
        <v>43.652000000000001</v>
      </c>
      <c r="I433" s="583">
        <f t="shared" si="201"/>
        <v>42.60033445769259</v>
      </c>
      <c r="J433" s="584">
        <f t="shared" si="202"/>
        <v>1.5473201763473066</v>
      </c>
      <c r="K433" s="584">
        <f t="shared" si="203"/>
        <v>1.0002781471029756</v>
      </c>
      <c r="L433" s="585">
        <f t="shared" si="204"/>
        <v>2.3583156988214588E-2</v>
      </c>
      <c r="M433" s="584">
        <f t="shared" si="205"/>
        <v>1.066745987708174</v>
      </c>
      <c r="N433" s="585">
        <f t="shared" si="206"/>
        <v>-0.35562147388586812</v>
      </c>
      <c r="O433" s="583">
        <f t="shared" si="207"/>
        <v>78990.798164422653</v>
      </c>
      <c r="P433" s="586">
        <f t="shared" si="208"/>
        <v>1.5707836670924595</v>
      </c>
      <c r="Q433" s="595">
        <f t="shared" si="230"/>
        <v>32.928020704395891</v>
      </c>
      <c r="R433" s="596">
        <f t="shared" si="231"/>
        <v>1.5404223851525438</v>
      </c>
      <c r="S433" s="583">
        <f t="shared" si="209"/>
        <v>1.0237893565357872</v>
      </c>
      <c r="T433" s="586">
        <f t="shared" si="210"/>
        <v>0.21599594877618788</v>
      </c>
      <c r="U433" s="587">
        <f t="shared" si="222"/>
        <v>0.91244262147549482</v>
      </c>
      <c r="V433" s="588">
        <f t="shared" si="223"/>
        <v>-0.52442821212907287</v>
      </c>
      <c r="W433" s="589">
        <f t="shared" si="211"/>
        <v>-3.7607855748126284</v>
      </c>
      <c r="X433" s="590">
        <f t="shared" si="212"/>
        <v>-151.84206281365744</v>
      </c>
      <c r="Y433" s="593">
        <f t="shared" si="213"/>
        <v>28.157937186342565</v>
      </c>
      <c r="AA433" s="150">
        <f t="shared" si="214"/>
        <v>43652</v>
      </c>
      <c r="AB433" s="150">
        <f t="shared" si="215"/>
        <v>1905497104</v>
      </c>
      <c r="AD433" s="592">
        <f t="shared" si="216"/>
        <v>27.404019942892816</v>
      </c>
      <c r="AE433" s="593">
        <f t="shared" si="217"/>
        <v>-14.115229588692419</v>
      </c>
      <c r="AG433" s="592">
        <f t="shared" si="218"/>
        <v>-4.1850851051363467</v>
      </c>
      <c r="AH433" s="593">
        <f t="shared" si="219"/>
        <v>-77.631786731121764</v>
      </c>
      <c r="AJ433" s="150">
        <f t="shared" si="220"/>
        <v>0</v>
      </c>
      <c r="AK433" s="150">
        <f t="shared" si="232"/>
        <v>0</v>
      </c>
      <c r="AM433" s="150" t="str">
        <f t="shared" si="224"/>
        <v>0.29165030588606+0.705861679685678i</v>
      </c>
      <c r="AN433" s="150" t="str">
        <f t="shared" si="225"/>
        <v>0.783638870616i</v>
      </c>
      <c r="AO433" s="150" t="str">
        <f t="shared" si="226"/>
        <v>0.900748681763089-0.372174373709666i</v>
      </c>
      <c r="AP433" s="150" t="str">
        <f t="shared" si="227"/>
        <v>0.118058282352323-0.117643613280946i</v>
      </c>
      <c r="AQ433" s="150" t="str">
        <f t="shared" si="228"/>
        <v>0.881941717647677+0.117643613280946i</v>
      </c>
      <c r="AR433" s="150" t="str">
        <f t="shared" si="229"/>
        <v>0.927994751629507-0.123786700983638i</v>
      </c>
    </row>
    <row r="434" spans="7:44" x14ac:dyDescent="0.25">
      <c r="G434" s="594">
        <v>43906</v>
      </c>
      <c r="H434" s="582">
        <f t="shared" si="221"/>
        <v>43.905999999999999</v>
      </c>
      <c r="I434" s="583">
        <f t="shared" si="201"/>
        <v>42.848078886236209</v>
      </c>
      <c r="J434" s="584">
        <f t="shared" si="202"/>
        <v>1.5474559384417168</v>
      </c>
      <c r="K434" s="584">
        <f t="shared" si="203"/>
        <v>1.0002813929997658</v>
      </c>
      <c r="L434" s="585">
        <f t="shared" si="204"/>
        <v>2.3720330123731519E-2</v>
      </c>
      <c r="M434" s="584">
        <f t="shared" si="205"/>
        <v>1.067500365640687</v>
      </c>
      <c r="N434" s="585">
        <f t="shared" si="206"/>
        <v>-0.35751930216621214</v>
      </c>
      <c r="O434" s="583">
        <f t="shared" si="207"/>
        <v>79450.425735451645</v>
      </c>
      <c r="P434" s="586">
        <f t="shared" si="208"/>
        <v>1.570783740329931</v>
      </c>
      <c r="Q434" s="595">
        <f t="shared" si="230"/>
        <v>33.119444367824507</v>
      </c>
      <c r="R434" s="596">
        <f t="shared" si="231"/>
        <v>1.540597993907745</v>
      </c>
      <c r="S434" s="583">
        <f t="shared" si="209"/>
        <v>1.0240637479122832</v>
      </c>
      <c r="T434" s="586">
        <f t="shared" si="210"/>
        <v>0.21721372103442202</v>
      </c>
      <c r="U434" s="587">
        <f t="shared" si="222"/>
        <v>0.9115484600793442</v>
      </c>
      <c r="V434" s="588">
        <f t="shared" si="223"/>
        <v>-0.52722620858559655</v>
      </c>
      <c r="W434" s="589">
        <f t="shared" si="211"/>
        <v>-3.8158739113165119</v>
      </c>
      <c r="X434" s="590">
        <f t="shared" si="212"/>
        <v>-152.17074867257293</v>
      </c>
      <c r="Y434" s="593">
        <f t="shared" si="213"/>
        <v>27.829251327427073</v>
      </c>
      <c r="AA434" s="150">
        <f t="shared" si="214"/>
        <v>43906</v>
      </c>
      <c r="AB434" s="150">
        <f t="shared" si="215"/>
        <v>1927736836</v>
      </c>
      <c r="AD434" s="592">
        <f t="shared" si="216"/>
        <v>27.401646091963926</v>
      </c>
      <c r="AE434" s="593">
        <f t="shared" si="217"/>
        <v>-14.174945355245034</v>
      </c>
      <c r="AG434" s="592">
        <f t="shared" si="218"/>
        <v>-4.2207675165827467</v>
      </c>
      <c r="AH434" s="593">
        <f t="shared" si="219"/>
        <v>-77.580130047015516</v>
      </c>
      <c r="AJ434" s="150">
        <f t="shared" si="220"/>
        <v>0</v>
      </c>
      <c r="AK434" s="150">
        <f t="shared" si="232"/>
        <v>0</v>
      </c>
      <c r="AM434" s="150" t="str">
        <f t="shared" si="224"/>
        <v>0.294876244839245+0.709084261500701i</v>
      </c>
      <c r="AN434" s="150" t="str">
        <f t="shared" si="225"/>
        <v>0.788198667948i</v>
      </c>
      <c r="AO434" s="150" t="str">
        <f t="shared" si="226"/>
        <v>0.899626312927849-0.374114112127247i</v>
      </c>
      <c r="AP434" s="150" t="str">
        <f t="shared" si="227"/>
        <v>0.117520625860126-0.118180710250117i</v>
      </c>
      <c r="AQ434" s="150" t="str">
        <f t="shared" si="228"/>
        <v>0.882479374139874+0.118180710250117i</v>
      </c>
      <c r="AR434" s="150" t="str">
        <f t="shared" si="229"/>
        <v>0.92730093100967-0.124183166036181i</v>
      </c>
    </row>
    <row r="435" spans="7:44" x14ac:dyDescent="0.25">
      <c r="G435" s="594">
        <v>44160</v>
      </c>
      <c r="H435" s="582">
        <f t="shared" si="221"/>
        <v>44.16</v>
      </c>
      <c r="I435" s="583">
        <f t="shared" si="201"/>
        <v>43.095824095447561</v>
      </c>
      <c r="J435" s="584">
        <f t="shared" si="202"/>
        <v>1.5475901396259277</v>
      </c>
      <c r="K435" s="584">
        <f t="shared" si="203"/>
        <v>1.0002846577181974</v>
      </c>
      <c r="L435" s="585">
        <f t="shared" si="204"/>
        <v>2.3857502366421091E-2</v>
      </c>
      <c r="M435" s="584">
        <f t="shared" si="205"/>
        <v>1.0682585830065918</v>
      </c>
      <c r="N435" s="585">
        <f t="shared" si="206"/>
        <v>-0.35941444322305166</v>
      </c>
      <c r="O435" s="583">
        <f t="shared" si="207"/>
        <v>79910.05330648103</v>
      </c>
      <c r="P435" s="586">
        <f t="shared" si="208"/>
        <v>1.5707838127249061</v>
      </c>
      <c r="Q435" s="595">
        <f t="shared" si="230"/>
        <v>33.310869040866379</v>
      </c>
      <c r="R435" s="596">
        <f t="shared" si="231"/>
        <v>1.5407715843571377</v>
      </c>
      <c r="S435" s="583">
        <f t="shared" si="209"/>
        <v>1.0243396571289287</v>
      </c>
      <c r="T435" s="586">
        <f t="shared" si="210"/>
        <v>0.21843083907496347</v>
      </c>
      <c r="U435" s="587">
        <f t="shared" si="222"/>
        <v>0.91065158153263104</v>
      </c>
      <c r="V435" s="588">
        <f t="shared" si="223"/>
        <v>-0.5300204036401841</v>
      </c>
      <c r="W435" s="589">
        <f t="shared" si="211"/>
        <v>-3.870690707935958</v>
      </c>
      <c r="X435" s="590">
        <f t="shared" si="212"/>
        <v>-152.49905148644439</v>
      </c>
      <c r="Y435" s="593">
        <f t="shared" si="213"/>
        <v>27.500948513555613</v>
      </c>
      <c r="AA435" s="150">
        <f t="shared" si="214"/>
        <v>44160</v>
      </c>
      <c r="AB435" s="150">
        <f t="shared" si="215"/>
        <v>1950105600</v>
      </c>
      <c r="AD435" s="592">
        <f t="shared" si="216"/>
        <v>27.39926078869199</v>
      </c>
      <c r="AE435" s="593">
        <f t="shared" si="217"/>
        <v>-14.234739230018164</v>
      </c>
      <c r="AG435" s="592">
        <f t="shared" si="218"/>
        <v>-4.2560983875470404</v>
      </c>
      <c r="AH435" s="593">
        <f t="shared" si="219"/>
        <v>-77.528447818219632</v>
      </c>
      <c r="AJ435" s="150">
        <f t="shared" si="220"/>
        <v>0</v>
      </c>
      <c r="AK435" s="150">
        <f t="shared" si="232"/>
        <v>0</v>
      </c>
      <c r="AM435" s="150" t="str">
        <f t="shared" si="224"/>
        <v>0.298116844525069+0.712292100237363i</v>
      </c>
      <c r="AN435" s="150" t="str">
        <f t="shared" si="225"/>
        <v>0.79275846528i</v>
      </c>
      <c r="AO435" s="150" t="str">
        <f t="shared" si="226"/>
        <v>0.898498258212586-0.376050029840772i</v>
      </c>
      <c r="AP435" s="150" t="str">
        <f t="shared" si="227"/>
        <v>0.116980525912488-0.118715350039561i</v>
      </c>
      <c r="AQ435" s="150" t="str">
        <f t="shared" si="228"/>
        <v>0.883019474087512+0.118715350039561i</v>
      </c>
      <c r="AR435" s="150" t="str">
        <f t="shared" si="229"/>
        <v>0.92660584977222-0.12457521156947i</v>
      </c>
    </row>
    <row r="436" spans="7:44" x14ac:dyDescent="0.25">
      <c r="G436" s="594">
        <v>44414</v>
      </c>
      <c r="H436" s="582">
        <f t="shared" si="221"/>
        <v>44.414000000000001</v>
      </c>
      <c r="I436" s="583">
        <f t="shared" si="201"/>
        <v>43.343570071940135</v>
      </c>
      <c r="J436" s="584">
        <f t="shared" si="202"/>
        <v>1.547722806660917</v>
      </c>
      <c r="K436" s="584">
        <f t="shared" si="203"/>
        <v>1.0002879412580863</v>
      </c>
      <c r="L436" s="585">
        <f t="shared" si="204"/>
        <v>2.3994673711129937E-2</v>
      </c>
      <c r="M436" s="584">
        <f t="shared" si="205"/>
        <v>1.0690206316363777</v>
      </c>
      <c r="N436" s="585">
        <f t="shared" si="206"/>
        <v>-0.36130688917573472</v>
      </c>
      <c r="O436" s="583">
        <f t="shared" si="207"/>
        <v>80369.680877510851</v>
      </c>
      <c r="P436" s="586">
        <f t="shared" si="208"/>
        <v>1.5707838842918393</v>
      </c>
      <c r="Q436" s="595">
        <f t="shared" si="230"/>
        <v>33.502294706215373</v>
      </c>
      <c r="R436" s="596">
        <f t="shared" si="231"/>
        <v>1.5409431910868019</v>
      </c>
      <c r="S436" s="583">
        <f t="shared" si="209"/>
        <v>1.0246170829595505</v>
      </c>
      <c r="T436" s="586">
        <f t="shared" si="210"/>
        <v>0.21964729982175879</v>
      </c>
      <c r="U436" s="587">
        <f t="shared" si="222"/>
        <v>0.90975201698846875</v>
      </c>
      <c r="V436" s="588">
        <f t="shared" si="223"/>
        <v>-0.53281079048089708</v>
      </c>
      <c r="W436" s="589">
        <f t="shared" si="211"/>
        <v>-3.9252392083269965</v>
      </c>
      <c r="X436" s="590">
        <f t="shared" si="212"/>
        <v>-152.82696978998172</v>
      </c>
      <c r="Y436" s="593">
        <f t="shared" si="213"/>
        <v>27.173030210018283</v>
      </c>
      <c r="AA436" s="150">
        <f t="shared" si="214"/>
        <v>44414</v>
      </c>
      <c r="AB436" s="150">
        <f t="shared" si="215"/>
        <v>1972603396</v>
      </c>
      <c r="AD436" s="592">
        <f t="shared" si="216"/>
        <v>27.396864035423427</v>
      </c>
      <c r="AE436" s="593">
        <f t="shared" si="217"/>
        <v>-14.294609055958702</v>
      </c>
      <c r="AG436" s="592">
        <f t="shared" si="218"/>
        <v>-4.2910813727636228</v>
      </c>
      <c r="AH436" s="593">
        <f t="shared" si="219"/>
        <v>-77.476741517087632</v>
      </c>
      <c r="AJ436" s="150">
        <f t="shared" si="220"/>
        <v>0</v>
      </c>
      <c r="AK436" s="150">
        <f t="shared" si="232"/>
        <v>0</v>
      </c>
      <c r="AM436" s="150" t="str">
        <f t="shared" si="224"/>
        <v>0.301372037565906+0.715485129199193i</v>
      </c>
      <c r="AN436" s="150" t="str">
        <f t="shared" si="225"/>
        <v>0.797318262612i</v>
      </c>
      <c r="AO436" s="150" t="str">
        <f t="shared" si="226"/>
        <v>0.897364531517536-0.377982107895807i</v>
      </c>
      <c r="AP436" s="150" t="str">
        <f t="shared" si="227"/>
        <v>0.116437993739016-0.119247521533199i</v>
      </c>
      <c r="AQ436" s="150" t="str">
        <f t="shared" si="228"/>
        <v>0.883562006260984+0.119247521533199i</v>
      </c>
      <c r="AR436" s="150" t="str">
        <f t="shared" si="229"/>
        <v>0.925909540268946-0.124962840251873i</v>
      </c>
    </row>
    <row r="437" spans="7:44" x14ac:dyDescent="0.25">
      <c r="G437" s="594">
        <v>44668</v>
      </c>
      <c r="H437" s="582">
        <f t="shared" si="221"/>
        <v>44.667999999999999</v>
      </c>
      <c r="I437" s="583">
        <f t="shared" si="201"/>
        <v>43.591316802631667</v>
      </c>
      <c r="J437" s="584">
        <f t="shared" si="202"/>
        <v>1.5478539656995089</v>
      </c>
      <c r="K437" s="584">
        <f t="shared" si="203"/>
        <v>1.000291243619247</v>
      </c>
      <c r="L437" s="585">
        <f t="shared" si="204"/>
        <v>2.4131844152704914E-2</v>
      </c>
      <c r="M437" s="584">
        <f t="shared" si="205"/>
        <v>1.0697865033425904</v>
      </c>
      <c r="N437" s="585">
        <f t="shared" si="206"/>
        <v>-0.36319663224322407</v>
      </c>
      <c r="O437" s="583">
        <f t="shared" si="207"/>
        <v>80829.30844854108</v>
      </c>
      <c r="P437" s="586">
        <f t="shared" si="208"/>
        <v>1.5707839550448568</v>
      </c>
      <c r="Q437" s="595">
        <f t="shared" si="230"/>
        <v>33.693721346958576</v>
      </c>
      <c r="R437" s="596">
        <f t="shared" si="231"/>
        <v>1.5411128478973064</v>
      </c>
      <c r="S437" s="583">
        <f t="shared" si="209"/>
        <v>1.024896024172566</v>
      </c>
      <c r="T437" s="586">
        <f t="shared" si="210"/>
        <v>0.22086310020985725</v>
      </c>
      <c r="U437" s="587">
        <f t="shared" si="222"/>
        <v>0.90884979751974282</v>
      </c>
      <c r="V437" s="588">
        <f t="shared" si="223"/>
        <v>-0.53559736247248391</v>
      </c>
      <c r="W437" s="589">
        <f t="shared" si="211"/>
        <v>-3.9795225990971477</v>
      </c>
      <c r="X437" s="590">
        <f t="shared" si="212"/>
        <v>-153.15450214450479</v>
      </c>
      <c r="Y437" s="593">
        <f t="shared" si="213"/>
        <v>26.845497855495211</v>
      </c>
      <c r="AA437" s="150">
        <f t="shared" si="214"/>
        <v>44668</v>
      </c>
      <c r="AB437" s="150">
        <f t="shared" si="215"/>
        <v>1995230224</v>
      </c>
      <c r="AD437" s="592">
        <f t="shared" si="216"/>
        <v>27.39445583509842</v>
      </c>
      <c r="AE437" s="593">
        <f t="shared" si="217"/>
        <v>-14.354552721637347</v>
      </c>
      <c r="AG437" s="592">
        <f t="shared" si="218"/>
        <v>-4.3257200701731575</v>
      </c>
      <c r="AH437" s="593">
        <f t="shared" si="219"/>
        <v>-77.425012576712618</v>
      </c>
      <c r="AJ437" s="150">
        <f t="shared" si="220"/>
        <v>0</v>
      </c>
      <c r="AK437" s="150">
        <f t="shared" si="232"/>
        <v>0</v>
      </c>
      <c r="AM437" s="150" t="str">
        <f t="shared" si="224"/>
        <v>0.304641756280706+0.71866328199764i</v>
      </c>
      <c r="AN437" s="150" t="str">
        <f t="shared" si="225"/>
        <v>0.801878059944i</v>
      </c>
      <c r="AO437" s="150" t="str">
        <f t="shared" si="226"/>
        <v>0.896225146810761-0.379910327390652i</v>
      </c>
      <c r="AP437" s="150" t="str">
        <f t="shared" si="227"/>
        <v>0.115893040619882-0.119777213666273i</v>
      </c>
      <c r="AQ437" s="150" t="str">
        <f t="shared" si="228"/>
        <v>0.884106959380118+0.119777213666273i</v>
      </c>
      <c r="AR437" s="150" t="str">
        <f t="shared" si="229"/>
        <v>0.925212034706781-0.125346055012825i</v>
      </c>
    </row>
    <row r="438" spans="7:44" x14ac:dyDescent="0.25">
      <c r="G438" s="594">
        <v>44928.25</v>
      </c>
      <c r="H438" s="582">
        <f t="shared" si="221"/>
        <v>44.928249999999998</v>
      </c>
      <c r="I438" s="583">
        <f t="shared" si="201"/>
        <v>43.845160432402594</v>
      </c>
      <c r="J438" s="584">
        <f t="shared" si="202"/>
        <v>1.5479868146912168</v>
      </c>
      <c r="K438" s="584">
        <f t="shared" si="203"/>
        <v>1.0002946467607523</v>
      </c>
      <c r="L438" s="585">
        <f t="shared" si="204"/>
        <v>2.4272388909078405E-2</v>
      </c>
      <c r="M438" s="584">
        <f t="shared" si="205"/>
        <v>1.0705751770783307</v>
      </c>
      <c r="N438" s="585">
        <f t="shared" si="206"/>
        <v>-0.36513006339644338</v>
      </c>
      <c r="O438" s="583">
        <f t="shared" si="207"/>
        <v>81300.245753110852</v>
      </c>
      <c r="P438" s="586">
        <f t="shared" si="208"/>
        <v>1.5707840267090758</v>
      </c>
      <c r="Q438" s="595">
        <f t="shared" si="230"/>
        <v>33.889859283307729</v>
      </c>
      <c r="R438" s="596">
        <f t="shared" si="231"/>
        <v>1.5412846913970137</v>
      </c>
      <c r="S438" s="583">
        <f t="shared" si="209"/>
        <v>1.0251833995760606</v>
      </c>
      <c r="T438" s="586">
        <f t="shared" si="210"/>
        <v>0.22210812882063974</v>
      </c>
      <c r="U438" s="587">
        <f t="shared" si="222"/>
        <v>0.90792265645573511</v>
      </c>
      <c r="V438" s="588">
        <f t="shared" si="223"/>
        <v>-0.53844853812674942</v>
      </c>
      <c r="W438" s="589">
        <f t="shared" si="211"/>
        <v>-4.0348700019493666</v>
      </c>
      <c r="X438" s="590">
        <f t="shared" si="212"/>
        <v>-153.48969207030896</v>
      </c>
      <c r="Y438" s="593">
        <f t="shared" si="213"/>
        <v>26.510307929691038</v>
      </c>
      <c r="AA438" s="150">
        <f t="shared" si="214"/>
        <v>44928.25</v>
      </c>
      <c r="AB438" s="150">
        <f t="shared" si="215"/>
        <v>2018547648.0625</v>
      </c>
      <c r="AD438" s="592">
        <f t="shared" si="216"/>
        <v>27.391976508529691</v>
      </c>
      <c r="AE438" s="593">
        <f t="shared" si="217"/>
        <v>-14.41604580526578</v>
      </c>
      <c r="AG438" s="592">
        <f t="shared" si="218"/>
        <v>-4.3608577022453172</v>
      </c>
      <c r="AH438" s="593">
        <f t="shared" si="219"/>
        <v>-77.371988755235279</v>
      </c>
      <c r="AJ438" s="150">
        <f t="shared" si="220"/>
        <v>0</v>
      </c>
      <c r="AK438" s="150">
        <f t="shared" si="232"/>
        <v>0</v>
      </c>
      <c r="AM438" s="150" t="str">
        <f t="shared" si="224"/>
        <v>0.308006925785409+0.721904138538518i</v>
      </c>
      <c r="AN438" s="150" t="str">
        <f t="shared" si="225"/>
        <v>0.8065500570135i</v>
      </c>
      <c r="AO438" s="150" t="str">
        <f t="shared" si="226"/>
        <v>0.895051872182107-0.381881971375589i</v>
      </c>
      <c r="AP438" s="150" t="str">
        <f t="shared" si="227"/>
        <v>0.115332179035765-0.120317356423086i</v>
      </c>
      <c r="AQ438" s="150" t="str">
        <f t="shared" si="228"/>
        <v>0.884667820964235+0.120317356423086i</v>
      </c>
      <c r="AR438" s="150" t="str">
        <f t="shared" si="229"/>
        <v>0.924496159072043-0.125734124432838i</v>
      </c>
    </row>
    <row r="439" spans="7:44" x14ac:dyDescent="0.25">
      <c r="G439" s="594">
        <v>45188.5</v>
      </c>
      <c r="H439" s="582">
        <f t="shared" si="221"/>
        <v>45.188499999999998</v>
      </c>
      <c r="I439" s="583">
        <f t="shared" si="201"/>
        <v>44.099004827081856</v>
      </c>
      <c r="J439" s="584">
        <f t="shared" si="202"/>
        <v>1.5481181342642267</v>
      </c>
      <c r="K439" s="584">
        <f t="shared" si="203"/>
        <v>1.0002980696607717</v>
      </c>
      <c r="L439" s="585">
        <f t="shared" si="204"/>
        <v>2.4412932706373413E-2</v>
      </c>
      <c r="M439" s="584">
        <f t="shared" si="205"/>
        <v>1.0713678468903909</v>
      </c>
      <c r="N439" s="585">
        <f t="shared" si="206"/>
        <v>-0.36706064079342066</v>
      </c>
      <c r="O439" s="583">
        <f t="shared" si="207"/>
        <v>81771.183057681032</v>
      </c>
      <c r="P439" s="586">
        <f t="shared" si="208"/>
        <v>1.5707840975478364</v>
      </c>
      <c r="Q439" s="595">
        <f t="shared" si="230"/>
        <v>34.085998208913466</v>
      </c>
      <c r="R439" s="596">
        <f t="shared" si="231"/>
        <v>1.5414545572451042</v>
      </c>
      <c r="S439" s="583">
        <f t="shared" si="209"/>
        <v>1.0254723632203855</v>
      </c>
      <c r="T439" s="586">
        <f t="shared" si="210"/>
        <v>0.22335245769635356</v>
      </c>
      <c r="U439" s="587">
        <f t="shared" si="222"/>
        <v>0.90699279398158339</v>
      </c>
      <c r="V439" s="588">
        <f t="shared" si="223"/>
        <v>-0.54129569534574429</v>
      </c>
      <c r="W439" s="589">
        <f t="shared" si="211"/>
        <v>-4.0899456829532905</v>
      </c>
      <c r="X439" s="590">
        <f t="shared" si="212"/>
        <v>-153.82447384618712</v>
      </c>
      <c r="Y439" s="593">
        <f t="shared" si="213"/>
        <v>26.175526153812882</v>
      </c>
      <c r="AA439" s="150">
        <f t="shared" si="214"/>
        <v>45188.5</v>
      </c>
      <c r="AB439" s="150">
        <f t="shared" si="215"/>
        <v>2042000532.25</v>
      </c>
      <c r="AD439" s="592">
        <f t="shared" si="216"/>
        <v>27.389485172718096</v>
      </c>
      <c r="AE439" s="593">
        <f t="shared" si="217"/>
        <v>-14.477612060823809</v>
      </c>
      <c r="AG439" s="592">
        <f t="shared" si="218"/>
        <v>-4.395641364692195</v>
      </c>
      <c r="AH439" s="593">
        <f t="shared" si="219"/>
        <v>-77.318944090665383</v>
      </c>
      <c r="AJ439" s="150">
        <f t="shared" si="220"/>
        <v>0</v>
      </c>
      <c r="AK439" s="150">
        <f t="shared" si="232"/>
        <v>0</v>
      </c>
      <c r="AM439" s="150" t="str">
        <f t="shared" si="224"/>
        <v>0.311387199780643+0.725129237704601i</v>
      </c>
      <c r="AN439" s="150" t="str">
        <f t="shared" si="225"/>
        <v>0.811222054083i</v>
      </c>
      <c r="AO439" s="150" t="str">
        <f t="shared" si="226"/>
        <v>0.893872687576625-0.383849524570228i</v>
      </c>
      <c r="AP439" s="150" t="str">
        <f t="shared" si="227"/>
        <v>0.114768800036559-0.120854872950767i</v>
      </c>
      <c r="AQ439" s="150" t="str">
        <f t="shared" si="228"/>
        <v>0.885231199963441+0.120854872950767i</v>
      </c>
      <c r="AR439" s="150" t="str">
        <f t="shared" si="229"/>
        <v>0.923779095772821-0.126117567092992i</v>
      </c>
    </row>
    <row r="440" spans="7:44" x14ac:dyDescent="0.25">
      <c r="G440" s="594">
        <v>45448.75</v>
      </c>
      <c r="H440" s="582">
        <f t="shared" si="221"/>
        <v>45.448749999999997</v>
      </c>
      <c r="I440" s="583">
        <f t="shared" si="201"/>
        <v>44.35284997353606</v>
      </c>
      <c r="J440" s="584">
        <f t="shared" si="202"/>
        <v>1.5482479506739859</v>
      </c>
      <c r="K440" s="584">
        <f t="shared" si="203"/>
        <v>1.0003015123191021</v>
      </c>
      <c r="L440" s="585">
        <f t="shared" si="204"/>
        <v>2.4553475539047624E-2</v>
      </c>
      <c r="M440" s="584">
        <f t="shared" si="205"/>
        <v>1.0721645039156653</v>
      </c>
      <c r="N440" s="585">
        <f t="shared" si="206"/>
        <v>-0.36898835638863076</v>
      </c>
      <c r="O440" s="583">
        <f t="shared" si="207"/>
        <v>82242.120362251604</v>
      </c>
      <c r="P440" s="586">
        <f t="shared" si="208"/>
        <v>1.5707841675753189</v>
      </c>
      <c r="Q440" s="595">
        <f t="shared" si="230"/>
        <v>34.282138106796246</v>
      </c>
      <c r="R440" s="596">
        <f t="shared" si="231"/>
        <v>1.5416224793761646</v>
      </c>
      <c r="S440" s="583">
        <f t="shared" si="209"/>
        <v>1.0257629137632893</v>
      </c>
      <c r="T440" s="586">
        <f t="shared" si="210"/>
        <v>0.22459608357666833</v>
      </c>
      <c r="U440" s="587">
        <f t="shared" si="222"/>
        <v>0.90606024324571699</v>
      </c>
      <c r="V440" s="588">
        <f t="shared" si="223"/>
        <v>-0.54413882756414811</v>
      </c>
      <c r="W440" s="589">
        <f t="shared" si="211"/>
        <v>-4.1447528918879293</v>
      </c>
      <c r="X440" s="590">
        <f t="shared" si="212"/>
        <v>-154.15884600934407</v>
      </c>
      <c r="Y440" s="593">
        <f t="shared" si="213"/>
        <v>25.841153990655926</v>
      </c>
      <c r="AA440" s="150">
        <f t="shared" si="214"/>
        <v>45448.75</v>
      </c>
      <c r="AB440" s="150">
        <f t="shared" si="215"/>
        <v>2065588876.5625</v>
      </c>
      <c r="AD440" s="592">
        <f t="shared" si="216"/>
        <v>27.386981832650786</v>
      </c>
      <c r="AE440" s="593">
        <f t="shared" si="217"/>
        <v>-14.539249358012109</v>
      </c>
      <c r="AG440" s="592">
        <f t="shared" si="218"/>
        <v>-4.4300747502992373</v>
      </c>
      <c r="AH440" s="593">
        <f t="shared" si="219"/>
        <v>-77.265880002837335</v>
      </c>
      <c r="AJ440" s="150">
        <f t="shared" si="220"/>
        <v>0</v>
      </c>
      <c r="AK440" s="150">
        <f t="shared" si="232"/>
        <v>0</v>
      </c>
      <c r="AM440" s="150" t="str">
        <f t="shared" si="224"/>
        <v>0.314782504483421+0.728338509099983i</v>
      </c>
      <c r="AN440" s="150" t="str">
        <f t="shared" si="225"/>
        <v>0.8158940511525i</v>
      </c>
      <c r="AO440" s="150" t="str">
        <f t="shared" si="226"/>
        <v>0.892687608239281-0.385812966816919i</v>
      </c>
      <c r="AP440" s="150" t="str">
        <f t="shared" si="227"/>
        <v>0.11420291591943-0.121389751516664i</v>
      </c>
      <c r="AQ440" s="150" t="str">
        <f t="shared" si="228"/>
        <v>0.88579708408057+0.121389751516664i</v>
      </c>
      <c r="AR440" s="150" t="str">
        <f t="shared" si="229"/>
        <v>0.923060878965969-0.126496386978669i</v>
      </c>
    </row>
    <row r="441" spans="7:44" x14ac:dyDescent="0.25">
      <c r="G441" s="594">
        <v>45709</v>
      </c>
      <c r="H441" s="582">
        <f t="shared" si="221"/>
        <v>45.709000000000003</v>
      </c>
      <c r="I441" s="583">
        <f t="shared" si="201"/>
        <v>44.606695858930735</v>
      </c>
      <c r="J441" s="584">
        <f t="shared" si="202"/>
        <v>1.5483762895784938</v>
      </c>
      <c r="K441" s="584">
        <f t="shared" si="203"/>
        <v>1.0003049747355397</v>
      </c>
      <c r="L441" s="585">
        <f t="shared" si="204"/>
        <v>2.4694017401558934E-2</v>
      </c>
      <c r="M441" s="584">
        <f t="shared" si="205"/>
        <v>1.0729651392728552</v>
      </c>
      <c r="N441" s="585">
        <f t="shared" si="206"/>
        <v>-0.37091320224546004</v>
      </c>
      <c r="O441" s="583">
        <f t="shared" si="207"/>
        <v>82713.057666822599</v>
      </c>
      <c r="P441" s="586">
        <f t="shared" si="208"/>
        <v>1.5707842368053806</v>
      </c>
      <c r="Q441" s="595">
        <f t="shared" si="230"/>
        <v>34.478278960362815</v>
      </c>
      <c r="R441" s="596">
        <f t="shared" si="231"/>
        <v>1.5417884909530339</v>
      </c>
      <c r="S441" s="583">
        <f t="shared" si="209"/>
        <v>1.0260550498566741</v>
      </c>
      <c r="T441" s="586">
        <f t="shared" si="210"/>
        <v>0.22583900321363448</v>
      </c>
      <c r="U441" s="587">
        <f t="shared" si="222"/>
        <v>0.90512503729941707</v>
      </c>
      <c r="V441" s="588">
        <f t="shared" si="223"/>
        <v>-0.5469779284077475</v>
      </c>
      <c r="W441" s="589">
        <f t="shared" si="211"/>
        <v>-4.1992948212452585</v>
      </c>
      <c r="X441" s="590">
        <f t="shared" si="212"/>
        <v>-154.49280712485182</v>
      </c>
      <c r="Y441" s="593">
        <f t="shared" si="213"/>
        <v>25.507192875148178</v>
      </c>
      <c r="AA441" s="150">
        <f t="shared" si="214"/>
        <v>45709</v>
      </c>
      <c r="AB441" s="150">
        <f t="shared" si="215"/>
        <v>2089312681</v>
      </c>
      <c r="AD441" s="592">
        <f t="shared" si="216"/>
        <v>27.384466493893946</v>
      </c>
      <c r="AE441" s="593">
        <f t="shared" si="217"/>
        <v>-14.600955611440146</v>
      </c>
      <c r="AG441" s="592">
        <f t="shared" si="218"/>
        <v>-4.4641614946617958</v>
      </c>
      <c r="AH441" s="593">
        <f t="shared" si="219"/>
        <v>-77.212797872644785</v>
      </c>
      <c r="AJ441" s="150">
        <f t="shared" si="220"/>
        <v>0</v>
      </c>
      <c r="AK441" s="150">
        <f t="shared" si="232"/>
        <v>0</v>
      </c>
      <c r="AM441" s="150" t="str">
        <f t="shared" si="224"/>
        <v>0.318192765782672+0.731531882674239i</v>
      </c>
      <c r="AN441" s="150" t="str">
        <f t="shared" si="225"/>
        <v>0.820566048222i</v>
      </c>
      <c r="AO441" s="150" t="str">
        <f t="shared" si="226"/>
        <v>0.891496649488874-0.387772278017268i</v>
      </c>
      <c r="AP441" s="150" t="str">
        <f t="shared" si="227"/>
        <v>0.113634539036221-0.121921980445706i</v>
      </c>
      <c r="AQ441" s="150" t="str">
        <f t="shared" si="228"/>
        <v>0.886365460963779+0.121921980445706i</v>
      </c>
      <c r="AR441" s="150" t="str">
        <f t="shared" si="229"/>
        <v>0.922341542639835-0.126870588350454i</v>
      </c>
    </row>
    <row r="442" spans="7:44" x14ac:dyDescent="0.25">
      <c r="G442" s="594">
        <v>45975.25</v>
      </c>
      <c r="H442" s="582">
        <f t="shared" si="221"/>
        <v>45.975250000000003</v>
      </c>
      <c r="I442" s="583">
        <f t="shared" si="201"/>
        <v>44.866394850643722</v>
      </c>
      <c r="J442" s="584">
        <f t="shared" si="202"/>
        <v>1.5485060844591763</v>
      </c>
      <c r="K442" s="584">
        <f t="shared" si="203"/>
        <v>1.0003085374235616</v>
      </c>
      <c r="L442" s="585">
        <f t="shared" si="204"/>
        <v>2.4837798412533668E-2</v>
      </c>
      <c r="M442" s="584">
        <f t="shared" si="205"/>
        <v>1.0737883407703988</v>
      </c>
      <c r="N442" s="585">
        <f t="shared" si="206"/>
        <v>-0.37287944704696563</v>
      </c>
      <c r="O442" s="583">
        <f t="shared" si="207"/>
        <v>83194.85231559159</v>
      </c>
      <c r="P442" s="586">
        <f t="shared" si="208"/>
        <v>1.5707843068204368</v>
      </c>
      <c r="Q442" s="595">
        <f t="shared" si="230"/>
        <v>34.678942765339869</v>
      </c>
      <c r="R442" s="596">
        <f t="shared" si="231"/>
        <v>1.5419563865489507</v>
      </c>
      <c r="S442" s="583">
        <f t="shared" si="209"/>
        <v>1.0263555604678076</v>
      </c>
      <c r="T442" s="586">
        <f t="shared" si="210"/>
        <v>0.22710984382998639</v>
      </c>
      <c r="U442" s="587">
        <f t="shared" si="222"/>
        <v>0.90416555703194545</v>
      </c>
      <c r="V442" s="588">
        <f t="shared" si="223"/>
        <v>-0.5498783057185086</v>
      </c>
      <c r="W442" s="589">
        <f t="shared" si="211"/>
        <v>-4.2548229478469715</v>
      </c>
      <c r="X442" s="590">
        <f t="shared" si="212"/>
        <v>-154.83404079279532</v>
      </c>
      <c r="Y442" s="593">
        <f t="shared" si="213"/>
        <v>25.165959207204679</v>
      </c>
      <c r="AA442" s="150">
        <f t="shared" si="214"/>
        <v>45975.25</v>
      </c>
      <c r="AB442" s="150">
        <f t="shared" si="215"/>
        <v>2113723612.5625</v>
      </c>
      <c r="AD442" s="592">
        <f t="shared" si="216"/>
        <v>27.381880754193105</v>
      </c>
      <c r="AE442" s="593">
        <f t="shared" si="217"/>
        <v>-14.664153717785476</v>
      </c>
      <c r="AG442" s="592">
        <f t="shared" si="218"/>
        <v>-4.4986791121629714</v>
      </c>
      <c r="AH442" s="593">
        <f t="shared" si="219"/>
        <v>-77.158474676058944</v>
      </c>
      <c r="AJ442" s="150">
        <f t="shared" si="220"/>
        <v>0</v>
      </c>
      <c r="AK442" s="150">
        <f t="shared" si="232"/>
        <v>0</v>
      </c>
      <c r="AM442" s="150" t="str">
        <f t="shared" si="224"/>
        <v>0.321697049997701+0.734782354182637i</v>
      </c>
      <c r="AN442" s="150" t="str">
        <f t="shared" si="225"/>
        <v>0.8253457570395i</v>
      </c>
      <c r="AO442" s="150" t="str">
        <f t="shared" si="226"/>
        <v>0.890272165229622-0.389772464756616i</v>
      </c>
      <c r="AP442" s="150" t="str">
        <f t="shared" si="227"/>
        <v>0.11305049166705-0.122463725697106i</v>
      </c>
      <c r="AQ442" s="150" t="str">
        <f t="shared" si="228"/>
        <v>0.88694950833295+0.122463725697106i</v>
      </c>
      <c r="AR442" s="150" t="str">
        <f t="shared" si="229"/>
        <v>0.921604498922856-0.127248642112038i</v>
      </c>
    </row>
    <row r="443" spans="7:44" x14ac:dyDescent="0.25">
      <c r="G443" s="594">
        <v>46241.5</v>
      </c>
      <c r="H443" s="582">
        <f t="shared" si="221"/>
        <v>46.241500000000002</v>
      </c>
      <c r="I443" s="583">
        <f t="shared" si="201"/>
        <v>45.126094589508099</v>
      </c>
      <c r="J443" s="584">
        <f t="shared" si="202"/>
        <v>1.5486343854083044</v>
      </c>
      <c r="K443" s="584">
        <f t="shared" si="203"/>
        <v>1.0003121207907937</v>
      </c>
      <c r="L443" s="585">
        <f t="shared" si="204"/>
        <v>2.4981578396361944E-2</v>
      </c>
      <c r="M443" s="584">
        <f t="shared" si="205"/>
        <v>1.074615687291397</v>
      </c>
      <c r="N443" s="585">
        <f t="shared" si="206"/>
        <v>-0.37484267180542497</v>
      </c>
      <c r="O443" s="583">
        <f t="shared" si="207"/>
        <v>83676.646964360989</v>
      </c>
      <c r="P443" s="586">
        <f t="shared" si="208"/>
        <v>1.5707843760292255</v>
      </c>
      <c r="Q443" s="595">
        <f t="shared" si="230"/>
        <v>34.879607536631312</v>
      </c>
      <c r="R443" s="596">
        <f t="shared" si="231"/>
        <v>1.5421223503197738</v>
      </c>
      <c r="S443" s="583">
        <f t="shared" si="209"/>
        <v>1.0266577277080426</v>
      </c>
      <c r="T443" s="586">
        <f t="shared" si="210"/>
        <v>0.2283799384256506</v>
      </c>
      <c r="U443" s="587">
        <f t="shared" si="222"/>
        <v>0.90320336737502149</v>
      </c>
      <c r="V443" s="588">
        <f t="shared" si="223"/>
        <v>-0.55277445073843989</v>
      </c>
      <c r="W443" s="589">
        <f t="shared" si="211"/>
        <v>-4.3100800038184666</v>
      </c>
      <c r="X443" s="590">
        <f t="shared" si="212"/>
        <v>-155.17484129088589</v>
      </c>
      <c r="Y443" s="593">
        <f t="shared" si="213"/>
        <v>24.825158709114106</v>
      </c>
      <c r="AA443" s="150">
        <f t="shared" si="214"/>
        <v>46241.5</v>
      </c>
      <c r="AB443" s="150">
        <f t="shared" si="215"/>
        <v>2138276322.25</v>
      </c>
      <c r="AD443" s="592">
        <f t="shared" si="216"/>
        <v>27.379282469739174</v>
      </c>
      <c r="AE443" s="593">
        <f t="shared" si="217"/>
        <v>-14.727419719522963</v>
      </c>
      <c r="AG443" s="592">
        <f t="shared" si="218"/>
        <v>-4.5328414409285953</v>
      </c>
      <c r="AH443" s="593">
        <f t="shared" si="219"/>
        <v>-77.104135399033012</v>
      </c>
      <c r="AJ443" s="150">
        <f t="shared" si="220"/>
        <v>0</v>
      </c>
      <c r="AK443" s="150">
        <f t="shared" si="232"/>
        <v>0</v>
      </c>
      <c r="AM443" s="150" t="str">
        <f t="shared" si="224"/>
        <v>0.325216830432213+0.738016039167206i</v>
      </c>
      <c r="AN443" s="150" t="str">
        <f t="shared" si="225"/>
        <v>0.830125465857i</v>
      </c>
      <c r="AO443" s="150" t="str">
        <f t="shared" si="226"/>
        <v>0.889041560007194-0.391768285407878i</v>
      </c>
      <c r="AP443" s="150" t="str">
        <f t="shared" si="227"/>
        <v>0.112463861594631-0.123002673194534i</v>
      </c>
      <c r="AQ443" s="150" t="str">
        <f t="shared" si="228"/>
        <v>0.887536138405369+0.123002673194534i</v>
      </c>
      <c r="AR443" s="150" t="str">
        <f t="shared" si="229"/>
        <v>0.920866354889388-0.127621871837028i</v>
      </c>
    </row>
    <row r="444" spans="7:44" x14ac:dyDescent="0.25">
      <c r="G444" s="594">
        <v>46507.75</v>
      </c>
      <c r="H444" s="582">
        <f t="shared" si="221"/>
        <v>46.507750000000001</v>
      </c>
      <c r="I444" s="583">
        <f t="shared" si="201"/>
        <v>45.385795062698158</v>
      </c>
      <c r="J444" s="584">
        <f t="shared" si="202"/>
        <v>1.5487612180667383</v>
      </c>
      <c r="K444" s="584">
        <f t="shared" si="203"/>
        <v>1.0003157248370131</v>
      </c>
      <c r="L444" s="585">
        <f t="shared" si="204"/>
        <v>2.5125357347110185E-2</v>
      </c>
      <c r="M444" s="584">
        <f t="shared" si="205"/>
        <v>1.0754471692694925</v>
      </c>
      <c r="N444" s="585">
        <f t="shared" si="206"/>
        <v>-0.37680286837482319</v>
      </c>
      <c r="O444" s="583">
        <f t="shared" si="207"/>
        <v>84158.441613130766</v>
      </c>
      <c r="P444" s="586">
        <f t="shared" si="208"/>
        <v>1.5707844444455938</v>
      </c>
      <c r="Q444" s="595">
        <f t="shared" si="230"/>
        <v>35.080273257654738</v>
      </c>
      <c r="R444" s="596">
        <f t="shared" si="231"/>
        <v>1.5422864154074833</v>
      </c>
      <c r="S444" s="583">
        <f t="shared" si="209"/>
        <v>1.026961550115068</v>
      </c>
      <c r="T444" s="586">
        <f t="shared" si="210"/>
        <v>0.22964928356327577</v>
      </c>
      <c r="U444" s="587">
        <f t="shared" si="222"/>
        <v>0.90223850338954237</v>
      </c>
      <c r="V444" s="588">
        <f t="shared" si="223"/>
        <v>-0.55566635725688196</v>
      </c>
      <c r="W444" s="589">
        <f t="shared" si="211"/>
        <v>-4.3650692299089018</v>
      </c>
      <c r="X444" s="590">
        <f t="shared" si="212"/>
        <v>-155.51520717095178</v>
      </c>
      <c r="Y444" s="593">
        <f t="shared" si="213"/>
        <v>24.484792829048217</v>
      </c>
      <c r="AA444" s="150">
        <f t="shared" si="214"/>
        <v>46507.75</v>
      </c>
      <c r="AB444" s="150">
        <f t="shared" si="215"/>
        <v>2162970810.0625</v>
      </c>
      <c r="AD444" s="592">
        <f t="shared" si="216"/>
        <v>27.376671648263098</v>
      </c>
      <c r="AE444" s="593">
        <f t="shared" si="217"/>
        <v>-14.79075152160466</v>
      </c>
      <c r="AG444" s="592">
        <f t="shared" si="218"/>
        <v>-4.5666521961997599</v>
      </c>
      <c r="AH444" s="593">
        <f t="shared" si="219"/>
        <v>-77.049781400132332</v>
      </c>
      <c r="AJ444" s="150">
        <f t="shared" si="220"/>
        <v>0</v>
      </c>
      <c r="AK444" s="150">
        <f t="shared" si="232"/>
        <v>0</v>
      </c>
      <c r="AM444" s="150" t="str">
        <f t="shared" si="224"/>
        <v>0.328752026674808+0.741232863752561i</v>
      </c>
      <c r="AN444" s="150" t="str">
        <f t="shared" si="225"/>
        <v>0.8349051746745i</v>
      </c>
      <c r="AO444" s="150" t="str">
        <f t="shared" si="226"/>
        <v>0.887804850462858-0.393759718644667i</v>
      </c>
      <c r="AP444" s="150" t="str">
        <f t="shared" si="227"/>
        <v>0.111874662220865-0.123538810625427i</v>
      </c>
      <c r="AQ444" s="150" t="str">
        <f t="shared" si="228"/>
        <v>0.888125337779135+0.123538810625427i</v>
      </c>
      <c r="AR444" s="150" t="str">
        <f t="shared" si="229"/>
        <v>0.920127146372036-0.127990282960757i</v>
      </c>
    </row>
    <row r="445" spans="7:44" x14ac:dyDescent="0.25">
      <c r="G445" s="594">
        <v>46774</v>
      </c>
      <c r="H445" s="582">
        <f t="shared" si="221"/>
        <v>46.774000000000001</v>
      </c>
      <c r="I445" s="583">
        <f t="shared" si="201"/>
        <v>45.645496257680044</v>
      </c>
      <c r="J445" s="584">
        <f t="shared" si="202"/>
        <v>1.548886607491992</v>
      </c>
      <c r="K445" s="584">
        <f t="shared" si="203"/>
        <v>1.0003193495619971</v>
      </c>
      <c r="L445" s="585">
        <f t="shared" si="204"/>
        <v>2.5269135258845093E-2</v>
      </c>
      <c r="M445" s="584">
        <f t="shared" si="205"/>
        <v>1.0762827771201462</v>
      </c>
      <c r="N445" s="585">
        <f t="shared" si="206"/>
        <v>-0.37876002872733833</v>
      </c>
      <c r="O445" s="583">
        <f t="shared" si="207"/>
        <v>84640.236261900951</v>
      </c>
      <c r="P445" s="586">
        <f t="shared" si="208"/>
        <v>1.5707845120830741</v>
      </c>
      <c r="Q445" s="595">
        <f t="shared" si="230"/>
        <v>35.280939912204914</v>
      </c>
      <c r="R445" s="596">
        <f t="shared" si="231"/>
        <v>1.5424486142004699</v>
      </c>
      <c r="S445" s="583">
        <f t="shared" si="209"/>
        <v>1.0272670262202976</v>
      </c>
      <c r="T445" s="586">
        <f t="shared" si="210"/>
        <v>0.2309178758192264</v>
      </c>
      <c r="U445" s="587">
        <f t="shared" si="222"/>
        <v>0.90127100002081095</v>
      </c>
      <c r="V445" s="588">
        <f t="shared" si="223"/>
        <v>-0.55855401926822557</v>
      </c>
      <c r="W445" s="589">
        <f t="shared" si="211"/>
        <v>-4.419793809696996</v>
      </c>
      <c r="X445" s="590">
        <f t="shared" si="212"/>
        <v>-155.85513701386378</v>
      </c>
      <c r="Y445" s="593">
        <f t="shared" si="213"/>
        <v>24.144862986136218</v>
      </c>
      <c r="AA445" s="150">
        <f t="shared" si="214"/>
        <v>46774</v>
      </c>
      <c r="AB445" s="150">
        <f t="shared" si="215"/>
        <v>2187807076</v>
      </c>
      <c r="AD445" s="592">
        <f t="shared" si="216"/>
        <v>27.374048298057716</v>
      </c>
      <c r="AE445" s="593">
        <f t="shared" si="217"/>
        <v>-14.854147072927974</v>
      </c>
      <c r="AG445" s="592">
        <f t="shared" si="218"/>
        <v>-4.6001150359641425</v>
      </c>
      <c r="AH445" s="593">
        <f t="shared" si="219"/>
        <v>-76.995413999522412</v>
      </c>
      <c r="AJ445" s="150">
        <f t="shared" si="220"/>
        <v>0</v>
      </c>
      <c r="AK445" s="150">
        <f t="shared" si="232"/>
        <v>0</v>
      </c>
      <c r="AM445" s="150" t="str">
        <f t="shared" si="224"/>
        <v>0.332302557961903+0.744432754448501i</v>
      </c>
      <c r="AN445" s="150" t="str">
        <f t="shared" si="225"/>
        <v>0.839684883492i</v>
      </c>
      <c r="AO445" s="150" t="str">
        <f t="shared" si="226"/>
        <v>0.8865620533177-0.395746743206756i</v>
      </c>
      <c r="AP445" s="150" t="str">
        <f t="shared" si="227"/>
        <v>0.11128290700635-0.124072125741417i</v>
      </c>
      <c r="AQ445" s="150" t="str">
        <f t="shared" si="228"/>
        <v>0.88871709299365+0.124072125741417i</v>
      </c>
      <c r="AR445" s="150" t="str">
        <f t="shared" si="229"/>
        <v>0.91938690900983-0.128353881205811i</v>
      </c>
    </row>
    <row r="446" spans="7:44" x14ac:dyDescent="0.25">
      <c r="G446" s="594">
        <v>47046.25</v>
      </c>
      <c r="H446" s="582">
        <f t="shared" si="221"/>
        <v>47.046250000000001</v>
      </c>
      <c r="I446" s="583">
        <f t="shared" si="201"/>
        <v>45.911050607569997</v>
      </c>
      <c r="J446" s="584">
        <f t="shared" si="202"/>
        <v>1.5490133557211598</v>
      </c>
      <c r="K446" s="584">
        <f t="shared" si="203"/>
        <v>1.0003230773537055</v>
      </c>
      <c r="L446" s="585">
        <f t="shared" si="204"/>
        <v>2.5416152155616628E-2</v>
      </c>
      <c r="M446" s="584">
        <f t="shared" si="205"/>
        <v>1.077141471952564</v>
      </c>
      <c r="N446" s="585">
        <f t="shared" si="206"/>
        <v>-0.38075814624129717</v>
      </c>
      <c r="O446" s="583">
        <f t="shared" si="207"/>
        <v>85132.888254869176</v>
      </c>
      <c r="P446" s="586">
        <f t="shared" si="208"/>
        <v>1.5707845804531417</v>
      </c>
      <c r="Q446" s="595">
        <f t="shared" si="230"/>
        <v>35.486129581030305</v>
      </c>
      <c r="R446" s="596">
        <f t="shared" si="231"/>
        <v>1.542612571298783</v>
      </c>
      <c r="S446" s="583">
        <f t="shared" si="209"/>
        <v>1.0275810947753126</v>
      </c>
      <c r="T446" s="586">
        <f t="shared" si="210"/>
        <v>0.23221427399489383</v>
      </c>
      <c r="U446" s="587">
        <f t="shared" si="222"/>
        <v>0.90027900077065703</v>
      </c>
      <c r="V446" s="588">
        <f t="shared" si="223"/>
        <v>-0.56150236024877509</v>
      </c>
      <c r="W446" s="589">
        <f t="shared" si="211"/>
        <v>-4.475481218376002</v>
      </c>
      <c r="X446" s="590">
        <f t="shared" si="212"/>
        <v>-156.20227491201834</v>
      </c>
      <c r="Y446" s="593">
        <f t="shared" si="213"/>
        <v>23.797725087981661</v>
      </c>
      <c r="AA446" s="150">
        <f t="shared" si="214"/>
        <v>47046.25</v>
      </c>
      <c r="AB446" s="150">
        <f t="shared" si="215"/>
        <v>2213349639.0625</v>
      </c>
      <c r="AD446" s="592">
        <f t="shared" si="216"/>
        <v>27.371352883895192</v>
      </c>
      <c r="AE446" s="593">
        <f t="shared" si="217"/>
        <v>-14.919035084598075</v>
      </c>
      <c r="AG446" s="592">
        <f t="shared" si="218"/>
        <v>-4.6339759558506088</v>
      </c>
      <c r="AH446" s="593">
        <f t="shared" si="219"/>
        <v>-76.939808896118905</v>
      </c>
      <c r="AJ446" s="150">
        <f t="shared" si="220"/>
        <v>0</v>
      </c>
      <c r="AK446" s="150">
        <f t="shared" si="232"/>
        <v>0</v>
      </c>
      <c r="AM446" s="150" t="str">
        <f t="shared" si="224"/>
        <v>0.335948874019207+0.747687168596359i</v>
      </c>
      <c r="AN446" s="150" t="str">
        <f t="shared" si="225"/>
        <v>0.8445723040575i</v>
      </c>
      <c r="AO446" s="150" t="str">
        <f t="shared" si="226"/>
        <v>0.88528497205546-0.397773964887599i</v>
      </c>
      <c r="AP446" s="150" t="str">
        <f t="shared" si="227"/>
        <v>0.110675187663465-0.124614528099393i</v>
      </c>
      <c r="AQ446" s="150" t="str">
        <f t="shared" si="228"/>
        <v>0.889324812336535+0.124614528099393i</v>
      </c>
      <c r="AR446" s="150" t="str">
        <f t="shared" si="229"/>
        <v>0.918628963282887-0.128720702683614i</v>
      </c>
    </row>
    <row r="447" spans="7:44" x14ac:dyDescent="0.25">
      <c r="G447" s="594">
        <v>47318.5</v>
      </c>
      <c r="H447" s="582">
        <f t="shared" si="221"/>
        <v>47.3185</v>
      </c>
      <c r="I447" s="583">
        <f t="shared" si="201"/>
        <v>46.176605686542935</v>
      </c>
      <c r="J447" s="584">
        <f t="shared" si="202"/>
        <v>1.5491386461303132</v>
      </c>
      <c r="K447" s="584">
        <f t="shared" si="203"/>
        <v>1.0003268267662033</v>
      </c>
      <c r="L447" s="585">
        <f t="shared" si="204"/>
        <v>2.5563167953471948E-2</v>
      </c>
      <c r="M447" s="584">
        <f t="shared" si="205"/>
        <v>1.0780044603827212</v>
      </c>
      <c r="N447" s="585">
        <f t="shared" si="206"/>
        <v>-0.38275307255320251</v>
      </c>
      <c r="O447" s="583">
        <f t="shared" si="207"/>
        <v>85625.54024783778</v>
      </c>
      <c r="P447" s="586">
        <f t="shared" si="208"/>
        <v>1.5707846480364662</v>
      </c>
      <c r="Q447" s="595">
        <f t="shared" si="230"/>
        <v>35.691320192822964</v>
      </c>
      <c r="R447" s="596">
        <f t="shared" si="231"/>
        <v>1.5427746432115599</v>
      </c>
      <c r="S447" s="583">
        <f t="shared" si="209"/>
        <v>1.0278968892756297</v>
      </c>
      <c r="T447" s="586">
        <f t="shared" si="210"/>
        <v>0.23350987777787321</v>
      </c>
      <c r="U447" s="587">
        <f t="shared" si="222"/>
        <v>0.89928431535888509</v>
      </c>
      <c r="V447" s="588">
        <f t="shared" si="223"/>
        <v>-0.56444625121613212</v>
      </c>
      <c r="W447" s="589">
        <f t="shared" si="211"/>
        <v>-4.5308984736753724</v>
      </c>
      <c r="X447" s="590">
        <f t="shared" si="212"/>
        <v>-156.548953989567</v>
      </c>
      <c r="Y447" s="593">
        <f t="shared" si="213"/>
        <v>23.451046010433004</v>
      </c>
      <c r="AA447" s="150">
        <f t="shared" si="214"/>
        <v>47318.5</v>
      </c>
      <c r="AB447" s="150">
        <f t="shared" si="215"/>
        <v>2239040442.25</v>
      </c>
      <c r="AD447" s="592">
        <f t="shared" si="216"/>
        <v>27.368644389230042</v>
      </c>
      <c r="AE447" s="593">
        <f t="shared" si="217"/>
        <v>-14.983985549017731</v>
      </c>
      <c r="AG447" s="592">
        <f t="shared" si="218"/>
        <v>-4.6674806606704653</v>
      </c>
      <c r="AH447" s="593">
        <f t="shared" si="219"/>
        <v>-76.884192453309964</v>
      </c>
      <c r="AJ447" s="150">
        <f t="shared" si="220"/>
        <v>0</v>
      </c>
      <c r="AK447" s="150">
        <f t="shared" si="232"/>
        <v>0</v>
      </c>
      <c r="AM447" s="150" t="str">
        <f t="shared" si="224"/>
        <v>0.339611052154352+0.750923722866256i</v>
      </c>
      <c r="AN447" s="150" t="str">
        <f t="shared" si="225"/>
        <v>0.849459724623i</v>
      </c>
      <c r="AO447" s="150" t="str">
        <f t="shared" si="226"/>
        <v>0.8840015613448-0.399796532207663i</v>
      </c>
      <c r="AP447" s="150" t="str">
        <f t="shared" si="227"/>
        <v>0.110064824640941-0.125153953811043i</v>
      </c>
      <c r="AQ447" s="150" t="str">
        <f t="shared" si="228"/>
        <v>0.889935175359059+0.125153953811043i</v>
      </c>
      <c r="AR447" s="150" t="str">
        <f t="shared" si="229"/>
        <v>0.917870016556181-0.129082504925446i</v>
      </c>
    </row>
    <row r="448" spans="7:44" x14ac:dyDescent="0.25">
      <c r="G448" s="594">
        <v>47590.75</v>
      </c>
      <c r="H448" s="582">
        <f t="shared" si="221"/>
        <v>47.59075</v>
      </c>
      <c r="I448" s="583">
        <f t="shared" si="201"/>
        <v>46.442161482092224</v>
      </c>
      <c r="J448" s="584">
        <f t="shared" si="202"/>
        <v>1.5492625037228838</v>
      </c>
      <c r="K448" s="584">
        <f t="shared" si="203"/>
        <v>1.0003305977992476</v>
      </c>
      <c r="L448" s="585">
        <f t="shared" si="204"/>
        <v>2.5710182646068357E-2</v>
      </c>
      <c r="M448" s="584">
        <f t="shared" si="205"/>
        <v>1.0788717321072845</v>
      </c>
      <c r="N448" s="585">
        <f t="shared" si="206"/>
        <v>-0.38474479946153245</v>
      </c>
      <c r="O448" s="583">
        <f t="shared" si="207"/>
        <v>86118.192240806777</v>
      </c>
      <c r="P448" s="586">
        <f t="shared" si="208"/>
        <v>1.5707847148465497</v>
      </c>
      <c r="Q448" s="595">
        <f t="shared" si="230"/>
        <v>35.896511731412424</v>
      </c>
      <c r="R448" s="596">
        <f t="shared" si="231"/>
        <v>1.5429348622584884</v>
      </c>
      <c r="S448" s="583">
        <f t="shared" si="209"/>
        <v>1.0282144081309854</v>
      </c>
      <c r="T448" s="586">
        <f t="shared" si="210"/>
        <v>0.23480468355254655</v>
      </c>
      <c r="U448" s="587">
        <f t="shared" si="222"/>
        <v>0.89828698075767965</v>
      </c>
      <c r="V448" s="588">
        <f t="shared" si="223"/>
        <v>-0.56738568640718878</v>
      </c>
      <c r="W448" s="589">
        <f t="shared" si="211"/>
        <v>-4.5860488022916872</v>
      </c>
      <c r="X448" s="590">
        <f t="shared" si="212"/>
        <v>-156.89517282118226</v>
      </c>
      <c r="Y448" s="593">
        <f t="shared" si="213"/>
        <v>23.104827178817743</v>
      </c>
      <c r="AA448" s="150">
        <f t="shared" si="214"/>
        <v>47590.75</v>
      </c>
      <c r="AB448" s="150">
        <f t="shared" si="215"/>
        <v>2264879485.5625</v>
      </c>
      <c r="AD448" s="592">
        <f t="shared" si="216"/>
        <v>27.365922824644997</v>
      </c>
      <c r="AE448" s="593">
        <f t="shared" si="217"/>
        <v>-15.048996408019164</v>
      </c>
      <c r="AG448" s="592">
        <f t="shared" si="218"/>
        <v>-4.7006328837692219</v>
      </c>
      <c r="AH448" s="593">
        <f t="shared" si="219"/>
        <v>-76.828565964339333</v>
      </c>
      <c r="AJ448" s="150">
        <f t="shared" si="220"/>
        <v>0</v>
      </c>
      <c r="AK448" s="150">
        <f t="shared" si="232"/>
        <v>0</v>
      </c>
      <c r="AM448" s="150" t="str">
        <f t="shared" si="224"/>
        <v>0.343289004889505+0.754142339947163i</v>
      </c>
      <c r="AN448" s="150" t="str">
        <f t="shared" si="225"/>
        <v>0.8543471451885i</v>
      </c>
      <c r="AO448" s="150" t="str">
        <f t="shared" si="226"/>
        <v>0.882711839320036-0.401814422653409i</v>
      </c>
      <c r="AP448" s="150" t="str">
        <f t="shared" si="227"/>
        <v>0.109451832518416-0.125690389991194i</v>
      </c>
      <c r="AQ448" s="150" t="str">
        <f t="shared" si="228"/>
        <v>0.890548167481584+0.125690389991194i</v>
      </c>
      <c r="AR448" s="150" t="str">
        <f t="shared" si="229"/>
        <v>0.917110106291337-0.129439294957628i</v>
      </c>
    </row>
    <row r="449" spans="7:44" x14ac:dyDescent="0.25">
      <c r="G449" s="594">
        <v>47863</v>
      </c>
      <c r="H449" s="582">
        <f t="shared" si="221"/>
        <v>47.863</v>
      </c>
      <c r="I449" s="583">
        <f t="shared" si="201"/>
        <v>46.707717981995621</v>
      </c>
      <c r="J449" s="584">
        <f t="shared" si="202"/>
        <v>1.5493849529338535</v>
      </c>
      <c r="K449" s="584">
        <f t="shared" si="203"/>
        <v>1.0003343904525936</v>
      </c>
      <c r="L449" s="585">
        <f t="shared" si="204"/>
        <v>2.5857196227063436E-2</v>
      </c>
      <c r="M449" s="584">
        <f t="shared" si="205"/>
        <v>1.0797432768049664</v>
      </c>
      <c r="N449" s="585">
        <f t="shared" si="206"/>
        <v>-0.38673331889258539</v>
      </c>
      <c r="O449" s="583">
        <f t="shared" si="207"/>
        <v>86610.844233776152</v>
      </c>
      <c r="P449" s="586">
        <f t="shared" si="208"/>
        <v>1.5707847808965871</v>
      </c>
      <c r="Q449" s="595">
        <f t="shared" si="230"/>
        <v>36.101704180995732</v>
      </c>
      <c r="R449" s="596">
        <f t="shared" si="231"/>
        <v>1.543093260024857</v>
      </c>
      <c r="S449" s="583">
        <f t="shared" si="209"/>
        <v>1.0285336497444013</v>
      </c>
      <c r="T449" s="586">
        <f t="shared" si="210"/>
        <v>0.23609868771845133</v>
      </c>
      <c r="U449" s="587">
        <f t="shared" si="222"/>
        <v>0.89728703380334029</v>
      </c>
      <c r="V449" s="588">
        <f t="shared" si="223"/>
        <v>-0.57032066027797612</v>
      </c>
      <c r="W449" s="589">
        <f t="shared" si="211"/>
        <v>-4.6409353739865633</v>
      </c>
      <c r="X449" s="590">
        <f t="shared" si="212"/>
        <v>-157.24093001177471</v>
      </c>
      <c r="Y449" s="593">
        <f t="shared" si="213"/>
        <v>22.759069988225292</v>
      </c>
      <c r="AA449" s="150">
        <f t="shared" si="214"/>
        <v>47863</v>
      </c>
      <c r="AB449" s="150">
        <f t="shared" si="215"/>
        <v>2290866769</v>
      </c>
      <c r="AD449" s="592">
        <f t="shared" si="216"/>
        <v>27.363188201267672</v>
      </c>
      <c r="AE449" s="593">
        <f t="shared" si="217"/>
        <v>-15.114065646363359</v>
      </c>
      <c r="AG449" s="592">
        <f t="shared" si="218"/>
        <v>-4.7334363012732164</v>
      </c>
      <c r="AH449" s="593">
        <f t="shared" si="219"/>
        <v>-76.772930684648713</v>
      </c>
      <c r="AJ449" s="150">
        <f t="shared" si="220"/>
        <v>0</v>
      </c>
      <c r="AK449" s="150">
        <f t="shared" si="232"/>
        <v>0</v>
      </c>
      <c r="AM449" s="150" t="str">
        <f t="shared" si="224"/>
        <v>0.346982644370025+0.757342942956515i</v>
      </c>
      <c r="AN449" s="150" t="str">
        <f t="shared" si="225"/>
        <v>0.859234565754i</v>
      </c>
      <c r="AO449" s="150" t="str">
        <f t="shared" si="226"/>
        <v>0.881415824201541-0.403827613784996i</v>
      </c>
      <c r="AP449" s="150" t="str">
        <f t="shared" si="227"/>
        <v>0.108836225938329-0.126223823826086i</v>
      </c>
      <c r="AQ449" s="150" t="str">
        <f t="shared" si="228"/>
        <v>0.891163774061671+0.126223823826086i</v>
      </c>
      <c r="AR449" s="150" t="str">
        <f t="shared" si="229"/>
        <v>0.916349269729379-0.129791080104519i</v>
      </c>
    </row>
    <row r="450" spans="7:44" x14ac:dyDescent="0.25">
      <c r="G450" s="594">
        <v>48141.75</v>
      </c>
      <c r="H450" s="582">
        <f t="shared" si="221"/>
        <v>48.141750000000002</v>
      </c>
      <c r="I450" s="583">
        <f t="shared" si="201"/>
        <v>46.979615391121634</v>
      </c>
      <c r="J450" s="584">
        <f t="shared" si="202"/>
        <v>1.5495088913511392</v>
      </c>
      <c r="K450" s="584">
        <f t="shared" si="203"/>
        <v>1.0003382960564617</v>
      </c>
      <c r="L450" s="585">
        <f t="shared" si="204"/>
        <v>2.6007718615828693E-2</v>
      </c>
      <c r="M450" s="584">
        <f t="shared" si="205"/>
        <v>1.0806400461525705</v>
      </c>
      <c r="N450" s="585">
        <f t="shared" si="206"/>
        <v>-0.38876598289570485</v>
      </c>
      <c r="O450" s="583">
        <f t="shared" si="207"/>
        <v>87115.258349626733</v>
      </c>
      <c r="P450" s="586">
        <f t="shared" si="208"/>
        <v>1.570784847749561</v>
      </c>
      <c r="Q450" s="595">
        <f t="shared" si="230"/>
        <v>36.311796551615828</v>
      </c>
      <c r="R450" s="596">
        <f t="shared" si="231"/>
        <v>1.5432535847677384</v>
      </c>
      <c r="S450" s="583">
        <f t="shared" si="209"/>
        <v>1.0288622965588077</v>
      </c>
      <c r="T450" s="586">
        <f t="shared" si="210"/>
        <v>0.23742275209320512</v>
      </c>
      <c r="U450" s="587">
        <f t="shared" si="222"/>
        <v>0.89626054467222926</v>
      </c>
      <c r="V450" s="588">
        <f t="shared" si="223"/>
        <v>-0.57332107906229257</v>
      </c>
      <c r="W450" s="589">
        <f t="shared" si="211"/>
        <v>-4.6968623428321017</v>
      </c>
      <c r="X450" s="590">
        <f t="shared" si="212"/>
        <v>-157.59446246422186</v>
      </c>
      <c r="Y450" s="593">
        <f t="shared" si="213"/>
        <v>22.405537535778137</v>
      </c>
      <c r="AA450" s="150">
        <f t="shared" si="214"/>
        <v>48141.75</v>
      </c>
      <c r="AB450" s="150">
        <f t="shared" si="215"/>
        <v>2317628093.0625</v>
      </c>
      <c r="AD450" s="592">
        <f t="shared" si="216"/>
        <v>27.360374770435605</v>
      </c>
      <c r="AE450" s="593">
        <f t="shared" si="217"/>
        <v>-15.180746846191202</v>
      </c>
      <c r="AG450" s="592">
        <f t="shared" si="218"/>
        <v>-4.7666652878245594</v>
      </c>
      <c r="AH450" s="593">
        <f t="shared" si="219"/>
        <v>-76.715959270648952</v>
      </c>
      <c r="AJ450" s="150">
        <f t="shared" si="220"/>
        <v>0</v>
      </c>
      <c r="AK450" s="150">
        <f t="shared" si="232"/>
        <v>0</v>
      </c>
      <c r="AM450" s="150" t="str">
        <f t="shared" si="224"/>
        <v>0.350780630773583+0.760601216552573i</v>
      </c>
      <c r="AN450" s="150" t="str">
        <f t="shared" si="225"/>
        <v>0.8642386740465i</v>
      </c>
      <c r="AO450" s="150" t="str">
        <f t="shared" si="226"/>
        <v>0.8800823654319-0.40588397778032i</v>
      </c>
      <c r="AP450" s="150" t="str">
        <f t="shared" si="227"/>
        <v>0.108203228204403-0.126766869425429i</v>
      </c>
      <c r="AQ450" s="150" t="str">
        <f t="shared" si="228"/>
        <v>0.891796771795597+0.126766869425429i</v>
      </c>
      <c r="AR450" s="150" t="str">
        <f t="shared" si="229"/>
        <v>0.915569347031324-0.1301460865701i</v>
      </c>
    </row>
    <row r="451" spans="7:44" x14ac:dyDescent="0.25">
      <c r="G451" s="594">
        <v>48420.5</v>
      </c>
      <c r="H451" s="582">
        <f t="shared" si="221"/>
        <v>48.420499999999997</v>
      </c>
      <c r="I451" s="583">
        <f t="shared" si="201"/>
        <v>47.25151351358388</v>
      </c>
      <c r="J451" s="584">
        <f t="shared" si="202"/>
        <v>1.5496314034192384</v>
      </c>
      <c r="K451" s="584">
        <f t="shared" si="203"/>
        <v>1.0003422243248066</v>
      </c>
      <c r="L451" s="585">
        <f t="shared" si="204"/>
        <v>2.6158239825824183E-2</v>
      </c>
      <c r="M451" s="584">
        <f t="shared" si="205"/>
        <v>1.0815412729904725</v>
      </c>
      <c r="N451" s="585">
        <f t="shared" si="206"/>
        <v>-0.39079526771465806</v>
      </c>
      <c r="O451" s="583">
        <f t="shared" si="207"/>
        <v>87619.672465477677</v>
      </c>
      <c r="P451" s="586">
        <f t="shared" si="208"/>
        <v>1.5707849138328085</v>
      </c>
      <c r="Q451" s="595">
        <f t="shared" si="230"/>
        <v>36.521889844856865</v>
      </c>
      <c r="R451" s="596">
        <f t="shared" si="231"/>
        <v>1.5434120649686378</v>
      </c>
      <c r="S451" s="583">
        <f t="shared" si="209"/>
        <v>1.0291927459657098</v>
      </c>
      <c r="T451" s="586">
        <f t="shared" si="210"/>
        <v>0.23874596853511146</v>
      </c>
      <c r="U451" s="587">
        <f t="shared" si="222"/>
        <v>0.89523139466658319</v>
      </c>
      <c r="V451" s="588">
        <f t="shared" si="223"/>
        <v>-0.57631680989007861</v>
      </c>
      <c r="W451" s="589">
        <f t="shared" si="211"/>
        <v>-4.7525193578709102</v>
      </c>
      <c r="X451" s="590">
        <f t="shared" si="212"/>
        <v>-157.94750810469901</v>
      </c>
      <c r="Y451" s="593">
        <f t="shared" si="213"/>
        <v>22.052491895300989</v>
      </c>
      <c r="AA451" s="150">
        <f t="shared" si="214"/>
        <v>48420.5</v>
      </c>
      <c r="AB451" s="150">
        <f t="shared" si="215"/>
        <v>2344544820.25</v>
      </c>
      <c r="AD451" s="592">
        <f t="shared" si="216"/>
        <v>27.35754767509842</v>
      </c>
      <c r="AE451" s="593">
        <f t="shared" si="217"/>
        <v>-15.247485103414274</v>
      </c>
      <c r="AG451" s="592">
        <f t="shared" si="218"/>
        <v>-4.7995362355495965</v>
      </c>
      <c r="AH451" s="593">
        <f t="shared" si="219"/>
        <v>-76.658981187532021</v>
      </c>
      <c r="AJ451" s="150">
        <f t="shared" si="220"/>
        <v>0</v>
      </c>
      <c r="AK451" s="150">
        <f t="shared" si="232"/>
        <v>0</v>
      </c>
      <c r="AM451" s="150" t="str">
        <f t="shared" si="224"/>
        <v>0.354594874310236+0.763840443897402i</v>
      </c>
      <c r="AN451" s="150" t="str">
        <f t="shared" si="225"/>
        <v>0.869242782339i</v>
      </c>
      <c r="AO451" s="150" t="str">
        <f t="shared" si="226"/>
        <v>0.878742348417347-0.407935368017754i</v>
      </c>
      <c r="AP451" s="150" t="str">
        <f t="shared" si="227"/>
        <v>0.107567520948294-0.127306740649567i</v>
      </c>
      <c r="AQ451" s="150" t="str">
        <f t="shared" si="228"/>
        <v>0.892432479051706+0.127306740649567i</v>
      </c>
      <c r="AR451" s="150" t="str">
        <f t="shared" si="229"/>
        <v>0.914788531572818-0.130495862792766i</v>
      </c>
    </row>
    <row r="452" spans="7:44" x14ac:dyDescent="0.25">
      <c r="G452" s="594">
        <v>48699.25</v>
      </c>
      <c r="H452" s="582">
        <f t="shared" si="221"/>
        <v>48.699249999999999</v>
      </c>
      <c r="I452" s="583">
        <f t="shared" si="201"/>
        <v>47.523412337138595</v>
      </c>
      <c r="J452" s="584">
        <f t="shared" si="202"/>
        <v>1.5497525136164381</v>
      </c>
      <c r="K452" s="584">
        <f t="shared" si="203"/>
        <v>1.0003461752573615</v>
      </c>
      <c r="L452" s="585">
        <f t="shared" si="204"/>
        <v>2.6308759850243234E-2</v>
      </c>
      <c r="M452" s="584">
        <f t="shared" si="205"/>
        <v>1.0824469461849817</v>
      </c>
      <c r="N452" s="585">
        <f t="shared" si="206"/>
        <v>-0.39282116509754456</v>
      </c>
      <c r="O452" s="583">
        <f t="shared" si="207"/>
        <v>88124.086581329029</v>
      </c>
      <c r="P452" s="586">
        <f t="shared" si="208"/>
        <v>1.5707849791595472</v>
      </c>
      <c r="Q452" s="595">
        <f t="shared" si="230"/>
        <v>36.731984044887696</v>
      </c>
      <c r="R452" s="596">
        <f t="shared" si="231"/>
        <v>1.5435687322699447</v>
      </c>
      <c r="S452" s="583">
        <f t="shared" si="209"/>
        <v>1.0295249962293589</v>
      </c>
      <c r="T452" s="586">
        <f t="shared" si="210"/>
        <v>0.24006833322925586</v>
      </c>
      <c r="U452" s="587">
        <f t="shared" si="222"/>
        <v>0.89419962286698262</v>
      </c>
      <c r="V452" s="588">
        <f t="shared" si="223"/>
        <v>-0.57930784751621045</v>
      </c>
      <c r="W452" s="589">
        <f t="shared" si="211"/>
        <v>-4.8079096442930807</v>
      </c>
      <c r="X452" s="590">
        <f t="shared" si="212"/>
        <v>-158.30006553197956</v>
      </c>
      <c r="Y452" s="593">
        <f t="shared" si="213"/>
        <v>21.699934468020444</v>
      </c>
      <c r="AA452" s="150">
        <f t="shared" si="214"/>
        <v>48699.25</v>
      </c>
      <c r="AB452" s="150">
        <f t="shared" si="215"/>
        <v>2371616950.5625</v>
      </c>
      <c r="AD452" s="592">
        <f t="shared" si="216"/>
        <v>27.354706928873213</v>
      </c>
      <c r="AE452" s="593">
        <f t="shared" si="217"/>
        <v>-15.314278387236008</v>
      </c>
      <c r="AG452" s="592">
        <f t="shared" si="218"/>
        <v>-4.8320529119181481</v>
      </c>
      <c r="AH452" s="593">
        <f t="shared" si="219"/>
        <v>-76.601997665914823</v>
      </c>
      <c r="AJ452" s="150">
        <f t="shared" si="220"/>
        <v>0</v>
      </c>
      <c r="AK452" s="150">
        <f t="shared" si="232"/>
        <v>0</v>
      </c>
      <c r="AM452" s="150" t="str">
        <f t="shared" si="224"/>
        <v>0.358425279467329+0.767060543877356i</v>
      </c>
      <c r="AN452" s="150" t="str">
        <f t="shared" si="225"/>
        <v>0.8742468906315i</v>
      </c>
      <c r="AO452" s="150" t="str">
        <f t="shared" si="226"/>
        <v>0.877395792993076-0.409981760653933i</v>
      </c>
      <c r="AP452" s="150" t="str">
        <f t="shared" si="227"/>
        <v>0.106929120088778-0.127843423979559i</v>
      </c>
      <c r="AQ452" s="150" t="str">
        <f t="shared" si="228"/>
        <v>0.893070879911222+0.127843423979559i</v>
      </c>
      <c r="AR452" s="150" t="str">
        <f t="shared" si="229"/>
        <v>0.914006862594135-0.130840417578574i</v>
      </c>
    </row>
    <row r="453" spans="7:44" x14ac:dyDescent="0.25">
      <c r="G453" s="594">
        <v>48978</v>
      </c>
      <c r="H453" s="582">
        <f t="shared" si="221"/>
        <v>48.978000000000002</v>
      </c>
      <c r="I453" s="583">
        <f t="shared" si="201"/>
        <v>47.795311849820628</v>
      </c>
      <c r="J453" s="584">
        <f t="shared" si="202"/>
        <v>1.5498722458641798</v>
      </c>
      <c r="K453" s="584">
        <f t="shared" si="203"/>
        <v>1.000350148853858</v>
      </c>
      <c r="L453" s="585">
        <f t="shared" si="204"/>
        <v>2.6459278682279479E-2</v>
      </c>
      <c r="M453" s="584">
        <f t="shared" si="205"/>
        <v>1.0833570545847997</v>
      </c>
      <c r="N453" s="585">
        <f t="shared" si="206"/>
        <v>-0.39484366693121281</v>
      </c>
      <c r="O453" s="583">
        <f t="shared" si="207"/>
        <v>88628.500697180731</v>
      </c>
      <c r="P453" s="586">
        <f t="shared" si="208"/>
        <v>1.5707850437426938</v>
      </c>
      <c r="Q453" s="595">
        <f t="shared" si="230"/>
        <v>36.94207913623724</v>
      </c>
      <c r="R453" s="596">
        <f t="shared" si="231"/>
        <v>1.5437236175945903</v>
      </c>
      <c r="S453" s="583">
        <f t="shared" si="209"/>
        <v>1.0298590456067926</v>
      </c>
      <c r="T453" s="586">
        <f t="shared" si="210"/>
        <v>0.24138984237754868</v>
      </c>
      <c r="U453" s="587">
        <f t="shared" si="222"/>
        <v>0.89316526819482167</v>
      </c>
      <c r="V453" s="588">
        <f t="shared" si="223"/>
        <v>-0.58229418693054857</v>
      </c>
      <c r="W453" s="589">
        <f t="shared" si="211"/>
        <v>-4.8630363702964363</v>
      </c>
      <c r="X453" s="590">
        <f t="shared" si="212"/>
        <v>-158.65213337651412</v>
      </c>
      <c r="Y453" s="593">
        <f t="shared" si="213"/>
        <v>21.347866623485885</v>
      </c>
      <c r="AA453" s="150">
        <f t="shared" si="214"/>
        <v>48978</v>
      </c>
      <c r="AB453" s="150">
        <f t="shared" si="215"/>
        <v>2398844484</v>
      </c>
      <c r="AD453" s="592">
        <f t="shared" si="216"/>
        <v>27.351852545908951</v>
      </c>
      <c r="AE453" s="593">
        <f t="shared" si="217"/>
        <v>-15.381124709028517</v>
      </c>
      <c r="AG453" s="592">
        <f t="shared" si="218"/>
        <v>-4.8642190268963112</v>
      </c>
      <c r="AH453" s="593">
        <f t="shared" si="219"/>
        <v>-76.545009898995531</v>
      </c>
      <c r="AJ453" s="150">
        <f t="shared" si="220"/>
        <v>0</v>
      </c>
      <c r="AK453" s="150">
        <f t="shared" si="232"/>
        <v>0</v>
      </c>
      <c r="AM453" s="150" t="str">
        <f t="shared" si="224"/>
        <v>0.362271750327505+0.770261435857759i</v>
      </c>
      <c r="AN453" s="150" t="str">
        <f t="shared" si="225"/>
        <v>0.879250998924i</v>
      </c>
      <c r="AO453" s="150" t="str">
        <f t="shared" si="226"/>
        <v>0.876042719087474-0.412023131928018i</v>
      </c>
      <c r="AP453" s="150" t="str">
        <f t="shared" si="227"/>
        <v>0.106288041612082-0.128376905976293i</v>
      </c>
      <c r="AQ453" s="150" t="str">
        <f t="shared" si="228"/>
        <v>0.893711958387918+0.128376905976293i</v>
      </c>
      <c r="AR453" s="150" t="str">
        <f t="shared" si="229"/>
        <v>0.91322437908423-0.131179760043076i</v>
      </c>
    </row>
    <row r="454" spans="7:44" x14ac:dyDescent="0.25">
      <c r="G454" s="594">
        <v>49263.25</v>
      </c>
      <c r="H454" s="582">
        <f t="shared" si="221"/>
        <v>49.263249999999999</v>
      </c>
      <c r="I454" s="583">
        <f t="shared" si="201"/>
        <v>48.07355232141699</v>
      </c>
      <c r="J454" s="584">
        <f t="shared" si="202"/>
        <v>1.5499933679426319</v>
      </c>
      <c r="K454" s="584">
        <f t="shared" si="203"/>
        <v>1.0003542385707611</v>
      </c>
      <c r="L454" s="585">
        <f t="shared" si="204"/>
        <v>2.6613306128974411E-2</v>
      </c>
      <c r="M454" s="584">
        <f t="shared" si="205"/>
        <v>1.0842929651351074</v>
      </c>
      <c r="N454" s="585">
        <f t="shared" si="206"/>
        <v>-0.3969098066828437</v>
      </c>
      <c r="O454" s="583">
        <f t="shared" si="207"/>
        <v>89144.676935913667</v>
      </c>
      <c r="P454" s="586">
        <f t="shared" si="208"/>
        <v>1.5707851090751808</v>
      </c>
      <c r="Q454" s="595">
        <f t="shared" si="230"/>
        <v>37.1570742129135</v>
      </c>
      <c r="R454" s="596">
        <f t="shared" si="231"/>
        <v>1.5438803013328255</v>
      </c>
      <c r="S454" s="583">
        <f t="shared" si="209"/>
        <v>1.0302027451820446</v>
      </c>
      <c r="T454" s="586">
        <f t="shared" si="210"/>
        <v>0.24274127733759396</v>
      </c>
      <c r="U454" s="587">
        <f t="shared" si="222"/>
        <v>0.8921041605611123</v>
      </c>
      <c r="V454" s="588">
        <f t="shared" si="223"/>
        <v>-0.58534529415576164</v>
      </c>
      <c r="W454" s="589">
        <f t="shared" si="211"/>
        <v>-4.9191789587235544</v>
      </c>
      <c r="X454" s="590">
        <f t="shared" si="212"/>
        <v>-159.01190263855437</v>
      </c>
      <c r="Y454" s="593">
        <f t="shared" si="213"/>
        <v>20.988097361445625</v>
      </c>
      <c r="AA454" s="150">
        <f t="shared" si="214"/>
        <v>49263.25</v>
      </c>
      <c r="AB454" s="150">
        <f t="shared" si="215"/>
        <v>2426867800.5625</v>
      </c>
      <c r="AD454" s="592">
        <f t="shared" si="216"/>
        <v>27.348917501218722</v>
      </c>
      <c r="AE454" s="593">
        <f t="shared" si="217"/>
        <v>-15.449582654960324</v>
      </c>
      <c r="AG454" s="592">
        <f t="shared" si="218"/>
        <v>-4.8967760968450182</v>
      </c>
      <c r="AH454" s="593">
        <f t="shared" si="219"/>
        <v>-76.486690081011332</v>
      </c>
      <c r="AJ454" s="150">
        <f t="shared" si="220"/>
        <v>0</v>
      </c>
      <c r="AK454" s="150">
        <f t="shared" si="232"/>
        <v>0</v>
      </c>
      <c r="AM454" s="150" t="str">
        <f t="shared" si="224"/>
        <v>0.366224446196531+0.773516998779669i</v>
      </c>
      <c r="AN454" s="150" t="str">
        <f t="shared" si="225"/>
        <v>0.8843717949435i</v>
      </c>
      <c r="AO454" s="150" t="str">
        <f t="shared" si="226"/>
        <v>0.874651366317134-0.414106881619769i</v>
      </c>
      <c r="AP454" s="150" t="str">
        <f t="shared" si="227"/>
        <v>0.105629258967245-0.128919499796611i</v>
      </c>
      <c r="AQ454" s="150" t="str">
        <f t="shared" si="228"/>
        <v>0.894370741032755+0.128919499796611i</v>
      </c>
      <c r="AR454" s="150" t="str">
        <f t="shared" si="229"/>
        <v>0.912422846490201-0.131521629203441i</v>
      </c>
    </row>
    <row r="455" spans="7:44" x14ac:dyDescent="0.25">
      <c r="G455" s="594">
        <v>49548.5</v>
      </c>
      <c r="H455" s="582">
        <f t="shared" si="221"/>
        <v>49.548499999999997</v>
      </c>
      <c r="I455" s="583">
        <f t="shared" si="201"/>
        <v>48.351793490162279</v>
      </c>
      <c r="J455" s="584">
        <f t="shared" si="202"/>
        <v>1.5501130960249494</v>
      </c>
      <c r="K455" s="584">
        <f t="shared" si="203"/>
        <v>1.0003583520203283</v>
      </c>
      <c r="L455" s="585">
        <f t="shared" si="204"/>
        <v>2.6767332312609169E-2</v>
      </c>
      <c r="M455" s="584">
        <f t="shared" si="205"/>
        <v>1.0852334964646793</v>
      </c>
      <c r="N455" s="585">
        <f t="shared" si="206"/>
        <v>-0.39897237393447815</v>
      </c>
      <c r="O455" s="583">
        <f t="shared" si="207"/>
        <v>89660.853174646967</v>
      </c>
      <c r="P455" s="586">
        <f t="shared" si="208"/>
        <v>1.5707851736554315</v>
      </c>
      <c r="Q455" s="595">
        <f t="shared" si="230"/>
        <v>37.372070191292821</v>
      </c>
      <c r="R455" s="596">
        <f t="shared" si="231"/>
        <v>1.5440351823181999</v>
      </c>
      <c r="S455" s="583">
        <f t="shared" si="209"/>
        <v>1.0305483250382976</v>
      </c>
      <c r="T455" s="586">
        <f t="shared" si="210"/>
        <v>0.24409180839350886</v>
      </c>
      <c r="U455" s="587">
        <f t="shared" si="222"/>
        <v>0.89104043013879719</v>
      </c>
      <c r="V455" s="588">
        <f t="shared" si="223"/>
        <v>-0.5883914716367431</v>
      </c>
      <c r="W455" s="589">
        <f t="shared" si="211"/>
        <v>-4.9750520873679154</v>
      </c>
      <c r="X455" s="590">
        <f t="shared" si="212"/>
        <v>-159.37115641729497</v>
      </c>
      <c r="Y455" s="593">
        <f t="shared" si="213"/>
        <v>20.628843582705031</v>
      </c>
      <c r="AA455" s="150">
        <f t="shared" si="214"/>
        <v>49548.5</v>
      </c>
      <c r="AB455" s="150">
        <f t="shared" si="215"/>
        <v>2455053852.25</v>
      </c>
      <c r="AD455" s="592">
        <f t="shared" si="216"/>
        <v>27.345968208019464</v>
      </c>
      <c r="AE455" s="593">
        <f t="shared" si="217"/>
        <v>-15.518092058030906</v>
      </c>
      <c r="AG455" s="592">
        <f t="shared" si="218"/>
        <v>-4.9289737473310709</v>
      </c>
      <c r="AH455" s="593">
        <f t="shared" si="219"/>
        <v>-76.428368229666418</v>
      </c>
      <c r="AJ455" s="150">
        <f t="shared" si="220"/>
        <v>0</v>
      </c>
      <c r="AK455" s="150">
        <f t="shared" si="232"/>
        <v>0</v>
      </c>
      <c r="AM455" s="150" t="str">
        <f t="shared" si="224"/>
        <v>0.370193761241576+0.776752278156277i</v>
      </c>
      <c r="AN455" s="150" t="str">
        <f t="shared" si="225"/>
        <v>0.889492590963i</v>
      </c>
      <c r="AO455" s="150" t="str">
        <f t="shared" si="226"/>
        <v>0.873253230041336-0.416185322961251i</v>
      </c>
      <c r="AP455" s="150" t="str">
        <f t="shared" si="227"/>
        <v>0.104967706459737-0.129458713026046i</v>
      </c>
      <c r="AQ455" s="150" t="str">
        <f t="shared" si="228"/>
        <v>0.895032293540263+0.129458713026046i</v>
      </c>
      <c r="AR455" s="150" t="str">
        <f t="shared" si="229"/>
        <v>0.911620542729175-0.131858060409209i</v>
      </c>
    </row>
    <row r="456" spans="7:44" x14ac:dyDescent="0.25">
      <c r="G456" s="594">
        <v>49833.75</v>
      </c>
      <c r="H456" s="582">
        <f t="shared" si="221"/>
        <v>49.833750000000002</v>
      </c>
      <c r="I456" s="583">
        <f t="shared" si="201"/>
        <v>48.630035344090082</v>
      </c>
      <c r="J456" s="584">
        <f t="shared" si="202"/>
        <v>1.5502314540353559</v>
      </c>
      <c r="K456" s="584">
        <f t="shared" si="203"/>
        <v>1.0003624892022669</v>
      </c>
      <c r="L456" s="585">
        <f t="shared" si="204"/>
        <v>2.6921357225891122E-2</v>
      </c>
      <c r="M456" s="584">
        <f t="shared" si="205"/>
        <v>1.0861786365699988</v>
      </c>
      <c r="N456" s="585">
        <f t="shared" si="206"/>
        <v>-0.40103136044025839</v>
      </c>
      <c r="O456" s="583">
        <f t="shared" si="207"/>
        <v>90177.029413380646</v>
      </c>
      <c r="P456" s="586">
        <f t="shared" si="208"/>
        <v>1.5707852374963631</v>
      </c>
      <c r="Q456" s="595">
        <f t="shared" si="230"/>
        <v>37.587067055902111</v>
      </c>
      <c r="R456" s="596">
        <f t="shared" si="231"/>
        <v>1.5441882914782905</v>
      </c>
      <c r="S456" s="583">
        <f t="shared" si="209"/>
        <v>1.0308957832846126</v>
      </c>
      <c r="T456" s="586">
        <f t="shared" si="210"/>
        <v>0.24544143153024894</v>
      </c>
      <c r="U456" s="587">
        <f t="shared" si="222"/>
        <v>0.88997411810301241</v>
      </c>
      <c r="V456" s="588">
        <f t="shared" si="223"/>
        <v>-0.59143271475881776</v>
      </c>
      <c r="W456" s="589">
        <f t="shared" si="211"/>
        <v>-5.0306589743700805</v>
      </c>
      <c r="X456" s="590">
        <f t="shared" si="212"/>
        <v>-159.72989334573188</v>
      </c>
      <c r="Y456" s="593">
        <f t="shared" si="213"/>
        <v>20.270106654268119</v>
      </c>
      <c r="AA456" s="150">
        <f t="shared" si="214"/>
        <v>49833.75</v>
      </c>
      <c r="AB456" s="150">
        <f t="shared" si="215"/>
        <v>2483402639.0625</v>
      </c>
      <c r="AD456" s="592">
        <f t="shared" si="216"/>
        <v>27.34300468310424</v>
      </c>
      <c r="AE456" s="593">
        <f t="shared" si="217"/>
        <v>-15.586650916915618</v>
      </c>
      <c r="AG456" s="592">
        <f t="shared" si="218"/>
        <v>-4.9608157750811079</v>
      </c>
      <c r="AH456" s="593">
        <f t="shared" si="219"/>
        <v>-76.370045508084232</v>
      </c>
      <c r="AJ456" s="150">
        <f t="shared" si="220"/>
        <v>0</v>
      </c>
      <c r="AK456" s="150">
        <f t="shared" si="232"/>
        <v>0</v>
      </c>
      <c r="AM456" s="150" t="str">
        <f t="shared" si="224"/>
        <v>0.374179591377297+0.779967189150488i</v>
      </c>
      <c r="AN456" s="150" t="str">
        <f t="shared" si="225"/>
        <v>0.8946133869825i</v>
      </c>
      <c r="AO456" s="150" t="str">
        <f t="shared" si="226"/>
        <v>0.871848331916081-0.418258430761238i</v>
      </c>
      <c r="AP456" s="150" t="str">
        <f t="shared" si="227"/>
        <v>0.104303401437117-0.129994531525081i</v>
      </c>
      <c r="AQ456" s="150" t="str">
        <f t="shared" si="228"/>
        <v>0.895696598562883+0.129994531525081i</v>
      </c>
      <c r="AR456" s="150" t="str">
        <f t="shared" si="229"/>
        <v>0.910817508751132-0.132189064405197i</v>
      </c>
    </row>
    <row r="457" spans="7:44" x14ac:dyDescent="0.25">
      <c r="G457" s="594">
        <v>50119</v>
      </c>
      <c r="H457" s="582">
        <f t="shared" si="221"/>
        <v>50.119</v>
      </c>
      <c r="I457" s="583">
        <f t="shared" si="201"/>
        <v>48.908277871506272</v>
      </c>
      <c r="J457" s="584">
        <f t="shared" si="202"/>
        <v>1.550348465353804</v>
      </c>
      <c r="K457" s="584">
        <f t="shared" si="203"/>
        <v>1.0003666501162822</v>
      </c>
      <c r="L457" s="585">
        <f t="shared" si="204"/>
        <v>2.7075380861528001E-2</v>
      </c>
      <c r="M457" s="584">
        <f t="shared" si="205"/>
        <v>1.0871283734305757</v>
      </c>
      <c r="N457" s="585">
        <f t="shared" si="206"/>
        <v>-0.40308675810437344</v>
      </c>
      <c r="O457" s="583">
        <f t="shared" si="207"/>
        <v>90693.205652114702</v>
      </c>
      <c r="P457" s="586">
        <f t="shared" si="208"/>
        <v>1.5707853006105994</v>
      </c>
      <c r="Q457" s="595">
        <f t="shared" si="230"/>
        <v>37.802064791620261</v>
      </c>
      <c r="R457" s="596">
        <f t="shared" si="231"/>
        <v>1.5443396590374139</v>
      </c>
      <c r="S457" s="583">
        <f t="shared" si="209"/>
        <v>1.0312451180223268</v>
      </c>
      <c r="T457" s="586">
        <f t="shared" si="210"/>
        <v>0.24679014275139619</v>
      </c>
      <c r="U457" s="587">
        <f t="shared" si="222"/>
        <v>0.88890526544421544</v>
      </c>
      <c r="V457" s="588">
        <f t="shared" si="223"/>
        <v>-0.59446901915818751</v>
      </c>
      <c r="W457" s="589">
        <f t="shared" si="211"/>
        <v>-5.0860027809536454</v>
      </c>
      <c r="X457" s="590">
        <f t="shared" si="212"/>
        <v>-160.08811208999211</v>
      </c>
      <c r="Y457" s="593">
        <f t="shared" si="213"/>
        <v>19.911887910007891</v>
      </c>
      <c r="AA457" s="150">
        <f t="shared" si="214"/>
        <v>50119</v>
      </c>
      <c r="AB457" s="150">
        <f t="shared" si="215"/>
        <v>2511914161</v>
      </c>
      <c r="AD457" s="592">
        <f t="shared" si="216"/>
        <v>27.340026943784757</v>
      </c>
      <c r="AE457" s="593">
        <f t="shared" si="217"/>
        <v>-15.655257271634081</v>
      </c>
      <c r="AG457" s="592">
        <f t="shared" si="218"/>
        <v>-4.9923059191391852</v>
      </c>
      <c r="AH457" s="593">
        <f t="shared" si="219"/>
        <v>-76.311723042426621</v>
      </c>
      <c r="AJ457" s="150">
        <f t="shared" si="220"/>
        <v>0</v>
      </c>
      <c r="AK457" s="150">
        <f t="shared" si="232"/>
        <v>0</v>
      </c>
      <c r="AM457" s="150" t="str">
        <f t="shared" si="224"/>
        <v>0.378181832085287+0.783161647459315i</v>
      </c>
      <c r="AN457" s="150" t="str">
        <f t="shared" si="225"/>
        <v>0.899734183002i</v>
      </c>
      <c r="AO457" s="150" t="str">
        <f t="shared" si="226"/>
        <v>0.870436693697981-0.420326179920683i</v>
      </c>
      <c r="AP457" s="150" t="str">
        <f t="shared" si="227"/>
        <v>0.103636361319119-0.130526941243219i</v>
      </c>
      <c r="AQ457" s="150" t="str">
        <f t="shared" si="228"/>
        <v>0.896363638680881+0.130526941243219i</v>
      </c>
      <c r="AR457" s="150" t="str">
        <f t="shared" si="229"/>
        <v>0.910013785221824-0.132514652255385i</v>
      </c>
    </row>
    <row r="458" spans="7:44" x14ac:dyDescent="0.25">
      <c r="G458" s="594">
        <v>50410.75</v>
      </c>
      <c r="H458" s="582">
        <f t="shared" si="221"/>
        <v>50.41075</v>
      </c>
      <c r="I458" s="583">
        <f t="shared" si="201"/>
        <v>49.192861404214035</v>
      </c>
      <c r="J458" s="584">
        <f t="shared" si="202"/>
        <v>1.5504667737548377</v>
      </c>
      <c r="K458" s="584">
        <f t="shared" si="203"/>
        <v>1.0003709303942707</v>
      </c>
      <c r="L458" s="585">
        <f t="shared" si="204"/>
        <v>2.7232912908957102E-2</v>
      </c>
      <c r="M458" s="584">
        <f t="shared" si="205"/>
        <v>1.0881044944946354</v>
      </c>
      <c r="N458" s="585">
        <f t="shared" si="206"/>
        <v>-0.40518527145098743</v>
      </c>
      <c r="O458" s="583">
        <f t="shared" si="207"/>
        <v>91221.14401372998</v>
      </c>
      <c r="P458" s="586">
        <f t="shared" si="208"/>
        <v>1.5707853644241565</v>
      </c>
      <c r="Q458" s="595">
        <f t="shared" si="230"/>
        <v>38.021962572668087</v>
      </c>
      <c r="R458" s="596">
        <f t="shared" si="231"/>
        <v>1.5444927050179555</v>
      </c>
      <c r="S458" s="583">
        <f t="shared" si="209"/>
        <v>1.0316043521918743</v>
      </c>
      <c r="T458" s="586">
        <f t="shared" si="210"/>
        <v>0.24816863962614183</v>
      </c>
      <c r="U458" s="587">
        <f t="shared" si="222"/>
        <v>0.88780947121460663</v>
      </c>
      <c r="V458" s="588">
        <f t="shared" si="223"/>
        <v>-0.59756939881330562</v>
      </c>
      <c r="W458" s="589">
        <f t="shared" si="211"/>
        <v>-5.142338804161243</v>
      </c>
      <c r="X458" s="590">
        <f t="shared" si="212"/>
        <v>-160.45395618863984</v>
      </c>
      <c r="Y458" s="593">
        <f t="shared" si="213"/>
        <v>19.546043811360164</v>
      </c>
      <c r="AA458" s="150">
        <f t="shared" si="214"/>
        <v>50410.75</v>
      </c>
      <c r="AB458" s="150">
        <f t="shared" si="215"/>
        <v>2541243715.5625</v>
      </c>
      <c r="AD458" s="592">
        <f t="shared" si="216"/>
        <v>27.336966665254451</v>
      </c>
      <c r="AE458" s="593">
        <f t="shared" si="217"/>
        <v>-15.725474092200237</v>
      </c>
      <c r="AG458" s="592">
        <f t="shared" si="218"/>
        <v>-5.0241534654572115</v>
      </c>
      <c r="AH458" s="593">
        <f t="shared" si="219"/>
        <v>-76.252072981849267</v>
      </c>
      <c r="AJ458" s="150">
        <f t="shared" si="220"/>
        <v>0</v>
      </c>
      <c r="AK458" s="150">
        <f t="shared" si="232"/>
        <v>0</v>
      </c>
      <c r="AM458" s="150" t="str">
        <f t="shared" si="224"/>
        <v>0.382292138332831+0.786407653596132i</v>
      </c>
      <c r="AN458" s="150" t="str">
        <f t="shared" si="225"/>
        <v>0.9049716667485i</v>
      </c>
      <c r="AO458" s="150" t="str">
        <f t="shared" si="226"/>
        <v>0.868985938998112-0.422435477683384i</v>
      </c>
      <c r="AP458" s="150" t="str">
        <f t="shared" si="227"/>
        <v>0.102951310277861-0.131067942266022i</v>
      </c>
      <c r="AQ458" s="150" t="str">
        <f t="shared" si="228"/>
        <v>0.897048689722139+0.131067942266022i</v>
      </c>
      <c r="AR458" s="150" t="str">
        <f t="shared" si="229"/>
        <v>0.909191076007485-0.132842068467703i</v>
      </c>
    </row>
    <row r="459" spans="7:44" x14ac:dyDescent="0.25">
      <c r="G459" s="594">
        <v>50702.5</v>
      </c>
      <c r="H459" s="582">
        <f t="shared" si="221"/>
        <v>50.702500000000001</v>
      </c>
      <c r="I459" s="583">
        <f t="shared" si="201"/>
        <v>49.477445617547517</v>
      </c>
      <c r="J459" s="584">
        <f t="shared" si="202"/>
        <v>1.5505837211857278</v>
      </c>
      <c r="K459" s="584">
        <f t="shared" si="203"/>
        <v>1.0003752354975972</v>
      </c>
      <c r="L459" s="585">
        <f t="shared" si="204"/>
        <v>2.7390443604420799E-2</v>
      </c>
      <c r="M459" s="584">
        <f t="shared" si="205"/>
        <v>1.0890853987061011</v>
      </c>
      <c r="N459" s="585">
        <f t="shared" si="206"/>
        <v>-0.40728001388149371</v>
      </c>
      <c r="O459" s="583">
        <f t="shared" si="207"/>
        <v>91749.08237534565</v>
      </c>
      <c r="P459" s="586">
        <f t="shared" si="208"/>
        <v>1.5707854275033273</v>
      </c>
      <c r="Q459" s="595">
        <f t="shared" si="230"/>
        <v>38.241861234064949</v>
      </c>
      <c r="R459" s="596">
        <f t="shared" si="231"/>
        <v>1.5446439909095235</v>
      </c>
      <c r="S459" s="583">
        <f t="shared" si="209"/>
        <v>1.0319655453043743</v>
      </c>
      <c r="T459" s="586">
        <f t="shared" si="210"/>
        <v>0.24954617415540056</v>
      </c>
      <c r="U459" s="587">
        <f t="shared" si="222"/>
        <v>0.88671110539141818</v>
      </c>
      <c r="V459" s="588">
        <f t="shared" si="223"/>
        <v>-0.60066460366549179</v>
      </c>
      <c r="W459" s="589">
        <f t="shared" si="211"/>
        <v>-5.1984061332759337</v>
      </c>
      <c r="X459" s="590">
        <f t="shared" si="212"/>
        <v>-160.8192555002156</v>
      </c>
      <c r="Y459" s="593">
        <f t="shared" si="213"/>
        <v>19.180744499784396</v>
      </c>
      <c r="AA459" s="150">
        <f t="shared" si="214"/>
        <v>50702.5</v>
      </c>
      <c r="AB459" s="150">
        <f t="shared" si="215"/>
        <v>2570743506.25</v>
      </c>
      <c r="AD459" s="592">
        <f t="shared" si="216"/>
        <v>27.333891555360267</v>
      </c>
      <c r="AE459" s="593">
        <f t="shared" si="217"/>
        <v>-15.795736578024135</v>
      </c>
      <c r="AG459" s="592">
        <f t="shared" si="218"/>
        <v>-5.0556406411937251</v>
      </c>
      <c r="AH459" s="593">
        <f t="shared" si="219"/>
        <v>-76.192425457678482</v>
      </c>
      <c r="AJ459" s="150">
        <f t="shared" si="220"/>
        <v>0</v>
      </c>
      <c r="AK459" s="150">
        <f t="shared" si="232"/>
        <v>0</v>
      </c>
      <c r="AM459" s="150" t="str">
        <f t="shared" si="224"/>
        <v>0.38641938903177+0.789632087648326i</v>
      </c>
      <c r="AN459" s="150" t="str">
        <f t="shared" si="225"/>
        <v>0.910209150495i</v>
      </c>
      <c r="AO459" s="150" t="str">
        <f t="shared" si="226"/>
        <v>0.867528179890193-0.424539116994839i</v>
      </c>
      <c r="AP459" s="150" t="str">
        <f t="shared" si="227"/>
        <v>0.102263435161372-0.131605347941388i</v>
      </c>
      <c r="AQ459" s="150" t="str">
        <f t="shared" si="228"/>
        <v>0.897736564838628+0.131605347941388i</v>
      </c>
      <c r="AR459" s="150" t="str">
        <f t="shared" si="229"/>
        <v>0.90836773058938-0.133163843297876i</v>
      </c>
    </row>
    <row r="460" spans="7:44" x14ac:dyDescent="0.25">
      <c r="G460" s="594">
        <v>50994.25</v>
      </c>
      <c r="H460" s="582">
        <f t="shared" si="221"/>
        <v>50.994250000000001</v>
      </c>
      <c r="I460" s="583">
        <f t="shared" si="201"/>
        <v>49.762030499829422</v>
      </c>
      <c r="J460" s="584">
        <f t="shared" si="202"/>
        <v>1.5506993309930706</v>
      </c>
      <c r="K460" s="584">
        <f t="shared" si="203"/>
        <v>1.0003795654259418</v>
      </c>
      <c r="L460" s="585">
        <f t="shared" si="204"/>
        <v>2.754797294011806E-2</v>
      </c>
      <c r="M460" s="584">
        <f t="shared" si="205"/>
        <v>1.090071073152578</v>
      </c>
      <c r="N460" s="585">
        <f t="shared" si="206"/>
        <v>-0.40937097721734439</v>
      </c>
      <c r="O460" s="583">
        <f t="shared" si="207"/>
        <v>92277.020736961669</v>
      </c>
      <c r="P460" s="586">
        <f t="shared" si="208"/>
        <v>1.570785489860717</v>
      </c>
      <c r="Q460" s="595">
        <f t="shared" si="230"/>
        <v>38.461760760711101</v>
      </c>
      <c r="R460" s="596">
        <f t="shared" si="231"/>
        <v>1.5447935468942915</v>
      </c>
      <c r="S460" s="583">
        <f t="shared" si="209"/>
        <v>1.0323286953036308</v>
      </c>
      <c r="T460" s="586">
        <f t="shared" si="210"/>
        <v>0.2509227421240256</v>
      </c>
      <c r="U460" s="587">
        <f t="shared" si="222"/>
        <v>0.88561021121656525</v>
      </c>
      <c r="V460" s="588">
        <f t="shared" si="223"/>
        <v>-0.60375462984862649</v>
      </c>
      <c r="W460" s="589">
        <f t="shared" si="211"/>
        <v>-5.2542079742551095</v>
      </c>
      <c r="X460" s="590">
        <f t="shared" si="212"/>
        <v>-161.18400870262008</v>
      </c>
      <c r="Y460" s="593">
        <f t="shared" si="213"/>
        <v>18.815991297379924</v>
      </c>
      <c r="AA460" s="150">
        <f t="shared" si="214"/>
        <v>50994.25</v>
      </c>
      <c r="AB460" s="150">
        <f t="shared" si="215"/>
        <v>2600413533.0625</v>
      </c>
      <c r="AD460" s="592">
        <f t="shared" si="216"/>
        <v>27.330801634213039</v>
      </c>
      <c r="AE460" s="593">
        <f t="shared" si="217"/>
        <v>-15.86604275900671</v>
      </c>
      <c r="AG460" s="592">
        <f t="shared" si="218"/>
        <v>-5.0867712677326669</v>
      </c>
      <c r="AH460" s="593">
        <f t="shared" si="219"/>
        <v>-76.132781560938739</v>
      </c>
      <c r="AJ460" s="150">
        <f t="shared" si="220"/>
        <v>0</v>
      </c>
      <c r="AK460" s="150">
        <f t="shared" si="232"/>
        <v>0</v>
      </c>
      <c r="AM460" s="150" t="str">
        <f t="shared" si="224"/>
        <v>0.390563470966776+0.79283486116589i</v>
      </c>
      <c r="AN460" s="150" t="str">
        <f t="shared" si="225"/>
        <v>0.9154466342415i</v>
      </c>
      <c r="AO460" s="150" t="str">
        <f t="shared" si="226"/>
        <v>0.866063439976268-0.426637071302775i</v>
      </c>
      <c r="AP460" s="150" t="str">
        <f t="shared" si="227"/>
        <v>0.101572754838871-0.132139143527648i</v>
      </c>
      <c r="AQ460" s="150" t="str">
        <f t="shared" si="228"/>
        <v>0.898427245161129+0.132139143527648i</v>
      </c>
      <c r="AR460" s="150" t="str">
        <f t="shared" si="229"/>
        <v>0.9075437915418-0.133479989586313i</v>
      </c>
    </row>
    <row r="461" spans="7:44" x14ac:dyDescent="0.25">
      <c r="G461" s="594">
        <v>51286</v>
      </c>
      <c r="H461" s="582">
        <f t="shared" si="221"/>
        <v>51.286000000000001</v>
      </c>
      <c r="I461" s="583">
        <f t="shared" ref="I461:I524" si="233">SQRT(1+(G461/pole1)^2)</f>
        <v>50.046616039648043</v>
      </c>
      <c r="J461" s="584">
        <f t="shared" ref="J461:J524" si="234">ATAN(G461/pole1)</f>
        <v>1.5508136259925731</v>
      </c>
      <c r="K461" s="584">
        <f t="shared" ref="K461:K524" si="235">SQRT(1+(G461/Zero1)^2)</f>
        <v>1.0003839201789815</v>
      </c>
      <c r="L461" s="585">
        <f t="shared" ref="L461:L524" si="236">ATAN(G461/Zero1)</f>
        <v>2.7705500908248259E-2</v>
      </c>
      <c r="M461" s="584">
        <f t="shared" ref="M461:M524" si="237">SQRT(1+(G461/z_RHP)^2)</f>
        <v>1.0910615049056507</v>
      </c>
      <c r="N461" s="585">
        <f t="shared" ref="N461:N524" si="238">-ATAN(G461/z_RHP)</f>
        <v>-0.41145815344165471</v>
      </c>
      <c r="O461" s="583">
        <f t="shared" ref="O461:O524" si="239">SQRT(1+(G461/Pole2)^2)</f>
        <v>92804.959098578052</v>
      </c>
      <c r="P461" s="586">
        <f t="shared" ref="P461:P524" si="240">ATAN(G461/Pole2)</f>
        <v>1.5707855515086433</v>
      </c>
      <c r="Q461" s="595">
        <f t="shared" si="230"/>
        <v>38.681661137850099</v>
      </c>
      <c r="R461" s="596">
        <f t="shared" si="231"/>
        <v>1.5449414024684187</v>
      </c>
      <c r="S461" s="583">
        <f t="shared" ref="S461:S524" si="241">SQRT(1+(G461/pole4)^2)</f>
        <v>1.032693800125208</v>
      </c>
      <c r="T461" s="586">
        <f t="shared" ref="T461:T524" si="242">ATAN(G461/pole4)</f>
        <v>0.25229833933743562</v>
      </c>
      <c r="U461" s="587">
        <f t="shared" si="222"/>
        <v>0.88450683171962097</v>
      </c>
      <c r="V461" s="588">
        <f t="shared" si="223"/>
        <v>-0.60683947376327618</v>
      </c>
      <c r="W461" s="589">
        <f t="shared" ref="W461:W524" si="243">20*LOG10(((K461*Q461*M461*U461)/(I461*O461*S461))*Adc)</f>
        <v>-5.3097474763385044</v>
      </c>
      <c r="X461" s="590">
        <f t="shared" ref="X461:X524" si="244">((L461+R461+N461+V461)-(J461+P461+T461))*radconv</f>
        <v>-161.54821450834649</v>
      </c>
      <c r="Y461" s="593">
        <f t="shared" ref="Y461:Y524" si="245">IF(X461&gt;0,X461,X461+180)</f>
        <v>18.45178549165351</v>
      </c>
      <c r="AA461" s="150">
        <f t="shared" ref="AA461:AA524" si="246">IF(W461&lt;0,G461,1000000000)</f>
        <v>51286</v>
      </c>
      <c r="AB461" s="150">
        <f t="shared" ref="AB461:AB524" si="247">G461^2</f>
        <v>2630253796</v>
      </c>
      <c r="AD461" s="592">
        <f t="shared" ref="AD461:AD524" si="248">20*LOG10((Q461/(O461*S461))*Aea)</f>
        <v>27.327696922428864</v>
      </c>
      <c r="AE461" s="593">
        <f t="shared" ref="AE461:AE524" si="249">(R461-(P461+T461))*radconv</f>
        <v>-15.936390705516462</v>
      </c>
      <c r="AG461" s="592">
        <f t="shared" ref="AG461:AG524" si="250">20*LOG10((K461*M461/(I461*U461))*Acs*Am)</f>
        <v>-5.1175491086931526</v>
      </c>
      <c r="AH461" s="593">
        <f t="shared" ref="AH461:AH524" si="251">(L461+N461-(J461+V461))*radconv</f>
        <v>-76.073142346219385</v>
      </c>
      <c r="AJ461" s="150">
        <f t="shared" ref="AJ461:AJ524" si="252">SUM((W462&lt;0)*(W461&gt;0))*G461</f>
        <v>0</v>
      </c>
      <c r="AK461" s="150">
        <f t="shared" si="232"/>
        <v>0</v>
      </c>
      <c r="AM461" s="150" t="str">
        <f t="shared" si="224"/>
        <v>0.394724270460818+0.796015886292988i</v>
      </c>
      <c r="AN461" s="150" t="str">
        <f t="shared" si="225"/>
        <v>0.920684117988i</v>
      </c>
      <c r="AO461" s="150" t="str">
        <f t="shared" si="226"/>
        <v>0.864591742966683-0.42872931415763i</v>
      </c>
      <c r="AP461" s="150" t="str">
        <f t="shared" si="227"/>
        <v>0.10087928825653-0.132669314382165i</v>
      </c>
      <c r="AQ461" s="150" t="str">
        <f t="shared" si="228"/>
        <v>0.89912071174347+0.132669314382165i</v>
      </c>
      <c r="AR461" s="150" t="str">
        <f t="shared" si="229"/>
        <v>0.906719301119837-0.133790520500173i</v>
      </c>
    </row>
    <row r="462" spans="7:44" x14ac:dyDescent="0.25">
      <c r="G462" s="594">
        <v>51584.75</v>
      </c>
      <c r="H462" s="582">
        <f t="shared" ref="H462:H525" si="253">G462/1000</f>
        <v>51.58475</v>
      </c>
      <c r="I462" s="583">
        <f t="shared" si="233"/>
        <v>50.338030351277396</v>
      </c>
      <c r="J462" s="584">
        <f t="shared" si="234"/>
        <v>1.5509293240731639</v>
      </c>
      <c r="K462" s="584">
        <f t="shared" si="235"/>
        <v>1.0003884051411778</v>
      </c>
      <c r="L462" s="585">
        <f t="shared" si="236"/>
        <v>2.7866807042403446E-2</v>
      </c>
      <c r="M462" s="584">
        <f t="shared" si="237"/>
        <v>1.0920806166005035</v>
      </c>
      <c r="N462" s="585">
        <f t="shared" si="238"/>
        <v>-0.41359147488370646</v>
      </c>
      <c r="O462" s="583">
        <f t="shared" si="239"/>
        <v>93345.56436175885</v>
      </c>
      <c r="P462" s="586">
        <f t="shared" si="240"/>
        <v>1.5707856139130703</v>
      </c>
      <c r="Q462" s="595">
        <f t="shared" si="230"/>
        <v>38.906838482865922</v>
      </c>
      <c r="R462" s="596">
        <f t="shared" si="231"/>
        <v>1.54509107357561</v>
      </c>
      <c r="S462" s="583">
        <f t="shared" si="241"/>
        <v>1.0330696885330914</v>
      </c>
      <c r="T462" s="586">
        <f t="shared" si="242"/>
        <v>0.25370593112229944</v>
      </c>
      <c r="U462" s="587">
        <f t="shared" ref="U462:U525" si="254">IMABS(IMPRODUCT(AO462, AR462))</f>
        <v>0.88337444791663566</v>
      </c>
      <c r="V462" s="588">
        <f t="shared" ref="V462:V525" si="255">IMARGUMENT(IMPRODUCT(AO462, AR462))</f>
        <v>-0.60999295903446482</v>
      </c>
      <c r="W462" s="589">
        <f t="shared" si="243"/>
        <v>-5.3663509211980625</v>
      </c>
      <c r="X462" s="590">
        <f t="shared" si="244"/>
        <v>-161.92059019286424</v>
      </c>
      <c r="Y462" s="593">
        <f t="shared" si="245"/>
        <v>18.079409807135761</v>
      </c>
      <c r="AA462" s="150">
        <f t="shared" si="246"/>
        <v>51584.75</v>
      </c>
      <c r="AB462" s="150">
        <f t="shared" si="247"/>
        <v>2660986432.5625</v>
      </c>
      <c r="AD462" s="592">
        <f t="shared" si="248"/>
        <v>27.324502413690837</v>
      </c>
      <c r="AE462" s="593">
        <f t="shared" si="249"/>
        <v>-16.008467826901985</v>
      </c>
      <c r="AG462" s="592">
        <f t="shared" si="250"/>
        <v>-5.1487036950478746</v>
      </c>
      <c r="AH462" s="593">
        <f t="shared" si="251"/>
        <v>-76.012078115347109</v>
      </c>
      <c r="AJ462" s="150">
        <f t="shared" si="252"/>
        <v>0</v>
      </c>
      <c r="AK462" s="150">
        <f t="shared" si="232"/>
        <v>0</v>
      </c>
      <c r="AM462" s="150" t="str">
        <f t="shared" ref="AM462:AM525" si="256">IMSUB(1,IMEXP(COMPLEX(0,-2*Pi*G462*Tsw)))</f>
        <v>0.399002105425867+0.79925060570353i</v>
      </c>
      <c r="AN462" s="150" t="str">
        <f t="shared" ref="AN462:AN525" si="257">COMPLEX(0, 2*Pi*G462*Tsw)</f>
        <v>0.9260472654405i</v>
      </c>
      <c r="AO462" s="150" t="str">
        <f t="shared" ref="AO462:AO525" si="258">IMDIV(AM462, AN462)</f>
        <v>0.863077550715885-0.430865810327803i</v>
      </c>
      <c r="AP462" s="150" t="str">
        <f t="shared" ref="AP462:AP525" si="259">IMDIV(IMEXP(COMPLEX(0,-2*Pi*G462*Tsw)),6)</f>
        <v>0.100166315762356-0.133208434283922i</v>
      </c>
      <c r="AQ462" s="150" t="str">
        <f t="shared" ref="AQ462:AQ525" si="260">IMSUB(1, AP462)</f>
        <v>0.899833684237644+0.133208434283922i</v>
      </c>
      <c r="AR462" s="150" t="str">
        <f t="shared" ref="AR462:AR525" si="261">IMDIV(0.833, AQ462)</f>
        <v>0.905874501003734-0.134102697031919i</v>
      </c>
    </row>
    <row r="463" spans="7:44" x14ac:dyDescent="0.25">
      <c r="G463" s="594">
        <v>51883.5</v>
      </c>
      <c r="H463" s="582">
        <f t="shared" si="253"/>
        <v>51.883499999999998</v>
      </c>
      <c r="I463" s="583">
        <f t="shared" si="233"/>
        <v>50.62944532897707</v>
      </c>
      <c r="J463" s="584">
        <f t="shared" si="234"/>
        <v>1.5510436902760312</v>
      </c>
      <c r="K463" s="584">
        <f t="shared" si="235"/>
        <v>1.0003929161329153</v>
      </c>
      <c r="L463" s="585">
        <f t="shared" si="236"/>
        <v>2.8028111726026008E-2</v>
      </c>
      <c r="M463" s="584">
        <f t="shared" si="237"/>
        <v>1.093104689139609</v>
      </c>
      <c r="N463" s="585">
        <f t="shared" si="238"/>
        <v>-0.4157208088071121</v>
      </c>
      <c r="O463" s="583">
        <f t="shared" si="239"/>
        <v>93886.169624939997</v>
      </c>
      <c r="P463" s="586">
        <f t="shared" si="240"/>
        <v>1.5707856755988363</v>
      </c>
      <c r="Q463" s="595">
        <f t="shared" si="230"/>
        <v>39.132016689420411</v>
      </c>
      <c r="R463" s="596">
        <f t="shared" si="231"/>
        <v>1.5452390221747316</v>
      </c>
      <c r="S463" s="583">
        <f t="shared" si="241"/>
        <v>1.0334476222857392</v>
      </c>
      <c r="T463" s="586">
        <f t="shared" si="242"/>
        <v>0.25511249617435405</v>
      </c>
      <c r="U463" s="587">
        <f t="shared" si="254"/>
        <v>0.88223954872767274</v>
      </c>
      <c r="V463" s="588">
        <f t="shared" si="255"/>
        <v>-0.61314100358521517</v>
      </c>
      <c r="W463" s="589">
        <f t="shared" si="243"/>
        <v>-5.4226857944167044</v>
      </c>
      <c r="X463" s="590">
        <f t="shared" si="244"/>
        <v>-162.29238927502021</v>
      </c>
      <c r="Y463" s="593">
        <f t="shared" si="245"/>
        <v>17.707610724979787</v>
      </c>
      <c r="AA463" s="150">
        <f t="shared" si="246"/>
        <v>51883.5</v>
      </c>
      <c r="AB463" s="150">
        <f t="shared" si="247"/>
        <v>2691897572.25</v>
      </c>
      <c r="AD463" s="592">
        <f t="shared" si="248"/>
        <v>27.321292441368822</v>
      </c>
      <c r="AE463" s="593">
        <f t="shared" si="249"/>
        <v>-16.080584772097225</v>
      </c>
      <c r="AG463" s="592">
        <f t="shared" si="250"/>
        <v>-5.1794961711177825</v>
      </c>
      <c r="AH463" s="593">
        <f t="shared" si="251"/>
        <v>-75.951020918941339</v>
      </c>
      <c r="AJ463" s="150">
        <f t="shared" si="252"/>
        <v>0</v>
      </c>
      <c r="AK463" s="150">
        <f t="shared" si="232"/>
        <v>0</v>
      </c>
      <c r="AM463" s="150" t="str">
        <f t="shared" si="256"/>
        <v>0.40329722706263+0.802462336043788i</v>
      </c>
      <c r="AN463" s="150" t="str">
        <f t="shared" si="257"/>
        <v>0.931410412893i</v>
      </c>
      <c r="AO463" s="150" t="str">
        <f t="shared" si="258"/>
        <v>0.861556114185267-0.432996261884137i</v>
      </c>
      <c r="AP463" s="150" t="str">
        <f t="shared" si="259"/>
        <v>0.0994504621562283-0.133743722673965i</v>
      </c>
      <c r="AQ463" s="150" t="str">
        <f t="shared" si="260"/>
        <v>0.900549537843772+0.133743722673965i</v>
      </c>
      <c r="AR463" s="150" t="str">
        <f t="shared" si="261"/>
        <v>0.905029211381214-0.134409014465348i</v>
      </c>
    </row>
    <row r="464" spans="7:44" x14ac:dyDescent="0.25">
      <c r="G464" s="594">
        <v>52182.25</v>
      </c>
      <c r="H464" s="582">
        <f t="shared" si="253"/>
        <v>52.182250000000003</v>
      </c>
      <c r="I464" s="583">
        <f t="shared" si="233"/>
        <v>50.92086096131149</v>
      </c>
      <c r="J464" s="584">
        <f t="shared" si="234"/>
        <v>1.5511567474648162</v>
      </c>
      <c r="K464" s="584">
        <f t="shared" si="235"/>
        <v>1.000397453153842</v>
      </c>
      <c r="L464" s="585">
        <f t="shared" si="236"/>
        <v>2.8189414950741586E-2</v>
      </c>
      <c r="M464" s="584">
        <f t="shared" si="237"/>
        <v>1.0941337085934146</v>
      </c>
      <c r="N464" s="585">
        <f t="shared" si="238"/>
        <v>-0.41784614712652285</v>
      </c>
      <c r="O464" s="583">
        <f t="shared" si="239"/>
        <v>94426.774888121508</v>
      </c>
      <c r="P464" s="586">
        <f t="shared" si="240"/>
        <v>1.5707857365782849</v>
      </c>
      <c r="Q464" s="595">
        <f t="shared" si="230"/>
        <v>39.357195742725956</v>
      </c>
      <c r="R464" s="596">
        <f t="shared" si="231"/>
        <v>1.5453852778248278</v>
      </c>
      <c r="S464" s="583">
        <f t="shared" si="241"/>
        <v>1.0338275991400168</v>
      </c>
      <c r="T464" s="586">
        <f t="shared" si="242"/>
        <v>0.2565180300571156</v>
      </c>
      <c r="U464" s="587">
        <f t="shared" si="254"/>
        <v>0.88110217964661219</v>
      </c>
      <c r="V464" s="588">
        <f t="shared" si="255"/>
        <v>-0.61628360440677343</v>
      </c>
      <c r="W464" s="589">
        <f t="shared" si="243"/>
        <v>-5.4787553009663217</v>
      </c>
      <c r="X464" s="590">
        <f t="shared" si="244"/>
        <v>-162.66361048254612</v>
      </c>
      <c r="Y464" s="593">
        <f t="shared" si="245"/>
        <v>17.336389517453881</v>
      </c>
      <c r="AA464" s="150">
        <f t="shared" si="246"/>
        <v>52182.25</v>
      </c>
      <c r="AB464" s="150">
        <f t="shared" si="247"/>
        <v>2722987215.0625</v>
      </c>
      <c r="AD464" s="592">
        <f t="shared" si="248"/>
        <v>27.318067029153642</v>
      </c>
      <c r="AE464" s="593">
        <f t="shared" si="249"/>
        <v>-16.152739594009141</v>
      </c>
      <c r="AG464" s="592">
        <f t="shared" si="250"/>
        <v>-5.2099303978085656</v>
      </c>
      <c r="AH464" s="593">
        <f t="shared" si="251"/>
        <v>-75.889971776604554</v>
      </c>
      <c r="AJ464" s="150">
        <f t="shared" si="252"/>
        <v>0</v>
      </c>
      <c r="AK464" s="150">
        <f t="shared" si="232"/>
        <v>0</v>
      </c>
      <c r="AM464" s="150" t="str">
        <f t="shared" si="256"/>
        <v>0.407609511829315+0.805650984933859i</v>
      </c>
      <c r="AN464" s="150" t="str">
        <f t="shared" si="257"/>
        <v>0.9367735603455i</v>
      </c>
      <c r="AO464" s="150" t="str">
        <f t="shared" si="258"/>
        <v>0.860027459183113-0.435120640765075i</v>
      </c>
      <c r="AP464" s="150" t="str">
        <f t="shared" si="259"/>
        <v>0.0987317480284475-0.134275164155643i</v>
      </c>
      <c r="AQ464" s="150" t="str">
        <f t="shared" si="260"/>
        <v>0.901268251971552+0.134275164155643i</v>
      </c>
      <c r="AR464" s="150" t="str">
        <f t="shared" si="261"/>
        <v>0.904183476570233-0.134709487966209i</v>
      </c>
    </row>
    <row r="465" spans="7:44" x14ac:dyDescent="0.25">
      <c r="G465" s="594">
        <v>52481</v>
      </c>
      <c r="H465" s="582">
        <f t="shared" si="253"/>
        <v>52.481000000000002</v>
      </c>
      <c r="I465" s="583">
        <f t="shared" si="233"/>
        <v>51.212277237105368</v>
      </c>
      <c r="J465" s="584">
        <f t="shared" si="234"/>
        <v>1.5512685179828869</v>
      </c>
      <c r="K465" s="584">
        <f t="shared" si="235"/>
        <v>1.0004020162036036</v>
      </c>
      <c r="L465" s="585">
        <f t="shared" si="236"/>
        <v>2.8350716708176276E-2</v>
      </c>
      <c r="M465" s="584">
        <f t="shared" si="237"/>
        <v>1.0951676610175587</v>
      </c>
      <c r="N465" s="585">
        <f t="shared" si="238"/>
        <v>-0.41996748193129074</v>
      </c>
      <c r="O465" s="583">
        <f t="shared" si="239"/>
        <v>94967.380151303369</v>
      </c>
      <c r="P465" s="586">
        <f t="shared" si="240"/>
        <v>1.5707857968634777</v>
      </c>
      <c r="Q465" s="595">
        <f t="shared" si="230"/>
        <v>39.58237562833137</v>
      </c>
      <c r="R465" s="596">
        <f t="shared" si="231"/>
        <v>1.5455298694126032</v>
      </c>
      <c r="S465" s="583">
        <f t="shared" si="241"/>
        <v>1.0342096168439683</v>
      </c>
      <c r="T465" s="586">
        <f t="shared" si="242"/>
        <v>0.25792252835689944</v>
      </c>
      <c r="U465" s="587">
        <f t="shared" si="254"/>
        <v>0.87996238592353171</v>
      </c>
      <c r="V465" s="588">
        <f t="shared" si="255"/>
        <v>-0.61942075877456171</v>
      </c>
      <c r="W465" s="589">
        <f t="shared" si="243"/>
        <v>-5.5345625890412311</v>
      </c>
      <c r="X465" s="590">
        <f t="shared" si="244"/>
        <v>-163.0342525794681</v>
      </c>
      <c r="Y465" s="593">
        <f t="shared" si="245"/>
        <v>16.965747420531898</v>
      </c>
      <c r="AA465" s="150">
        <f t="shared" si="246"/>
        <v>52481</v>
      </c>
      <c r="AB465" s="150">
        <f t="shared" si="247"/>
        <v>2754255361</v>
      </c>
      <c r="AD465" s="592">
        <f t="shared" si="248"/>
        <v>27.314826201231234</v>
      </c>
      <c r="AE465" s="593">
        <f t="shared" si="249"/>
        <v>-16.224930385357023</v>
      </c>
      <c r="AG465" s="592">
        <f t="shared" si="250"/>
        <v>-5.2400101778818611</v>
      </c>
      <c r="AH465" s="593">
        <f t="shared" si="251"/>
        <v>-75.828931671857291</v>
      </c>
      <c r="AJ465" s="150">
        <f t="shared" si="252"/>
        <v>0</v>
      </c>
      <c r="AK465" s="150">
        <f t="shared" si="232"/>
        <v>0</v>
      </c>
      <c r="AM465" s="150" t="str">
        <f t="shared" si="256"/>
        <v>0.411938835690459+0.808816460657736i</v>
      </c>
      <c r="AN465" s="150" t="str">
        <f t="shared" si="257"/>
        <v>0.942136707798i</v>
      </c>
      <c r="AO465" s="150" t="str">
        <f t="shared" si="258"/>
        <v>0.858491611634722-0.437238919024033i</v>
      </c>
      <c r="AP465" s="150" t="str">
        <f t="shared" si="259"/>
        <v>0.0980101940515902-0.134802743442956i</v>
      </c>
      <c r="AQ465" s="150" t="str">
        <f t="shared" si="260"/>
        <v>0.90198980594841+0.134802743442956i</v>
      </c>
      <c r="AR465" s="150" t="str">
        <f t="shared" si="261"/>
        <v>0.90333734053024-0.135004133034409i</v>
      </c>
    </row>
    <row r="466" spans="7:44" x14ac:dyDescent="0.25">
      <c r="G466" s="594">
        <v>52786.5</v>
      </c>
      <c r="H466" s="582">
        <f t="shared" si="253"/>
        <v>52.786499999999997</v>
      </c>
      <c r="I466" s="583">
        <f t="shared" si="233"/>
        <v>51.510278467743589</v>
      </c>
      <c r="J466" s="584">
        <f t="shared" si="234"/>
        <v>1.5513815060046456</v>
      </c>
      <c r="K466" s="584">
        <f t="shared" si="235"/>
        <v>1.0004067092688174</v>
      </c>
      <c r="L466" s="585">
        <f t="shared" si="236"/>
        <v>2.8515661414357213E-2</v>
      </c>
      <c r="M466" s="584">
        <f t="shared" si="237"/>
        <v>1.0962300615797786</v>
      </c>
      <c r="N466" s="585">
        <f t="shared" si="238"/>
        <v>-0.422132598195751</v>
      </c>
      <c r="O466" s="583">
        <f t="shared" si="239"/>
        <v>95520.199926708097</v>
      </c>
      <c r="P466" s="586">
        <f t="shared" si="240"/>
        <v>1.5707858578050831</v>
      </c>
      <c r="Q466" s="595">
        <f t="shared" si="230"/>
        <v>39.812644106311424</v>
      </c>
      <c r="R466" s="596">
        <f t="shared" si="231"/>
        <v>1.5456760364527007</v>
      </c>
      <c r="S466" s="583">
        <f t="shared" si="241"/>
        <v>1.0346023740921666</v>
      </c>
      <c r="T466" s="586">
        <f t="shared" si="242"/>
        <v>0.25935768457176417</v>
      </c>
      <c r="U466" s="587">
        <f t="shared" si="254"/>
        <v>0.87879437899359969</v>
      </c>
      <c r="V466" s="588">
        <f t="shared" si="255"/>
        <v>-0.62262315948004643</v>
      </c>
      <c r="W466" s="589">
        <f t="shared" si="243"/>
        <v>-5.5913628447180646</v>
      </c>
      <c r="X466" s="590">
        <f t="shared" si="244"/>
        <v>-163.41266888125736</v>
      </c>
      <c r="Y466" s="593">
        <f t="shared" si="245"/>
        <v>16.58733111874264</v>
      </c>
      <c r="AA466" s="150">
        <f t="shared" si="246"/>
        <v>52786.5</v>
      </c>
      <c r="AB466" s="150">
        <f t="shared" si="247"/>
        <v>2786414582.25</v>
      </c>
      <c r="AD466" s="592">
        <f t="shared" si="248"/>
        <v>27.311496233186908</v>
      </c>
      <c r="AE466" s="593">
        <f t="shared" si="249"/>
        <v>-16.298787516690421</v>
      </c>
      <c r="AG466" s="592">
        <f t="shared" si="250"/>
        <v>-5.2704069377048723</v>
      </c>
      <c r="AH466" s="593">
        <f t="shared" si="251"/>
        <v>-75.766522752425814</v>
      </c>
      <c r="AJ466" s="150">
        <f t="shared" si="252"/>
        <v>0</v>
      </c>
      <c r="AK466" s="150">
        <f t="shared" si="232"/>
        <v>0</v>
      </c>
      <c r="AM466" s="150" t="str">
        <f t="shared" si="256"/>
        <v>0.416383468079634+0.812029398278932i</v>
      </c>
      <c r="AN466" s="150" t="str">
        <f t="shared" si="257"/>
        <v>0.947621030967i</v>
      </c>
      <c r="AO466" s="150" t="str">
        <f t="shared" si="258"/>
        <v>0.856913651916628-0.439398720029182i</v>
      </c>
      <c r="AP466" s="150" t="str">
        <f t="shared" si="259"/>
        <v>0.0972694219867277-0.135338233046489i</v>
      </c>
      <c r="AQ466" s="150" t="str">
        <f t="shared" si="260"/>
        <v>0.902730578013272+0.135338233046489i</v>
      </c>
      <c r="AR466" s="150" t="str">
        <f t="shared" si="261"/>
        <v>0.902471717268134-0.135299424395597i</v>
      </c>
    </row>
    <row r="467" spans="7:44" x14ac:dyDescent="0.25">
      <c r="G467" s="594">
        <v>53092</v>
      </c>
      <c r="H467" s="582">
        <f t="shared" si="253"/>
        <v>53.091999999999999</v>
      </c>
      <c r="I467" s="583">
        <f t="shared" si="233"/>
        <v>51.808280348412133</v>
      </c>
      <c r="J467" s="584">
        <f t="shared" si="234"/>
        <v>1.5514931942107697</v>
      </c>
      <c r="K467" s="584">
        <f t="shared" si="235"/>
        <v>1.0004114295515967</v>
      </c>
      <c r="L467" s="585">
        <f t="shared" si="236"/>
        <v>2.8680604568494774E-2</v>
      </c>
      <c r="M467" s="584">
        <f t="shared" si="237"/>
        <v>1.097297591005997</v>
      </c>
      <c r="N467" s="585">
        <f t="shared" si="238"/>
        <v>-0.42429351181429015</v>
      </c>
      <c r="O467" s="583">
        <f t="shared" si="239"/>
        <v>96073.019702113175</v>
      </c>
      <c r="P467" s="586">
        <f t="shared" si="240"/>
        <v>1.5707859180453525</v>
      </c>
      <c r="Q467" s="595">
        <f t="shared" si="230"/>
        <v>40.042913425098085</v>
      </c>
      <c r="R467" s="596">
        <f t="shared" si="231"/>
        <v>1.5458205224101464</v>
      </c>
      <c r="S467" s="583">
        <f t="shared" si="241"/>
        <v>1.0349972606634688</v>
      </c>
      <c r="T467" s="586">
        <f t="shared" si="242"/>
        <v>0.26079174861688043</v>
      </c>
      <c r="U467" s="587">
        <f t="shared" si="254"/>
        <v>0.87762393153289953</v>
      </c>
      <c r="V467" s="588">
        <f t="shared" si="255"/>
        <v>-0.62581985997247203</v>
      </c>
      <c r="W467" s="589">
        <f t="shared" si="243"/>
        <v>-5.6478953812564079</v>
      </c>
      <c r="X467" s="590">
        <f t="shared" si="244"/>
        <v>-163.79047710803695</v>
      </c>
      <c r="Y467" s="593">
        <f t="shared" si="245"/>
        <v>16.209522891963047</v>
      </c>
      <c r="AA467" s="150">
        <f t="shared" si="246"/>
        <v>53092</v>
      </c>
      <c r="AB467" s="150">
        <f t="shared" si="247"/>
        <v>2818760464</v>
      </c>
      <c r="AD467" s="592">
        <f t="shared" si="248"/>
        <v>27.308150197635385</v>
      </c>
      <c r="AE467" s="593">
        <f t="shared" si="249"/>
        <v>-16.37267835006412</v>
      </c>
      <c r="AG467" s="592">
        <f t="shared" si="250"/>
        <v>-5.3004409153668863</v>
      </c>
      <c r="AH467" s="593">
        <f t="shared" si="251"/>
        <v>-75.704125252246413</v>
      </c>
      <c r="AJ467" s="150">
        <f t="shared" si="252"/>
        <v>0</v>
      </c>
      <c r="AK467" s="150">
        <f t="shared" si="232"/>
        <v>0</v>
      </c>
      <c r="AM467" s="150" t="str">
        <f t="shared" si="256"/>
        <v>0.420845654326497+0.815217911903006i</v>
      </c>
      <c r="AN467" s="150" t="str">
        <f t="shared" si="257"/>
        <v>0.953105354136i</v>
      </c>
      <c r="AO467" s="150" t="str">
        <f t="shared" si="258"/>
        <v>0.855328226166571-0.441552082883847i</v>
      </c>
      <c r="AP467" s="150" t="str">
        <f t="shared" si="259"/>
        <v>0.0965257242789172-0.135869651983834i</v>
      </c>
      <c r="AQ467" s="150" t="str">
        <f t="shared" si="260"/>
        <v>0.903474275721083+0.135869651983834i</v>
      </c>
      <c r="AR467" s="150" t="str">
        <f t="shared" si="261"/>
        <v>0.901605766262297-0.135588654796957i</v>
      </c>
    </row>
    <row r="468" spans="7:44" x14ac:dyDescent="0.25">
      <c r="G468" s="594">
        <v>53397.5</v>
      </c>
      <c r="H468" s="582">
        <f t="shared" si="253"/>
        <v>53.397500000000001</v>
      </c>
      <c r="I468" s="583">
        <f t="shared" si="233"/>
        <v>52.106282867958221</v>
      </c>
      <c r="J468" s="584">
        <f t="shared" si="234"/>
        <v>1.5516036048998862</v>
      </c>
      <c r="K468" s="584">
        <f t="shared" si="235"/>
        <v>1.0004161770515561</v>
      </c>
      <c r="L468" s="585">
        <f t="shared" si="236"/>
        <v>2.8845546161636027E-2</v>
      </c>
      <c r="M468" s="584">
        <f t="shared" si="237"/>
        <v>1.0983702343416568</v>
      </c>
      <c r="N468" s="585">
        <f t="shared" si="238"/>
        <v>-0.42645021488933493</v>
      </c>
      <c r="O468" s="583">
        <f t="shared" si="239"/>
        <v>96625.839477518603</v>
      </c>
      <c r="P468" s="586">
        <f t="shared" si="240"/>
        <v>1.5707859775963238</v>
      </c>
      <c r="Q468" s="595">
        <f t="shared" si="230"/>
        <v>40.273183570268962</v>
      </c>
      <c r="R468" s="596">
        <f t="shared" si="231"/>
        <v>1.5459633561146551</v>
      </c>
      <c r="S468" s="583">
        <f t="shared" si="241"/>
        <v>1.0353942741215827</v>
      </c>
      <c r="T468" s="586">
        <f t="shared" si="242"/>
        <v>0.2622247158468361</v>
      </c>
      <c r="U468" s="587">
        <f t="shared" si="254"/>
        <v>0.87645109112202646</v>
      </c>
      <c r="V468" s="588">
        <f t="shared" si="255"/>
        <v>-0.62901085824513292</v>
      </c>
      <c r="W468" s="589">
        <f t="shared" si="243"/>
        <v>-5.7041633893416774</v>
      </c>
      <c r="X468" s="590">
        <f t="shared" si="244"/>
        <v>-164.16767605317008</v>
      </c>
      <c r="Y468" s="593">
        <f t="shared" si="245"/>
        <v>15.832323946829916</v>
      </c>
      <c r="AA468" s="150">
        <f t="shared" si="246"/>
        <v>53397.5</v>
      </c>
      <c r="AB468" s="150">
        <f t="shared" si="247"/>
        <v>2851293006.25</v>
      </c>
      <c r="AD468" s="592">
        <f t="shared" si="248"/>
        <v>27.304788121956456</v>
      </c>
      <c r="AE468" s="593">
        <f t="shared" si="249"/>
        <v>-16.446600968184352</v>
      </c>
      <c r="AG468" s="592">
        <f t="shared" si="250"/>
        <v>-5.3301159967355449</v>
      </c>
      <c r="AH468" s="593">
        <f t="shared" si="251"/>
        <v>-75.641740111927433</v>
      </c>
      <c r="AJ468" s="150">
        <f t="shared" si="252"/>
        <v>0</v>
      </c>
      <c r="AK468" s="150">
        <f t="shared" si="232"/>
        <v>0</v>
      </c>
      <c r="AM468" s="150" t="str">
        <f t="shared" si="256"/>
        <v>0.425325260218637+0.818381905626721i</v>
      </c>
      <c r="AN468" s="150" t="str">
        <f t="shared" si="257"/>
        <v>0.958589677305i</v>
      </c>
      <c r="AO468" s="150" t="str">
        <f t="shared" si="258"/>
        <v>0.853735362483287-0.443698978080388i</v>
      </c>
      <c r="AP468" s="150" t="str">
        <f t="shared" si="259"/>
        <v>0.0957791232968938-0.13639698427112i</v>
      </c>
      <c r="AQ468" s="150" t="str">
        <f t="shared" si="260"/>
        <v>0.904220876703106+0.13639698427112i</v>
      </c>
      <c r="AR468" s="150" t="str">
        <f t="shared" si="261"/>
        <v>0.90073953334625-0.135871841855896i</v>
      </c>
    </row>
    <row r="469" spans="7:44" x14ac:dyDescent="0.25">
      <c r="G469" s="594">
        <v>53703</v>
      </c>
      <c r="H469" s="582">
        <f t="shared" si="253"/>
        <v>53.703000000000003</v>
      </c>
      <c r="I469" s="583">
        <f t="shared" si="233"/>
        <v>52.404286015482697</v>
      </c>
      <c r="J469" s="584">
        <f t="shared" si="234"/>
        <v>1.5517127598635327</v>
      </c>
      <c r="K469" s="584">
        <f t="shared" si="235"/>
        <v>1.0004209517683085</v>
      </c>
      <c r="L469" s="585">
        <f t="shared" si="236"/>
        <v>2.901048618482854E-2</v>
      </c>
      <c r="M469" s="584">
        <f t="shared" si="237"/>
        <v>1.0994479766190628</v>
      </c>
      <c r="N469" s="585">
        <f t="shared" si="238"/>
        <v>-0.42860269971073567</v>
      </c>
      <c r="O469" s="583">
        <f t="shared" si="239"/>
        <v>97178.659252924364</v>
      </c>
      <c r="P469" s="586">
        <f t="shared" si="240"/>
        <v>1.5707860364697603</v>
      </c>
      <c r="Q469" s="595">
        <f t="shared" si="230"/>
        <v>40.503454527729588</v>
      </c>
      <c r="R469" s="596">
        <f t="shared" si="231"/>
        <v>1.5461045657406012</v>
      </c>
      <c r="S469" s="583">
        <f t="shared" si="241"/>
        <v>1.035793412020839</v>
      </c>
      <c r="T469" s="586">
        <f t="shared" si="242"/>
        <v>0.26365658164133943</v>
      </c>
      <c r="U469" s="587">
        <f t="shared" si="254"/>
        <v>0.87527590506476849</v>
      </c>
      <c r="V469" s="588">
        <f t="shared" si="255"/>
        <v>-0.63219615259176953</v>
      </c>
      <c r="W469" s="589">
        <f t="shared" si="243"/>
        <v>-5.7601700031399963</v>
      </c>
      <c r="X469" s="590">
        <f t="shared" si="244"/>
        <v>-164.54426454789018</v>
      </c>
      <c r="Y469" s="593">
        <f t="shared" si="245"/>
        <v>15.45573545210982</v>
      </c>
      <c r="AA469" s="150">
        <f t="shared" si="246"/>
        <v>53703</v>
      </c>
      <c r="AB469" s="150">
        <f t="shared" si="247"/>
        <v>2884012209</v>
      </c>
      <c r="AD469" s="592">
        <f t="shared" si="248"/>
        <v>27.301410034012903</v>
      </c>
      <c r="AE469" s="593">
        <f t="shared" si="249"/>
        <v>-16.520553492729153</v>
      </c>
      <c r="AG469" s="592">
        <f t="shared" si="250"/>
        <v>-5.3594360094461413</v>
      </c>
      <c r="AH469" s="593">
        <f t="shared" si="251"/>
        <v>-75.579368236547353</v>
      </c>
      <c r="AJ469" s="150">
        <f t="shared" si="252"/>
        <v>0</v>
      </c>
      <c r="AK469" s="150">
        <f t="shared" si="232"/>
        <v>0</v>
      </c>
      <c r="AM469" s="150" t="str">
        <f t="shared" si="256"/>
        <v>0.429822151019698+0.821521284284343i</v>
      </c>
      <c r="AN469" s="150" t="str">
        <f t="shared" si="257"/>
        <v>0.964074000474i</v>
      </c>
      <c r="AO469" s="150" t="str">
        <f t="shared" si="258"/>
        <v>0.852135089091118-0.445839376239137i</v>
      </c>
      <c r="AP469" s="150" t="str">
        <f t="shared" si="259"/>
        <v>0.095029641496717-0.13692021404739i</v>
      </c>
      <c r="AQ469" s="150" t="str">
        <f t="shared" si="260"/>
        <v>0.904970358503283+0.13692021404739i</v>
      </c>
      <c r="AR469" s="150" t="str">
        <f t="shared" si="261"/>
        <v>0.899873063954853-0.136149003527536i</v>
      </c>
    </row>
    <row r="470" spans="7:44" x14ac:dyDescent="0.25">
      <c r="G470" s="594">
        <v>54015.75</v>
      </c>
      <c r="H470" s="582">
        <f t="shared" si="253"/>
        <v>54.015749999999997</v>
      </c>
      <c r="I470" s="583">
        <f t="shared" si="233"/>
        <v>52.709361890185193</v>
      </c>
      <c r="J470" s="584">
        <f t="shared" si="234"/>
        <v>1.5518232267026491</v>
      </c>
      <c r="K470" s="584">
        <f t="shared" si="235"/>
        <v>1.0004258679895659</v>
      </c>
      <c r="L470" s="585">
        <f t="shared" si="236"/>
        <v>2.9179338861000485E-2</v>
      </c>
      <c r="M470" s="584">
        <f t="shared" si="237"/>
        <v>1.1005565616778747</v>
      </c>
      <c r="N470" s="585">
        <f t="shared" si="238"/>
        <v>-0.43080188895977573</v>
      </c>
      <c r="O470" s="583">
        <f t="shared" si="239"/>
        <v>97744.598319236175</v>
      </c>
      <c r="P470" s="586">
        <f t="shared" si="240"/>
        <v>1.5707860960505158</v>
      </c>
      <c r="Q470" s="595">
        <f t="shared" si="230"/>
        <v>40.739191007632861</v>
      </c>
      <c r="R470" s="596">
        <f t="shared" si="231"/>
        <v>1.5462474728936759</v>
      </c>
      <c r="S470" s="583">
        <f t="shared" si="241"/>
        <v>1.0362042201967803</v>
      </c>
      <c r="T470" s="586">
        <f t="shared" si="242"/>
        <v>0.26512128213300096</v>
      </c>
      <c r="U470" s="587">
        <f t="shared" si="254"/>
        <v>0.8740704492663196</v>
      </c>
      <c r="V470" s="588">
        <f t="shared" si="255"/>
        <v>-0.6354511289843725</v>
      </c>
      <c r="W470" s="589">
        <f t="shared" si="243"/>
        <v>-5.8172381842715071</v>
      </c>
      <c r="X470" s="590">
        <f t="shared" si="244"/>
        <v>-164.92915655173013</v>
      </c>
      <c r="Y470" s="593">
        <f t="shared" si="245"/>
        <v>15.070843448269869</v>
      </c>
      <c r="AA470" s="150">
        <f t="shared" si="246"/>
        <v>54015.75</v>
      </c>
      <c r="AB470" s="150">
        <f t="shared" si="247"/>
        <v>2917701248.0625</v>
      </c>
      <c r="AD470" s="592">
        <f t="shared" si="248"/>
        <v>27.297935221495123</v>
      </c>
      <c r="AE470" s="593">
        <f t="shared" si="249"/>
        <v>-16.596290086231051</v>
      </c>
      <c r="AG470" s="592">
        <f t="shared" si="250"/>
        <v>-5.3890879609465649</v>
      </c>
      <c r="AH470" s="593">
        <f t="shared" si="251"/>
        <v>-75.515530827037452</v>
      </c>
      <c r="AJ470" s="150">
        <f t="shared" si="252"/>
        <v>0</v>
      </c>
      <c r="AK470" s="150">
        <f t="shared" si="232"/>
        <v>0</v>
      </c>
      <c r="AM470" s="150" t="str">
        <f t="shared" si="256"/>
        <v>0.434443524031664+0.824709568569613i</v>
      </c>
      <c r="AN470" s="150" t="str">
        <f t="shared" si="257"/>
        <v>0.9696884753385i</v>
      </c>
      <c r="AO470" s="150" t="str">
        <f t="shared" si="258"/>
        <v>0.850489192708743-0.448023808759827i</v>
      </c>
      <c r="AP470" s="150" t="str">
        <f t="shared" si="259"/>
        <v>0.0942594126613893-0.137451594761602i</v>
      </c>
      <c r="AQ470" s="150" t="str">
        <f t="shared" si="260"/>
        <v>0.905740587338611+0.137451594761602i</v>
      </c>
      <c r="AR470" s="150" t="str">
        <f t="shared" si="261"/>
        <v>0.898985833926529-0.136426520207485i</v>
      </c>
    </row>
    <row r="471" spans="7:44" x14ac:dyDescent="0.25">
      <c r="G471" s="594">
        <v>54328.5</v>
      </c>
      <c r="H471" s="582">
        <f t="shared" si="253"/>
        <v>54.328499999999998</v>
      </c>
      <c r="I471" s="583">
        <f t="shared" si="233"/>
        <v>53.014438400693152</v>
      </c>
      <c r="J471" s="584">
        <f t="shared" si="234"/>
        <v>1.5519324221597104</v>
      </c>
      <c r="K471" s="584">
        <f t="shared" si="235"/>
        <v>1.000430812733911</v>
      </c>
      <c r="L471" s="585">
        <f t="shared" si="236"/>
        <v>2.9348189872838996E-2</v>
      </c>
      <c r="M471" s="584">
        <f t="shared" si="237"/>
        <v>1.1016704587777959</v>
      </c>
      <c r="N471" s="585">
        <f t="shared" si="238"/>
        <v>-0.43299664161283863</v>
      </c>
      <c r="O471" s="583">
        <f t="shared" si="239"/>
        <v>98310.537385548334</v>
      </c>
      <c r="P471" s="586">
        <f t="shared" si="240"/>
        <v>1.5707861549453004</v>
      </c>
      <c r="Q471" s="595">
        <f t="shared" ref="Q471:Q534" si="262">SQRT(1+(G471/Zero2)^2)</f>
        <v>40.974928309957143</v>
      </c>
      <c r="R471" s="596">
        <f t="shared" ref="R471:R534" si="263">ATAN(G471/Zero2)</f>
        <v>1.5463887357003367</v>
      </c>
      <c r="S471" s="583">
        <f t="shared" si="241"/>
        <v>1.0366172496261552</v>
      </c>
      <c r="T471" s="586">
        <f t="shared" si="242"/>
        <v>0.26658481857283156</v>
      </c>
      <c r="U471" s="587">
        <f t="shared" si="254"/>
        <v>0.87286263459746682</v>
      </c>
      <c r="V471" s="588">
        <f t="shared" si="255"/>
        <v>-0.63870012484658933</v>
      </c>
      <c r="W471" s="589">
        <f t="shared" si="243"/>
        <v>-5.8740388887631978</v>
      </c>
      <c r="X471" s="590">
        <f t="shared" si="244"/>
        <v>-165.31340642827675</v>
      </c>
      <c r="Y471" s="593">
        <f t="shared" si="245"/>
        <v>14.68659357172325</v>
      </c>
      <c r="AA471" s="150">
        <f t="shared" si="246"/>
        <v>54328.5</v>
      </c>
      <c r="AB471" s="150">
        <f t="shared" si="247"/>
        <v>2951585912.25</v>
      </c>
      <c r="AD471" s="592">
        <f t="shared" si="248"/>
        <v>27.294443688289924</v>
      </c>
      <c r="AE471" s="593">
        <f t="shared" si="249"/>
        <v>-16.672054159282268</v>
      </c>
      <c r="AG471" s="592">
        <f t="shared" si="250"/>
        <v>-5.4183757276688365</v>
      </c>
      <c r="AH471" s="593">
        <f t="shared" si="251"/>
        <v>-75.451709128986437</v>
      </c>
      <c r="AJ471" s="150">
        <f t="shared" si="252"/>
        <v>0</v>
      </c>
      <c r="AK471" s="150">
        <f t="shared" si="232"/>
        <v>0</v>
      </c>
      <c r="AM471" s="150" t="str">
        <f t="shared" si="256"/>
        <v>0.439082724653539+0.827871856157644i</v>
      </c>
      <c r="AN471" s="150" t="str">
        <f t="shared" si="257"/>
        <v>0.975302950203i</v>
      </c>
      <c r="AO471" s="150" t="str">
        <f t="shared" si="258"/>
        <v>0.848835591018494-0.450201370314883i</v>
      </c>
      <c r="AP471" s="150" t="str">
        <f t="shared" si="259"/>
        <v>0.0934862125577435-0.137978642692941i</v>
      </c>
      <c r="AQ471" s="150" t="str">
        <f t="shared" si="260"/>
        <v>0.906513787442257+0.137978642692941i</v>
      </c>
      <c r="AR471" s="150" t="str">
        <f t="shared" si="261"/>
        <v>0.898098451143775-0.136697761258644i</v>
      </c>
    </row>
    <row r="472" spans="7:44" x14ac:dyDescent="0.25">
      <c r="G472" s="594">
        <v>54641.25</v>
      </c>
      <c r="H472" s="582">
        <f t="shared" si="253"/>
        <v>54.641249999999999</v>
      </c>
      <c r="I472" s="583">
        <f t="shared" si="233"/>
        <v>53.319515536092986</v>
      </c>
      <c r="J472" s="584">
        <f t="shared" si="234"/>
        <v>1.5520403680554087</v>
      </c>
      <c r="K472" s="584">
        <f t="shared" si="235"/>
        <v>1.0004357860009205</v>
      </c>
      <c r="L472" s="585">
        <f t="shared" si="236"/>
        <v>2.9517039210740718E-2</v>
      </c>
      <c r="M472" s="584">
        <f t="shared" si="237"/>
        <v>1.102789651822192</v>
      </c>
      <c r="N472" s="585">
        <f t="shared" si="238"/>
        <v>-0.43518695000188784</v>
      </c>
      <c r="O472" s="583">
        <f t="shared" si="239"/>
        <v>98876.476451860814</v>
      </c>
      <c r="P472" s="586">
        <f t="shared" si="240"/>
        <v>1.570786213165893</v>
      </c>
      <c r="Q472" s="595">
        <f t="shared" si="262"/>
        <v>41.210666420588986</v>
      </c>
      <c r="R472" s="596">
        <f t="shared" si="263"/>
        <v>1.5465283823734497</v>
      </c>
      <c r="S472" s="583">
        <f t="shared" si="241"/>
        <v>1.0370324976549206</v>
      </c>
      <c r="T472" s="586">
        <f t="shared" si="242"/>
        <v>0.26804718608583533</v>
      </c>
      <c r="U472" s="587">
        <f t="shared" si="254"/>
        <v>0.87165251089357421</v>
      </c>
      <c r="V472" s="588">
        <f t="shared" si="255"/>
        <v>-0.64194313930896807</v>
      </c>
      <c r="W472" s="589">
        <f t="shared" si="243"/>
        <v>-5.9305753036240905</v>
      </c>
      <c r="X472" s="590">
        <f t="shared" si="244"/>
        <v>-165.69701304403179</v>
      </c>
      <c r="Y472" s="593">
        <f t="shared" si="245"/>
        <v>14.302986955968208</v>
      </c>
      <c r="AA472" s="150">
        <f t="shared" si="246"/>
        <v>54641.25</v>
      </c>
      <c r="AB472" s="150">
        <f t="shared" si="247"/>
        <v>2985666201.5625</v>
      </c>
      <c r="AD472" s="592">
        <f t="shared" si="248"/>
        <v>27.290935465777725</v>
      </c>
      <c r="AE472" s="593">
        <f t="shared" si="249"/>
        <v>-16.747843816762856</v>
      </c>
      <c r="AG472" s="592">
        <f t="shared" si="250"/>
        <v>-5.4473032347274364</v>
      </c>
      <c r="AH472" s="593">
        <f t="shared" si="251"/>
        <v>-75.38790400364789</v>
      </c>
      <c r="AJ472" s="150">
        <f t="shared" si="252"/>
        <v>0</v>
      </c>
      <c r="AK472" s="150">
        <f t="shared" si="232"/>
        <v>0</v>
      </c>
      <c r="AM472" s="150" t="str">
        <f t="shared" si="256"/>
        <v>0.443739606647304+0.831008047366032i</v>
      </c>
      <c r="AN472" s="150" t="str">
        <f t="shared" si="257"/>
        <v>0.9809174250675i</v>
      </c>
      <c r="AO472" s="150" t="str">
        <f t="shared" si="258"/>
        <v>0.847174314707324-0.452372029803394i</v>
      </c>
      <c r="AP472" s="150" t="str">
        <f t="shared" si="259"/>
        <v>0.0927100655587827-0.138501341227672i</v>
      </c>
      <c r="AQ472" s="150" t="str">
        <f t="shared" si="260"/>
        <v>0.907289934441217+0.138501341227672i</v>
      </c>
      <c r="AR472" s="150" t="str">
        <f t="shared" si="261"/>
        <v>0.897210963046431-0.13696274699954i</v>
      </c>
    </row>
    <row r="473" spans="7:44" x14ac:dyDescent="0.25">
      <c r="G473" s="594">
        <v>54954</v>
      </c>
      <c r="H473" s="582">
        <f t="shared" si="253"/>
        <v>54.954000000000001</v>
      </c>
      <c r="I473" s="583">
        <f t="shared" si="233"/>
        <v>53.624593285719406</v>
      </c>
      <c r="J473" s="584">
        <f t="shared" si="234"/>
        <v>1.5521470857139905</v>
      </c>
      <c r="K473" s="584">
        <f t="shared" si="235"/>
        <v>1.0004407877901693</v>
      </c>
      <c r="L473" s="585">
        <f t="shared" si="236"/>
        <v>2.9685886865102862E-2</v>
      </c>
      <c r="M473" s="584">
        <f t="shared" si="237"/>
        <v>1.1039141247033315</v>
      </c>
      <c r="N473" s="585">
        <f t="shared" si="238"/>
        <v>-0.43737280666047745</v>
      </c>
      <c r="O473" s="583">
        <f t="shared" si="239"/>
        <v>99442.415518173642</v>
      </c>
      <c r="P473" s="586">
        <f t="shared" si="240"/>
        <v>1.5707862707238045</v>
      </c>
      <c r="Q473" s="595">
        <f t="shared" si="262"/>
        <v>41.446405325735931</v>
      </c>
      <c r="R473" s="596">
        <f t="shared" si="263"/>
        <v>1.5466664404842587</v>
      </c>
      <c r="S473" s="583">
        <f t="shared" si="241"/>
        <v>1.0374499616190371</v>
      </c>
      <c r="T473" s="586">
        <f t="shared" si="242"/>
        <v>0.2695083798247988</v>
      </c>
      <c r="U473" s="587">
        <f t="shared" si="254"/>
        <v>0.87044012767597378</v>
      </c>
      <c r="V473" s="588">
        <f t="shared" si="255"/>
        <v>-0.64518017182031517</v>
      </c>
      <c r="W473" s="589">
        <f t="shared" si="243"/>
        <v>-5.9868505593586407</v>
      </c>
      <c r="X473" s="590">
        <f t="shared" si="244"/>
        <v>-166.07997530517665</v>
      </c>
      <c r="Y473" s="593">
        <f t="shared" si="245"/>
        <v>13.920024694823354</v>
      </c>
      <c r="AA473" s="150">
        <f t="shared" si="246"/>
        <v>54954</v>
      </c>
      <c r="AB473" s="150">
        <f t="shared" si="247"/>
        <v>3019942116</v>
      </c>
      <c r="AD473" s="592">
        <f t="shared" si="248"/>
        <v>27.287410585812637</v>
      </c>
      <c r="AE473" s="593">
        <f t="shared" si="249"/>
        <v>-16.823657201891535</v>
      </c>
      <c r="AG473" s="592">
        <f t="shared" si="250"/>
        <v>-5.4758743486274479</v>
      </c>
      <c r="AH473" s="593">
        <f t="shared" si="251"/>
        <v>-75.324116277146544</v>
      </c>
      <c r="AJ473" s="150">
        <f t="shared" si="252"/>
        <v>0</v>
      </c>
      <c r="AK473" s="150">
        <f t="shared" si="232"/>
        <v>0</v>
      </c>
      <c r="AM473" s="150" t="str">
        <f t="shared" si="256"/>
        <v>0.448414023217584+0.834118043334987i</v>
      </c>
      <c r="AN473" s="150" t="str">
        <f t="shared" si="257"/>
        <v>0.986531899932i</v>
      </c>
      <c r="AO473" s="150" t="str">
        <f t="shared" si="258"/>
        <v>0.845505394597459-0.454535756267478i</v>
      </c>
      <c r="AP473" s="150" t="str">
        <f t="shared" si="259"/>
        <v>0.0919309961304027-0.139019673889165i</v>
      </c>
      <c r="AQ473" s="150" t="str">
        <f t="shared" si="260"/>
        <v>0.908069003869597+0.139019673889165i</v>
      </c>
      <c r="AR473" s="150" t="str">
        <f t="shared" si="261"/>
        <v>0.896323416630962-0.137221498089095i</v>
      </c>
    </row>
    <row r="474" spans="7:44" x14ac:dyDescent="0.25">
      <c r="G474" s="594">
        <v>55274</v>
      </c>
      <c r="H474" s="582">
        <f t="shared" si="253"/>
        <v>55.274000000000001</v>
      </c>
      <c r="I474" s="583">
        <f t="shared" si="233"/>
        <v>53.936743806298779</v>
      </c>
      <c r="J474" s="584">
        <f t="shared" si="234"/>
        <v>1.5522550277035341</v>
      </c>
      <c r="K474" s="584">
        <f t="shared" si="235"/>
        <v>1.0004459350494066</v>
      </c>
      <c r="L474" s="585">
        <f t="shared" si="236"/>
        <v>2.9858646901191045E-2</v>
      </c>
      <c r="M474" s="584">
        <f t="shared" si="237"/>
        <v>1.1050701125368476</v>
      </c>
      <c r="N474" s="585">
        <f t="shared" si="238"/>
        <v>-0.43960471935602097</v>
      </c>
      <c r="O474" s="583">
        <f t="shared" si="239"/>
        <v>100021.47387539252</v>
      </c>
      <c r="P474" s="586">
        <f t="shared" si="240"/>
        <v>1.5707863289418229</v>
      </c>
      <c r="Q474" s="595">
        <f t="shared" si="262"/>
        <v>41.687609809962474</v>
      </c>
      <c r="R474" s="596">
        <f t="shared" si="263"/>
        <v>1.5468060828598882</v>
      </c>
      <c r="S474" s="583">
        <f t="shared" si="241"/>
        <v>1.0378793937997415</v>
      </c>
      <c r="T474" s="586">
        <f t="shared" si="242"/>
        <v>0.27100222622968362</v>
      </c>
      <c r="U474" s="587">
        <f t="shared" si="254"/>
        <v>0.86919735228335493</v>
      </c>
      <c r="V474" s="588">
        <f t="shared" si="255"/>
        <v>-0.64848605164660855</v>
      </c>
      <c r="W474" s="589">
        <f t="shared" si="243"/>
        <v>-6.0441632543638786</v>
      </c>
      <c r="X474" s="590">
        <f t="shared" si="244"/>
        <v>-166.47114715556339</v>
      </c>
      <c r="Y474" s="593">
        <f t="shared" si="245"/>
        <v>13.528852844436614</v>
      </c>
      <c r="AA474" s="150">
        <f t="shared" si="246"/>
        <v>55274</v>
      </c>
      <c r="AB474" s="150">
        <f t="shared" si="247"/>
        <v>3055215076</v>
      </c>
      <c r="AD474" s="592">
        <f t="shared" si="248"/>
        <v>27.283786786565422</v>
      </c>
      <c r="AE474" s="593">
        <f t="shared" si="249"/>
        <v>-16.90125071310289</v>
      </c>
      <c r="AG474" s="592">
        <f t="shared" si="250"/>
        <v>-5.5047428737832336</v>
      </c>
      <c r="AH474" s="593">
        <f t="shared" si="251"/>
        <v>-75.258868692640959</v>
      </c>
      <c r="AJ474" s="150">
        <f t="shared" si="252"/>
        <v>0</v>
      </c>
      <c r="AK474" s="150">
        <f t="shared" ref="AK474:AK537" si="264">IF(AJ474&gt;0,Y474,0)</f>
        <v>0</v>
      </c>
      <c r="AM474" s="150" t="str">
        <f t="shared" si="256"/>
        <v>0.453214794874733+0.837272918143254i</v>
      </c>
      <c r="AN474" s="150" t="str">
        <f t="shared" si="257"/>
        <v>0.992276526492i</v>
      </c>
      <c r="AO474" s="150" t="str">
        <f t="shared" si="258"/>
        <v>0.843789907137347-0.456742432955645i</v>
      </c>
      <c r="AP474" s="150" t="str">
        <f t="shared" si="259"/>
        <v>0.0911308675208778-0.139545486357209i</v>
      </c>
      <c r="AQ474" s="150" t="str">
        <f t="shared" si="260"/>
        <v>0.908869132479122+0.139545486357209i</v>
      </c>
      <c r="AR474" s="150" t="str">
        <f t="shared" si="261"/>
        <v>0.895415283789569-0.137479816183508i</v>
      </c>
    </row>
    <row r="475" spans="7:44" x14ac:dyDescent="0.25">
      <c r="G475" s="594">
        <v>55594</v>
      </c>
      <c r="H475" s="582">
        <f t="shared" si="253"/>
        <v>55.594000000000001</v>
      </c>
      <c r="I475" s="583">
        <f t="shared" si="233"/>
        <v>54.248894948088491</v>
      </c>
      <c r="J475" s="584">
        <f t="shared" si="234"/>
        <v>1.5523617274859536</v>
      </c>
      <c r="K475" s="584">
        <f t="shared" si="235"/>
        <v>1.0004511121676756</v>
      </c>
      <c r="L475" s="585">
        <f t="shared" si="236"/>
        <v>3.0031405154443632E-2</v>
      </c>
      <c r="M475" s="584">
        <f t="shared" si="237"/>
        <v>1.1062315936836653</v>
      </c>
      <c r="N475" s="585">
        <f t="shared" si="238"/>
        <v>-0.44183195636066036</v>
      </c>
      <c r="O475" s="583">
        <f t="shared" si="239"/>
        <v>100600.53223261176</v>
      </c>
      <c r="P475" s="586">
        <f t="shared" si="240"/>
        <v>1.5707863864896336</v>
      </c>
      <c r="Q475" s="595">
        <f t="shared" si="262"/>
        <v>41.928815097744248</v>
      </c>
      <c r="R475" s="596">
        <f t="shared" si="263"/>
        <v>1.5469441185875152</v>
      </c>
      <c r="S475" s="583">
        <f t="shared" si="241"/>
        <v>1.0383111401694758</v>
      </c>
      <c r="T475" s="586">
        <f t="shared" si="242"/>
        <v>0.27249483363270521</v>
      </c>
      <c r="U475" s="587">
        <f t="shared" si="254"/>
        <v>0.86795231527834293</v>
      </c>
      <c r="V475" s="588">
        <f t="shared" si="255"/>
        <v>-0.65178566880650513</v>
      </c>
      <c r="W475" s="589">
        <f t="shared" si="243"/>
        <v>-6.1012089968954042</v>
      </c>
      <c r="X475" s="590">
        <f t="shared" si="244"/>
        <v>-166.8616422393367</v>
      </c>
      <c r="Y475" s="593">
        <f t="shared" si="245"/>
        <v>13.138357760663297</v>
      </c>
      <c r="AA475" s="150">
        <f t="shared" si="246"/>
        <v>55594</v>
      </c>
      <c r="AB475" s="150">
        <f t="shared" si="247"/>
        <v>3090692836</v>
      </c>
      <c r="AD475" s="592">
        <f t="shared" si="248"/>
        <v>27.280145617557572</v>
      </c>
      <c r="AE475" s="593">
        <f t="shared" si="249"/>
        <v>-16.978865250486319</v>
      </c>
      <c r="AG475" s="592">
        <f t="shared" si="250"/>
        <v>-5.5332462978562731</v>
      </c>
      <c r="AH475" s="593">
        <f t="shared" si="251"/>
        <v>-75.193640964056783</v>
      </c>
      <c r="AJ475" s="150">
        <f t="shared" si="252"/>
        <v>0</v>
      </c>
      <c r="AK475" s="150">
        <f t="shared" si="264"/>
        <v>0</v>
      </c>
      <c r="AM475" s="150" t="str">
        <f t="shared" si="256"/>
        <v>0.45803361079554+0.840400162406386i</v>
      </c>
      <c r="AN475" s="150" t="str">
        <f t="shared" si="257"/>
        <v>0.998021153052i</v>
      </c>
      <c r="AO475" s="150" t="str">
        <f t="shared" si="258"/>
        <v>0.842066483096475-0.458941786348766i</v>
      </c>
      <c r="AP475" s="150" t="str">
        <f t="shared" si="259"/>
        <v>0.0903277315340767-0.140066693734398i</v>
      </c>
      <c r="AQ475" s="150" t="str">
        <f t="shared" si="260"/>
        <v>0.909672268465923+0.140066693734398i</v>
      </c>
      <c r="AR475" s="150" t="str">
        <f t="shared" si="261"/>
        <v>0.89450718801081-0.137731652035099i</v>
      </c>
    </row>
    <row r="476" spans="7:44" x14ac:dyDescent="0.25">
      <c r="G476" s="594">
        <v>55914</v>
      </c>
      <c r="H476" s="582">
        <f t="shared" si="253"/>
        <v>55.914000000000001</v>
      </c>
      <c r="I476" s="583">
        <f t="shared" si="233"/>
        <v>54.561046700426459</v>
      </c>
      <c r="J476" s="584">
        <f t="shared" si="234"/>
        <v>1.5524672063793463</v>
      </c>
      <c r="K476" s="584">
        <f t="shared" si="235"/>
        <v>1.0004563191445128</v>
      </c>
      <c r="L476" s="585">
        <f t="shared" si="236"/>
        <v>3.020416161457631E-2</v>
      </c>
      <c r="M476" s="584">
        <f t="shared" si="237"/>
        <v>1.107398550859005</v>
      </c>
      <c r="N476" s="585">
        <f t="shared" si="238"/>
        <v>-0.44405451032454779</v>
      </c>
      <c r="O476" s="583">
        <f t="shared" si="239"/>
        <v>101179.59058983132</v>
      </c>
      <c r="P476" s="586">
        <f t="shared" si="240"/>
        <v>1.5707864433787433</v>
      </c>
      <c r="Q476" s="595">
        <f t="shared" si="262"/>
        <v>42.170021175292668</v>
      </c>
      <c r="R476" s="596">
        <f t="shared" si="263"/>
        <v>1.5470805752311771</v>
      </c>
      <c r="S476" s="583">
        <f t="shared" si="241"/>
        <v>1.0387451978426157</v>
      </c>
      <c r="T476" s="586">
        <f t="shared" si="242"/>
        <v>0.27398619693227855</v>
      </c>
      <c r="U476" s="587">
        <f t="shared" si="254"/>
        <v>0.86670506867118036</v>
      </c>
      <c r="V476" s="588">
        <f t="shared" si="255"/>
        <v>-0.6550790237244728</v>
      </c>
      <c r="W476" s="589">
        <f t="shared" si="243"/>
        <v>-6.1579909650138545</v>
      </c>
      <c r="X476" s="590">
        <f t="shared" si="244"/>
        <v>-167.25145951078488</v>
      </c>
      <c r="Y476" s="593">
        <f t="shared" si="245"/>
        <v>12.748540489215117</v>
      </c>
      <c r="AA476" s="150">
        <f t="shared" si="246"/>
        <v>55914</v>
      </c>
      <c r="AB476" s="150">
        <f t="shared" si="247"/>
        <v>3126375396</v>
      </c>
      <c r="AD476" s="592">
        <f t="shared" si="248"/>
        <v>27.276487114365793</v>
      </c>
      <c r="AE476" s="593">
        <f t="shared" si="249"/>
        <v>-17.056498943098827</v>
      </c>
      <c r="AG476" s="592">
        <f t="shared" si="250"/>
        <v>-5.5613885801046532</v>
      </c>
      <c r="AH476" s="593">
        <f t="shared" si="251"/>
        <v>-75.128433867984782</v>
      </c>
      <c r="AJ476" s="150">
        <f t="shared" si="252"/>
        <v>0</v>
      </c>
      <c r="AK476" s="150">
        <f t="shared" si="264"/>
        <v>0</v>
      </c>
      <c r="AM476" s="150" t="str">
        <f t="shared" si="256"/>
        <v>0.462870311955979+0.843499672923311i</v>
      </c>
      <c r="AN476" s="150" t="str">
        <f t="shared" si="257"/>
        <v>1.003765779612i</v>
      </c>
      <c r="AO476" s="150" t="str">
        <f t="shared" si="258"/>
        <v>0.840335155925878-0.461133783754711i</v>
      </c>
      <c r="AP476" s="150" t="str">
        <f t="shared" si="259"/>
        <v>0.0895216146740035-0.140583278820552i</v>
      </c>
      <c r="AQ476" s="150" t="str">
        <f t="shared" si="260"/>
        <v>0.910478385325996+0.140583278820552i</v>
      </c>
      <c r="AR476" s="150" t="str">
        <f t="shared" si="261"/>
        <v>0.89359917818794-0.137977028829774i</v>
      </c>
    </row>
    <row r="477" spans="7:44" x14ac:dyDescent="0.25">
      <c r="G477" s="594">
        <v>56234</v>
      </c>
      <c r="H477" s="582">
        <f t="shared" si="253"/>
        <v>56.234000000000002</v>
      </c>
      <c r="I477" s="583">
        <f t="shared" si="233"/>
        <v>54.873199052893192</v>
      </c>
      <c r="J477" s="584">
        <f t="shared" si="234"/>
        <v>1.5525714852168375</v>
      </c>
      <c r="K477" s="584">
        <f t="shared" si="235"/>
        <v>1.0004615559794521</v>
      </c>
      <c r="L477" s="585">
        <f t="shared" si="236"/>
        <v>3.0376916271305385E-2</v>
      </c>
      <c r="M477" s="584">
        <f t="shared" si="237"/>
        <v>1.1085709667695474</v>
      </c>
      <c r="N477" s="585">
        <f t="shared" si="238"/>
        <v>-0.44627237411377341</v>
      </c>
      <c r="O477" s="583">
        <f t="shared" si="239"/>
        <v>101758.64894705119</v>
      </c>
      <c r="P477" s="586">
        <f t="shared" si="240"/>
        <v>1.5707864996203973</v>
      </c>
      <c r="Q477" s="595">
        <f t="shared" si="262"/>
        <v>42.411228029132779</v>
      </c>
      <c r="R477" s="596">
        <f t="shared" si="263"/>
        <v>1.5472154797280859</v>
      </c>
      <c r="S477" s="583">
        <f t="shared" si="241"/>
        <v>1.0391815639229236</v>
      </c>
      <c r="T477" s="586">
        <f t="shared" si="242"/>
        <v>0.27547631105745618</v>
      </c>
      <c r="U477" s="587">
        <f t="shared" si="254"/>
        <v>0.86545566411838271</v>
      </c>
      <c r="V477" s="588">
        <f t="shared" si="255"/>
        <v>-0.65836611716047455</v>
      </c>
      <c r="W477" s="589">
        <f t="shared" si="243"/>
        <v>-6.2145122804212711</v>
      </c>
      <c r="X477" s="590">
        <f t="shared" si="244"/>
        <v>-167.64059796565877</v>
      </c>
      <c r="Y477" s="593">
        <f t="shared" si="245"/>
        <v>12.35940203434123</v>
      </c>
      <c r="AA477" s="150">
        <f t="shared" si="246"/>
        <v>56234</v>
      </c>
      <c r="AB477" s="150">
        <f t="shared" si="247"/>
        <v>3162262756</v>
      </c>
      <c r="AD477" s="592">
        <f t="shared" si="248"/>
        <v>27.272811313030608</v>
      </c>
      <c r="AE477" s="593">
        <f t="shared" si="249"/>
        <v>-17.134149957652266</v>
      </c>
      <c r="AG477" s="592">
        <f t="shared" si="250"/>
        <v>-5.5891736208951759</v>
      </c>
      <c r="AH477" s="593">
        <f t="shared" si="251"/>
        <v>-75.063248146378726</v>
      </c>
      <c r="AJ477" s="150">
        <f t="shared" si="252"/>
        <v>0</v>
      </c>
      <c r="AK477" s="150">
        <f t="shared" si="264"/>
        <v>0</v>
      </c>
      <c r="AM477" s="150" t="str">
        <f t="shared" si="256"/>
        <v>0.467724738741798+0.846571347408187i</v>
      </c>
      <c r="AN477" s="150" t="str">
        <f t="shared" si="257"/>
        <v>1.009510406172i</v>
      </c>
      <c r="AO477" s="150" t="str">
        <f t="shared" si="258"/>
        <v>0.83859595922179-0.463318392640826i</v>
      </c>
      <c r="AP477" s="150" t="str">
        <f t="shared" si="259"/>
        <v>0.0887125435430337-0.141095224568031i</v>
      </c>
      <c r="AQ477" s="150" t="str">
        <f t="shared" si="260"/>
        <v>0.911287456456966+0.141095224568031i</v>
      </c>
      <c r="AR477" s="150" t="str">
        <f t="shared" si="261"/>
        <v>0.892691302724249-0.138215970093026i</v>
      </c>
    </row>
    <row r="478" spans="7:44" x14ac:dyDescent="0.25">
      <c r="G478" s="594">
        <v>56561.5</v>
      </c>
      <c r="H478" s="582">
        <f t="shared" si="253"/>
        <v>56.561500000000002</v>
      </c>
      <c r="I478" s="583">
        <f t="shared" si="233"/>
        <v>55.192668086887174</v>
      </c>
      <c r="J478" s="584">
        <f t="shared" si="234"/>
        <v>1.5526769867598127</v>
      </c>
      <c r="K478" s="584">
        <f t="shared" si="235"/>
        <v>1.0004669464682223</v>
      </c>
      <c r="L478" s="585">
        <f t="shared" si="236"/>
        <v>3.0553717987271169E-2</v>
      </c>
      <c r="M478" s="584">
        <f t="shared" si="237"/>
        <v>1.109776495267194</v>
      </c>
      <c r="N478" s="585">
        <f t="shared" si="238"/>
        <v>-0.44853735551465729</v>
      </c>
      <c r="O478" s="583">
        <f t="shared" si="239"/>
        <v>102351.27898451874</v>
      </c>
      <c r="P478" s="586">
        <f t="shared" si="240"/>
        <v>1.5707865565212866</v>
      </c>
      <c r="Q478" s="595">
        <f t="shared" si="262"/>
        <v>42.658088958664628</v>
      </c>
      <c r="R478" s="596">
        <f t="shared" si="263"/>
        <v>1.5473519663786846</v>
      </c>
      <c r="S478" s="583">
        <f t="shared" si="241"/>
        <v>1.039630544496037</v>
      </c>
      <c r="T478" s="586">
        <f t="shared" si="242"/>
        <v>0.27700005103923131</v>
      </c>
      <c r="U478" s="587">
        <f t="shared" si="254"/>
        <v>0.86417479577381084</v>
      </c>
      <c r="V478" s="588">
        <f t="shared" si="255"/>
        <v>-0.66172376965854041</v>
      </c>
      <c r="W478" s="589">
        <f t="shared" si="243"/>
        <v>-6.2720916260701358</v>
      </c>
      <c r="X478" s="590">
        <f t="shared" si="244"/>
        <v>-168.0381529804518</v>
      </c>
      <c r="Y478" s="593">
        <f t="shared" si="245"/>
        <v>11.961847019548202</v>
      </c>
      <c r="AA478" s="150">
        <f t="shared" si="246"/>
        <v>56561.5</v>
      </c>
      <c r="AB478" s="150">
        <f t="shared" si="247"/>
        <v>3199203282.25</v>
      </c>
      <c r="AD478" s="592">
        <f t="shared" si="248"/>
        <v>27.269031487151661</v>
      </c>
      <c r="AE478" s="593">
        <f t="shared" si="249"/>
        <v>-17.21363697891578</v>
      </c>
      <c r="AG478" s="592">
        <f t="shared" si="250"/>
        <v>-5.6172439843543351</v>
      </c>
      <c r="AH478" s="593">
        <f t="shared" si="251"/>
        <v>-74.99655750504715</v>
      </c>
      <c r="AJ478" s="150">
        <f t="shared" si="252"/>
        <v>0</v>
      </c>
      <c r="AK478" s="150">
        <f t="shared" si="264"/>
        <v>0</v>
      </c>
      <c r="AM478" s="150" t="str">
        <f t="shared" si="256"/>
        <v>0.472711127641134+0.849686086202732i</v>
      </c>
      <c r="AN478" s="150" t="str">
        <f t="shared" si="257"/>
        <v>1.015389672417i</v>
      </c>
      <c r="AO478" s="150" t="str">
        <f t="shared" si="258"/>
        <v>0.836807886946661-0.465546519215532i</v>
      </c>
      <c r="AP478" s="150" t="str">
        <f t="shared" si="259"/>
        <v>0.0878814787264777-0.141614347700455i</v>
      </c>
      <c r="AQ478" s="150" t="str">
        <f t="shared" si="260"/>
        <v>0.912118521273522+0.141614347700455i</v>
      </c>
      <c r="AR478" s="150" t="str">
        <f t="shared" si="261"/>
        <v>0.891762338043815-0.138453872890974i</v>
      </c>
    </row>
    <row r="479" spans="7:44" x14ac:dyDescent="0.25">
      <c r="G479" s="594">
        <v>56889</v>
      </c>
      <c r="H479" s="582">
        <f t="shared" si="253"/>
        <v>56.889000000000003</v>
      </c>
      <c r="I479" s="583">
        <f t="shared" si="233"/>
        <v>55.512137728136487</v>
      </c>
      <c r="J479" s="584">
        <f t="shared" si="234"/>
        <v>1.5527812739914839</v>
      </c>
      <c r="K479" s="584">
        <f t="shared" si="235"/>
        <v>1.0004723682300982</v>
      </c>
      <c r="L479" s="585">
        <f t="shared" si="236"/>
        <v>3.0730517792515028E-2</v>
      </c>
      <c r="M479" s="584">
        <f t="shared" si="237"/>
        <v>1.1109877047018653</v>
      </c>
      <c r="N479" s="585">
        <f t="shared" si="238"/>
        <v>-0.45079740988009842</v>
      </c>
      <c r="O479" s="583">
        <f t="shared" si="239"/>
        <v>102943.9090219866</v>
      </c>
      <c r="P479" s="586">
        <f t="shared" si="240"/>
        <v>1.5707866127670389</v>
      </c>
      <c r="Q479" s="595">
        <f t="shared" si="262"/>
        <v>42.904950673712769</v>
      </c>
      <c r="R479" s="596">
        <f t="shared" si="263"/>
        <v>1.5474868824284684</v>
      </c>
      <c r="S479" s="583">
        <f t="shared" si="241"/>
        <v>1.0400819367789942</v>
      </c>
      <c r="T479" s="586">
        <f t="shared" si="242"/>
        <v>0.27852247195648744</v>
      </c>
      <c r="U479" s="587">
        <f t="shared" si="254"/>
        <v>0.86289177548118412</v>
      </c>
      <c r="V479" s="588">
        <f t="shared" si="255"/>
        <v>-0.66507486640051361</v>
      </c>
      <c r="W479" s="589">
        <f t="shared" si="243"/>
        <v>-6.3294043986620796</v>
      </c>
      <c r="X479" s="590">
        <f t="shared" si="244"/>
        <v>-168.43499498874718</v>
      </c>
      <c r="Y479" s="593">
        <f t="shared" si="245"/>
        <v>11.565005011252822</v>
      </c>
      <c r="AA479" s="150">
        <f t="shared" si="246"/>
        <v>56889</v>
      </c>
      <c r="AB479" s="150">
        <f t="shared" si="247"/>
        <v>3236358321</v>
      </c>
      <c r="AD479" s="592">
        <f t="shared" si="248"/>
        <v>27.265233620594188</v>
      </c>
      <c r="AE479" s="593">
        <f t="shared" si="249"/>
        <v>-17.293138374610855</v>
      </c>
      <c r="AG479" s="592">
        <f t="shared" si="250"/>
        <v>-5.6449482473001424</v>
      </c>
      <c r="AH479" s="593">
        <f t="shared" si="251"/>
        <v>-74.929890717098417</v>
      </c>
      <c r="AJ479" s="150">
        <f t="shared" si="252"/>
        <v>0</v>
      </c>
      <c r="AK479" s="150">
        <f t="shared" si="264"/>
        <v>0</v>
      </c>
      <c r="AM479" s="150" t="str">
        <f t="shared" si="256"/>
        <v>0.477715742634689+0.852771455026706i</v>
      </c>
      <c r="AN479" s="150" t="str">
        <f t="shared" si="257"/>
        <v>1.021268938662i</v>
      </c>
      <c r="AO479" s="150" t="str">
        <f t="shared" si="258"/>
        <v>0.835011643596986-0.467766838439795i</v>
      </c>
      <c r="AP479" s="150" t="str">
        <f t="shared" si="259"/>
        <v>0.0870473762275518-0.142128575837784i</v>
      </c>
      <c r="AQ479" s="150" t="str">
        <f t="shared" si="260"/>
        <v>0.912952623772448+0.142128575837784i</v>
      </c>
      <c r="AR479" s="150" t="str">
        <f t="shared" si="261"/>
        <v>0.89083361510556-0.138685085870278i</v>
      </c>
    </row>
    <row r="480" spans="7:44" x14ac:dyDescent="0.25">
      <c r="G480" s="594">
        <v>57216.5</v>
      </c>
      <c r="H480" s="582">
        <f t="shared" si="253"/>
        <v>57.216500000000003</v>
      </c>
      <c r="I480" s="583">
        <f t="shared" si="233"/>
        <v>55.831607966216971</v>
      </c>
      <c r="J480" s="584">
        <f t="shared" si="234"/>
        <v>1.552884367754547</v>
      </c>
      <c r="K480" s="584">
        <f t="shared" si="235"/>
        <v>1.0004778212645709</v>
      </c>
      <c r="L480" s="585">
        <f t="shared" si="236"/>
        <v>3.0907315676015241E-2</v>
      </c>
      <c r="M480" s="584">
        <f t="shared" si="237"/>
        <v>1.1122045765136537</v>
      </c>
      <c r="N480" s="585">
        <f t="shared" si="238"/>
        <v>-0.45305253025673092</v>
      </c>
      <c r="O480" s="583">
        <f t="shared" si="239"/>
        <v>103536.53905945482</v>
      </c>
      <c r="P480" s="586">
        <f t="shared" si="240"/>
        <v>1.5707866683689042</v>
      </c>
      <c r="Q480" s="595">
        <f t="shared" si="262"/>
        <v>43.151813160795903</v>
      </c>
      <c r="R480" s="596">
        <f t="shared" si="263"/>
        <v>1.547620254827718</v>
      </c>
      <c r="S480" s="583">
        <f t="shared" si="241"/>
        <v>1.0405357376331406</v>
      </c>
      <c r="T480" s="586">
        <f t="shared" si="242"/>
        <v>0.28004356847326445</v>
      </c>
      <c r="U480" s="587">
        <f t="shared" si="254"/>
        <v>0.86160665745023568</v>
      </c>
      <c r="V480" s="588">
        <f t="shared" si="255"/>
        <v>-0.66841940927038113</v>
      </c>
      <c r="W480" s="589">
        <f t="shared" si="243"/>
        <v>-6.3864537696544588</v>
      </c>
      <c r="X480" s="590">
        <f t="shared" si="244"/>
        <v>-168.83112304570008</v>
      </c>
      <c r="Y480" s="593">
        <f t="shared" si="245"/>
        <v>11.168876954299918</v>
      </c>
      <c r="AA480" s="150">
        <f t="shared" si="246"/>
        <v>57216.5</v>
      </c>
      <c r="AB480" s="150">
        <f t="shared" si="247"/>
        <v>3273727872.25</v>
      </c>
      <c r="AD480" s="592">
        <f t="shared" si="248"/>
        <v>27.261417753419529</v>
      </c>
      <c r="AE480" s="593">
        <f t="shared" si="249"/>
        <v>-17.372652295516772</v>
      </c>
      <c r="AG480" s="592">
        <f t="shared" si="250"/>
        <v>-5.6722904073117766</v>
      </c>
      <c r="AH480" s="593">
        <f t="shared" si="251"/>
        <v>-74.863248471019517</v>
      </c>
      <c r="AJ480" s="150">
        <f t="shared" si="252"/>
        <v>0</v>
      </c>
      <c r="AK480" s="150">
        <f t="shared" si="264"/>
        <v>0</v>
      </c>
      <c r="AM480" s="150" t="str">
        <f t="shared" si="256"/>
        <v>0.482738410734581+0.855827347232264i</v>
      </c>
      <c r="AN480" s="150" t="str">
        <f t="shared" si="257"/>
        <v>1.027148204907i</v>
      </c>
      <c r="AO480" s="150" t="str">
        <f t="shared" si="258"/>
        <v>0.83320726565428-0.469979315962772i</v>
      </c>
      <c r="AP480" s="150" t="str">
        <f t="shared" si="259"/>
        <v>0.0862102648775698-0.142637891205377i</v>
      </c>
      <c r="AQ480" s="150" t="str">
        <f t="shared" si="260"/>
        <v>0.91378973512243+0.142637891205377i</v>
      </c>
      <c r="AR480" s="150" t="str">
        <f t="shared" si="261"/>
        <v>0.889905184198356-0.13890963530005i</v>
      </c>
    </row>
    <row r="481" spans="7:44" x14ac:dyDescent="0.25">
      <c r="G481" s="594">
        <v>57544</v>
      </c>
      <c r="H481" s="582">
        <f t="shared" si="253"/>
        <v>57.543999999999997</v>
      </c>
      <c r="I481" s="583">
        <f t="shared" si="233"/>
        <v>56.151078790941625</v>
      </c>
      <c r="J481" s="584">
        <f t="shared" si="234"/>
        <v>1.5529862884174632</v>
      </c>
      <c r="K481" s="584">
        <f t="shared" si="235"/>
        <v>1.0004833055711293</v>
      </c>
      <c r="L481" s="585">
        <f t="shared" si="236"/>
        <v>3.1084111626750805E-2</v>
      </c>
      <c r="M481" s="584">
        <f t="shared" si="237"/>
        <v>1.1134270921372122</v>
      </c>
      <c r="N481" s="585">
        <f t="shared" si="238"/>
        <v>-0.45530270992225114</v>
      </c>
      <c r="O481" s="583">
        <f t="shared" si="239"/>
        <v>104129.16909692333</v>
      </c>
      <c r="P481" s="586">
        <f t="shared" si="240"/>
        <v>1.5707867233378761</v>
      </c>
      <c r="Q481" s="595">
        <f t="shared" si="262"/>
        <v>43.398676406739462</v>
      </c>
      <c r="R481" s="596">
        <f t="shared" si="263"/>
        <v>1.5477521099137355</v>
      </c>
      <c r="S481" s="583">
        <f t="shared" si="241"/>
        <v>1.0409919439085626</v>
      </c>
      <c r="T481" s="586">
        <f t="shared" si="242"/>
        <v>0.28156333528739658</v>
      </c>
      <c r="U481" s="587">
        <f t="shared" si="254"/>
        <v>0.86031949549368814</v>
      </c>
      <c r="V481" s="588">
        <f t="shared" si="255"/>
        <v>-0.67175740050516275</v>
      </c>
      <c r="W481" s="589">
        <f t="shared" si="243"/>
        <v>-6.4432428542452946</v>
      </c>
      <c r="X481" s="590">
        <f t="shared" si="244"/>
        <v>-169.2265362498029</v>
      </c>
      <c r="Y481" s="593">
        <f t="shared" si="245"/>
        <v>10.773463750197095</v>
      </c>
      <c r="AA481" s="150">
        <f t="shared" si="246"/>
        <v>57544</v>
      </c>
      <c r="AB481" s="150">
        <f t="shared" si="247"/>
        <v>3311311936</v>
      </c>
      <c r="AD481" s="592">
        <f t="shared" si="248"/>
        <v>27.257583926143866</v>
      </c>
      <c r="AE481" s="593">
        <f t="shared" si="249"/>
        <v>-17.452176929455408</v>
      </c>
      <c r="AG481" s="592">
        <f t="shared" si="250"/>
        <v>-5.6992744027022209</v>
      </c>
      <c r="AH481" s="593">
        <f t="shared" si="251"/>
        <v>-74.796631421137334</v>
      </c>
      <c r="AJ481" s="150">
        <f t="shared" si="252"/>
        <v>0</v>
      </c>
      <c r="AK481" s="150">
        <f t="shared" si="264"/>
        <v>0</v>
      </c>
      <c r="AM481" s="150" t="str">
        <f t="shared" si="256"/>
        <v>0.487778958328914+0.858853657190436i</v>
      </c>
      <c r="AN481" s="150" t="str">
        <f t="shared" si="257"/>
        <v>1.033027471152i</v>
      </c>
      <c r="AO481" s="150" t="str">
        <f t="shared" si="258"/>
        <v>0.831394789755852-0.47218391761156i</v>
      </c>
      <c r="AP481" s="150" t="str">
        <f t="shared" si="259"/>
        <v>0.0853701736118477-0.143142276198406i</v>
      </c>
      <c r="AQ481" s="150" t="str">
        <f t="shared" si="260"/>
        <v>0.914629826388152+0.143142276198406i</v>
      </c>
      <c r="AR481" s="150" t="str">
        <f t="shared" si="261"/>
        <v>0.888977095071291-0.13912754778538i</v>
      </c>
    </row>
    <row r="482" spans="7:44" x14ac:dyDescent="0.25">
      <c r="G482" s="594">
        <v>57879</v>
      </c>
      <c r="H482" s="582">
        <f t="shared" si="253"/>
        <v>57.878999999999998</v>
      </c>
      <c r="I482" s="583">
        <f t="shared" si="233"/>
        <v>56.477866337994868</v>
      </c>
      <c r="J482" s="584">
        <f t="shared" si="234"/>
        <v>1.5530893501875158</v>
      </c>
      <c r="K482" s="584">
        <f t="shared" si="235"/>
        <v>1.000488947826476</v>
      </c>
      <c r="L482" s="585">
        <f t="shared" si="236"/>
        <v>3.1264954328564055E-2</v>
      </c>
      <c r="M482" s="584">
        <f t="shared" si="237"/>
        <v>1.1146834241056047</v>
      </c>
      <c r="N482" s="585">
        <f t="shared" si="238"/>
        <v>-0.45759930192664133</v>
      </c>
      <c r="O482" s="583">
        <f t="shared" si="239"/>
        <v>104735.37081463954</v>
      </c>
      <c r="P482" s="586">
        <f t="shared" si="240"/>
        <v>1.5707867789220793</v>
      </c>
      <c r="Q482" s="595">
        <f t="shared" si="262"/>
        <v>43.651193781165269</v>
      </c>
      <c r="R482" s="596">
        <f t="shared" si="263"/>
        <v>1.5478854415818053</v>
      </c>
      <c r="S482" s="583">
        <f t="shared" si="241"/>
        <v>1.0414610830414237</v>
      </c>
      <c r="T482" s="586">
        <f t="shared" si="242"/>
        <v>0.28311652470147702</v>
      </c>
      <c r="U482" s="587">
        <f t="shared" si="254"/>
        <v>0.85900079755504988</v>
      </c>
      <c r="V482" s="588">
        <f t="shared" si="255"/>
        <v>-0.67516505857631348</v>
      </c>
      <c r="W482" s="589">
        <f t="shared" si="243"/>
        <v>-6.501066346455497</v>
      </c>
      <c r="X482" s="590">
        <f t="shared" si="244"/>
        <v>-169.63026422685903</v>
      </c>
      <c r="Y482" s="593">
        <f t="shared" si="245"/>
        <v>10.369735773140974</v>
      </c>
      <c r="AA482" s="150">
        <f t="shared" si="246"/>
        <v>57879</v>
      </c>
      <c r="AB482" s="150">
        <f t="shared" si="247"/>
        <v>3349978641</v>
      </c>
      <c r="AD482" s="592">
        <f t="shared" si="248"/>
        <v>27.253643762238639</v>
      </c>
      <c r="AE482" s="593">
        <f t="shared" si="249"/>
        <v>-17.533531970643995</v>
      </c>
      <c r="AG482" s="592">
        <f t="shared" si="250"/>
        <v>-5.7265098352002441</v>
      </c>
      <c r="AH482" s="593">
        <f t="shared" si="251"/>
        <v>-74.728515505557439</v>
      </c>
      <c r="AJ482" s="150">
        <f t="shared" si="252"/>
        <v>0</v>
      </c>
      <c r="AK482" s="150">
        <f t="shared" si="264"/>
        <v>0</v>
      </c>
      <c r="AM482" s="150" t="str">
        <f t="shared" si="256"/>
        <v>0.49295325503456+0.861918556720966i</v>
      </c>
      <c r="AN482" s="150" t="str">
        <f t="shared" si="257"/>
        <v>1.039041377082i</v>
      </c>
      <c r="AO482" s="150" t="str">
        <f t="shared" si="258"/>
        <v>0.829532466879752-0.474430822397996i</v>
      </c>
      <c r="AP482" s="150" t="str">
        <f t="shared" si="259"/>
        <v>0.0845077908275733-0.143653092786828i</v>
      </c>
      <c r="AQ482" s="150" t="str">
        <f t="shared" si="260"/>
        <v>0.915492209172427+0.143653092786828i</v>
      </c>
      <c r="AR482" s="150" t="str">
        <f t="shared" si="261"/>
        <v>0.888028156902858-0.139343612040346i</v>
      </c>
    </row>
    <row r="483" spans="7:44" x14ac:dyDescent="0.25">
      <c r="G483" s="594">
        <v>58214</v>
      </c>
      <c r="H483" s="582">
        <f t="shared" si="253"/>
        <v>58.213999999999999</v>
      </c>
      <c r="I483" s="583">
        <f t="shared" si="233"/>
        <v>56.804654478038508</v>
      </c>
      <c r="J483" s="584">
        <f t="shared" si="234"/>
        <v>1.5531912261627066</v>
      </c>
      <c r="K483" s="584">
        <f t="shared" si="235"/>
        <v>1.0004946228015266</v>
      </c>
      <c r="L483" s="585">
        <f t="shared" si="236"/>
        <v>3.1445794984750572E-2</v>
      </c>
      <c r="M483" s="584">
        <f t="shared" si="237"/>
        <v>1.1159456220319042</v>
      </c>
      <c r="N483" s="585">
        <f t="shared" si="238"/>
        <v>-0.45989071084178479</v>
      </c>
      <c r="O483" s="583">
        <f t="shared" si="239"/>
        <v>105341.57253235606</v>
      </c>
      <c r="P483" s="586">
        <f t="shared" si="240"/>
        <v>1.5707868338665496</v>
      </c>
      <c r="Q483" s="595">
        <f t="shared" si="262"/>
        <v>43.903711922666389</v>
      </c>
      <c r="R483" s="596">
        <f t="shared" si="263"/>
        <v>1.5480172395019252</v>
      </c>
      <c r="S483" s="583">
        <f t="shared" si="241"/>
        <v>1.0419327323262386</v>
      </c>
      <c r="T483" s="586">
        <f t="shared" si="242"/>
        <v>0.2846683116989337</v>
      </c>
      <c r="U483" s="587">
        <f t="shared" si="254"/>
        <v>0.85768007362464327</v>
      </c>
      <c r="V483" s="588">
        <f t="shared" si="255"/>
        <v>-0.678565867350856</v>
      </c>
      <c r="W483" s="589">
        <f t="shared" si="243"/>
        <v>-6.5586239133012922</v>
      </c>
      <c r="X483" s="590">
        <f t="shared" si="244"/>
        <v>-170.0332424632289</v>
      </c>
      <c r="Y483" s="593">
        <f t="shared" si="245"/>
        <v>9.9667575367710981</v>
      </c>
      <c r="AA483" s="150">
        <f t="shared" si="246"/>
        <v>58214</v>
      </c>
      <c r="AB483" s="150">
        <f t="shared" si="247"/>
        <v>3388869796</v>
      </c>
      <c r="AD483" s="592">
        <f t="shared" si="248"/>
        <v>27.249684893373729</v>
      </c>
      <c r="AE483" s="593">
        <f t="shared" si="249"/>
        <v>-17.614894499909294</v>
      </c>
      <c r="AG483" s="592">
        <f t="shared" si="250"/>
        <v>-5.7533786621659697</v>
      </c>
      <c r="AH483" s="593">
        <f t="shared" si="251"/>
        <v>-74.660427232792003</v>
      </c>
      <c r="AJ483" s="150">
        <f t="shared" si="252"/>
        <v>0</v>
      </c>
      <c r="AK483" s="150">
        <f t="shared" si="264"/>
        <v>0</v>
      </c>
      <c r="AM483" s="150" t="str">
        <f t="shared" si="256"/>
        <v>0.498145890077284+0.864952283281383i</v>
      </c>
      <c r="AN483" s="150" t="str">
        <f t="shared" si="257"/>
        <v>1.045055283012i</v>
      </c>
      <c r="AO483" s="150" t="str">
        <f t="shared" si="258"/>
        <v>0.827661748944483-0.476669414695035i</v>
      </c>
      <c r="AP483" s="150" t="str">
        <f t="shared" si="259"/>
        <v>0.083642351653786-0.14415871388023i</v>
      </c>
      <c r="AQ483" s="150" t="str">
        <f t="shared" si="260"/>
        <v>0.916357648346214+0.14415871388023i</v>
      </c>
      <c r="AR483" s="150" t="str">
        <f t="shared" si="261"/>
        <v>0.887079679917664-0.139552789237921i</v>
      </c>
    </row>
    <row r="484" spans="7:44" x14ac:dyDescent="0.25">
      <c r="G484" s="594">
        <v>58549</v>
      </c>
      <c r="H484" s="582">
        <f t="shared" si="253"/>
        <v>58.548999999999999</v>
      </c>
      <c r="I484" s="583">
        <f t="shared" si="233"/>
        <v>57.131443200896946</v>
      </c>
      <c r="J484" s="584">
        <f t="shared" si="234"/>
        <v>1.5532919366889471</v>
      </c>
      <c r="K484" s="584">
        <f t="shared" si="235"/>
        <v>1.0005003304957238</v>
      </c>
      <c r="L484" s="585">
        <f t="shared" si="236"/>
        <v>3.1626633583517076E-2</v>
      </c>
      <c r="M484" s="584">
        <f t="shared" si="237"/>
        <v>1.1172136660345064</v>
      </c>
      <c r="N484" s="585">
        <f t="shared" si="238"/>
        <v>-0.46217693021333195</v>
      </c>
      <c r="O484" s="583">
        <f t="shared" si="239"/>
        <v>105947.77425007291</v>
      </c>
      <c r="P484" s="586">
        <f t="shared" si="240"/>
        <v>1.570786888182268</v>
      </c>
      <c r="Q484" s="595">
        <f t="shared" si="262"/>
        <v>44.156230818082676</v>
      </c>
      <c r="R484" s="596">
        <f t="shared" si="263"/>
        <v>1.5481475299828862</v>
      </c>
      <c r="S484" s="583">
        <f t="shared" si="241"/>
        <v>1.042406888355764</v>
      </c>
      <c r="T484" s="586">
        <f t="shared" si="242"/>
        <v>0.28621869071493733</v>
      </c>
      <c r="U484" s="587">
        <f t="shared" si="254"/>
        <v>0.85635737999575012</v>
      </c>
      <c r="V484" s="588">
        <f t="shared" si="255"/>
        <v>-0.68195983034456664</v>
      </c>
      <c r="W484" s="589">
        <f t="shared" si="243"/>
        <v>-6.6159187146601086</v>
      </c>
      <c r="X484" s="590">
        <f t="shared" si="244"/>
        <v>-170.43547013136046</v>
      </c>
      <c r="Y484" s="593">
        <f t="shared" si="245"/>
        <v>9.5645298686395392</v>
      </c>
      <c r="AA484" s="150">
        <f t="shared" si="246"/>
        <v>58549</v>
      </c>
      <c r="AB484" s="150">
        <f t="shared" si="247"/>
        <v>3427985401</v>
      </c>
      <c r="AD484" s="592">
        <f t="shared" si="248"/>
        <v>27.245707364309744</v>
      </c>
      <c r="AE484" s="593">
        <f t="shared" si="249"/>
        <v>-17.69626269165655</v>
      </c>
      <c r="AG484" s="592">
        <f t="shared" si="250"/>
        <v>-5.7798849143357209</v>
      </c>
      <c r="AH484" s="593">
        <f t="shared" si="251"/>
        <v>-74.592367198005491</v>
      </c>
      <c r="AJ484" s="150">
        <f t="shared" si="252"/>
        <v>0</v>
      </c>
      <c r="AK484" s="150">
        <f t="shared" si="264"/>
        <v>0</v>
      </c>
      <c r="AM484" s="150" t="str">
        <f t="shared" si="256"/>
        <v>0.503356675655284+0.867954727151036i</v>
      </c>
      <c r="AN484" s="150" t="str">
        <f t="shared" si="257"/>
        <v>1.051069188942i</v>
      </c>
      <c r="AO484" s="150" t="str">
        <f t="shared" si="258"/>
        <v>0.825782675662593-0.478899658510549i</v>
      </c>
      <c r="AP484" s="150" t="str">
        <f t="shared" si="259"/>
        <v>0.082773887390786-0.144659121191839i</v>
      </c>
      <c r="AQ484" s="150" t="str">
        <f t="shared" si="260"/>
        <v>0.917226112609214+0.144659121191839i</v>
      </c>
      <c r="AR484" s="150" t="str">
        <f t="shared" si="261"/>
        <v>0.886131715607718-0.139755108885178i</v>
      </c>
    </row>
    <row r="485" spans="7:44" x14ac:dyDescent="0.25">
      <c r="G485" s="594">
        <v>58884</v>
      </c>
      <c r="H485" s="582">
        <f t="shared" si="253"/>
        <v>58.884</v>
      </c>
      <c r="I485" s="583">
        <f t="shared" si="233"/>
        <v>57.458232496626053</v>
      </c>
      <c r="J485" s="584">
        <f t="shared" si="234"/>
        <v>1.553391501649382</v>
      </c>
      <c r="K485" s="584">
        <f t="shared" si="235"/>
        <v>1.0005060709085083</v>
      </c>
      <c r="L485" s="585">
        <f t="shared" si="236"/>
        <v>3.1807470113071105E-2</v>
      </c>
      <c r="M485" s="584">
        <f t="shared" si="237"/>
        <v>1.1184875362300917</v>
      </c>
      <c r="N485" s="585">
        <f t="shared" si="238"/>
        <v>-0.46445795383313138</v>
      </c>
      <c r="O485" s="583">
        <f t="shared" si="239"/>
        <v>106553.97596779006</v>
      </c>
      <c r="P485" s="586">
        <f t="shared" si="240"/>
        <v>1.5707869418799656</v>
      </c>
      <c r="Q485" s="595">
        <f t="shared" si="262"/>
        <v>44.408750454553306</v>
      </c>
      <c r="R485" s="596">
        <f t="shared" si="263"/>
        <v>1.5482763387352936</v>
      </c>
      <c r="S485" s="583">
        <f t="shared" si="241"/>
        <v>1.0428835477108604</v>
      </c>
      <c r="T485" s="586">
        <f t="shared" si="242"/>
        <v>0.28776765622182654</v>
      </c>
      <c r="U485" s="587">
        <f t="shared" si="254"/>
        <v>0.85503277251898679</v>
      </c>
      <c r="V485" s="588">
        <f t="shared" si="255"/>
        <v>-0.68534695144284152</v>
      </c>
      <c r="W485" s="589">
        <f t="shared" si="243"/>
        <v>-6.6729538543761056</v>
      </c>
      <c r="X485" s="590">
        <f t="shared" si="244"/>
        <v>-170.83694644885952</v>
      </c>
      <c r="Y485" s="593">
        <f t="shared" si="245"/>
        <v>9.1630535511404787</v>
      </c>
      <c r="AA485" s="150">
        <f t="shared" si="246"/>
        <v>58884</v>
      </c>
      <c r="AB485" s="150">
        <f t="shared" si="247"/>
        <v>3467325456</v>
      </c>
      <c r="AD485" s="592">
        <f t="shared" si="248"/>
        <v>27.241711220252377</v>
      </c>
      <c r="AE485" s="593">
        <f t="shared" si="249"/>
        <v>-17.777634756679781</v>
      </c>
      <c r="AG485" s="592">
        <f t="shared" si="250"/>
        <v>-5.8060325628926464</v>
      </c>
      <c r="AH485" s="593">
        <f t="shared" si="251"/>
        <v>-74.524335962776121</v>
      </c>
      <c r="AJ485" s="150">
        <f t="shared" si="252"/>
        <v>0</v>
      </c>
      <c r="AK485" s="150">
        <f t="shared" si="264"/>
        <v>0</v>
      </c>
      <c r="AM485" s="150" t="str">
        <f t="shared" si="256"/>
        <v>0.50858542331031+0.870925779740669i</v>
      </c>
      <c r="AN485" s="150" t="str">
        <f t="shared" si="257"/>
        <v>1.057083094872i</v>
      </c>
      <c r="AO485" s="150" t="str">
        <f t="shared" si="258"/>
        <v>0.823895286913209-0.481121518050474i</v>
      </c>
      <c r="AP485" s="150" t="str">
        <f t="shared" si="259"/>
        <v>0.0819024294482817-0.145154296623445i</v>
      </c>
      <c r="AQ485" s="150" t="str">
        <f t="shared" si="260"/>
        <v>0.918097570551718+0.145154296623445i</v>
      </c>
      <c r="AR485" s="150" t="str">
        <f t="shared" si="261"/>
        <v>0.885184314874027-0.139950600817332i</v>
      </c>
    </row>
    <row r="486" spans="7:44" x14ac:dyDescent="0.25">
      <c r="G486" s="594">
        <v>59227</v>
      </c>
      <c r="H486" s="582">
        <f t="shared" si="253"/>
        <v>59.226999999999997</v>
      </c>
      <c r="I486" s="583">
        <f t="shared" si="233"/>
        <v>57.792826299241106</v>
      </c>
      <c r="J486" s="584">
        <f t="shared" si="234"/>
        <v>1.5534922776455296</v>
      </c>
      <c r="K486" s="584">
        <f t="shared" si="235"/>
        <v>1.0005119823051145</v>
      </c>
      <c r="L486" s="585">
        <f t="shared" si="236"/>
        <v>3.1992622970674789E-2</v>
      </c>
      <c r="M486" s="584">
        <f t="shared" si="237"/>
        <v>1.1197978429942719</v>
      </c>
      <c r="N486" s="585">
        <f t="shared" si="238"/>
        <v>-0.46678806008233109</v>
      </c>
      <c r="O486" s="583">
        <f t="shared" si="239"/>
        <v>107174.65414443809</v>
      </c>
      <c r="P486" s="586">
        <f t="shared" si="240"/>
        <v>1.5707869962306136</v>
      </c>
      <c r="Q486" s="595">
        <f t="shared" si="262"/>
        <v>44.667301165385979</v>
      </c>
      <c r="R486" s="596">
        <f t="shared" si="263"/>
        <v>1.5484067145300646</v>
      </c>
      <c r="S486" s="583">
        <f t="shared" si="241"/>
        <v>1.0433741801034926</v>
      </c>
      <c r="T486" s="586">
        <f t="shared" si="242"/>
        <v>0.28935214167070428</v>
      </c>
      <c r="U486" s="587">
        <f t="shared" si="254"/>
        <v>0.85367460753645408</v>
      </c>
      <c r="V486" s="588">
        <f t="shared" si="255"/>
        <v>-0.68880787452747483</v>
      </c>
      <c r="W486" s="589">
        <f t="shared" si="243"/>
        <v>-6.7310851743064513</v>
      </c>
      <c r="X486" s="590">
        <f t="shared" si="244"/>
        <v>-171.24723101133571</v>
      </c>
      <c r="Y486" s="593">
        <f t="shared" si="245"/>
        <v>8.7527689886642861</v>
      </c>
      <c r="AA486" s="150">
        <f t="shared" si="246"/>
        <v>59227</v>
      </c>
      <c r="AB486" s="150">
        <f t="shared" si="247"/>
        <v>3507837529</v>
      </c>
      <c r="AD486" s="592">
        <f t="shared" si="248"/>
        <v>27.237600406447502</v>
      </c>
      <c r="AE486" s="593">
        <f t="shared" si="249"/>
        <v>-17.86095221696727</v>
      </c>
      <c r="AG486" s="592">
        <f t="shared" si="250"/>
        <v>-5.8324371676165665</v>
      </c>
      <c r="AH486" s="593">
        <f t="shared" si="251"/>
        <v>-74.454710492573867</v>
      </c>
      <c r="AJ486" s="150">
        <f t="shared" si="252"/>
        <v>0</v>
      </c>
      <c r="AK486" s="150">
        <f t="shared" si="264"/>
        <v>0</v>
      </c>
      <c r="AM486" s="150" t="str">
        <f t="shared" si="256"/>
        <v>0.513957449697898+0.873935145932367i</v>
      </c>
      <c r="AN486" s="150" t="str">
        <f t="shared" si="257"/>
        <v>1.063240616466i</v>
      </c>
      <c r="AO486" s="150" t="str">
        <f t="shared" si="258"/>
        <v>0.821954252309466-0.483387712751409i</v>
      </c>
      <c r="AP486" s="150" t="str">
        <f t="shared" si="259"/>
        <v>0.081007091717017-0.145655857655394i</v>
      </c>
      <c r="AQ486" s="150" t="str">
        <f t="shared" si="260"/>
        <v>0.918992908282983+0.145655857655394i</v>
      </c>
      <c r="AR486" s="150" t="str">
        <f t="shared" si="261"/>
        <v>0.884214926108087-0.140143718469605i</v>
      </c>
    </row>
    <row r="487" spans="7:44" x14ac:dyDescent="0.25">
      <c r="G487" s="594">
        <v>59570</v>
      </c>
      <c r="H487" s="582">
        <f t="shared" si="253"/>
        <v>59.57</v>
      </c>
      <c r="I487" s="583">
        <f t="shared" si="233"/>
        <v>58.127420682031605</v>
      </c>
      <c r="J487" s="584">
        <f t="shared" si="234"/>
        <v>1.5535918934645105</v>
      </c>
      <c r="K487" s="584">
        <f t="shared" si="235"/>
        <v>1.0005179280004468</v>
      </c>
      <c r="L487" s="585">
        <f t="shared" si="236"/>
        <v>3.2177773634040452E-2</v>
      </c>
      <c r="M487" s="584">
        <f t="shared" si="237"/>
        <v>1.1211142153525409</v>
      </c>
      <c r="N487" s="585">
        <f t="shared" si="238"/>
        <v>-0.4691127070728825</v>
      </c>
      <c r="O487" s="583">
        <f t="shared" si="239"/>
        <v>107795.33232108643</v>
      </c>
      <c r="P487" s="586">
        <f t="shared" si="240"/>
        <v>1.5707870499553667</v>
      </c>
      <c r="Q487" s="595">
        <f t="shared" si="262"/>
        <v>44.925852626727611</v>
      </c>
      <c r="R487" s="596">
        <f t="shared" si="263"/>
        <v>1.5485355896831536</v>
      </c>
      <c r="S487" s="583">
        <f t="shared" si="241"/>
        <v>1.0438674295189969</v>
      </c>
      <c r="T487" s="586">
        <f t="shared" si="242"/>
        <v>0.29093513368500673</v>
      </c>
      <c r="U487" s="587">
        <f t="shared" si="254"/>
        <v>0.85231455327588379</v>
      </c>
      <c r="V487" s="588">
        <f t="shared" si="255"/>
        <v>-0.69226163445023781</v>
      </c>
      <c r="W487" s="589">
        <f t="shared" si="243"/>
        <v>-6.7889506937978137</v>
      </c>
      <c r="X487" s="590">
        <f t="shared" si="244"/>
        <v>-171.6567263919292</v>
      </c>
      <c r="Y487" s="593">
        <f t="shared" si="245"/>
        <v>8.3432736080708025</v>
      </c>
      <c r="AA487" s="150">
        <f t="shared" si="246"/>
        <v>59570</v>
      </c>
      <c r="AB487" s="150">
        <f t="shared" si="247"/>
        <v>3548584900</v>
      </c>
      <c r="AD487" s="592">
        <f t="shared" si="248"/>
        <v>27.233470175248996</v>
      </c>
      <c r="AE487" s="593">
        <f t="shared" si="249"/>
        <v>-17.944270054330424</v>
      </c>
      <c r="AG487" s="592">
        <f t="shared" si="250"/>
        <v>-5.8584740766156838</v>
      </c>
      <c r="AH487" s="593">
        <f t="shared" si="251"/>
        <v>-74.385116301300428</v>
      </c>
      <c r="AJ487" s="150">
        <f t="shared" si="252"/>
        <v>0</v>
      </c>
      <c r="AK487" s="150">
        <f t="shared" si="264"/>
        <v>0</v>
      </c>
      <c r="AM487" s="150" t="str">
        <f t="shared" si="256"/>
        <v>0.519347904365637+0.87691137691462i</v>
      </c>
      <c r="AN487" s="150" t="str">
        <f t="shared" si="257"/>
        <v>1.06939813806i</v>
      </c>
      <c r="AO487" s="150" t="str">
        <f t="shared" si="258"/>
        <v>0.820004585481539-0.48564504264781i</v>
      </c>
      <c r="AP487" s="150" t="str">
        <f t="shared" si="259"/>
        <v>0.0801086826057272-0.146151896152437i</v>
      </c>
      <c r="AQ487" s="150" t="str">
        <f t="shared" si="260"/>
        <v>0.919891317394273+0.146151896152437i</v>
      </c>
      <c r="AR487" s="150" t="str">
        <f t="shared" si="261"/>
        <v>0.88324623425674-0.140329742726329i</v>
      </c>
    </row>
    <row r="488" spans="7:44" x14ac:dyDescent="0.25">
      <c r="G488" s="594">
        <v>59913</v>
      </c>
      <c r="H488" s="582">
        <f t="shared" si="253"/>
        <v>59.912999999999997</v>
      </c>
      <c r="I488" s="583">
        <f t="shared" si="233"/>
        <v>58.462015635036039</v>
      </c>
      <c r="J488" s="584">
        <f t="shared" si="234"/>
        <v>1.5536903690244153</v>
      </c>
      <c r="K488" s="584">
        <f t="shared" si="235"/>
        <v>1.0005239079938941</v>
      </c>
      <c r="L488" s="585">
        <f t="shared" si="236"/>
        <v>3.2362922090513113E-2</v>
      </c>
      <c r="M488" s="584">
        <f t="shared" si="237"/>
        <v>1.1224366319640577</v>
      </c>
      <c r="N488" s="585">
        <f t="shared" si="238"/>
        <v>-0.47143188893188581</v>
      </c>
      <c r="O488" s="583">
        <f t="shared" si="239"/>
        <v>108416.01049773507</v>
      </c>
      <c r="P488" s="586">
        <f t="shared" si="240"/>
        <v>1.5707871030649749</v>
      </c>
      <c r="Q488" s="595">
        <f t="shared" si="262"/>
        <v>45.184404825694649</v>
      </c>
      <c r="R488" s="596">
        <f t="shared" si="263"/>
        <v>1.5486629899509585</v>
      </c>
      <c r="S488" s="583">
        <f t="shared" si="241"/>
        <v>1.0443632922493389</v>
      </c>
      <c r="T488" s="586">
        <f t="shared" si="242"/>
        <v>0.29251662645288246</v>
      </c>
      <c r="U488" s="587">
        <f t="shared" si="254"/>
        <v>0.85095266823217164</v>
      </c>
      <c r="V488" s="588">
        <f t="shared" si="255"/>
        <v>-0.69570823655792857</v>
      </c>
      <c r="W488" s="589">
        <f t="shared" si="243"/>
        <v>-6.8465535702640228</v>
      </c>
      <c r="X488" s="590">
        <f t="shared" si="244"/>
        <v>-172.06543189433256</v>
      </c>
      <c r="Y488" s="593">
        <f t="shared" si="245"/>
        <v>7.934568105667438</v>
      </c>
      <c r="AA488" s="150">
        <f t="shared" si="246"/>
        <v>59913</v>
      </c>
      <c r="AB488" s="150">
        <f t="shared" si="247"/>
        <v>3589567569</v>
      </c>
      <c r="AD488" s="592">
        <f t="shared" si="248"/>
        <v>27.229320576550315</v>
      </c>
      <c r="AE488" s="593">
        <f t="shared" si="249"/>
        <v>-18.027586460657712</v>
      </c>
      <c r="AG488" s="592">
        <f t="shared" si="250"/>
        <v>-5.8841473664613986</v>
      </c>
      <c r="AH488" s="593">
        <f t="shared" si="251"/>
        <v>-74.315553888062055</v>
      </c>
      <c r="AJ488" s="150">
        <f t="shared" si="252"/>
        <v>0</v>
      </c>
      <c r="AK488" s="150">
        <f t="shared" si="264"/>
        <v>0</v>
      </c>
      <c r="AM488" s="150" t="str">
        <f t="shared" si="256"/>
        <v>0.524756582934695+0.879854359843771i</v>
      </c>
      <c r="AN488" s="150" t="str">
        <f t="shared" si="257"/>
        <v>1.075555659654i</v>
      </c>
      <c r="AO488" s="150" t="str">
        <f t="shared" si="258"/>
        <v>0.818046329770432-0.487893469970216i</v>
      </c>
      <c r="AP488" s="150" t="str">
        <f t="shared" si="259"/>
        <v>0.0792072361775508-0.146642393307295i</v>
      </c>
      <c r="AQ488" s="150" t="str">
        <f t="shared" si="260"/>
        <v>0.920792763822449+0.146642393307295i</v>
      </c>
      <c r="AR488" s="150" t="str">
        <f t="shared" si="261"/>
        <v>0.882278292032561-0.14050870661672i</v>
      </c>
    </row>
    <row r="489" spans="7:44" x14ac:dyDescent="0.25">
      <c r="G489" s="594">
        <v>60256</v>
      </c>
      <c r="H489" s="582">
        <f t="shared" si="253"/>
        <v>60.256</v>
      </c>
      <c r="I489" s="583">
        <f t="shared" si="233"/>
        <v>58.796611148519617</v>
      </c>
      <c r="J489" s="584">
        <f t="shared" si="234"/>
        <v>1.5537877237900293</v>
      </c>
      <c r="K489" s="584">
        <f t="shared" si="235"/>
        <v>1.0005299222848412</v>
      </c>
      <c r="L489" s="585">
        <f t="shared" si="236"/>
        <v>3.2548068327438687E-2</v>
      </c>
      <c r="M489" s="584">
        <f t="shared" si="237"/>
        <v>1.1237650714906775</v>
      </c>
      <c r="N489" s="585">
        <f t="shared" si="238"/>
        <v>-0.47374560004917826</v>
      </c>
      <c r="O489" s="583">
        <f t="shared" si="239"/>
        <v>109036.68867438402</v>
      </c>
      <c r="P489" s="586">
        <f t="shared" si="240"/>
        <v>1.5707871555699431</v>
      </c>
      <c r="Q489" s="595">
        <f t="shared" si="262"/>
        <v>45.442957749696703</v>
      </c>
      <c r="R489" s="596">
        <f t="shared" si="263"/>
        <v>1.5487889405038953</v>
      </c>
      <c r="S489" s="583">
        <f t="shared" si="241"/>
        <v>1.0448617645738962</v>
      </c>
      <c r="T489" s="586">
        <f t="shared" si="242"/>
        <v>0.2940966142034816</v>
      </c>
      <c r="U489" s="587">
        <f t="shared" si="254"/>
        <v>0.84958901040685131</v>
      </c>
      <c r="V489" s="588">
        <f t="shared" si="255"/>
        <v>-0.69914768658461623</v>
      </c>
      <c r="W489" s="589">
        <f t="shared" si="243"/>
        <v>-6.9038969051075156</v>
      </c>
      <c r="X489" s="590">
        <f t="shared" si="244"/>
        <v>-172.47334686941815</v>
      </c>
      <c r="Y489" s="593">
        <f t="shared" si="245"/>
        <v>7.5266531305818489</v>
      </c>
      <c r="AA489" s="150">
        <f t="shared" si="246"/>
        <v>60256</v>
      </c>
      <c r="AB489" s="150">
        <f t="shared" si="247"/>
        <v>3630785536</v>
      </c>
      <c r="AD489" s="592">
        <f t="shared" si="248"/>
        <v>27.225151660681959</v>
      </c>
      <c r="AE489" s="593">
        <f t="shared" si="249"/>
        <v>-18.110899663747073</v>
      </c>
      <c r="AG489" s="592">
        <f t="shared" si="250"/>
        <v>-5.9094610536181182</v>
      </c>
      <c r="AH489" s="593">
        <f t="shared" si="251"/>
        <v>-74.246023718857202</v>
      </c>
      <c r="AJ489" s="150">
        <f t="shared" si="252"/>
        <v>0</v>
      </c>
      <c r="AK489" s="150">
        <f t="shared" si="264"/>
        <v>0</v>
      </c>
      <c r="AM489" s="150" t="str">
        <f t="shared" si="256"/>
        <v>0.530183280335283+0.882763983136764i</v>
      </c>
      <c r="AN489" s="150" t="str">
        <f t="shared" si="257"/>
        <v>1.081713181248i</v>
      </c>
      <c r="AO489" s="150" t="str">
        <f t="shared" si="258"/>
        <v>0.816079528695672-0.4901329571704i</v>
      </c>
      <c r="AP489" s="150" t="str">
        <f t="shared" si="259"/>
        <v>0.0783027866107862-0.147127330522794i</v>
      </c>
      <c r="AQ489" s="150" t="str">
        <f t="shared" si="260"/>
        <v>0.921697213389214+0.147127330522794i</v>
      </c>
      <c r="AR489" s="150" t="str">
        <f t="shared" si="261"/>
        <v>0.881311151501139-0.140680643487611i</v>
      </c>
    </row>
    <row r="490" spans="7:44" x14ac:dyDescent="0.25">
      <c r="G490" s="594">
        <v>60607</v>
      </c>
      <c r="H490" s="582">
        <f t="shared" si="253"/>
        <v>60.606999999999999</v>
      </c>
      <c r="I490" s="583">
        <f t="shared" si="233"/>
        <v>59.139011209309089</v>
      </c>
      <c r="J490" s="584">
        <f t="shared" si="234"/>
        <v>1.5538862087556793</v>
      </c>
      <c r="K490" s="584">
        <f t="shared" si="235"/>
        <v>1.0005361123568914</v>
      </c>
      <c r="L490" s="585">
        <f t="shared" si="236"/>
        <v>3.2737530532939013E-2</v>
      </c>
      <c r="M490" s="584">
        <f t="shared" si="237"/>
        <v>1.1251307080389208</v>
      </c>
      <c r="N490" s="585">
        <f t="shared" si="238"/>
        <v>-0.47610760606869884</v>
      </c>
      <c r="O490" s="583">
        <f t="shared" si="239"/>
        <v>109671.84330996386</v>
      </c>
      <c r="P490" s="586">
        <f t="shared" si="240"/>
        <v>1.5707872086842691</v>
      </c>
      <c r="Q490" s="595">
        <f t="shared" si="262"/>
        <v>45.707541800357951</v>
      </c>
      <c r="R490" s="596">
        <f t="shared" si="263"/>
        <v>1.5489163535139758</v>
      </c>
      <c r="S490" s="583">
        <f t="shared" si="241"/>
        <v>1.0453745607820613</v>
      </c>
      <c r="T490" s="586">
        <f t="shared" si="242"/>
        <v>0.29571188892233241</v>
      </c>
      <c r="U490" s="587">
        <f t="shared" si="254"/>
        <v>0.84819177186002193</v>
      </c>
      <c r="V490" s="588">
        <f t="shared" si="255"/>
        <v>-0.702659959158903</v>
      </c>
      <c r="W490" s="589">
        <f t="shared" si="243"/>
        <v>-6.9623121797498833</v>
      </c>
      <c r="X490" s="590">
        <f t="shared" si="244"/>
        <v>-172.8899568687666</v>
      </c>
      <c r="Y490" s="593">
        <f t="shared" si="245"/>
        <v>7.1100431312333967</v>
      </c>
      <c r="AA490" s="150">
        <f t="shared" si="246"/>
        <v>60607</v>
      </c>
      <c r="AB490" s="150">
        <f t="shared" si="247"/>
        <v>3673208449</v>
      </c>
      <c r="AD490" s="592">
        <f t="shared" si="248"/>
        <v>27.220865565337071</v>
      </c>
      <c r="AE490" s="593">
        <f t="shared" si="249"/>
        <v>-18.196150903482867</v>
      </c>
      <c r="AG490" s="592">
        <f t="shared" si="250"/>
        <v>-5.9349969947719705</v>
      </c>
      <c r="AH490" s="593">
        <f t="shared" si="251"/>
        <v>-74.174905687997608</v>
      </c>
      <c r="AJ490" s="150">
        <f t="shared" si="252"/>
        <v>0</v>
      </c>
      <c r="AK490" s="150">
        <f t="shared" si="264"/>
        <v>0</v>
      </c>
      <c r="AM490" s="150" t="str">
        <f t="shared" si="256"/>
        <v>0.535754987399199+0.885706818464938i</v>
      </c>
      <c r="AN490" s="150" t="str">
        <f t="shared" si="257"/>
        <v>1.088014318506i</v>
      </c>
      <c r="AO490" s="150" t="str">
        <f t="shared" si="258"/>
        <v>0.814058053648725-0.492415383039138i</v>
      </c>
      <c r="AP490" s="150" t="str">
        <f t="shared" si="259"/>
        <v>0.0773741687668002-0.14761780307749i</v>
      </c>
      <c r="AQ490" s="150" t="str">
        <f t="shared" si="260"/>
        <v>0.9226258312332+0.14761780307749i</v>
      </c>
      <c r="AR490" s="150" t="str">
        <f t="shared" si="261"/>
        <v>0.880322337357032-0.140849350886904i</v>
      </c>
    </row>
    <row r="491" spans="7:44" x14ac:dyDescent="0.25">
      <c r="G491" s="594">
        <v>60958</v>
      </c>
      <c r="H491" s="582">
        <f t="shared" si="253"/>
        <v>60.957999999999998</v>
      </c>
      <c r="I491" s="583">
        <f t="shared" si="233"/>
        <v>59.481411837101042</v>
      </c>
      <c r="J491" s="584">
        <f t="shared" si="234"/>
        <v>1.5539835598784963</v>
      </c>
      <c r="K491" s="584">
        <f t="shared" si="235"/>
        <v>1.000542338343668</v>
      </c>
      <c r="L491" s="585">
        <f t="shared" si="236"/>
        <v>3.2926990387340503E-2</v>
      </c>
      <c r="M491" s="584">
        <f t="shared" si="237"/>
        <v>1.126502606533071</v>
      </c>
      <c r="N491" s="585">
        <f t="shared" si="238"/>
        <v>-0.47846387212260144</v>
      </c>
      <c r="O491" s="583">
        <f t="shared" si="239"/>
        <v>110306.997945544</v>
      </c>
      <c r="P491" s="586">
        <f t="shared" si="240"/>
        <v>1.570787261186924</v>
      </c>
      <c r="Q491" s="595">
        <f t="shared" si="262"/>
        <v>45.972126584497758</v>
      </c>
      <c r="R491" s="596">
        <f t="shared" si="263"/>
        <v>1.5490422999181048</v>
      </c>
      <c r="S491" s="583">
        <f t="shared" si="241"/>
        <v>1.0458900818112578</v>
      </c>
      <c r="T491" s="586">
        <f t="shared" si="242"/>
        <v>0.29732557550462108</v>
      </c>
      <c r="U491" s="587">
        <f t="shared" si="254"/>
        <v>0.84679279817771846</v>
      </c>
      <c r="V491" s="588">
        <f t="shared" si="255"/>
        <v>-0.70616475550749325</v>
      </c>
      <c r="W491" s="589">
        <f t="shared" si="243"/>
        <v>-7.0204620619271729</v>
      </c>
      <c r="X491" s="590">
        <f t="shared" si="244"/>
        <v>-173.30573780819236</v>
      </c>
      <c r="Y491" s="593">
        <f t="shared" si="245"/>
        <v>6.6942621918076384</v>
      </c>
      <c r="AA491" s="150">
        <f t="shared" si="246"/>
        <v>60958</v>
      </c>
      <c r="AB491" s="150">
        <f t="shared" si="247"/>
        <v>3715877764</v>
      </c>
      <c r="AD491" s="592">
        <f t="shared" si="248"/>
        <v>27.216559349212183</v>
      </c>
      <c r="AE491" s="593">
        <f t="shared" si="249"/>
        <v>-18.281395144981399</v>
      </c>
      <c r="AG491" s="592">
        <f t="shared" si="250"/>
        <v>-5.9601646858684063</v>
      </c>
      <c r="AH491" s="593">
        <f t="shared" si="251"/>
        <v>-74.103822307811768</v>
      </c>
      <c r="AJ491" s="150">
        <f t="shared" si="252"/>
        <v>0</v>
      </c>
      <c r="AK491" s="150">
        <f t="shared" si="264"/>
        <v>0</v>
      </c>
      <c r="AM491" s="150" t="str">
        <f t="shared" si="256"/>
        <v>0.541345126939654+0.888614487513004i</v>
      </c>
      <c r="AN491" s="150" t="str">
        <f t="shared" si="257"/>
        <v>1.094315455764i</v>
      </c>
      <c r="AO491" s="150" t="str">
        <f t="shared" si="258"/>
        <v>0.812027722748935-0.494688368046225i</v>
      </c>
      <c r="AP491" s="150" t="str">
        <f t="shared" si="259"/>
        <v>0.076442478843391-0.148102414585501i</v>
      </c>
      <c r="AQ491" s="150" t="str">
        <f t="shared" si="260"/>
        <v>0.923557521156609+0.148102414585501i</v>
      </c>
      <c r="AR491" s="150" t="str">
        <f t="shared" si="261"/>
        <v>0.879334470985188-0.141010771281551i</v>
      </c>
    </row>
    <row r="492" spans="7:44" x14ac:dyDescent="0.25">
      <c r="G492" s="594">
        <v>61309</v>
      </c>
      <c r="H492" s="582">
        <f t="shared" si="253"/>
        <v>61.308999999999997</v>
      </c>
      <c r="I492" s="583">
        <f t="shared" si="233"/>
        <v>59.82381302215979</v>
      </c>
      <c r="J492" s="584">
        <f t="shared" si="234"/>
        <v>1.5540797966252442</v>
      </c>
      <c r="K492" s="584">
        <f t="shared" si="235"/>
        <v>1.0005486002445008</v>
      </c>
      <c r="L492" s="585">
        <f t="shared" si="236"/>
        <v>3.3116447877085856E-2</v>
      </c>
      <c r="M492" s="584">
        <f t="shared" si="237"/>
        <v>1.1278807441229624</v>
      </c>
      <c r="N492" s="585">
        <f t="shared" si="238"/>
        <v>-0.48081439304019091</v>
      </c>
      <c r="O492" s="583">
        <f t="shared" si="239"/>
        <v>110942.15258112445</v>
      </c>
      <c r="P492" s="586">
        <f t="shared" si="240"/>
        <v>1.5707873130884131</v>
      </c>
      <c r="Q492" s="595">
        <f t="shared" si="262"/>
        <v>46.236712089524339</v>
      </c>
      <c r="R492" s="596">
        <f t="shared" si="263"/>
        <v>1.5491668048898217</v>
      </c>
      <c r="S492" s="583">
        <f t="shared" si="241"/>
        <v>1.0464083236342743</v>
      </c>
      <c r="T492" s="586">
        <f t="shared" si="242"/>
        <v>0.29893766789977261</v>
      </c>
      <c r="U492" s="587">
        <f t="shared" si="254"/>
        <v>0.84539214990200984</v>
      </c>
      <c r="V492" s="588">
        <f t="shared" si="255"/>
        <v>-0.70966208300324551</v>
      </c>
      <c r="W492" s="589">
        <f t="shared" si="243"/>
        <v>-7.0783497014213363</v>
      </c>
      <c r="X492" s="590">
        <f t="shared" si="244"/>
        <v>-173.72068914160229</v>
      </c>
      <c r="Y492" s="593">
        <f t="shared" si="245"/>
        <v>6.2793108583977073</v>
      </c>
      <c r="AA492" s="150">
        <f t="shared" si="246"/>
        <v>61309</v>
      </c>
      <c r="AB492" s="150">
        <f t="shared" si="247"/>
        <v>3758793481</v>
      </c>
      <c r="AD492" s="592">
        <f t="shared" si="248"/>
        <v>27.212233067585746</v>
      </c>
      <c r="AE492" s="593">
        <f t="shared" si="249"/>
        <v>-18.366630599834615</v>
      </c>
      <c r="AG492" s="592">
        <f t="shared" si="250"/>
        <v>-5.9849682436228608</v>
      </c>
      <c r="AH492" s="593">
        <f t="shared" si="251"/>
        <v>-74.03277397574719</v>
      </c>
      <c r="AJ492" s="150">
        <f t="shared" si="252"/>
        <v>0</v>
      </c>
      <c r="AK492" s="150">
        <f t="shared" si="264"/>
        <v>0</v>
      </c>
      <c r="AM492" s="150" t="str">
        <f t="shared" si="256"/>
        <v>0.546953477004633+0.89148687483429i</v>
      </c>
      <c r="AN492" s="150" t="str">
        <f t="shared" si="257"/>
        <v>1.100616593022i</v>
      </c>
      <c r="AO492" s="150" t="str">
        <f t="shared" si="258"/>
        <v>0.809988583205442-0.496951872679699i</v>
      </c>
      <c r="AP492" s="150" t="str">
        <f t="shared" si="259"/>
        <v>0.0755077538325612-0.148581145805715i</v>
      </c>
      <c r="AQ492" s="150" t="str">
        <f t="shared" si="260"/>
        <v>0.924492246167439+0.148581145805715i</v>
      </c>
      <c r="AR492" s="150" t="str">
        <f t="shared" si="261"/>
        <v>0.878347606083147-0.141164941370319i</v>
      </c>
    </row>
    <row r="493" spans="7:44" x14ac:dyDescent="0.25">
      <c r="G493" s="594">
        <v>61660</v>
      </c>
      <c r="H493" s="582">
        <f t="shared" si="253"/>
        <v>61.66</v>
      </c>
      <c r="I493" s="583">
        <f t="shared" si="233"/>
        <v>60.16621475497125</v>
      </c>
      <c r="J493" s="584">
        <f t="shared" si="234"/>
        <v>1.5541749380196346</v>
      </c>
      <c r="K493" s="584">
        <f t="shared" si="235"/>
        <v>1.0005548980587151</v>
      </c>
      <c r="L493" s="585">
        <f t="shared" si="236"/>
        <v>3.3305902988618755E-2</v>
      </c>
      <c r="M493" s="584">
        <f t="shared" si="237"/>
        <v>1.1292650979663084</v>
      </c>
      <c r="N493" s="585">
        <f t="shared" si="238"/>
        <v>-0.48315916392988645</v>
      </c>
      <c r="O493" s="583">
        <f t="shared" si="239"/>
        <v>111577.30721670519</v>
      </c>
      <c r="P493" s="586">
        <f t="shared" si="240"/>
        <v>1.5707873643990031</v>
      </c>
      <c r="Q493" s="595">
        <f t="shared" si="262"/>
        <v>46.501298303132486</v>
      </c>
      <c r="R493" s="596">
        <f t="shared" si="263"/>
        <v>1.5492898930299104</v>
      </c>
      <c r="S493" s="583">
        <f t="shared" si="241"/>
        <v>1.0469292822106395</v>
      </c>
      <c r="T493" s="586">
        <f t="shared" si="242"/>
        <v>0.30054816010230517</v>
      </c>
      <c r="U493" s="587">
        <f t="shared" si="254"/>
        <v>0.84398988702854316</v>
      </c>
      <c r="V493" s="588">
        <f t="shared" si="255"/>
        <v>-0.71315194942254556</v>
      </c>
      <c r="W493" s="589">
        <f t="shared" si="243"/>
        <v>-7.1359781921586043</v>
      </c>
      <c r="X493" s="590">
        <f t="shared" si="244"/>
        <v>-174.13481037201694</v>
      </c>
      <c r="Y493" s="593">
        <f t="shared" si="245"/>
        <v>5.8651896279830567</v>
      </c>
      <c r="AA493" s="150">
        <f t="shared" si="246"/>
        <v>61660</v>
      </c>
      <c r="AB493" s="150">
        <f t="shared" si="247"/>
        <v>3801955600</v>
      </c>
      <c r="AD493" s="592">
        <f t="shared" si="248"/>
        <v>27.207886776164131</v>
      </c>
      <c r="AE493" s="593">
        <f t="shared" si="249"/>
        <v>-18.451855515020902</v>
      </c>
      <c r="AG493" s="592">
        <f t="shared" si="250"/>
        <v>-6.0094117241799516</v>
      </c>
      <c r="AH493" s="593">
        <f t="shared" si="251"/>
        <v>-73.961761056737956</v>
      </c>
      <c r="AJ493" s="150">
        <f t="shared" si="252"/>
        <v>0</v>
      </c>
      <c r="AK493" s="150">
        <f t="shared" si="264"/>
        <v>0</v>
      </c>
      <c r="AM493" s="150" t="str">
        <f t="shared" si="256"/>
        <v>0.552579814919088+0.894323866382958i</v>
      </c>
      <c r="AN493" s="150" t="str">
        <f t="shared" si="257"/>
        <v>1.10691773028i</v>
      </c>
      <c r="AO493" s="150" t="str">
        <f t="shared" si="258"/>
        <v>0.807940682417956-0.499205857674093i</v>
      </c>
      <c r="AP493" s="150" t="str">
        <f t="shared" si="259"/>
        <v>0.0745700308468187-0.149053977730493i</v>
      </c>
      <c r="AQ493" s="150" t="str">
        <f t="shared" si="260"/>
        <v>0.925429969153181+0.149053977730493i</v>
      </c>
      <c r="AR493" s="150" t="str">
        <f t="shared" si="261"/>
        <v>0.877361795644542-0.141311898153949i</v>
      </c>
    </row>
    <row r="494" spans="7:44" x14ac:dyDescent="0.25">
      <c r="G494" s="594">
        <v>62019</v>
      </c>
      <c r="H494" s="582">
        <f t="shared" si="253"/>
        <v>62.018999999999998</v>
      </c>
      <c r="I494" s="583">
        <f t="shared" si="233"/>
        <v>60.516421072811653</v>
      </c>
      <c r="J494" s="584">
        <f t="shared" si="234"/>
        <v>1.5542711341713595</v>
      </c>
      <c r="K494" s="584">
        <f t="shared" si="235"/>
        <v>1.0005613765626653</v>
      </c>
      <c r="L494" s="585">
        <f t="shared" si="236"/>
        <v>3.3499673691106457E-2</v>
      </c>
      <c r="M494" s="584">
        <f t="shared" si="237"/>
        <v>1.1306874106244054</v>
      </c>
      <c r="N494" s="585">
        <f t="shared" si="238"/>
        <v>-0.48555142397921958</v>
      </c>
      <c r="O494" s="583">
        <f t="shared" si="239"/>
        <v>112226.93831121686</v>
      </c>
      <c r="P494" s="586">
        <f t="shared" si="240"/>
        <v>1.5707874162782678</v>
      </c>
      <c r="Q494" s="595">
        <f t="shared" si="262"/>
        <v>46.771915692208303</v>
      </c>
      <c r="R494" s="596">
        <f t="shared" si="263"/>
        <v>1.5494143460175993</v>
      </c>
      <c r="S494" s="583">
        <f t="shared" si="241"/>
        <v>1.0474649206010362</v>
      </c>
      <c r="T494" s="586">
        <f t="shared" si="242"/>
        <v>0.30219369715187572</v>
      </c>
      <c r="U494" s="587">
        <f t="shared" si="254"/>
        <v>0.84255405549067175</v>
      </c>
      <c r="V494" s="588">
        <f t="shared" si="255"/>
        <v>-0.71671364738567278</v>
      </c>
      <c r="W494" s="589">
        <f t="shared" si="243"/>
        <v>-7.1946552445641565</v>
      </c>
      <c r="X494" s="590">
        <f t="shared" si="244"/>
        <v>-174.55751109755877</v>
      </c>
      <c r="Y494" s="593">
        <f t="shared" si="245"/>
        <v>5.4424889024412266</v>
      </c>
      <c r="AA494" s="150">
        <f t="shared" si="246"/>
        <v>62019</v>
      </c>
      <c r="AB494" s="150">
        <f t="shared" si="247"/>
        <v>3846356361</v>
      </c>
      <c r="AD494" s="592">
        <f t="shared" si="248"/>
        <v>27.203420783380395</v>
      </c>
      <c r="AE494" s="593">
        <f t="shared" si="249"/>
        <v>-18.539010184613829</v>
      </c>
      <c r="AG494" s="592">
        <f t="shared" si="250"/>
        <v>-6.0340440056259972</v>
      </c>
      <c r="AH494" s="593">
        <f t="shared" si="251"/>
        <v>-73.889166589845431</v>
      </c>
      <c r="AJ494" s="150">
        <f t="shared" si="252"/>
        <v>0</v>
      </c>
      <c r="AK494" s="150">
        <f t="shared" si="264"/>
        <v>0</v>
      </c>
      <c r="AM494" s="150" t="str">
        <f t="shared" si="256"/>
        <v>0.558352763102011+0.897188786231957i</v>
      </c>
      <c r="AN494" s="150" t="str">
        <f t="shared" si="257"/>
        <v>1.113362483202i</v>
      </c>
      <c r="AO494" s="150" t="str">
        <f t="shared" si="258"/>
        <v>0.805837092383126-0.501501327309147i</v>
      </c>
      <c r="AP494" s="150" t="str">
        <f t="shared" si="259"/>
        <v>0.0736078728163315-0.149531464371993i</v>
      </c>
      <c r="AQ494" s="150" t="str">
        <f t="shared" si="260"/>
        <v>0.926392127183668+0.149531464371993i</v>
      </c>
      <c r="AR494" s="150" t="str">
        <f t="shared" si="261"/>
        <v>0.876354661878976-0.141454781463191i</v>
      </c>
    </row>
    <row r="495" spans="7:44" x14ac:dyDescent="0.25">
      <c r="G495" s="594">
        <v>62378</v>
      </c>
      <c r="H495" s="582">
        <f t="shared" si="253"/>
        <v>62.378</v>
      </c>
      <c r="I495" s="583">
        <f t="shared" si="233"/>
        <v>60.866627944208723</v>
      </c>
      <c r="J495" s="584">
        <f t="shared" si="234"/>
        <v>1.5543662233609297</v>
      </c>
      <c r="K495" s="584">
        <f t="shared" si="235"/>
        <v>1.0005678926342916</v>
      </c>
      <c r="L495" s="585">
        <f t="shared" si="236"/>
        <v>3.3693441877055218E-2</v>
      </c>
      <c r="M495" s="584">
        <f t="shared" si="237"/>
        <v>1.1321161778221376</v>
      </c>
      <c r="N495" s="585">
        <f t="shared" si="238"/>
        <v>-0.48793765943714407</v>
      </c>
      <c r="O495" s="583">
        <f t="shared" si="239"/>
        <v>112876.56940572882</v>
      </c>
      <c r="P495" s="586">
        <f t="shared" si="240"/>
        <v>1.5707874675603781</v>
      </c>
      <c r="Q495" s="595">
        <f t="shared" si="262"/>
        <v>47.042533797378361</v>
      </c>
      <c r="R495" s="596">
        <f t="shared" si="263"/>
        <v>1.5495373671441786</v>
      </c>
      <c r="S495" s="583">
        <f t="shared" si="241"/>
        <v>1.0480033924049734</v>
      </c>
      <c r="T495" s="586">
        <f t="shared" si="242"/>
        <v>0.30383754767091992</v>
      </c>
      <c r="U495" s="587">
        <f t="shared" si="254"/>
        <v>0.84111666011623043</v>
      </c>
      <c r="V495" s="588">
        <f t="shared" si="255"/>
        <v>-0.72026755801497833</v>
      </c>
      <c r="W495" s="589">
        <f t="shared" si="243"/>
        <v>-7.2530675741712445</v>
      </c>
      <c r="X495" s="590">
        <f t="shared" si="244"/>
        <v>-174.97934255230729</v>
      </c>
      <c r="Y495" s="593">
        <f t="shared" si="245"/>
        <v>5.020657447692713</v>
      </c>
      <c r="AA495" s="150">
        <f t="shared" si="246"/>
        <v>62378</v>
      </c>
      <c r="AB495" s="150">
        <f t="shared" si="247"/>
        <v>3891014884</v>
      </c>
      <c r="AD495" s="592">
        <f t="shared" si="248"/>
        <v>27.198933977476042</v>
      </c>
      <c r="AE495" s="593">
        <f t="shared" si="249"/>
        <v>-18.626150228509573</v>
      </c>
      <c r="AG495" s="592">
        <f t="shared" si="250"/>
        <v>-6.0583080034586718</v>
      </c>
      <c r="AH495" s="593">
        <f t="shared" si="251"/>
        <v>-73.81660984058108</v>
      </c>
      <c r="AJ495" s="150">
        <f t="shared" si="252"/>
        <v>0</v>
      </c>
      <c r="AK495" s="150">
        <f t="shared" si="264"/>
        <v>0</v>
      </c>
      <c r="AM495" s="150" t="str">
        <f t="shared" si="256"/>
        <v>0.564144054968864+0.900016441617049i</v>
      </c>
      <c r="AN495" s="150" t="str">
        <f t="shared" si="257"/>
        <v>1.119807236124i</v>
      </c>
      <c r="AO495" s="150" t="str">
        <f t="shared" si="258"/>
        <v>0.803724438084795-0.50378675612201i</v>
      </c>
      <c r="AP495" s="150" t="str">
        <f t="shared" si="259"/>
        <v>0.0726426575051893-0.150002740269508i</v>
      </c>
      <c r="AQ495" s="150" t="str">
        <f t="shared" si="260"/>
        <v>0.927357342494811+0.150002740269508i</v>
      </c>
      <c r="AR495" s="150" t="str">
        <f t="shared" si="261"/>
        <v>0.875348741082431-0.141590198122105i</v>
      </c>
    </row>
    <row r="496" spans="7:44" x14ac:dyDescent="0.25">
      <c r="G496" s="594">
        <v>62737</v>
      </c>
      <c r="H496" s="582">
        <f t="shared" si="253"/>
        <v>62.737000000000002</v>
      </c>
      <c r="I496" s="583">
        <f t="shared" si="233"/>
        <v>61.216835359662156</v>
      </c>
      <c r="J496" s="584">
        <f t="shared" si="234"/>
        <v>1.5544602245846368</v>
      </c>
      <c r="K496" s="584">
        <f t="shared" si="235"/>
        <v>1.0005744462728596</v>
      </c>
      <c r="L496" s="585">
        <f t="shared" si="236"/>
        <v>3.3887207531963857E-2</v>
      </c>
      <c r="M496" s="584">
        <f t="shared" si="237"/>
        <v>1.1335513751529334</v>
      </c>
      <c r="N496" s="585">
        <f t="shared" si="238"/>
        <v>-0.49031786596088855</v>
      </c>
      <c r="O496" s="583">
        <f t="shared" si="239"/>
        <v>113526.20050024107</v>
      </c>
      <c r="P496" s="586">
        <f t="shared" si="240"/>
        <v>1.5707875182555848</v>
      </c>
      <c r="Q496" s="595">
        <f t="shared" si="262"/>
        <v>47.313152606355096</v>
      </c>
      <c r="R496" s="596">
        <f t="shared" si="263"/>
        <v>1.5496589809755008</v>
      </c>
      <c r="S496" s="583">
        <f t="shared" si="241"/>
        <v>1.04854469325722</v>
      </c>
      <c r="T496" s="586">
        <f t="shared" si="242"/>
        <v>0.30547970538044522</v>
      </c>
      <c r="U496" s="587">
        <f t="shared" si="254"/>
        <v>0.83967776331741972</v>
      </c>
      <c r="V496" s="588">
        <f t="shared" si="255"/>
        <v>-0.72381369090600378</v>
      </c>
      <c r="W496" s="589">
        <f t="shared" si="243"/>
        <v>-7.3112183183989004</v>
      </c>
      <c r="X496" s="590">
        <f t="shared" si="244"/>
        <v>-175.40030435977019</v>
      </c>
      <c r="Y496" s="593">
        <f t="shared" si="245"/>
        <v>4.599695640229811</v>
      </c>
      <c r="AA496" s="150">
        <f t="shared" si="246"/>
        <v>62737</v>
      </c>
      <c r="AB496" s="150">
        <f t="shared" si="247"/>
        <v>3935931169</v>
      </c>
      <c r="AD496" s="592">
        <f t="shared" si="248"/>
        <v>27.194426419366099</v>
      </c>
      <c r="AE496" s="593">
        <f t="shared" si="249"/>
        <v>-18.713273880016004</v>
      </c>
      <c r="AG496" s="592">
        <f t="shared" si="250"/>
        <v>-6.0822078689799568</v>
      </c>
      <c r="AH496" s="593">
        <f t="shared" si="251"/>
        <v>-73.744091099576636</v>
      </c>
      <c r="AJ496" s="150">
        <f t="shared" si="252"/>
        <v>0</v>
      </c>
      <c r="AK496" s="150">
        <f t="shared" si="264"/>
        <v>0</v>
      </c>
      <c r="AM496" s="150" t="str">
        <f t="shared" si="256"/>
        <v>0.569953449980096+0.902806715092426i</v>
      </c>
      <c r="AN496" s="150" t="str">
        <f t="shared" si="257"/>
        <v>1.126251989046i</v>
      </c>
      <c r="AO496" s="150" t="str">
        <f t="shared" si="258"/>
        <v>0.801602770848072-0.506062102907254i</v>
      </c>
      <c r="AP496" s="150" t="str">
        <f t="shared" si="259"/>
        <v>0.0716744250033173-0.150467785848738i</v>
      </c>
      <c r="AQ496" s="150" t="str">
        <f t="shared" si="260"/>
        <v>0.928325574996683+0.150467785848738i</v>
      </c>
      <c r="AR496" s="150" t="str">
        <f t="shared" si="261"/>
        <v>0.874344087682686-0.141718188625816i</v>
      </c>
    </row>
    <row r="497" spans="7:44" x14ac:dyDescent="0.25">
      <c r="G497" s="594">
        <v>63096</v>
      </c>
      <c r="H497" s="582">
        <f t="shared" si="253"/>
        <v>63.095999999999997</v>
      </c>
      <c r="I497" s="583">
        <f t="shared" si="233"/>
        <v>61.567043309887808</v>
      </c>
      <c r="J497" s="584">
        <f t="shared" si="234"/>
        <v>1.5545531564066297</v>
      </c>
      <c r="K497" s="584">
        <f t="shared" si="235"/>
        <v>1.0005810374776314</v>
      </c>
      <c r="L497" s="585">
        <f t="shared" si="236"/>
        <v>3.4080970641332337E-2</v>
      </c>
      <c r="M497" s="584">
        <f t="shared" si="237"/>
        <v>1.1349929782241051</v>
      </c>
      <c r="N497" s="585">
        <f t="shared" si="238"/>
        <v>-0.49269203950284585</v>
      </c>
      <c r="O497" s="583">
        <f t="shared" si="239"/>
        <v>114175.83159475362</v>
      </c>
      <c r="P497" s="586">
        <f t="shared" si="240"/>
        <v>1.5707875683739063</v>
      </c>
      <c r="Q497" s="595">
        <f t="shared" si="262"/>
        <v>47.583772107130414</v>
      </c>
      <c r="R497" s="596">
        <f t="shared" si="263"/>
        <v>1.5497792115187417</v>
      </c>
      <c r="S497" s="583">
        <f t="shared" si="241"/>
        <v>1.0490888187786436</v>
      </c>
      <c r="T497" s="586">
        <f t="shared" si="242"/>
        <v>0.30712016405090403</v>
      </c>
      <c r="U497" s="587">
        <f t="shared" si="254"/>
        <v>0.83823742690492431</v>
      </c>
      <c r="V497" s="588">
        <f t="shared" si="255"/>
        <v>-0.7273520560724287</v>
      </c>
      <c r="W497" s="589">
        <f t="shared" si="243"/>
        <v>-7.369110559090708</v>
      </c>
      <c r="X497" s="590">
        <f t="shared" si="244"/>
        <v>-175.82039619439371</v>
      </c>
      <c r="Y497" s="593">
        <f t="shared" si="245"/>
        <v>4.1796038056062912</v>
      </c>
      <c r="AA497" s="150">
        <f t="shared" si="246"/>
        <v>63096</v>
      </c>
      <c r="AB497" s="150">
        <f t="shared" si="247"/>
        <v>3981105216</v>
      </c>
      <c r="AD497" s="592">
        <f t="shared" si="248"/>
        <v>27.189898170383159</v>
      </c>
      <c r="AE497" s="593">
        <f t="shared" si="249"/>
        <v>-18.800379407270501</v>
      </c>
      <c r="AG497" s="592">
        <f t="shared" si="250"/>
        <v>-6.1057476925392029</v>
      </c>
      <c r="AH497" s="593">
        <f t="shared" si="251"/>
        <v>-73.671610625657848</v>
      </c>
      <c r="AJ497" s="150">
        <f t="shared" si="252"/>
        <v>0</v>
      </c>
      <c r="AK497" s="150">
        <f t="shared" si="264"/>
        <v>0</v>
      </c>
      <c r="AM497" s="150" t="str">
        <f t="shared" si="256"/>
        <v>0.575780706844247+0.905559490764927i</v>
      </c>
      <c r="AN497" s="150" t="str">
        <f t="shared" si="257"/>
        <v>1.132696741968i</v>
      </c>
      <c r="AO497" s="150" t="str">
        <f t="shared" si="258"/>
        <v>0.799472142200714-0.508327326733419i</v>
      </c>
      <c r="AP497" s="150" t="str">
        <f t="shared" si="259"/>
        <v>0.0707032155259588-0.150926581794154i</v>
      </c>
      <c r="AQ497" s="150" t="str">
        <f t="shared" si="260"/>
        <v>0.929296784474041+0.150926581794154i</v>
      </c>
      <c r="AR497" s="150" t="str">
        <f t="shared" si="261"/>
        <v>0.873340755346296-0.141838793750419i</v>
      </c>
    </row>
    <row r="498" spans="7:44" x14ac:dyDescent="0.25">
      <c r="G498" s="594">
        <v>63463.25</v>
      </c>
      <c r="H498" s="582">
        <f t="shared" si="253"/>
        <v>63.463250000000002</v>
      </c>
      <c r="I498" s="583">
        <f t="shared" si="233"/>
        <v>61.925299758288801</v>
      </c>
      <c r="J498" s="584">
        <f t="shared" si="234"/>
        <v>1.5546471362171299</v>
      </c>
      <c r="K498" s="584">
        <f t="shared" si="235"/>
        <v>1.000587819021878</v>
      </c>
      <c r="L498" s="585">
        <f t="shared" si="236"/>
        <v>3.4279183875029109E-2</v>
      </c>
      <c r="M498" s="584">
        <f t="shared" si="237"/>
        <v>1.136474312881786</v>
      </c>
      <c r="N498" s="585">
        <f t="shared" si="238"/>
        <v>-0.49511452629344144</v>
      </c>
      <c r="O498" s="583">
        <f t="shared" si="239"/>
        <v>114840.39153753869</v>
      </c>
      <c r="P498" s="586">
        <f t="shared" si="240"/>
        <v>1.5707876190572563</v>
      </c>
      <c r="Q498" s="595">
        <f t="shared" si="262"/>
        <v>47.8606112833127</v>
      </c>
      <c r="R498" s="596">
        <f t="shared" si="263"/>
        <v>1.5499007981459483</v>
      </c>
      <c r="S498" s="583">
        <f t="shared" si="241"/>
        <v>1.0496483667805108</v>
      </c>
      <c r="T498" s="586">
        <f t="shared" si="242"/>
        <v>0.30879655678583068</v>
      </c>
      <c r="U498" s="587">
        <f t="shared" si="254"/>
        <v>0.83676256503737056</v>
      </c>
      <c r="V498" s="588">
        <f t="shared" si="255"/>
        <v>-0.73096370798268828</v>
      </c>
      <c r="W498" s="589">
        <f t="shared" si="243"/>
        <v>-7.4280688663079282</v>
      </c>
      <c r="X498" s="590">
        <f t="shared" si="244"/>
        <v>-176.24924147208151</v>
      </c>
      <c r="Y498" s="593">
        <f t="shared" si="245"/>
        <v>3.7507585279184923</v>
      </c>
      <c r="AA498" s="150">
        <f t="shared" si="246"/>
        <v>63463.25</v>
      </c>
      <c r="AB498" s="150">
        <f t="shared" si="247"/>
        <v>4027584100.5625</v>
      </c>
      <c r="AD498" s="592">
        <f t="shared" si="248"/>
        <v>27.185244514776208</v>
      </c>
      <c r="AE498" s="593">
        <f t="shared" si="249"/>
        <v>-18.889466139247858</v>
      </c>
      <c r="AG498" s="592">
        <f t="shared" si="250"/>
        <v>-6.1294601273488256</v>
      </c>
      <c r="AH498" s="593">
        <f t="shared" si="251"/>
        <v>-73.597504347838893</v>
      </c>
      <c r="AJ498" s="150">
        <f t="shared" si="252"/>
        <v>0</v>
      </c>
      <c r="AK498" s="150">
        <f t="shared" si="264"/>
        <v>0</v>
      </c>
      <c r="AM498" s="150" t="str">
        <f t="shared" si="256"/>
        <v>0.581760106910623+0.90833660711687i</v>
      </c>
      <c r="AN498" s="150" t="str">
        <f t="shared" si="257"/>
        <v>1.1392895985435i</v>
      </c>
      <c r="AO498" s="150" t="str">
        <f t="shared" si="258"/>
        <v>0.797283331892184-0.510634089571573i</v>
      </c>
      <c r="AP498" s="150" t="str">
        <f t="shared" si="259"/>
        <v>0.0697066488482295-0.151389434519478i</v>
      </c>
      <c r="AQ498" s="150" t="str">
        <f t="shared" si="260"/>
        <v>0.93029335115177+0.151389434519478i</v>
      </c>
      <c r="AR498" s="150" t="str">
        <f t="shared" si="261"/>
        <v>0.872315788040613-0.141954571329981i</v>
      </c>
    </row>
    <row r="499" spans="7:44" x14ac:dyDescent="0.25">
      <c r="G499" s="594">
        <v>63830.5</v>
      </c>
      <c r="H499" s="582">
        <f t="shared" si="253"/>
        <v>63.830500000000001</v>
      </c>
      <c r="I499" s="583">
        <f t="shared" si="233"/>
        <v>62.283556747334728</v>
      </c>
      <c r="J499" s="584">
        <f t="shared" si="234"/>
        <v>1.5547400348787559</v>
      </c>
      <c r="K499" s="584">
        <f t="shared" si="235"/>
        <v>1.0005946398771715</v>
      </c>
      <c r="L499" s="585">
        <f t="shared" si="236"/>
        <v>3.4477394414152547E-2</v>
      </c>
      <c r="M499" s="584">
        <f t="shared" si="237"/>
        <v>1.1379622994870251</v>
      </c>
      <c r="N499" s="585">
        <f t="shared" si="238"/>
        <v>-0.49753069199980116</v>
      </c>
      <c r="O499" s="583">
        <f t="shared" si="239"/>
        <v>115504.95148032402</v>
      </c>
      <c r="P499" s="586">
        <f t="shared" si="240"/>
        <v>1.570787669157391</v>
      </c>
      <c r="Q499" s="595">
        <f t="shared" si="262"/>
        <v>48.137451158894997</v>
      </c>
      <c r="R499" s="596">
        <f t="shared" si="263"/>
        <v>1.5500209862784868</v>
      </c>
      <c r="S499" s="583">
        <f t="shared" si="241"/>
        <v>1.0502108614532819</v>
      </c>
      <c r="T499" s="586">
        <f t="shared" si="242"/>
        <v>0.31047115846524992</v>
      </c>
      <c r="U499" s="587">
        <f t="shared" si="254"/>
        <v>0.83528632555536397</v>
      </c>
      <c r="V499" s="588">
        <f t="shared" si="255"/>
        <v>-0.73456725356746855</v>
      </c>
      <c r="W499" s="589">
        <f t="shared" si="243"/>
        <v>-7.4867630042499105</v>
      </c>
      <c r="X499" s="590">
        <f t="shared" si="244"/>
        <v>-176.67717580370731</v>
      </c>
      <c r="Y499" s="593">
        <f t="shared" si="245"/>
        <v>3.3228241962926859</v>
      </c>
      <c r="AA499" s="150">
        <f t="shared" si="246"/>
        <v>63830.5</v>
      </c>
      <c r="AB499" s="150">
        <f t="shared" si="247"/>
        <v>4074332730.25</v>
      </c>
      <c r="AD499" s="592">
        <f t="shared" si="248"/>
        <v>27.180569337525927</v>
      </c>
      <c r="AE499" s="593">
        <f t="shared" si="249"/>
        <v>-18.978530345730132</v>
      </c>
      <c r="AG499" s="592">
        <f t="shared" si="250"/>
        <v>-6.1528042516194068</v>
      </c>
      <c r="AH499" s="593">
        <f t="shared" si="251"/>
        <v>-73.523438565928799</v>
      </c>
      <c r="AJ499" s="150">
        <f t="shared" si="252"/>
        <v>0</v>
      </c>
      <c r="AK499" s="150">
        <f t="shared" si="264"/>
        <v>0</v>
      </c>
      <c r="AM499" s="150" t="str">
        <f t="shared" si="256"/>
        <v>0.587757686025057+0.911074242072831i</v>
      </c>
      <c r="AN499" s="150" t="str">
        <f t="shared" si="257"/>
        <v>1.145882455119i</v>
      </c>
      <c r="AO499" s="150" t="str">
        <f t="shared" si="258"/>
        <v>0.795085253293468-0.512930173072611i</v>
      </c>
      <c r="AP499" s="150" t="str">
        <f t="shared" si="259"/>
        <v>0.0687070523291572-0.151845707012139i</v>
      </c>
      <c r="AQ499" s="150" t="str">
        <f t="shared" si="260"/>
        <v>0.931292947670843+0.151845707012139i</v>
      </c>
      <c r="AR499" s="150" t="str">
        <f t="shared" si="261"/>
        <v>0.871292314399853-0.142062707363107i</v>
      </c>
    </row>
    <row r="500" spans="7:44" x14ac:dyDescent="0.25">
      <c r="G500" s="594">
        <v>64197.75</v>
      </c>
      <c r="H500" s="582">
        <f t="shared" si="253"/>
        <v>64.197749999999999</v>
      </c>
      <c r="I500" s="583">
        <f t="shared" si="233"/>
        <v>62.641814267749531</v>
      </c>
      <c r="J500" s="584">
        <f t="shared" si="234"/>
        <v>1.5548318709396265</v>
      </c>
      <c r="K500" s="584">
        <f t="shared" si="235"/>
        <v>1.0006015000427075</v>
      </c>
      <c r="L500" s="585">
        <f t="shared" si="236"/>
        <v>3.4675602243183563E-2</v>
      </c>
      <c r="M500" s="584">
        <f t="shared" si="237"/>
        <v>1.1394569119800162</v>
      </c>
      <c r="N500" s="585">
        <f t="shared" si="238"/>
        <v>-0.49994053323039561</v>
      </c>
      <c r="O500" s="583">
        <f t="shared" si="239"/>
        <v>116169.51142310967</v>
      </c>
      <c r="P500" s="586">
        <f t="shared" si="240"/>
        <v>1.5707877186843195</v>
      </c>
      <c r="Q500" s="595">
        <f t="shared" si="262"/>
        <v>48.414291721879515</v>
      </c>
      <c r="R500" s="596">
        <f t="shared" si="263"/>
        <v>1.5501397999032946</v>
      </c>
      <c r="S500" s="583">
        <f t="shared" si="241"/>
        <v>1.0507762980647795</v>
      </c>
      <c r="T500" s="586">
        <f t="shared" si="242"/>
        <v>0.31214396258091642</v>
      </c>
      <c r="U500" s="587">
        <f t="shared" si="254"/>
        <v>0.8338087726727772</v>
      </c>
      <c r="V500" s="588">
        <f t="shared" si="255"/>
        <v>-0.73816270486670621</v>
      </c>
      <c r="W500" s="589">
        <f t="shared" si="243"/>
        <v>-7.5451961000007728</v>
      </c>
      <c r="X500" s="590">
        <f t="shared" si="244"/>
        <v>-177.10419900173483</v>
      </c>
      <c r="Y500" s="593">
        <f t="shared" si="245"/>
        <v>2.8958009982651731</v>
      </c>
      <c r="AA500" s="150">
        <f t="shared" si="246"/>
        <v>64197.75</v>
      </c>
      <c r="AB500" s="150">
        <f t="shared" si="247"/>
        <v>4121351105.0625</v>
      </c>
      <c r="AD500" s="592">
        <f t="shared" si="248"/>
        <v>27.175872705571258</v>
      </c>
      <c r="AE500" s="593">
        <f t="shared" si="249"/>
        <v>-19.067570280045512</v>
      </c>
      <c r="AG500" s="592">
        <f t="shared" si="250"/>
        <v>-6.175784254292175</v>
      </c>
      <c r="AH500" s="593">
        <f t="shared" si="251"/>
        <v>-73.449413459387799</v>
      </c>
      <c r="AJ500" s="150">
        <f t="shared" si="252"/>
        <v>0</v>
      </c>
      <c r="AK500" s="150">
        <f t="shared" si="264"/>
        <v>0</v>
      </c>
      <c r="AM500" s="150" t="str">
        <f t="shared" si="256"/>
        <v>0.593773183499172+0.913772276639865i</v>
      </c>
      <c r="AN500" s="150" t="str">
        <f t="shared" si="257"/>
        <v>1.1524753116945i</v>
      </c>
      <c r="AO500" s="150" t="str">
        <f t="shared" si="258"/>
        <v>0.792877962215376-0.515215534314691i</v>
      </c>
      <c r="AP500" s="150" t="str">
        <f t="shared" si="259"/>
        <v>0.0677044694168047-0.152295379439978i</v>
      </c>
      <c r="AQ500" s="150" t="str">
        <f t="shared" si="260"/>
        <v>0.932295530583195+0.152295379439978i</v>
      </c>
      <c r="AR500" s="150" t="str">
        <f t="shared" si="261"/>
        <v>0.870270389421778-0.142163246336125i</v>
      </c>
    </row>
    <row r="501" spans="7:44" x14ac:dyDescent="0.25">
      <c r="G501" s="594">
        <v>64565</v>
      </c>
      <c r="H501" s="582">
        <f t="shared" si="253"/>
        <v>64.564999999999998</v>
      </c>
      <c r="I501" s="583">
        <f t="shared" si="233"/>
        <v>63.00007231046812</v>
      </c>
      <c r="J501" s="584">
        <f t="shared" si="234"/>
        <v>1.5549226625260284</v>
      </c>
      <c r="K501" s="584">
        <f t="shared" si="235"/>
        <v>1.0006083995176782</v>
      </c>
      <c r="L501" s="585">
        <f t="shared" si="236"/>
        <v>3.4873807346604321E-2</v>
      </c>
      <c r="M501" s="584">
        <f t="shared" si="237"/>
        <v>1.1409581243217637</v>
      </c>
      <c r="N501" s="585">
        <f t="shared" si="238"/>
        <v>-0.5023440469052517</v>
      </c>
      <c r="O501" s="583">
        <f t="shared" si="239"/>
        <v>116834.07136589558</v>
      </c>
      <c r="P501" s="586">
        <f t="shared" si="240"/>
        <v>1.5707877676478232</v>
      </c>
      <c r="Q501" s="595">
        <f t="shared" si="262"/>
        <v>48.691132960541267</v>
      </c>
      <c r="R501" s="596">
        <f t="shared" si="263"/>
        <v>1.55025726246194</v>
      </c>
      <c r="S501" s="583">
        <f t="shared" si="241"/>
        <v>1.0513446718682826</v>
      </c>
      <c r="T501" s="586">
        <f t="shared" si="242"/>
        <v>0.31381496267878972</v>
      </c>
      <c r="U501" s="587">
        <f t="shared" si="254"/>
        <v>0.83232996994339559</v>
      </c>
      <c r="V501" s="588">
        <f t="shared" si="255"/>
        <v>-0.74175007435237106</v>
      </c>
      <c r="W501" s="589">
        <f t="shared" si="243"/>
        <v>-7.6033712253159464</v>
      </c>
      <c r="X501" s="590">
        <f t="shared" si="244"/>
        <v>-177.53031093140274</v>
      </c>
      <c r="Y501" s="593">
        <f t="shared" si="245"/>
        <v>2.4696890685972619</v>
      </c>
      <c r="AA501" s="150">
        <f t="shared" si="246"/>
        <v>64565</v>
      </c>
      <c r="AB501" s="150">
        <f t="shared" si="247"/>
        <v>4168639225</v>
      </c>
      <c r="AD501" s="592">
        <f t="shared" si="248"/>
        <v>27.171154686258081</v>
      </c>
      <c r="AE501" s="593">
        <f t="shared" si="249"/>
        <v>-19.156584229862251</v>
      </c>
      <c r="AG501" s="592">
        <f t="shared" si="250"/>
        <v>-6.1984042628827201</v>
      </c>
      <c r="AH501" s="593">
        <f t="shared" si="251"/>
        <v>-73.375429176604044</v>
      </c>
      <c r="AJ501" s="150">
        <f t="shared" si="252"/>
        <v>0</v>
      </c>
      <c r="AK501" s="150">
        <f t="shared" si="264"/>
        <v>0</v>
      </c>
      <c r="AM501" s="150" t="str">
        <f t="shared" si="256"/>
        <v>0.59980633786576+0.916430593546279i</v>
      </c>
      <c r="AN501" s="150" t="str">
        <f t="shared" si="257"/>
        <v>1.15906816827i</v>
      </c>
      <c r="AO501" s="150" t="str">
        <f t="shared" si="258"/>
        <v>0.790661514683924-0.517490130680595i</v>
      </c>
      <c r="AP501" s="150" t="str">
        <f t="shared" si="259"/>
        <v>0.06669894368904-0.152738432257713i</v>
      </c>
      <c r="AQ501" s="150" t="str">
        <f t="shared" si="260"/>
        <v>0.93330105631096+0.152738432257713i</v>
      </c>
      <c r="AR501" s="150" t="str">
        <f t="shared" si="261"/>
        <v>0.869250067283593-0.142256232990453i</v>
      </c>
    </row>
    <row r="502" spans="7:44" x14ac:dyDescent="0.25">
      <c r="G502" s="594">
        <v>64941</v>
      </c>
      <c r="H502" s="582">
        <f t="shared" si="253"/>
        <v>64.941000000000003</v>
      </c>
      <c r="I502" s="583">
        <f t="shared" si="233"/>
        <v>63.366866645091839</v>
      </c>
      <c r="J502" s="584">
        <f t="shared" si="234"/>
        <v>1.5550145536872821</v>
      </c>
      <c r="K502" s="584">
        <f t="shared" si="235"/>
        <v>1.0006155041022955</v>
      </c>
      <c r="L502" s="585">
        <f t="shared" si="236"/>
        <v>3.5076731991662162E-2</v>
      </c>
      <c r="M502" s="584">
        <f t="shared" si="237"/>
        <v>1.142501914569551</v>
      </c>
      <c r="N502" s="585">
        <f t="shared" si="238"/>
        <v>-0.50479826767047975</v>
      </c>
      <c r="O502" s="583">
        <f t="shared" si="239"/>
        <v>117514.4649356372</v>
      </c>
      <c r="P502" s="586">
        <f t="shared" si="240"/>
        <v>1.5707878172041789</v>
      </c>
      <c r="Q502" s="595">
        <f t="shared" si="262"/>
        <v>48.974570832355298</v>
      </c>
      <c r="R502" s="596">
        <f t="shared" si="263"/>
        <v>1.5503761478393903</v>
      </c>
      <c r="S502" s="583">
        <f t="shared" si="241"/>
        <v>1.051929625618524</v>
      </c>
      <c r="T502" s="586">
        <f t="shared" si="242"/>
        <v>0.3155238998912302</v>
      </c>
      <c r="U502" s="587">
        <f t="shared" si="254"/>
        <v>0.83081470446023209</v>
      </c>
      <c r="V502" s="588">
        <f t="shared" si="255"/>
        <v>-0.74541455607195839</v>
      </c>
      <c r="W502" s="589">
        <f t="shared" si="243"/>
        <v>-7.6626683033395837</v>
      </c>
      <c r="X502" s="590">
        <f t="shared" si="244"/>
        <v>-177.9656311090917</v>
      </c>
      <c r="Y502" s="593">
        <f t="shared" si="245"/>
        <v>2.0343688909082971</v>
      </c>
      <c r="AA502" s="150">
        <f t="shared" si="246"/>
        <v>64941</v>
      </c>
      <c r="AB502" s="150">
        <f t="shared" si="247"/>
        <v>4217333481</v>
      </c>
      <c r="AD502" s="592">
        <f t="shared" si="248"/>
        <v>27.166302169639998</v>
      </c>
      <c r="AE502" s="593">
        <f t="shared" si="249"/>
        <v>-19.247690328688346</v>
      </c>
      <c r="AG502" s="592">
        <f t="shared" si="250"/>
        <v>-6.2211944947441395</v>
      </c>
      <c r="AH502" s="593">
        <f t="shared" si="251"/>
        <v>-73.29972458171666</v>
      </c>
      <c r="AJ502" s="150">
        <f t="shared" si="252"/>
        <v>0</v>
      </c>
      <c r="AK502" s="150">
        <f t="shared" si="264"/>
        <v>0</v>
      </c>
      <c r="AM502" s="150" t="str">
        <f t="shared" si="256"/>
        <v>0.606001255643398+0.919110977763524i</v>
      </c>
      <c r="AN502" s="150" t="str">
        <f t="shared" si="257"/>
        <v>1.165818104478i</v>
      </c>
      <c r="AO502" s="150" t="str">
        <f t="shared" si="258"/>
        <v>0.788382831106453-0.519807724134407i</v>
      </c>
      <c r="AP502" s="150" t="str">
        <f t="shared" si="259"/>
        <v>0.065666457392767-0.153185162960587i</v>
      </c>
      <c r="AQ502" s="150" t="str">
        <f t="shared" si="260"/>
        <v>0.934333542607233+0.153185162960587i</v>
      </c>
      <c r="AR502" s="150" t="str">
        <f t="shared" si="261"/>
        <v>0.86820715151843-0.142343657723959i</v>
      </c>
    </row>
    <row r="503" spans="7:44" x14ac:dyDescent="0.25">
      <c r="G503" s="594">
        <v>65317</v>
      </c>
      <c r="H503" s="582">
        <f t="shared" si="253"/>
        <v>65.316999999999993</v>
      </c>
      <c r="I503" s="583">
        <f t="shared" si="233"/>
        <v>63.733661508625687</v>
      </c>
      <c r="J503" s="584">
        <f t="shared" si="234"/>
        <v>1.5551053871599945</v>
      </c>
      <c r="K503" s="584">
        <f t="shared" si="235"/>
        <v>1.0006226498900834</v>
      </c>
      <c r="L503" s="585">
        <f t="shared" si="236"/>
        <v>3.5279653746767635E-2</v>
      </c>
      <c r="M503" s="584">
        <f t="shared" si="237"/>
        <v>1.1440525677383246</v>
      </c>
      <c r="N503" s="585">
        <f t="shared" si="238"/>
        <v>-0.5072458502245889</v>
      </c>
      <c r="O503" s="583">
        <f t="shared" si="239"/>
        <v>118194.8585053791</v>
      </c>
      <c r="P503" s="586">
        <f t="shared" si="240"/>
        <v>1.5707878661899883</v>
      </c>
      <c r="Q503" s="595">
        <f t="shared" si="262"/>
        <v>49.258009388396871</v>
      </c>
      <c r="R503" s="596">
        <f t="shared" si="263"/>
        <v>1.55049366504709</v>
      </c>
      <c r="S503" s="583">
        <f t="shared" si="241"/>
        <v>1.0525176480738911</v>
      </c>
      <c r="T503" s="586">
        <f t="shared" si="242"/>
        <v>0.31723093258013241</v>
      </c>
      <c r="U503" s="587">
        <f t="shared" si="254"/>
        <v>0.82929826156807585</v>
      </c>
      <c r="V503" s="588">
        <f t="shared" si="255"/>
        <v>-0.74907059409776544</v>
      </c>
      <c r="W503" s="589">
        <f t="shared" si="243"/>
        <v>-7.7217013161566612</v>
      </c>
      <c r="X503" s="590">
        <f t="shared" si="244"/>
        <v>-178.39999595827618</v>
      </c>
      <c r="Y503" s="593">
        <f t="shared" si="245"/>
        <v>1.600004041723821</v>
      </c>
      <c r="AA503" s="150">
        <f t="shared" si="246"/>
        <v>65317</v>
      </c>
      <c r="AB503" s="150">
        <f t="shared" si="247"/>
        <v>4266310489</v>
      </c>
      <c r="AD503" s="592">
        <f t="shared" si="248"/>
        <v>27.161427378508343</v>
      </c>
      <c r="AE503" s="593">
        <f t="shared" si="249"/>
        <v>-19.338765664016154</v>
      </c>
      <c r="AG503" s="592">
        <f t="shared" si="250"/>
        <v>-6.2436159381819678</v>
      </c>
      <c r="AH503" s="593">
        <f t="shared" si="251"/>
        <v>-73.224062997858439</v>
      </c>
      <c r="AJ503" s="150">
        <f t="shared" si="252"/>
        <v>0</v>
      </c>
      <c r="AK503" s="150">
        <f t="shared" si="264"/>
        <v>0</v>
      </c>
      <c r="AM503" s="150" t="str">
        <f t="shared" si="256"/>
        <v>0.612214124581362+0.921749485937367i</v>
      </c>
      <c r="AN503" s="150" t="str">
        <f t="shared" si="257"/>
        <v>1.172568040686i</v>
      </c>
      <c r="AO503" s="150" t="str">
        <f t="shared" si="258"/>
        <v>0.786094669097502-0.522113944213584i</v>
      </c>
      <c r="AP503" s="150" t="str">
        <f t="shared" si="259"/>
        <v>0.0646309792364397-0.153624914322895i</v>
      </c>
      <c r="AQ503" s="150" t="str">
        <f t="shared" si="260"/>
        <v>0.93536902076356+0.153624914322895i</v>
      </c>
      <c r="AR503" s="150" t="str">
        <f t="shared" si="261"/>
        <v>0.867166028193932-0.142423261651609i</v>
      </c>
    </row>
    <row r="504" spans="7:44" x14ac:dyDescent="0.25">
      <c r="G504" s="594">
        <v>65693</v>
      </c>
      <c r="H504" s="582">
        <f t="shared" si="253"/>
        <v>65.692999999999998</v>
      </c>
      <c r="I504" s="583">
        <f t="shared" si="233"/>
        <v>64.100456891990106</v>
      </c>
      <c r="J504" s="584">
        <f t="shared" si="234"/>
        <v>1.5551951810995568</v>
      </c>
      <c r="K504" s="584">
        <f t="shared" si="235"/>
        <v>1.0006298368801601</v>
      </c>
      <c r="L504" s="585">
        <f t="shared" si="236"/>
        <v>3.5482572595271308E-2</v>
      </c>
      <c r="M504" s="584">
        <f t="shared" si="237"/>
        <v>1.1456100559599371</v>
      </c>
      <c r="N504" s="585">
        <f t="shared" si="238"/>
        <v>-0.50968679225757774</v>
      </c>
      <c r="O504" s="583">
        <f t="shared" si="239"/>
        <v>118875.2520751213</v>
      </c>
      <c r="P504" s="586">
        <f t="shared" si="240"/>
        <v>1.5707879146150479</v>
      </c>
      <c r="Q504" s="595">
        <f t="shared" si="262"/>
        <v>49.541448616922075</v>
      </c>
      <c r="R504" s="596">
        <f t="shared" si="263"/>
        <v>1.5506098375647068</v>
      </c>
      <c r="S504" s="583">
        <f t="shared" si="241"/>
        <v>1.0531087340939813</v>
      </c>
      <c r="T504" s="586">
        <f t="shared" si="242"/>
        <v>0.31893605399567992</v>
      </c>
      <c r="U504" s="587">
        <f t="shared" si="254"/>
        <v>0.82778070732302933</v>
      </c>
      <c r="V504" s="588">
        <f t="shared" si="255"/>
        <v>-0.75271820317967131</v>
      </c>
      <c r="W504" s="589">
        <f t="shared" si="243"/>
        <v>-7.7804733884935606</v>
      </c>
      <c r="X504" s="590">
        <f t="shared" si="244"/>
        <v>-178.83340550142935</v>
      </c>
      <c r="Y504" s="593">
        <f t="shared" si="245"/>
        <v>1.166594498570646</v>
      </c>
      <c r="AA504" s="150">
        <f t="shared" si="246"/>
        <v>65693</v>
      </c>
      <c r="AB504" s="150">
        <f t="shared" si="247"/>
        <v>4315570249</v>
      </c>
      <c r="AD504" s="592">
        <f t="shared" si="248"/>
        <v>27.156530386387775</v>
      </c>
      <c r="AE504" s="593">
        <f t="shared" si="249"/>
        <v>-19.429808504385107</v>
      </c>
      <c r="AG504" s="592">
        <f t="shared" si="250"/>
        <v>-6.2656728307929352</v>
      </c>
      <c r="AH504" s="593">
        <f t="shared" si="251"/>
        <v>-73.148444488751437</v>
      </c>
      <c r="AJ504" s="150">
        <f t="shared" si="252"/>
        <v>0</v>
      </c>
      <c r="AK504" s="150">
        <f t="shared" si="264"/>
        <v>0</v>
      </c>
      <c r="AM504" s="150" t="str">
        <f t="shared" si="256"/>
        <v>0.618444661612236+0.924345997853509i</v>
      </c>
      <c r="AN504" s="150" t="str">
        <f t="shared" si="257"/>
        <v>1.179317976894i</v>
      </c>
      <c r="AO504" s="150" t="str">
        <f t="shared" si="258"/>
        <v>0.783797089473683-0.524408746181458i</v>
      </c>
      <c r="AP504" s="150" t="str">
        <f t="shared" si="259"/>
        <v>0.0635925563979607-0.154057666308918i</v>
      </c>
      <c r="AQ504" s="150" t="str">
        <f t="shared" si="260"/>
        <v>0.936407443602039+0.154057666308918i</v>
      </c>
      <c r="AR504" s="150" t="str">
        <f t="shared" si="261"/>
        <v>0.866126752804736-0.142495093537003i</v>
      </c>
    </row>
    <row r="505" spans="7:44" x14ac:dyDescent="0.25">
      <c r="G505" s="594">
        <v>66069</v>
      </c>
      <c r="H505" s="582">
        <f t="shared" si="253"/>
        <v>66.069000000000003</v>
      </c>
      <c r="I505" s="583">
        <f t="shared" si="233"/>
        <v>64.467252786312145</v>
      </c>
      <c r="J505" s="584">
        <f t="shared" si="234"/>
        <v>1.5552839532482383</v>
      </c>
      <c r="K505" s="584">
        <f t="shared" si="235"/>
        <v>1.0006370650716367</v>
      </c>
      <c r="L505" s="585">
        <f t="shared" si="236"/>
        <v>3.5685488520525201E-2</v>
      </c>
      <c r="M505" s="584">
        <f t="shared" si="237"/>
        <v>1.1471743513950787</v>
      </c>
      <c r="N505" s="585">
        <f t="shared" si="238"/>
        <v>-0.51212109178848431</v>
      </c>
      <c r="O505" s="583">
        <f t="shared" si="239"/>
        <v>119555.64564486375</v>
      </c>
      <c r="P505" s="586">
        <f t="shared" si="240"/>
        <v>1.5707879624889316</v>
      </c>
      <c r="Q505" s="595">
        <f t="shared" si="262"/>
        <v>49.824888506454243</v>
      </c>
      <c r="R505" s="596">
        <f t="shared" si="263"/>
        <v>1.5507246883377781</v>
      </c>
      <c r="S505" s="583">
        <f t="shared" si="241"/>
        <v>1.0537028785231757</v>
      </c>
      <c r="T505" s="586">
        <f t="shared" si="242"/>
        <v>0.3206392574476174</v>
      </c>
      <c r="U505" s="587">
        <f t="shared" si="254"/>
        <v>0.82626210705721337</v>
      </c>
      <c r="V505" s="588">
        <f t="shared" si="255"/>
        <v>-0.75635739851365669</v>
      </c>
      <c r="W505" s="589">
        <f t="shared" si="243"/>
        <v>-7.8389875898226258</v>
      </c>
      <c r="X505" s="590">
        <f t="shared" si="244"/>
        <v>-179.26585981576972</v>
      </c>
      <c r="Y505" s="593">
        <f t="shared" si="245"/>
        <v>0.73414018423028438</v>
      </c>
      <c r="AA505" s="150">
        <f t="shared" si="246"/>
        <v>66069</v>
      </c>
      <c r="AB505" s="150">
        <f t="shared" si="247"/>
        <v>4365112761</v>
      </c>
      <c r="AD505" s="592">
        <f t="shared" si="248"/>
        <v>27.151611267199737</v>
      </c>
      <c r="AE505" s="593">
        <f t="shared" si="249"/>
        <v>-19.520817152337923</v>
      </c>
      <c r="AG505" s="592">
        <f t="shared" si="250"/>
        <v>-6.2873693480244075</v>
      </c>
      <c r="AH505" s="593">
        <f t="shared" si="251"/>
        <v>-73.072869087740358</v>
      </c>
      <c r="AJ505" s="150">
        <f t="shared" si="252"/>
        <v>0</v>
      </c>
      <c r="AK505" s="150">
        <f t="shared" si="264"/>
        <v>0</v>
      </c>
      <c r="AM505" s="150" t="str">
        <f t="shared" si="256"/>
        <v>0.624692582863619+0.92690039521106i</v>
      </c>
      <c r="AN505" s="150" t="str">
        <f t="shared" si="257"/>
        <v>1.186067913102i</v>
      </c>
      <c r="AO505" s="150" t="str">
        <f t="shared" si="258"/>
        <v>0.781490153280412-0.526692085641049i</v>
      </c>
      <c r="AP505" s="150" t="str">
        <f t="shared" si="259"/>
        <v>0.0625512361893968-0.154483399201843i</v>
      </c>
      <c r="AQ505" s="150" t="str">
        <f t="shared" si="260"/>
        <v>0.937448763810603+0.154483399201843i</v>
      </c>
      <c r="AR505" s="150" t="str">
        <f t="shared" si="261"/>
        <v>0.865089379961575-0.142559202368183i</v>
      </c>
    </row>
    <row r="506" spans="7:44" x14ac:dyDescent="0.25">
      <c r="G506" s="594">
        <v>66453.75</v>
      </c>
      <c r="H506" s="582">
        <f t="shared" si="253"/>
        <v>66.453749999999999</v>
      </c>
      <c r="I506" s="583">
        <f t="shared" si="233"/>
        <v>64.842585009231399</v>
      </c>
      <c r="J506" s="584">
        <f t="shared" si="234"/>
        <v>1.5553737515907251</v>
      </c>
      <c r="K506" s="584">
        <f t="shared" si="235"/>
        <v>1.0006445041221959</v>
      </c>
      <c r="L506" s="585">
        <f t="shared" si="236"/>
        <v>3.5893123514952607E-2</v>
      </c>
      <c r="M506" s="584">
        <f t="shared" si="237"/>
        <v>1.1487820676471656</v>
      </c>
      <c r="N506" s="585">
        <f t="shared" si="238"/>
        <v>-0.51460516268226175</v>
      </c>
      <c r="O506" s="583">
        <f t="shared" si="239"/>
        <v>120251.87284156194</v>
      </c>
      <c r="P506" s="586">
        <f t="shared" si="240"/>
        <v>1.5707880109160968</v>
      </c>
      <c r="Q506" s="595">
        <f t="shared" si="262"/>
        <v>50.11492507661346</v>
      </c>
      <c r="R506" s="596">
        <f t="shared" si="263"/>
        <v>1.5508408669869163</v>
      </c>
      <c r="S506" s="583">
        <f t="shared" si="241"/>
        <v>1.0543140100544488</v>
      </c>
      <c r="T506" s="586">
        <f t="shared" si="242"/>
        <v>0.3223801042682039</v>
      </c>
      <c r="U506" s="587">
        <f t="shared" si="254"/>
        <v>0.82470715160331765</v>
      </c>
      <c r="V506" s="588">
        <f t="shared" si="255"/>
        <v>-0.76007258915781384</v>
      </c>
      <c r="W506" s="589">
        <f t="shared" si="243"/>
        <v>-7.8985996944940151</v>
      </c>
      <c r="X506" s="590">
        <f t="shared" si="244"/>
        <v>-179.70738919967289</v>
      </c>
      <c r="Y506" s="593">
        <f t="shared" si="245"/>
        <v>0.29261080032711106</v>
      </c>
      <c r="AA506" s="150">
        <f t="shared" si="246"/>
        <v>66453.75</v>
      </c>
      <c r="AB506" s="150">
        <f t="shared" si="247"/>
        <v>4416100889.0625</v>
      </c>
      <c r="AD506" s="592">
        <f t="shared" si="248"/>
        <v>27.146554845901086</v>
      </c>
      <c r="AE506" s="593">
        <f t="shared" si="249"/>
        <v>-19.613906556449702</v>
      </c>
      <c r="AG506" s="592">
        <f t="shared" si="250"/>
        <v>-6.3092020103295168</v>
      </c>
      <c r="AH506" s="593">
        <f t="shared" si="251"/>
        <v>-72.995579579051935</v>
      </c>
      <c r="AJ506" s="150">
        <f t="shared" si="252"/>
        <v>0</v>
      </c>
      <c r="AK506" s="150">
        <f t="shared" si="264"/>
        <v>0</v>
      </c>
      <c r="AM506" s="150" t="str">
        <f t="shared" si="256"/>
        <v>0.631103600006961+0.929470519205518i</v>
      </c>
      <c r="AN506" s="150" t="str">
        <f t="shared" si="257"/>
        <v>1.1929749289425i</v>
      </c>
      <c r="AO506" s="150" t="str">
        <f t="shared" si="258"/>
        <v>0.779119909946001-0.529016649634369i</v>
      </c>
      <c r="AP506" s="150" t="str">
        <f t="shared" si="259"/>
        <v>0.0614827333321732-0.15491175320092i</v>
      </c>
      <c r="AQ506" s="150" t="str">
        <f t="shared" si="260"/>
        <v>0.938517266667827+0.15491175320092i</v>
      </c>
      <c r="AR506" s="150" t="str">
        <f t="shared" si="261"/>
        <v>0.86402989164931-0.142616859686151i</v>
      </c>
    </row>
    <row r="507" spans="7:44" x14ac:dyDescent="0.25">
      <c r="G507" s="594">
        <v>66838.5</v>
      </c>
      <c r="H507" s="582">
        <f t="shared" si="253"/>
        <v>66.838499999999996</v>
      </c>
      <c r="I507" s="583">
        <f t="shared" si="233"/>
        <v>65.217917749006233</v>
      </c>
      <c r="J507" s="584">
        <f t="shared" si="234"/>
        <v>1.5554625163450213</v>
      </c>
      <c r="K507" s="584">
        <f t="shared" si="235"/>
        <v>1.0006519863121892</v>
      </c>
      <c r="L507" s="585">
        <f t="shared" si="236"/>
        <v>3.6100755413226923E-2</v>
      </c>
      <c r="M507" s="584">
        <f t="shared" si="237"/>
        <v>1.1503968527445065</v>
      </c>
      <c r="N507" s="585">
        <f t="shared" si="238"/>
        <v>-0.51708227516148519</v>
      </c>
      <c r="O507" s="583">
        <f t="shared" si="239"/>
        <v>120948.10003826041</v>
      </c>
      <c r="P507" s="586">
        <f t="shared" si="240"/>
        <v>1.5707880587857284</v>
      </c>
      <c r="Q507" s="595">
        <f t="shared" si="262"/>
        <v>50.404962315413329</v>
      </c>
      <c r="R507" s="596">
        <f t="shared" si="263"/>
        <v>1.5509557086210317</v>
      </c>
      <c r="S507" s="583">
        <f t="shared" si="241"/>
        <v>1.0549283330269563</v>
      </c>
      <c r="T507" s="586">
        <f t="shared" si="242"/>
        <v>0.32411892883698318</v>
      </c>
      <c r="U507" s="587">
        <f t="shared" si="254"/>
        <v>0.82315123696802683</v>
      </c>
      <c r="V507" s="588">
        <f t="shared" si="255"/>
        <v>-0.76377900349319061</v>
      </c>
      <c r="W507" s="589">
        <f t="shared" si="243"/>
        <v>-7.9579481177092877</v>
      </c>
      <c r="X507" s="590">
        <f t="shared" si="244"/>
        <v>-180.14791871437149</v>
      </c>
      <c r="Y507" s="593">
        <f t="shared" si="245"/>
        <v>-0.14791871437148529</v>
      </c>
      <c r="AA507" s="150">
        <f t="shared" si="246"/>
        <v>66838.5</v>
      </c>
      <c r="AB507" s="150">
        <f t="shared" si="247"/>
        <v>4467385082.25</v>
      </c>
      <c r="AD507" s="592">
        <f t="shared" si="248"/>
        <v>27.141475413528507</v>
      </c>
      <c r="AE507" s="593">
        <f t="shared" si="249"/>
        <v>-19.706956667441393</v>
      </c>
      <c r="AG507" s="592">
        <f t="shared" si="250"/>
        <v>-6.3306659812305108</v>
      </c>
      <c r="AH507" s="593">
        <f t="shared" si="251"/>
        <v>-72.918335185185768</v>
      </c>
      <c r="AJ507" s="150">
        <f t="shared" si="252"/>
        <v>0</v>
      </c>
      <c r="AK507" s="150">
        <f t="shared" si="264"/>
        <v>0</v>
      </c>
      <c r="AM507" s="150" t="str">
        <f t="shared" si="256"/>
        <v>0.637532215972132+0.931996301249059i</v>
      </c>
      <c r="AN507" s="150" t="str">
        <f t="shared" si="257"/>
        <v>1.199881944783i</v>
      </c>
      <c r="AO507" s="150" t="str">
        <f t="shared" si="258"/>
        <v>0.776739999548549-0.531329118455425i</v>
      </c>
      <c r="AP507" s="150" t="str">
        <f t="shared" si="259"/>
        <v>0.060411297337978-0.155332716874843i</v>
      </c>
      <c r="AQ507" s="150" t="str">
        <f t="shared" si="260"/>
        <v>0.939588702662022+0.155332716874843i</v>
      </c>
      <c r="AR507" s="150" t="str">
        <f t="shared" si="261"/>
        <v>0.862972508344544-0.142666534761087i</v>
      </c>
    </row>
    <row r="508" spans="7:44" x14ac:dyDescent="0.25">
      <c r="G508" s="594">
        <v>67223.25</v>
      </c>
      <c r="H508" s="582">
        <f t="shared" si="253"/>
        <v>67.223249999999993</v>
      </c>
      <c r="I508" s="583">
        <f t="shared" si="233"/>
        <v>65.59325099676407</v>
      </c>
      <c r="J508" s="584">
        <f t="shared" si="234"/>
        <v>1.5555502652527009</v>
      </c>
      <c r="K508" s="584">
        <f t="shared" si="235"/>
        <v>1.0006595116406496</v>
      </c>
      <c r="L508" s="585">
        <f t="shared" si="236"/>
        <v>3.6308384197515357E-2</v>
      </c>
      <c r="M508" s="584">
        <f t="shared" si="237"/>
        <v>1.1520186769618919</v>
      </c>
      <c r="N508" s="585">
        <f t="shared" si="238"/>
        <v>-0.51955242815141045</v>
      </c>
      <c r="O508" s="583">
        <f t="shared" si="239"/>
        <v>121644.32723495916</v>
      </c>
      <c r="P508" s="586">
        <f t="shared" si="240"/>
        <v>1.5707881061073994</v>
      </c>
      <c r="Q508" s="595">
        <f t="shared" si="262"/>
        <v>50.695000211377526</v>
      </c>
      <c r="R508" s="596">
        <f t="shared" si="263"/>
        <v>1.5510692361851917</v>
      </c>
      <c r="S508" s="583">
        <f t="shared" si="241"/>
        <v>1.0555458418684842</v>
      </c>
      <c r="T508" s="586">
        <f t="shared" si="242"/>
        <v>0.32585572417927811</v>
      </c>
      <c r="U508" s="587">
        <f t="shared" si="254"/>
        <v>0.82159443080294103</v>
      </c>
      <c r="V508" s="588">
        <f t="shared" si="255"/>
        <v>-0.76747665920541908</v>
      </c>
      <c r="W508" s="589">
        <f t="shared" si="243"/>
        <v>-8.0170359769719788</v>
      </c>
      <c r="X508" s="590">
        <f t="shared" si="244"/>
        <v>-180.58744861541172</v>
      </c>
      <c r="Y508" s="593">
        <f t="shared" si="245"/>
        <v>-0.58744861541171645</v>
      </c>
      <c r="AA508" s="150">
        <f t="shared" si="246"/>
        <v>67223.25</v>
      </c>
      <c r="AB508" s="150">
        <f t="shared" si="247"/>
        <v>4518965340.5625</v>
      </c>
      <c r="AD508" s="592">
        <f t="shared" si="248"/>
        <v>27.136373050498964</v>
      </c>
      <c r="AE508" s="593">
        <f t="shared" si="249"/>
        <v>-19.799965771586411</v>
      </c>
      <c r="AG508" s="592">
        <f t="shared" si="250"/>
        <v>-6.351765540528671</v>
      </c>
      <c r="AH508" s="593">
        <f t="shared" si="251"/>
        <v>-72.841135848790529</v>
      </c>
      <c r="AJ508" s="150">
        <f t="shared" si="252"/>
        <v>0</v>
      </c>
      <c r="AK508" s="150">
        <f t="shared" si="264"/>
        <v>0</v>
      </c>
      <c r="AM508" s="150" t="str">
        <f t="shared" si="256"/>
        <v>0.643978124071218+0.93447762084501i</v>
      </c>
      <c r="AN508" s="150" t="str">
        <f t="shared" si="257"/>
        <v>1.2067889606235i</v>
      </c>
      <c r="AO508" s="150" t="str">
        <f t="shared" si="258"/>
        <v>0.774350488226378-0.533629445647647i</v>
      </c>
      <c r="AP508" s="150" t="str">
        <f t="shared" si="259"/>
        <v>0.0593369793214637-0.155746270140835i</v>
      </c>
      <c r="AQ508" s="150" t="str">
        <f t="shared" si="260"/>
        <v>0.940663020678536+0.155746270140835i</v>
      </c>
      <c r="AR508" s="150" t="str">
        <f t="shared" si="261"/>
        <v>0.861917285718707-0.142708280722855i</v>
      </c>
    </row>
    <row r="509" spans="7:44" x14ac:dyDescent="0.25">
      <c r="G509" s="594">
        <v>67608</v>
      </c>
      <c r="H509" s="582">
        <f t="shared" si="253"/>
        <v>67.608000000000004</v>
      </c>
      <c r="I509" s="583">
        <f t="shared" si="233"/>
        <v>65.968584743834327</v>
      </c>
      <c r="J509" s="584">
        <f t="shared" si="234"/>
        <v>1.5556370156516319</v>
      </c>
      <c r="K509" s="584">
        <f t="shared" si="235"/>
        <v>1.0006670801066033</v>
      </c>
      <c r="L509" s="585">
        <f t="shared" si="236"/>
        <v>3.6516009849986736E-2</v>
      </c>
      <c r="M509" s="584">
        <f t="shared" si="237"/>
        <v>1.1536475106120505</v>
      </c>
      <c r="N509" s="585">
        <f t="shared" si="238"/>
        <v>-0.52201562092303744</v>
      </c>
      <c r="O509" s="583">
        <f t="shared" si="239"/>
        <v>122340.55443165815</v>
      </c>
      <c r="P509" s="586">
        <f t="shared" si="240"/>
        <v>1.5707881528904653</v>
      </c>
      <c r="Q509" s="595">
        <f t="shared" si="262"/>
        <v>50.985038753290837</v>
      </c>
      <c r="R509" s="596">
        <f t="shared" si="263"/>
        <v>1.5511814721024901</v>
      </c>
      <c r="S509" s="583">
        <f t="shared" si="241"/>
        <v>1.0561665309909873</v>
      </c>
      <c r="T509" s="586">
        <f t="shared" si="242"/>
        <v>0.32759048338564917</v>
      </c>
      <c r="U509" s="587">
        <f t="shared" si="254"/>
        <v>0.82003679997029844</v>
      </c>
      <c r="V509" s="588">
        <f t="shared" si="255"/>
        <v>-0.77116557443781009</v>
      </c>
      <c r="W509" s="589">
        <f t="shared" si="243"/>
        <v>-8.0758663347373663</v>
      </c>
      <c r="X509" s="590">
        <f t="shared" si="244"/>
        <v>-181.02597921487401</v>
      </c>
      <c r="Y509" s="593">
        <f t="shared" si="245"/>
        <v>-1.0259792148740132</v>
      </c>
      <c r="AA509" s="150">
        <f t="shared" si="246"/>
        <v>67608</v>
      </c>
      <c r="AB509" s="150">
        <f t="shared" si="247"/>
        <v>4570841664</v>
      </c>
      <c r="AD509" s="592">
        <f t="shared" si="248"/>
        <v>27.131247837613945</v>
      </c>
      <c r="AE509" s="593">
        <f t="shared" si="249"/>
        <v>-19.892932188790407</v>
      </c>
      <c r="AG509" s="592">
        <f t="shared" si="250"/>
        <v>-6.3725049052370899</v>
      </c>
      <c r="AH509" s="593">
        <f t="shared" si="251"/>
        <v>-72.763981482970763</v>
      </c>
      <c r="AJ509" s="150">
        <f t="shared" si="252"/>
        <v>0</v>
      </c>
      <c r="AK509" s="150">
        <f t="shared" si="264"/>
        <v>0</v>
      </c>
      <c r="AM509" s="150" t="str">
        <f t="shared" si="256"/>
        <v>0.650441016791357+0.936914359617857i</v>
      </c>
      <c r="AN509" s="150" t="str">
        <f t="shared" si="257"/>
        <v>1.213695976464i</v>
      </c>
      <c r="AO509" s="150" t="str">
        <f t="shared" si="258"/>
        <v>0.771951442359953-0.535917585132285i</v>
      </c>
      <c r="AP509" s="150" t="str">
        <f t="shared" si="259"/>
        <v>0.0582598305347738-0.156152393269643i</v>
      </c>
      <c r="AQ509" s="150" t="str">
        <f t="shared" si="260"/>
        <v>0.941740169465226+0.156152393269643i</v>
      </c>
      <c r="AR509" s="150" t="str">
        <f t="shared" si="261"/>
        <v>0.860864278496965-0.142742150888584i</v>
      </c>
    </row>
    <row r="510" spans="7:44" x14ac:dyDescent="0.25">
      <c r="G510" s="594">
        <v>68001.75</v>
      </c>
      <c r="H510" s="582">
        <f t="shared" si="253"/>
        <v>68.001750000000001</v>
      </c>
      <c r="I510" s="583">
        <f t="shared" si="233"/>
        <v>66.352698735805575</v>
      </c>
      <c r="J510" s="584">
        <f t="shared" si="234"/>
        <v>1.5557247791615971</v>
      </c>
      <c r="K510" s="584">
        <f t="shared" si="235"/>
        <v>1.0006748702745667</v>
      </c>
      <c r="L510" s="585">
        <f t="shared" si="236"/>
        <v>3.6728488981700627E-2</v>
      </c>
      <c r="M510" s="584">
        <f t="shared" si="237"/>
        <v>1.1553216719943513</v>
      </c>
      <c r="N510" s="585">
        <f t="shared" si="238"/>
        <v>-0.52452922549650538</v>
      </c>
      <c r="O510" s="583">
        <f t="shared" si="239"/>
        <v>123053.0676446545</v>
      </c>
      <c r="P510" s="586">
        <f t="shared" si="240"/>
        <v>1.57078820021976</v>
      </c>
      <c r="Q510" s="595">
        <f t="shared" si="262"/>
        <v>51.281862479855036</v>
      </c>
      <c r="R510" s="596">
        <f t="shared" si="263"/>
        <v>1.5512950189649328</v>
      </c>
      <c r="S510" s="583">
        <f t="shared" si="241"/>
        <v>1.0568050260500124</v>
      </c>
      <c r="T510" s="586">
        <f t="shared" si="242"/>
        <v>0.32936370647728458</v>
      </c>
      <c r="U510" s="587">
        <f t="shared" si="254"/>
        <v>0.8184419484393346</v>
      </c>
      <c r="V510" s="588">
        <f t="shared" si="255"/>
        <v>-0.77493174993382308</v>
      </c>
      <c r="W510" s="589">
        <f t="shared" si="243"/>
        <v>-8.1358093732018446</v>
      </c>
      <c r="X510" s="590">
        <f t="shared" si="244"/>
        <v>-181.47373358593151</v>
      </c>
      <c r="Y510" s="593">
        <f t="shared" si="245"/>
        <v>-1.4737335859315124</v>
      </c>
      <c r="AA510" s="150">
        <f t="shared" si="246"/>
        <v>68001.75</v>
      </c>
      <c r="AB510" s="150">
        <f t="shared" si="247"/>
        <v>4624238003.0625</v>
      </c>
      <c r="AD510" s="592">
        <f t="shared" si="248"/>
        <v>27.125979163554032</v>
      </c>
      <c r="AE510" s="593">
        <f t="shared" si="249"/>
        <v>-19.988027343958834</v>
      </c>
      <c r="AG510" s="592">
        <f t="shared" si="250"/>
        <v>-6.3933608053486282</v>
      </c>
      <c r="AH510" s="593">
        <f t="shared" si="251"/>
        <v>-72.685068776712399</v>
      </c>
      <c r="AJ510" s="150">
        <f t="shared" si="252"/>
        <v>0</v>
      </c>
      <c r="AK510" s="150">
        <f t="shared" si="264"/>
        <v>0</v>
      </c>
      <c r="AM510" s="150" t="str">
        <f t="shared" si="256"/>
        <v>0.657072351788224+0.939361819583881i</v>
      </c>
      <c r="AN510" s="150" t="str">
        <f t="shared" si="257"/>
        <v>1.2207645599265i</v>
      </c>
      <c r="AO510" s="150" t="str">
        <f t="shared" si="258"/>
        <v>0.769486476278799-0.538246581984478i</v>
      </c>
      <c r="AP510" s="150" t="str">
        <f t="shared" si="259"/>
        <v>0.057154608035296-0.15656030326398i</v>
      </c>
      <c r="AQ510" s="150" t="str">
        <f t="shared" si="260"/>
        <v>0.942845391964704+0.15656030326398i</v>
      </c>
      <c r="AR510" s="150" t="str">
        <f t="shared" si="261"/>
        <v>0.859788989386541-0.142768714858848i</v>
      </c>
    </row>
    <row r="511" spans="7:44" x14ac:dyDescent="0.25">
      <c r="G511" s="594">
        <v>68395.5</v>
      </c>
      <c r="H511" s="582">
        <f t="shared" si="253"/>
        <v>68.395499999999998</v>
      </c>
      <c r="I511" s="583">
        <f t="shared" si="233"/>
        <v>66.736813232970903</v>
      </c>
      <c r="J511" s="584">
        <f t="shared" si="234"/>
        <v>1.5558115323981383</v>
      </c>
      <c r="K511" s="584">
        <f t="shared" si="235"/>
        <v>1.0006827056196756</v>
      </c>
      <c r="L511" s="585">
        <f t="shared" si="236"/>
        <v>3.6940964795584126E-2</v>
      </c>
      <c r="M511" s="584">
        <f t="shared" si="237"/>
        <v>1.1570031117877135</v>
      </c>
      <c r="N511" s="585">
        <f t="shared" si="238"/>
        <v>-0.52703553996672059</v>
      </c>
      <c r="O511" s="583">
        <f t="shared" si="239"/>
        <v>123765.5808576511</v>
      </c>
      <c r="P511" s="586">
        <f t="shared" si="240"/>
        <v>1.5707882470041092</v>
      </c>
      <c r="Q511" s="595">
        <f t="shared" si="262"/>
        <v>51.578686859980841</v>
      </c>
      <c r="R511" s="596">
        <f t="shared" si="263"/>
        <v>1.5514072589526897</v>
      </c>
      <c r="S511" s="583">
        <f t="shared" si="241"/>
        <v>1.0574468400234378</v>
      </c>
      <c r="T511" s="586">
        <f t="shared" si="242"/>
        <v>0.33113478262797685</v>
      </c>
      <c r="U511" s="587">
        <f t="shared" si="254"/>
        <v>0.81684637237527535</v>
      </c>
      <c r="V511" s="588">
        <f t="shared" si="255"/>
        <v>-0.77868881113913002</v>
      </c>
      <c r="W511" s="589">
        <f t="shared" si="243"/>
        <v>-8.1954890412352448</v>
      </c>
      <c r="X511" s="590">
        <f t="shared" si="244"/>
        <v>-181.92044219666863</v>
      </c>
      <c r="Y511" s="593">
        <f t="shared" si="245"/>
        <v>-1.9204421966686311</v>
      </c>
      <c r="AA511" s="150">
        <f t="shared" si="246"/>
        <v>68395.5</v>
      </c>
      <c r="AB511" s="150">
        <f t="shared" si="247"/>
        <v>4677944420.25</v>
      </c>
      <c r="AD511" s="592">
        <f t="shared" si="248"/>
        <v>27.120686730550403</v>
      </c>
      <c r="AE511" s="593">
        <f t="shared" si="249"/>
        <v>-20.08307433565308</v>
      </c>
      <c r="AG511" s="592">
        <f t="shared" si="250"/>
        <v>-6.4138482030881185</v>
      </c>
      <c r="AH511" s="593">
        <f t="shared" si="251"/>
        <v>-72.606202894390535</v>
      </c>
      <c r="AJ511" s="150">
        <f t="shared" si="252"/>
        <v>0</v>
      </c>
      <c r="AK511" s="150">
        <f t="shared" si="264"/>
        <v>0</v>
      </c>
      <c r="AM511" s="150" t="str">
        <f t="shared" si="256"/>
        <v>0.663720821049854+0.941762344652097i</v>
      </c>
      <c r="AN511" s="150" t="str">
        <f t="shared" si="257"/>
        <v>1.227833143389i</v>
      </c>
      <c r="AO511" s="150" t="str">
        <f t="shared" si="258"/>
        <v>0.767011665813723-0.540562717844452i</v>
      </c>
      <c r="AP511" s="150" t="str">
        <f t="shared" si="259"/>
        <v>0.0560465298250243-0.156960390775349i</v>
      </c>
      <c r="AQ511" s="150" t="str">
        <f t="shared" si="260"/>
        <v>0.943953470174976+0.156960390775349i</v>
      </c>
      <c r="AR511" s="150" t="str">
        <f t="shared" si="261"/>
        <v>0.85871613350008-0.142787143792464i</v>
      </c>
    </row>
    <row r="512" spans="7:44" x14ac:dyDescent="0.25">
      <c r="G512" s="594">
        <v>68789.25</v>
      </c>
      <c r="H512" s="582">
        <f t="shared" si="253"/>
        <v>68.789249999999996</v>
      </c>
      <c r="I512" s="583">
        <f t="shared" si="233"/>
        <v>67.120928226657085</v>
      </c>
      <c r="J512" s="584">
        <f t="shared" si="234"/>
        <v>1.5558972927045058</v>
      </c>
      <c r="K512" s="584">
        <f t="shared" si="235"/>
        <v>1.0006905861408686</v>
      </c>
      <c r="L512" s="585">
        <f t="shared" si="236"/>
        <v>3.715343727253053E-2</v>
      </c>
      <c r="M512" s="584">
        <f t="shared" si="237"/>
        <v>1.1586917983058598</v>
      </c>
      <c r="N512" s="585">
        <f t="shared" si="238"/>
        <v>-0.5295345646520575</v>
      </c>
      <c r="O512" s="583">
        <f t="shared" si="239"/>
        <v>124478.09407064799</v>
      </c>
      <c r="P512" s="586">
        <f t="shared" si="240"/>
        <v>1.5707882932528707</v>
      </c>
      <c r="Q512" s="595">
        <f t="shared" si="262"/>
        <v>51.875511882449516</v>
      </c>
      <c r="R512" s="596">
        <f t="shared" si="263"/>
        <v>1.5515182144962159</v>
      </c>
      <c r="S512" s="583">
        <f t="shared" si="241"/>
        <v>1.0580919668717346</v>
      </c>
      <c r="T512" s="586">
        <f t="shared" si="242"/>
        <v>0.33290370464401275</v>
      </c>
      <c r="U512" s="587">
        <f t="shared" si="254"/>
        <v>0.81525014088606795</v>
      </c>
      <c r="V512" s="588">
        <f t="shared" si="255"/>
        <v>-0.78243677893802188</v>
      </c>
      <c r="W512" s="589">
        <f t="shared" si="243"/>
        <v>-8.2549084505664378</v>
      </c>
      <c r="X512" s="590">
        <f t="shared" si="244"/>
        <v>-182.36610555989492</v>
      </c>
      <c r="Y512" s="593">
        <f t="shared" si="245"/>
        <v>-2.366105559894919</v>
      </c>
      <c r="AA512" s="150">
        <f t="shared" si="246"/>
        <v>68789.25</v>
      </c>
      <c r="AB512" s="150">
        <f t="shared" si="247"/>
        <v>4731960915.5625</v>
      </c>
      <c r="AD512" s="592">
        <f t="shared" si="248"/>
        <v>27.115370626382486</v>
      </c>
      <c r="AE512" s="593">
        <f t="shared" si="249"/>
        <v>-20.178071467069476</v>
      </c>
      <c r="AG512" s="592">
        <f t="shared" si="250"/>
        <v>-6.4339714222452393</v>
      </c>
      <c r="AH512" s="593">
        <f t="shared" si="251"/>
        <v>-72.527383652454731</v>
      </c>
      <c r="AJ512" s="150">
        <f t="shared" si="252"/>
        <v>0</v>
      </c>
      <c r="AK512" s="150">
        <f t="shared" si="264"/>
        <v>0</v>
      </c>
      <c r="AM512" s="150" t="str">
        <f t="shared" si="256"/>
        <v>0.670386092387713+0.944115814881076i</v>
      </c>
      <c r="AN512" s="150" t="str">
        <f t="shared" si="257"/>
        <v>1.2349017268515i</v>
      </c>
      <c r="AO512" s="150" t="str">
        <f t="shared" si="258"/>
        <v>0.764527082886336-0.542865944561375i</v>
      </c>
      <c r="AP512" s="150" t="str">
        <f t="shared" si="259"/>
        <v>0.0549356512687145-0.157352635813513i</v>
      </c>
      <c r="AQ512" s="150" t="str">
        <f t="shared" si="260"/>
        <v>0.945064348731286+0.157352635813513i</v>
      </c>
      <c r="AR512" s="150" t="str">
        <f t="shared" si="261"/>
        <v>0.857645766456791-0.142797495353037i</v>
      </c>
    </row>
    <row r="513" spans="7:44" x14ac:dyDescent="0.25">
      <c r="G513" s="594">
        <v>69183</v>
      </c>
      <c r="H513" s="582">
        <f t="shared" si="253"/>
        <v>69.183000000000007</v>
      </c>
      <c r="I513" s="583">
        <f t="shared" si="233"/>
        <v>67.505043708388214</v>
      </c>
      <c r="J513" s="584">
        <f t="shared" si="234"/>
        <v>1.5559820770292658</v>
      </c>
      <c r="K513" s="584">
        <f t="shared" si="235"/>
        <v>1.0006985118370788</v>
      </c>
      <c r="L513" s="585">
        <f t="shared" si="236"/>
        <v>3.7365906393434963E-2</v>
      </c>
      <c r="M513" s="584">
        <f t="shared" si="237"/>
        <v>1.1603876999107963</v>
      </c>
      <c r="N513" s="585">
        <f t="shared" si="238"/>
        <v>-0.5320263002332436</v>
      </c>
      <c r="O513" s="583">
        <f t="shared" si="239"/>
        <v>125190.60728364512</v>
      </c>
      <c r="P513" s="586">
        <f t="shared" si="240"/>
        <v>1.5707883389751895</v>
      </c>
      <c r="Q513" s="595">
        <f t="shared" si="262"/>
        <v>52.172337536297569</v>
      </c>
      <c r="R513" s="596">
        <f t="shared" si="263"/>
        <v>1.5516279075156374</v>
      </c>
      <c r="S513" s="583">
        <f t="shared" si="241"/>
        <v>1.0587404005389585</v>
      </c>
      <c r="T513" s="586">
        <f t="shared" si="242"/>
        <v>0.3346704654030907</v>
      </c>
      <c r="U513" s="587">
        <f t="shared" si="254"/>
        <v>0.81365332222177678</v>
      </c>
      <c r="V513" s="588">
        <f t="shared" si="255"/>
        <v>-0.78617567468247351</v>
      </c>
      <c r="W513" s="589">
        <f t="shared" si="243"/>
        <v>-8.3140706580659174</v>
      </c>
      <c r="X513" s="590">
        <f t="shared" si="244"/>
        <v>-182.81072424668241</v>
      </c>
      <c r="Y513" s="593">
        <f t="shared" si="245"/>
        <v>-2.8107242466824118</v>
      </c>
      <c r="AA513" s="150">
        <f t="shared" si="246"/>
        <v>69183</v>
      </c>
      <c r="AB513" s="150">
        <f t="shared" si="247"/>
        <v>4786287489</v>
      </c>
      <c r="AD513" s="592">
        <f t="shared" si="248"/>
        <v>27.110030939200648</v>
      </c>
      <c r="AE513" s="593">
        <f t="shared" si="249"/>
        <v>-20.273017074723459</v>
      </c>
      <c r="AG513" s="592">
        <f t="shared" si="250"/>
        <v>-6.4537347231012152</v>
      </c>
      <c r="AH513" s="593">
        <f t="shared" si="251"/>
        <v>-72.44861083870569</v>
      </c>
      <c r="AJ513" s="150">
        <f t="shared" si="252"/>
        <v>0</v>
      </c>
      <c r="AK513" s="150">
        <f t="shared" si="264"/>
        <v>0</v>
      </c>
      <c r="AM513" s="150" t="str">
        <f t="shared" si="256"/>
        <v>0.677067832773757+0.946422112680469i</v>
      </c>
      <c r="AN513" s="150" t="str">
        <f t="shared" si="257"/>
        <v>1.241970310314i</v>
      </c>
      <c r="AO513" s="150" t="str">
        <f t="shared" si="258"/>
        <v>0.762032799673924-0.545156214404657i</v>
      </c>
      <c r="AP513" s="150" t="str">
        <f t="shared" si="259"/>
        <v>0.0538220278710405-0.157737018780078i</v>
      </c>
      <c r="AQ513" s="150" t="str">
        <f t="shared" si="260"/>
        <v>0.946177972128959+0.157737018780078i</v>
      </c>
      <c r="AR513" s="150" t="str">
        <f t="shared" si="261"/>
        <v>0.85657794286649-0.142799827348038i</v>
      </c>
    </row>
    <row r="514" spans="7:44" x14ac:dyDescent="0.25">
      <c r="G514" s="594">
        <v>69586</v>
      </c>
      <c r="H514" s="582">
        <f t="shared" si="253"/>
        <v>69.585999999999999</v>
      </c>
      <c r="I514" s="583">
        <f t="shared" si="233"/>
        <v>67.898183352137622</v>
      </c>
      <c r="J514" s="584">
        <f t="shared" si="234"/>
        <v>1.5560678597554747</v>
      </c>
      <c r="K514" s="584">
        <f t="shared" si="235"/>
        <v>1.0007066705024912</v>
      </c>
      <c r="L514" s="585">
        <f t="shared" si="236"/>
        <v>3.7583363357252819E-2</v>
      </c>
      <c r="M514" s="584">
        <f t="shared" si="237"/>
        <v>1.162130880101798</v>
      </c>
      <c r="N514" s="585">
        <f t="shared" si="238"/>
        <v>-0.53456902494156622</v>
      </c>
      <c r="O514" s="583">
        <f t="shared" si="239"/>
        <v>125919.85890228118</v>
      </c>
      <c r="P514" s="586">
        <f t="shared" si="240"/>
        <v>1.5707883852358071</v>
      </c>
      <c r="Q514" s="595">
        <f t="shared" si="262"/>
        <v>52.476136879872733</v>
      </c>
      <c r="R514" s="596">
        <f t="shared" si="263"/>
        <v>1.5517388924448501</v>
      </c>
      <c r="S514" s="583">
        <f t="shared" si="241"/>
        <v>1.0594074851713657</v>
      </c>
      <c r="T514" s="586">
        <f t="shared" si="242"/>
        <v>0.3364764856481024</v>
      </c>
      <c r="U514" s="587">
        <f t="shared" si="254"/>
        <v>0.81201845329335376</v>
      </c>
      <c r="V514" s="588">
        <f t="shared" si="255"/>
        <v>-0.7899930333288141</v>
      </c>
      <c r="W514" s="589">
        <f t="shared" si="243"/>
        <v>-8.3743595057952511</v>
      </c>
      <c r="X514" s="590">
        <f t="shared" si="244"/>
        <v>-183.26470682294823</v>
      </c>
      <c r="Y514" s="593">
        <f t="shared" si="245"/>
        <v>-3.2647068229482272</v>
      </c>
      <c r="AA514" s="150">
        <f t="shared" si="246"/>
        <v>69586</v>
      </c>
      <c r="AB514" s="150">
        <f t="shared" si="247"/>
        <v>4842211396</v>
      </c>
      <c r="AD514" s="592">
        <f t="shared" si="248"/>
        <v>27.104541483579077</v>
      </c>
      <c r="AE514" s="593">
        <f t="shared" si="249"/>
        <v>-20.370138095093484</v>
      </c>
      <c r="AG514" s="592">
        <f t="shared" si="250"/>
        <v>-6.4735939850154089</v>
      </c>
      <c r="AH514" s="593">
        <f t="shared" si="251"/>
        <v>-72.368035315455458</v>
      </c>
      <c r="AJ514" s="150">
        <f t="shared" si="252"/>
        <v>0</v>
      </c>
      <c r="AK514" s="150">
        <f t="shared" si="264"/>
        <v>0</v>
      </c>
      <c r="AM514" s="150" t="str">
        <f t="shared" si="256"/>
        <v>0.683923246540311+0.948733622215626i</v>
      </c>
      <c r="AN514" s="150" t="str">
        <f t="shared" si="257"/>
        <v>1.249204949388i</v>
      </c>
      <c r="AO514" s="150" t="str">
        <f t="shared" si="258"/>
        <v>0.759469951412234-0.547486821017939i</v>
      </c>
      <c r="AP514" s="150" t="str">
        <f t="shared" si="259"/>
        <v>0.0526794589099482-0.158122270369271i</v>
      </c>
      <c r="AQ514" s="150" t="str">
        <f t="shared" si="260"/>
        <v>0.947320541090052+0.158122270369271i</v>
      </c>
      <c r="AR514" s="150" t="str">
        <f t="shared" si="261"/>
        <v>0.855487723618362-0.142793970218277i</v>
      </c>
    </row>
    <row r="515" spans="7:44" x14ac:dyDescent="0.25">
      <c r="G515" s="594">
        <v>69989</v>
      </c>
      <c r="H515" s="582">
        <f t="shared" si="253"/>
        <v>69.989000000000004</v>
      </c>
      <c r="I515" s="583">
        <f t="shared" si="233"/>
        <v>68.291323489775095</v>
      </c>
      <c r="J515" s="584">
        <f t="shared" si="234"/>
        <v>1.5561526548126807</v>
      </c>
      <c r="K515" s="584">
        <f t="shared" si="235"/>
        <v>1.0007148764880784</v>
      </c>
      <c r="L515" s="585">
        <f t="shared" si="236"/>
        <v>3.7800816765005449E-2</v>
      </c>
      <c r="M515" s="584">
        <f t="shared" si="237"/>
        <v>1.1638815514554002</v>
      </c>
      <c r="N515" s="585">
        <f t="shared" si="238"/>
        <v>-0.5371041166380085</v>
      </c>
      <c r="O515" s="583">
        <f t="shared" si="239"/>
        <v>126649.11052091753</v>
      </c>
      <c r="P515" s="586">
        <f t="shared" si="240"/>
        <v>1.570788430963683</v>
      </c>
      <c r="Q515" s="595">
        <f t="shared" si="262"/>
        <v>52.779936862389718</v>
      </c>
      <c r="R515" s="596">
        <f t="shared" si="263"/>
        <v>1.5518485997225064</v>
      </c>
      <c r="S515" s="583">
        <f t="shared" si="241"/>
        <v>1.0600780209273455</v>
      </c>
      <c r="T515" s="586">
        <f t="shared" si="242"/>
        <v>0.33828022703054406</v>
      </c>
      <c r="U515" s="587">
        <f t="shared" si="254"/>
        <v>0.81038311120448581</v>
      </c>
      <c r="V515" s="588">
        <f t="shared" si="255"/>
        <v>-0.79380093539474417</v>
      </c>
      <c r="W515" s="589">
        <f t="shared" si="243"/>
        <v>-8.4343852344721881</v>
      </c>
      <c r="X515" s="590">
        <f t="shared" si="244"/>
        <v>-183.71759645649374</v>
      </c>
      <c r="Y515" s="593">
        <f t="shared" si="245"/>
        <v>-3.7175964564937374</v>
      </c>
      <c r="AA515" s="150">
        <f t="shared" si="246"/>
        <v>69989</v>
      </c>
      <c r="AB515" s="150">
        <f t="shared" si="247"/>
        <v>4898460121</v>
      </c>
      <c r="AD515" s="592">
        <f t="shared" si="248"/>
        <v>27.099027511890622</v>
      </c>
      <c r="AE515" s="593">
        <f t="shared" si="249"/>
        <v>-20.467201719774113</v>
      </c>
      <c r="AG515" s="592">
        <f t="shared" si="250"/>
        <v>-6.4930850516252514</v>
      </c>
      <c r="AH515" s="593">
        <f t="shared" si="251"/>
        <v>-72.287507889467818</v>
      </c>
      <c r="AJ515" s="150">
        <f t="shared" si="252"/>
        <v>0</v>
      </c>
      <c r="AK515" s="150">
        <f t="shared" si="264"/>
        <v>0</v>
      </c>
      <c r="AM515" s="150" t="str">
        <f t="shared" si="256"/>
        <v>0.690795203692785+0.950995475247182i</v>
      </c>
      <c r="AN515" s="150" t="str">
        <f t="shared" si="257"/>
        <v>1.256439588462i</v>
      </c>
      <c r="AO515" s="150" t="str">
        <f t="shared" si="258"/>
        <v>0.75689709555498-0.549803755020473i</v>
      </c>
      <c r="AP515" s="150" t="str">
        <f t="shared" si="259"/>
        <v>0.0515341327178692-0.15849924587453i</v>
      </c>
      <c r="AQ515" s="150" t="str">
        <f t="shared" si="260"/>
        <v>0.948465867282131+0.15849924587453i</v>
      </c>
      <c r="AR515" s="150" t="str">
        <f t="shared" si="261"/>
        <v>0.854400281278578-0.142779835236135i</v>
      </c>
    </row>
    <row r="516" spans="7:44" x14ac:dyDescent="0.25">
      <c r="G516" s="594">
        <v>70392</v>
      </c>
      <c r="H516" s="582">
        <f t="shared" si="253"/>
        <v>70.391999999999996</v>
      </c>
      <c r="I516" s="583">
        <f t="shared" si="233"/>
        <v>68.684464112819811</v>
      </c>
      <c r="J516" s="584">
        <f t="shared" si="234"/>
        <v>1.5562364791595071</v>
      </c>
      <c r="K516" s="584">
        <f t="shared" si="235"/>
        <v>1.0007231297926766</v>
      </c>
      <c r="L516" s="585">
        <f t="shared" si="236"/>
        <v>3.8018266596215593E-2</v>
      </c>
      <c r="M516" s="584">
        <f t="shared" si="237"/>
        <v>1.1656396802187281</v>
      </c>
      <c r="N516" s="585">
        <f t="shared" si="238"/>
        <v>-0.53963157720352639</v>
      </c>
      <c r="O516" s="583">
        <f t="shared" si="239"/>
        <v>127378.36213955413</v>
      </c>
      <c r="P516" s="586">
        <f t="shared" si="240"/>
        <v>1.5707884761679674</v>
      </c>
      <c r="Q516" s="595">
        <f t="shared" si="262"/>
        <v>53.08373747287844</v>
      </c>
      <c r="R516" s="596">
        <f t="shared" si="263"/>
        <v>1.5519570512821144</v>
      </c>
      <c r="S516" s="583">
        <f t="shared" si="241"/>
        <v>1.0607520012621963</v>
      </c>
      <c r="T516" s="586">
        <f t="shared" si="242"/>
        <v>0.34008168214632345</v>
      </c>
      <c r="U516" s="587">
        <f t="shared" si="254"/>
        <v>0.80874736635435618</v>
      </c>
      <c r="V516" s="588">
        <f t="shared" si="255"/>
        <v>-0.79759940523881812</v>
      </c>
      <c r="W516" s="589">
        <f t="shared" si="243"/>
        <v>-8.4941509513498783</v>
      </c>
      <c r="X516" s="590">
        <f t="shared" si="244"/>
        <v>-184.16939394316643</v>
      </c>
      <c r="Y516" s="593">
        <f t="shared" si="245"/>
        <v>-4.1693939431664262</v>
      </c>
      <c r="AA516" s="150">
        <f t="shared" si="246"/>
        <v>70392</v>
      </c>
      <c r="AB516" s="150">
        <f t="shared" si="247"/>
        <v>4955033664</v>
      </c>
      <c r="AD516" s="592">
        <f t="shared" si="248"/>
        <v>27.093489119774596</v>
      </c>
      <c r="AE516" s="593">
        <f t="shared" si="249"/>
        <v>-20.564206268368931</v>
      </c>
      <c r="AG516" s="592">
        <f t="shared" si="250"/>
        <v>-6.5122122920519141</v>
      </c>
      <c r="AH516" s="593">
        <f t="shared" si="251"/>
        <v>-72.207028245702048</v>
      </c>
      <c r="AJ516" s="150">
        <f t="shared" si="252"/>
        <v>0</v>
      </c>
      <c r="AK516" s="150">
        <f t="shared" si="264"/>
        <v>0</v>
      </c>
      <c r="AM516" s="150" t="str">
        <f t="shared" si="256"/>
        <v>0.697683344554492+0.953207553390258i</v>
      </c>
      <c r="AN516" s="150" t="str">
        <f t="shared" si="257"/>
        <v>1.263674227536i</v>
      </c>
      <c r="AO516" s="150" t="str">
        <f t="shared" si="258"/>
        <v>0.754314310302022-0.55210696661503i</v>
      </c>
      <c r="AP516" s="150" t="str">
        <f t="shared" si="259"/>
        <v>0.050386109240918-0.158867925565043i</v>
      </c>
      <c r="AQ516" s="150" t="str">
        <f t="shared" si="260"/>
        <v>0.949613890759082+0.158867925565043i</v>
      </c>
      <c r="AR516" s="150" t="str">
        <f t="shared" si="261"/>
        <v>0.853315671162856-0.14275748475143i</v>
      </c>
    </row>
    <row r="517" spans="7:44" x14ac:dyDescent="0.25">
      <c r="G517" s="594">
        <v>70795</v>
      </c>
      <c r="H517" s="582">
        <f t="shared" si="253"/>
        <v>70.795000000000002</v>
      </c>
      <c r="I517" s="583">
        <f t="shared" si="233"/>
        <v>69.077605212983983</v>
      </c>
      <c r="J517" s="584">
        <f t="shared" si="234"/>
        <v>1.5563193493685659</v>
      </c>
      <c r="K517" s="584">
        <f t="shared" si="235"/>
        <v>1.0007314304151149</v>
      </c>
      <c r="L517" s="585">
        <f t="shared" si="236"/>
        <v>3.8235712830407997E-2</v>
      </c>
      <c r="M517" s="584">
        <f t="shared" si="237"/>
        <v>1.1674052326988886</v>
      </c>
      <c r="N517" s="585">
        <f t="shared" si="238"/>
        <v>-0.5421514088977516</v>
      </c>
      <c r="O517" s="583">
        <f t="shared" si="239"/>
        <v>128107.61375819097</v>
      </c>
      <c r="P517" s="586">
        <f t="shared" si="240"/>
        <v>1.5707885208576016</v>
      </c>
      <c r="Q517" s="595">
        <f t="shared" si="262"/>
        <v>53.387538700618542</v>
      </c>
      <c r="R517" s="596">
        <f t="shared" si="263"/>
        <v>1.5520642685580517</v>
      </c>
      <c r="S517" s="583">
        <f t="shared" si="241"/>
        <v>1.0614294196142617</v>
      </c>
      <c r="T517" s="586">
        <f t="shared" si="242"/>
        <v>0.3418808436694612</v>
      </c>
      <c r="U517" s="587">
        <f t="shared" si="254"/>
        <v>0.80711128821286682</v>
      </c>
      <c r="V517" s="588">
        <f t="shared" si="255"/>
        <v>-0.80138846769533834</v>
      </c>
      <c r="W517" s="589">
        <f t="shared" si="243"/>
        <v>-8.5536597090016837</v>
      </c>
      <c r="X517" s="590">
        <f t="shared" si="244"/>
        <v>-184.62010013871355</v>
      </c>
      <c r="Y517" s="593">
        <f t="shared" si="245"/>
        <v>-4.6201001387135534</v>
      </c>
      <c r="AA517" s="150">
        <f t="shared" si="246"/>
        <v>70795</v>
      </c>
      <c r="AB517" s="150">
        <f t="shared" si="247"/>
        <v>5011932025</v>
      </c>
      <c r="AD517" s="592">
        <f t="shared" si="248"/>
        <v>27.087926403225886</v>
      </c>
      <c r="AE517" s="593">
        <f t="shared" si="249"/>
        <v>-20.661150093543153</v>
      </c>
      <c r="AG517" s="592">
        <f t="shared" si="250"/>
        <v>-6.5309800111098602</v>
      </c>
      <c r="AH517" s="593">
        <f t="shared" si="251"/>
        <v>-72.126596041438646</v>
      </c>
      <c r="AJ517" s="150">
        <f t="shared" si="252"/>
        <v>0</v>
      </c>
      <c r="AK517" s="150">
        <f t="shared" si="264"/>
        <v>0</v>
      </c>
      <c r="AM517" s="150" t="str">
        <f t="shared" si="256"/>
        <v>0.704587308601694+0.955369740865184i</v>
      </c>
      <c r="AN517" s="150" t="str">
        <f t="shared" si="257"/>
        <v>1.27090886661i</v>
      </c>
      <c r="AO517" s="150" t="str">
        <f t="shared" si="258"/>
        <v>0.751721674122489-0.55439640647177i</v>
      </c>
      <c r="AP517" s="150" t="str">
        <f t="shared" si="259"/>
        <v>0.0492354485663843-0.159228290144197i</v>
      </c>
      <c r="AQ517" s="150" t="str">
        <f t="shared" si="260"/>
        <v>0.950764551433616+0.159228290144197i</v>
      </c>
      <c r="AR517" s="150" t="str">
        <f t="shared" si="261"/>
        <v>0.852233947514198-0.142726981207818i</v>
      </c>
    </row>
    <row r="518" spans="7:44" x14ac:dyDescent="0.25">
      <c r="G518" s="594">
        <v>71207.25</v>
      </c>
      <c r="H518" s="582">
        <f t="shared" si="253"/>
        <v>71.207250000000002</v>
      </c>
      <c r="I518" s="583">
        <f t="shared" si="233"/>
        <v>69.479770508491384</v>
      </c>
      <c r="J518" s="584">
        <f t="shared" si="234"/>
        <v>1.5564031513315109</v>
      </c>
      <c r="K518" s="584">
        <f t="shared" si="235"/>
        <v>1.0007399705187205</v>
      </c>
      <c r="L518" s="585">
        <f t="shared" si="236"/>
        <v>3.8458146333025765E-2</v>
      </c>
      <c r="M518" s="584">
        <f t="shared" si="237"/>
        <v>1.1692189558484039</v>
      </c>
      <c r="N518" s="585">
        <f t="shared" si="238"/>
        <v>-0.54472118713048712</v>
      </c>
      <c r="O518" s="583">
        <f t="shared" si="239"/>
        <v>128853.60378246677</v>
      </c>
      <c r="P518" s="586">
        <f t="shared" si="240"/>
        <v>1.5707885660495962</v>
      </c>
      <c r="Q518" s="595">
        <f t="shared" si="262"/>
        <v>53.698313661204551</v>
      </c>
      <c r="R518" s="596">
        <f t="shared" si="263"/>
        <v>1.5521726915112883</v>
      </c>
      <c r="S518" s="583">
        <f t="shared" si="241"/>
        <v>1.0621259370831504</v>
      </c>
      <c r="T518" s="586">
        <f t="shared" si="242"/>
        <v>0.34371892036377794</v>
      </c>
      <c r="U518" s="587">
        <f t="shared" si="254"/>
        <v>0.8054373840143958</v>
      </c>
      <c r="V518" s="588">
        <f t="shared" si="255"/>
        <v>-0.80525479257407384</v>
      </c>
      <c r="W518" s="589">
        <f t="shared" si="243"/>
        <v>-8.6142716152908712</v>
      </c>
      <c r="X518" s="590">
        <f t="shared" si="244"/>
        <v>-185.08002313060024</v>
      </c>
      <c r="Y518" s="593">
        <f t="shared" si="245"/>
        <v>-5.0800231306002388</v>
      </c>
      <c r="AA518" s="150">
        <f t="shared" si="246"/>
        <v>71207.25</v>
      </c>
      <c r="AB518" s="150">
        <f t="shared" si="247"/>
        <v>5070472452.5625</v>
      </c>
      <c r="AD518" s="592">
        <f t="shared" si="248"/>
        <v>27.082210938590912</v>
      </c>
      <c r="AE518" s="593">
        <f t="shared" si="249"/>
        <v>-20.760254542349852</v>
      </c>
      <c r="AG518" s="592">
        <f t="shared" si="250"/>
        <v>-6.5498109308848393</v>
      </c>
      <c r="AH518" s="593">
        <f t="shared" si="251"/>
        <v>-72.044366388456396</v>
      </c>
      <c r="AJ518" s="150">
        <f t="shared" si="252"/>
        <v>0</v>
      </c>
      <c r="AK518" s="150">
        <f t="shared" si="264"/>
        <v>0</v>
      </c>
      <c r="AM518" s="150" t="str">
        <f t="shared" si="256"/>
        <v>0.711665733705739+0.957529817227929i</v>
      </c>
      <c r="AN518" s="150" t="str">
        <f t="shared" si="257"/>
        <v>1.2783095612955i</v>
      </c>
      <c r="AO518" s="150" t="str">
        <f t="shared" si="258"/>
        <v>0.749059418954453-0.556724095049796i</v>
      </c>
      <c r="AP518" s="150" t="str">
        <f t="shared" si="259"/>
        <v>0.0480557110490435-0.159588302871322i</v>
      </c>
      <c r="AQ518" s="150" t="str">
        <f t="shared" si="260"/>
        <v>0.951944288950957+0.159588302871322i</v>
      </c>
      <c r="AR518" s="150" t="str">
        <f t="shared" si="261"/>
        <v>0.851130437266505-0.142687406796855i</v>
      </c>
    </row>
    <row r="519" spans="7:44" x14ac:dyDescent="0.25">
      <c r="G519" s="594">
        <v>71619.5</v>
      </c>
      <c r="H519" s="582">
        <f t="shared" si="253"/>
        <v>71.619500000000002</v>
      </c>
      <c r="I519" s="583">
        <f t="shared" si="233"/>
        <v>69.881936286323025</v>
      </c>
      <c r="J519" s="584">
        <f t="shared" si="234"/>
        <v>1.5564859887458677</v>
      </c>
      <c r="K519" s="584">
        <f t="shared" si="235"/>
        <v>1.0007485601347543</v>
      </c>
      <c r="L519" s="585">
        <f t="shared" si="236"/>
        <v>3.8680576028269978E-2</v>
      </c>
      <c r="M519" s="584">
        <f t="shared" si="237"/>
        <v>1.1710403762922674</v>
      </c>
      <c r="N519" s="585">
        <f t="shared" si="238"/>
        <v>-0.54728298824002897</v>
      </c>
      <c r="O519" s="583">
        <f t="shared" si="239"/>
        <v>129599.59380674284</v>
      </c>
      <c r="P519" s="586">
        <f t="shared" si="240"/>
        <v>1.57078861072133</v>
      </c>
      <c r="Q519" s="595">
        <f t="shared" si="262"/>
        <v>54.009089245778455</v>
      </c>
      <c r="R519" s="596">
        <f t="shared" si="263"/>
        <v>1.5522798667051776</v>
      </c>
      <c r="S519" s="583">
        <f t="shared" si="241"/>
        <v>1.0628260382616916</v>
      </c>
      <c r="T519" s="586">
        <f t="shared" si="242"/>
        <v>0.34555458170978781</v>
      </c>
      <c r="U519" s="587">
        <f t="shared" si="254"/>
        <v>0.80376327514689205</v>
      </c>
      <c r="V519" s="588">
        <f t="shared" si="255"/>
        <v>-0.80911132731202251</v>
      </c>
      <c r="W519" s="589">
        <f t="shared" si="243"/>
        <v>-8.6746209233892184</v>
      </c>
      <c r="X519" s="590">
        <f t="shared" si="244"/>
        <v>-185.53880615910086</v>
      </c>
      <c r="Y519" s="593">
        <f t="shared" si="245"/>
        <v>-5.5388061591008579</v>
      </c>
      <c r="AA519" s="150">
        <f t="shared" si="246"/>
        <v>71619.5</v>
      </c>
      <c r="AB519" s="150">
        <f t="shared" si="247"/>
        <v>5129352780.25</v>
      </c>
      <c r="AD519" s="592">
        <f t="shared" si="248"/>
        <v>27.07647022437499</v>
      </c>
      <c r="AE519" s="593">
        <f t="shared" si="249"/>
        <v>-20.859292063428157</v>
      </c>
      <c r="AG519" s="592">
        <f t="shared" si="250"/>
        <v>-6.5682745479965741</v>
      </c>
      <c r="AH519" s="593">
        <f t="shared" si="251"/>
        <v>-71.962185567313682</v>
      </c>
      <c r="AJ519" s="150">
        <f t="shared" si="252"/>
        <v>0</v>
      </c>
      <c r="AK519" s="150">
        <f t="shared" si="264"/>
        <v>0</v>
      </c>
      <c r="AM519" s="150" t="str">
        <f t="shared" si="256"/>
        <v>0.718759950886732+0.959637449652089i</v>
      </c>
      <c r="AN519" s="150" t="str">
        <f t="shared" si="257"/>
        <v>1.285710255981i</v>
      </c>
      <c r="AO519" s="150" t="str">
        <f t="shared" si="258"/>
        <v>0.746387022416558-0.559037269511642i</v>
      </c>
      <c r="AP519" s="150" t="str">
        <f t="shared" si="259"/>
        <v>0.046873341518878-0.159939574942015i</v>
      </c>
      <c r="AQ519" s="150" t="str">
        <f t="shared" si="260"/>
        <v>0.953126658481122+0.159939574942015i</v>
      </c>
      <c r="AR519" s="150" t="str">
        <f t="shared" si="261"/>
        <v>0.8500300589412-0.142639433180521i</v>
      </c>
    </row>
    <row r="520" spans="7:44" x14ac:dyDescent="0.25">
      <c r="G520" s="594">
        <v>72031.75</v>
      </c>
      <c r="H520" s="582">
        <f t="shared" si="253"/>
        <v>72.031750000000002</v>
      </c>
      <c r="I520" s="583">
        <f t="shared" si="233"/>
        <v>70.284102538199335</v>
      </c>
      <c r="J520" s="584">
        <f t="shared" si="234"/>
        <v>1.5565678781679566</v>
      </c>
      <c r="K520" s="584">
        <f t="shared" si="235"/>
        <v>1.0007571992619408</v>
      </c>
      <c r="L520" s="585">
        <f t="shared" si="236"/>
        <v>3.8903001894229551E-2</v>
      </c>
      <c r="M520" s="584">
        <f t="shared" si="237"/>
        <v>1.1728694581696877</v>
      </c>
      <c r="N520" s="585">
        <f t="shared" si="238"/>
        <v>-0.54983681584391353</v>
      </c>
      <c r="O520" s="583">
        <f t="shared" si="239"/>
        <v>130345.58383101916</v>
      </c>
      <c r="P520" s="586">
        <f t="shared" si="240"/>
        <v>1.570788654881736</v>
      </c>
      <c r="Q520" s="595">
        <f t="shared" si="262"/>
        <v>54.319865443630341</v>
      </c>
      <c r="R520" s="596">
        <f t="shared" si="263"/>
        <v>1.5523858155533734</v>
      </c>
      <c r="S520" s="583">
        <f t="shared" si="241"/>
        <v>1.0635297160726238</v>
      </c>
      <c r="T520" s="586">
        <f t="shared" si="242"/>
        <v>0.34738782011859248</v>
      </c>
      <c r="U520" s="587">
        <f t="shared" si="254"/>
        <v>0.80208903297980594</v>
      </c>
      <c r="V520" s="588">
        <f t="shared" si="255"/>
        <v>-0.81295809997796542</v>
      </c>
      <c r="W520" s="589">
        <f t="shared" si="243"/>
        <v>-8.7347107316549177</v>
      </c>
      <c r="X520" s="590">
        <f t="shared" si="244"/>
        <v>-185.99645032835843</v>
      </c>
      <c r="Y520" s="593">
        <f t="shared" si="245"/>
        <v>-5.9964503283584349</v>
      </c>
      <c r="AA520" s="150">
        <f t="shared" si="246"/>
        <v>72031.75</v>
      </c>
      <c r="AB520" s="150">
        <f t="shared" si="247"/>
        <v>5188573008.0625</v>
      </c>
      <c r="AD520" s="592">
        <f t="shared" si="248"/>
        <v>27.070704364412158</v>
      </c>
      <c r="AE520" s="593">
        <f t="shared" si="249"/>
        <v>-20.958260995566025</v>
      </c>
      <c r="AG520" s="592">
        <f t="shared" si="250"/>
        <v>-6.5863752698265801</v>
      </c>
      <c r="AH520" s="593">
        <f t="shared" si="251"/>
        <v>-71.880053126920032</v>
      </c>
      <c r="AJ520" s="150">
        <f t="shared" si="252"/>
        <v>0</v>
      </c>
      <c r="AK520" s="150">
        <f t="shared" si="264"/>
        <v>0</v>
      </c>
      <c r="AM520" s="150" t="str">
        <f t="shared" si="256"/>
        <v>0.72586957159417+0.961692522702572i</v>
      </c>
      <c r="AN520" s="150" t="str">
        <f t="shared" si="257"/>
        <v>1.2931109506665i</v>
      </c>
      <c r="AO520" s="150" t="str">
        <f t="shared" si="258"/>
        <v>0.743704569361889-0.561335878580287i</v>
      </c>
      <c r="AP520" s="150" t="str">
        <f t="shared" si="259"/>
        <v>0.045688404734305-0.160282087117095i</v>
      </c>
      <c r="AQ520" s="150" t="str">
        <f t="shared" si="260"/>
        <v>0.954311595265695+0.160282087117095i</v>
      </c>
      <c r="AR520" s="150" t="str">
        <f t="shared" si="261"/>
        <v>0.848932867179459-0.142583127407081i</v>
      </c>
    </row>
    <row r="521" spans="7:44" x14ac:dyDescent="0.25">
      <c r="G521" s="594">
        <v>72444</v>
      </c>
      <c r="H521" s="582">
        <f t="shared" si="253"/>
        <v>72.444000000000003</v>
      </c>
      <c r="I521" s="583">
        <f t="shared" si="233"/>
        <v>70.686269256029163</v>
      </c>
      <c r="J521" s="584">
        <f t="shared" si="234"/>
        <v>1.5566488357773627</v>
      </c>
      <c r="K521" s="584">
        <f t="shared" si="235"/>
        <v>1.000765887898998</v>
      </c>
      <c r="L521" s="585">
        <f t="shared" si="236"/>
        <v>3.9125423908995684E-2</v>
      </c>
      <c r="M521" s="584">
        <f t="shared" si="237"/>
        <v>1.1747061656928492</v>
      </c>
      <c r="N521" s="585">
        <f t="shared" si="238"/>
        <v>-0.55238267395321949</v>
      </c>
      <c r="O521" s="583">
        <f t="shared" si="239"/>
        <v>131091.57385529572</v>
      </c>
      <c r="P521" s="586">
        <f t="shared" si="240"/>
        <v>1.5707886985395436</v>
      </c>
      <c r="Q521" s="595">
        <f t="shared" si="262"/>
        <v>54.630642244293981</v>
      </c>
      <c r="R521" s="596">
        <f t="shared" si="263"/>
        <v>1.5524905589823792</v>
      </c>
      <c r="S521" s="583">
        <f t="shared" si="241"/>
        <v>1.0642369634212954</v>
      </c>
      <c r="T521" s="586">
        <f t="shared" si="242"/>
        <v>0.34921862808645648</v>
      </c>
      <c r="U521" s="587">
        <f t="shared" si="254"/>
        <v>0.80041472788172741</v>
      </c>
      <c r="V521" s="588">
        <f t="shared" si="255"/>
        <v>-0.81679513912109958</v>
      </c>
      <c r="W521" s="589">
        <f t="shared" si="243"/>
        <v>-8.7945440840686899</v>
      </c>
      <c r="X521" s="590">
        <f t="shared" si="244"/>
        <v>-186.45295680378396</v>
      </c>
      <c r="Y521" s="593">
        <f t="shared" si="245"/>
        <v>-6.4529568037839624</v>
      </c>
      <c r="AA521" s="150">
        <f t="shared" si="246"/>
        <v>72444</v>
      </c>
      <c r="AB521" s="150">
        <f t="shared" si="247"/>
        <v>5248133136</v>
      </c>
      <c r="AD521" s="592">
        <f t="shared" si="248"/>
        <v>27.064913462873633</v>
      </c>
      <c r="AE521" s="593">
        <f t="shared" si="249"/>
        <v>-21.057159710330918</v>
      </c>
      <c r="AG521" s="592">
        <f t="shared" si="250"/>
        <v>-6.6041174387323451</v>
      </c>
      <c r="AH521" s="593">
        <f t="shared" si="251"/>
        <v>-71.797968589622087</v>
      </c>
      <c r="AJ521" s="150">
        <f t="shared" si="252"/>
        <v>0</v>
      </c>
      <c r="AK521" s="150">
        <f t="shared" si="264"/>
        <v>0</v>
      </c>
      <c r="AM521" s="150" t="str">
        <f t="shared" si="256"/>
        <v>0.732994206433903+0.963694923822959i</v>
      </c>
      <c r="AN521" s="150" t="str">
        <f t="shared" si="257"/>
        <v>1.300511645352i</v>
      </c>
      <c r="AO521" s="150" t="str">
        <f t="shared" si="258"/>
        <v>0.741012144925563-0.563619871497197i</v>
      </c>
      <c r="AP521" s="150" t="str">
        <f t="shared" si="259"/>
        <v>0.0445009655943495-0.16061582063716i</v>
      </c>
      <c r="AQ521" s="150" t="str">
        <f t="shared" si="260"/>
        <v>0.955499034405651+0.16061582063716i</v>
      </c>
      <c r="AR521" s="150" t="str">
        <f t="shared" si="261"/>
        <v>0.84783891548959-0.142518556561584i</v>
      </c>
    </row>
    <row r="522" spans="7:44" x14ac:dyDescent="0.25">
      <c r="G522" s="594">
        <v>72865.75</v>
      </c>
      <c r="H522" s="582">
        <f t="shared" si="253"/>
        <v>72.865750000000006</v>
      </c>
      <c r="I522" s="583">
        <f t="shared" si="233"/>
        <v>71.097704085927958</v>
      </c>
      <c r="J522" s="584">
        <f t="shared" si="234"/>
        <v>1.5567307112140791</v>
      </c>
      <c r="K522" s="584">
        <f t="shared" si="235"/>
        <v>1.0007748279923974</v>
      </c>
      <c r="L522" s="585">
        <f t="shared" si="236"/>
        <v>3.9352967468376493E-2</v>
      </c>
      <c r="M522" s="584">
        <f t="shared" si="237"/>
        <v>1.1765930528199011</v>
      </c>
      <c r="N522" s="585">
        <f t="shared" si="238"/>
        <v>-0.55497895700470146</v>
      </c>
      <c r="O522" s="583">
        <f t="shared" si="239"/>
        <v>131854.75467455285</v>
      </c>
      <c r="P522" s="586">
        <f t="shared" si="240"/>
        <v>1.5707887426922036</v>
      </c>
      <c r="Q522" s="595">
        <f t="shared" si="262"/>
        <v>54.948581282373219</v>
      </c>
      <c r="R522" s="596">
        <f t="shared" si="263"/>
        <v>1.5525964900662566</v>
      </c>
      <c r="S522" s="583">
        <f t="shared" si="241"/>
        <v>1.0649641952238076</v>
      </c>
      <c r="T522" s="586">
        <f t="shared" si="242"/>
        <v>0.35108910285266387</v>
      </c>
      <c r="U522" s="587">
        <f t="shared" si="254"/>
        <v>0.79870184685743206</v>
      </c>
      <c r="V522" s="588">
        <f t="shared" si="255"/>
        <v>-0.82071055773110946</v>
      </c>
      <c r="W522" s="589">
        <f t="shared" si="243"/>
        <v>-8.8554939821982757</v>
      </c>
      <c r="X522" s="590">
        <f t="shared" si="244"/>
        <v>-186.91880709385487</v>
      </c>
      <c r="Y522" s="593">
        <f t="shared" si="245"/>
        <v>-6.9188070938548663</v>
      </c>
      <c r="AA522" s="150">
        <f t="shared" si="246"/>
        <v>72865.75</v>
      </c>
      <c r="AB522" s="150">
        <f t="shared" si="247"/>
        <v>5309417523.0625</v>
      </c>
      <c r="AD522" s="592">
        <f t="shared" si="248"/>
        <v>27.058963309387206</v>
      </c>
      <c r="AE522" s="593">
        <f t="shared" si="249"/>
        <v>-21.158263145971507</v>
      </c>
      <c r="AG522" s="592">
        <f t="shared" si="250"/>
        <v>-6.6219018822143045</v>
      </c>
      <c r="AH522" s="593">
        <f t="shared" si="251"/>
        <v>-71.71404152077865</v>
      </c>
      <c r="AJ522" s="150">
        <f t="shared" si="252"/>
        <v>0</v>
      </c>
      <c r="AK522" s="150">
        <f t="shared" si="264"/>
        <v>0</v>
      </c>
      <c r="AM522" s="150" t="str">
        <f t="shared" si="256"/>
        <v>0.740298153465487+0.965688847873146i</v>
      </c>
      <c r="AN522" s="150" t="str">
        <f t="shared" si="257"/>
        <v>1.3080828836385i</v>
      </c>
      <c r="AO522" s="150" t="str">
        <f t="shared" si="258"/>
        <v>0.738247445901159-0.56594131971692i</v>
      </c>
      <c r="AP522" s="150" t="str">
        <f t="shared" si="259"/>
        <v>0.0432836410890855-0.160948141312191i</v>
      </c>
      <c r="AQ522" s="150" t="str">
        <f t="shared" si="260"/>
        <v>0.956716358910914+0.160948141312191i</v>
      </c>
      <c r="AR522" s="150" t="str">
        <f t="shared" si="261"/>
        <v>0.846723162033049-0.142444014744698i</v>
      </c>
    </row>
    <row r="523" spans="7:44" x14ac:dyDescent="0.25">
      <c r="G523" s="594">
        <v>73287.5</v>
      </c>
      <c r="H523" s="582">
        <f t="shared" si="253"/>
        <v>73.287499999999994</v>
      </c>
      <c r="I523" s="583">
        <f t="shared" si="233"/>
        <v>71.509139386951944</v>
      </c>
      <c r="J523" s="584">
        <f t="shared" si="234"/>
        <v>1.5568116444935824</v>
      </c>
      <c r="K523" s="584">
        <f t="shared" si="235"/>
        <v>1.0007838199010581</v>
      </c>
      <c r="L523" s="585">
        <f t="shared" si="236"/>
        <v>3.9580506950641393E-2</v>
      </c>
      <c r="M523" s="584">
        <f t="shared" si="237"/>
        <v>1.1784878455628447</v>
      </c>
      <c r="N523" s="585">
        <f t="shared" si="238"/>
        <v>-0.55756690875828818</v>
      </c>
      <c r="O523" s="583">
        <f t="shared" si="239"/>
        <v>132617.93549381022</v>
      </c>
      <c r="P523" s="586">
        <f t="shared" si="240"/>
        <v>1.5707887863366903</v>
      </c>
      <c r="Q523" s="595">
        <f t="shared" si="262"/>
        <v>55.266520929957778</v>
      </c>
      <c r="R523" s="596">
        <f t="shared" si="263"/>
        <v>1.5527012023413957</v>
      </c>
      <c r="S523" s="583">
        <f t="shared" si="241"/>
        <v>1.0656951478980272</v>
      </c>
      <c r="T523" s="586">
        <f t="shared" si="242"/>
        <v>0.35295701825614162</v>
      </c>
      <c r="U523" s="587">
        <f t="shared" si="254"/>
        <v>0.79698904577693119</v>
      </c>
      <c r="V523" s="588">
        <f t="shared" si="255"/>
        <v>-0.82461585099092927</v>
      </c>
      <c r="W523" s="589">
        <f t="shared" si="243"/>
        <v>-8.9161817450727909</v>
      </c>
      <c r="X523" s="590">
        <f t="shared" si="244"/>
        <v>-187.38346931065266</v>
      </c>
      <c r="Y523" s="593">
        <f t="shared" si="245"/>
        <v>-7.3834693106526572</v>
      </c>
      <c r="AA523" s="150">
        <f t="shared" si="246"/>
        <v>73287.5</v>
      </c>
      <c r="AB523" s="150">
        <f t="shared" si="247"/>
        <v>5371057656.25</v>
      </c>
      <c r="AD523" s="592">
        <f t="shared" si="248"/>
        <v>27.052987168492532</v>
      </c>
      <c r="AE523" s="593">
        <f t="shared" si="249"/>
        <v>-21.259289744409898</v>
      </c>
      <c r="AG523" s="592">
        <f t="shared" si="250"/>
        <v>-6.6393200485767654</v>
      </c>
      <c r="AH523" s="593">
        <f t="shared" si="251"/>
        <v>-71.630163495529558</v>
      </c>
      <c r="AJ523" s="150">
        <f t="shared" si="252"/>
        <v>0</v>
      </c>
      <c r="AK523" s="150">
        <f t="shared" si="264"/>
        <v>0</v>
      </c>
      <c r="AM523" s="150" t="str">
        <f t="shared" si="256"/>
        <v>0.7476169874835+0.967627415379027i</v>
      </c>
      <c r="AN523" s="150" t="str">
        <f t="shared" si="257"/>
        <v>1.315654121925i</v>
      </c>
      <c r="AO523" s="150" t="str">
        <f t="shared" si="258"/>
        <v>0.735472491784727-0.568247364580612i</v>
      </c>
      <c r="AP523" s="150" t="str">
        <f t="shared" si="259"/>
        <v>0.0420638354194167-0.161271235896504i</v>
      </c>
      <c r="AQ523" s="150" t="str">
        <f t="shared" si="260"/>
        <v>0.957936164580583+0.161271235896504i</v>
      </c>
      <c r="AR523" s="150" t="str">
        <f t="shared" si="261"/>
        <v>0.84561090941227-0.142360964635041i</v>
      </c>
    </row>
    <row r="524" spans="7:44" x14ac:dyDescent="0.25">
      <c r="G524" s="594">
        <v>73709.25</v>
      </c>
      <c r="H524" s="582">
        <f t="shared" si="253"/>
        <v>73.709249999999997</v>
      </c>
      <c r="I524" s="583">
        <f t="shared" si="233"/>
        <v>71.920575151015669</v>
      </c>
      <c r="J524" s="584">
        <f t="shared" si="234"/>
        <v>1.5568916517841891</v>
      </c>
      <c r="K524" s="584">
        <f t="shared" si="235"/>
        <v>1.0007928636235839</v>
      </c>
      <c r="L524" s="585">
        <f t="shared" si="236"/>
        <v>3.9808042332339227E-2</v>
      </c>
      <c r="M524" s="584">
        <f t="shared" si="237"/>
        <v>1.180390505850796</v>
      </c>
      <c r="N524" s="585">
        <f t="shared" si="238"/>
        <v>-0.56014653475271614</v>
      </c>
      <c r="O524" s="583">
        <f t="shared" si="239"/>
        <v>133381.11631306788</v>
      </c>
      <c r="P524" s="586">
        <f t="shared" si="240"/>
        <v>1.5707888294817263</v>
      </c>
      <c r="Q524" s="595">
        <f t="shared" si="262"/>
        <v>55.584461176588647</v>
      </c>
      <c r="R524" s="596">
        <f t="shared" si="263"/>
        <v>1.5528047167200498</v>
      </c>
      <c r="S524" s="583">
        <f t="shared" si="241"/>
        <v>1.0664298137928709</v>
      </c>
      <c r="T524" s="586">
        <f t="shared" si="242"/>
        <v>0.35482236653833044</v>
      </c>
      <c r="U524" s="587">
        <f t="shared" si="254"/>
        <v>0.79527639676608097</v>
      </c>
      <c r="V524" s="588">
        <f t="shared" si="255"/>
        <v>-0.82851105096496402</v>
      </c>
      <c r="W524" s="589">
        <f t="shared" si="243"/>
        <v>-8.9766104636211104</v>
      </c>
      <c r="X524" s="590">
        <f t="shared" si="244"/>
        <v>-187.8469448941818</v>
      </c>
      <c r="Y524" s="593">
        <f t="shared" si="245"/>
        <v>-7.846944894181803</v>
      </c>
      <c r="AA524" s="150">
        <f t="shared" si="246"/>
        <v>73709.25</v>
      </c>
      <c r="AB524" s="150">
        <f t="shared" si="247"/>
        <v>5433053535.5625</v>
      </c>
      <c r="AD524" s="592">
        <f t="shared" si="248"/>
        <v>27.046985152745087</v>
      </c>
      <c r="AE524" s="593">
        <f t="shared" si="249"/>
        <v>-21.360237863429305</v>
      </c>
      <c r="AG524" s="592">
        <f t="shared" si="250"/>
        <v>-6.6563763842609678</v>
      </c>
      <c r="AH524" s="593">
        <f t="shared" si="251"/>
        <v>-71.546333921785916</v>
      </c>
      <c r="AJ524" s="150">
        <f t="shared" si="252"/>
        <v>0</v>
      </c>
      <c r="AK524" s="150">
        <f t="shared" si="264"/>
        <v>0</v>
      </c>
      <c r="AM524" s="150" t="str">
        <f t="shared" si="256"/>
        <v>0.754950288947674+0.96951051521537i</v>
      </c>
      <c r="AN524" s="150" t="str">
        <f t="shared" si="257"/>
        <v>1.3232253602115i</v>
      </c>
      <c r="AO524" s="150" t="str">
        <f t="shared" si="258"/>
        <v>0.732687374628617-0.570537953434482i</v>
      </c>
      <c r="AP524" s="150" t="str">
        <f t="shared" si="259"/>
        <v>0.040841618508721-0.161585085869228i</v>
      </c>
      <c r="AQ524" s="150" t="str">
        <f t="shared" si="260"/>
        <v>0.959158381491279+0.161585085869228i</v>
      </c>
      <c r="AR524" s="150" t="str">
        <f t="shared" si="261"/>
        <v>0.844502211311916-0.1422694780808i</v>
      </c>
    </row>
    <row r="525" spans="7:44" x14ac:dyDescent="0.25">
      <c r="G525" s="594">
        <v>74131</v>
      </c>
      <c r="H525" s="582">
        <f t="shared" si="253"/>
        <v>74.131</v>
      </c>
      <c r="I525" s="583">
        <f t="shared" ref="I525:I588" si="265">SQRT(1+(G525/pole1)^2)</f>
        <v>72.332011370217586</v>
      </c>
      <c r="J525" s="584">
        <f t="shared" ref="J525:J588" si="266">ATAN(G525/pole1)</f>
        <v>1.5569707488863909</v>
      </c>
      <c r="K525" s="584">
        <f t="shared" ref="K525:K588" si="267">SQRT(1+(G525/Zero1)^2)</f>
        <v>1.00080195915857</v>
      </c>
      <c r="L525" s="585">
        <f t="shared" ref="L525:L588" si="268">ATAN(G525/Zero1)</f>
        <v>4.0035573590021391E-2</v>
      </c>
      <c r="M525" s="584">
        <f t="shared" ref="M525:M588" si="269">SQRT(1+(G525/z_RHP)^2)</f>
        <v>1.1823009957003685</v>
      </c>
      <c r="N525" s="585">
        <f t="shared" ref="N525:N588" si="270">-ATAN(G525/z_RHP)</f>
        <v>-0.56271784093436827</v>
      </c>
      <c r="O525" s="583">
        <f t="shared" ref="O525:O588" si="271">SQRT(1+(G525/Pole2)^2)</f>
        <v>134144.29713232574</v>
      </c>
      <c r="P525" s="586">
        <f t="shared" ref="P525:P588" si="272">ATAN(G525/Pole2)</f>
        <v>1.5707888721358363</v>
      </c>
      <c r="Q525" s="595">
        <f t="shared" si="262"/>
        <v>55.902402012044767</v>
      </c>
      <c r="R525" s="596">
        <f t="shared" si="263"/>
        <v>1.5529070536388276</v>
      </c>
      <c r="S525" s="583">
        <f t="shared" ref="S525:S588" si="273">SQRT(1+(G525/pole4)^2)</f>
        <v>1.0671681852395103</v>
      </c>
      <c r="T525" s="586">
        <f t="shared" ref="T525:T588" si="274">ATAN(G525/pole4)</f>
        <v>0.35668514003343993</v>
      </c>
      <c r="U525" s="587">
        <f t="shared" si="254"/>
        <v>0.79356397087631358</v>
      </c>
      <c r="V525" s="588">
        <f t="shared" si="255"/>
        <v>-0.83239619020013489</v>
      </c>
      <c r="W525" s="589">
        <f t="shared" ref="W525:W588" si="275">20*LOG10(((K525*Q525*M525*U525)/(I525*O525*S525))*Adc)</f>
        <v>-9.0367831746836984</v>
      </c>
      <c r="X525" s="590">
        <f t="shared" ref="X525:X588" si="276">((L525+R525+N525+V525)-(J525+P525+T525))*radconv</f>
        <v>-188.30923534693073</v>
      </c>
      <c r="Y525" s="593">
        <f t="shared" ref="Y525:Y588" si="277">IF(X525&gt;0,X525,X525+180)</f>
        <v>-8.3092353469307341</v>
      </c>
      <c r="AA525" s="150">
        <f t="shared" ref="AA525:AA588" si="278">IF(W525&lt;0,G525,1000000000)</f>
        <v>74131</v>
      </c>
      <c r="AB525" s="150">
        <f t="shared" ref="AB525:AB588" si="279">G525^2</f>
        <v>5495405161</v>
      </c>
      <c r="AD525" s="592">
        <f t="shared" ref="AD525:AD588" si="280">20*LOG10((Q525/(O525*S525))*Aea)</f>
        <v>27.040957375016589</v>
      </c>
      <c r="AE525" s="593">
        <f t="shared" ref="AE525:AE588" si="281">(R525-(P525+T525))*radconv</f>
        <v>-21.461105893369314</v>
      </c>
      <c r="AG525" s="592">
        <f t="shared" ref="AG525:AG588" si="282">20*LOG10((K525*M525/(I525*U525))*Acs*Am)</f>
        <v>-6.6730752698886109</v>
      </c>
      <c r="AH525" s="593">
        <f t="shared" ref="AH525:AH588" si="283">(L525+N525-(J525+V525))*radconv</f>
        <v>-71.462552182094157</v>
      </c>
      <c r="AJ525" s="150">
        <f t="shared" ref="AJ525:AJ588" si="284">SUM((W526&lt;0)*(W525&gt;0))*G525</f>
        <v>0</v>
      </c>
      <c r="AK525" s="150">
        <f t="shared" si="264"/>
        <v>0</v>
      </c>
      <c r="AM525" s="150" t="str">
        <f t="shared" si="256"/>
        <v>0.762297637488416+0.971338039436535i</v>
      </c>
      <c r="AN525" s="150" t="str">
        <f t="shared" si="257"/>
        <v>1.330796598498i</v>
      </c>
      <c r="AO525" s="150" t="str">
        <f t="shared" si="258"/>
        <v>0.729892186779582-0.572813034199803i</v>
      </c>
      <c r="AP525" s="150" t="str">
        <f t="shared" si="259"/>
        <v>0.0396170604185973-0.161889673239422i</v>
      </c>
      <c r="AQ525" s="150" t="str">
        <f t="shared" si="260"/>
        <v>0.960382939581403+0.161889673239422i</v>
      </c>
      <c r="AR525" s="150" t="str">
        <f t="shared" si="261"/>
        <v>0.843397120224926-0.142169626902988i</v>
      </c>
    </row>
    <row r="526" spans="7:44" x14ac:dyDescent="0.25">
      <c r="G526" s="594">
        <v>74562.75</v>
      </c>
      <c r="H526" s="582">
        <f t="shared" ref="H526:H589" si="285">G526/1000</f>
        <v>74.562749999999994</v>
      </c>
      <c r="I526" s="583">
        <f t="shared" si="265"/>
        <v>72.753203505548839</v>
      </c>
      <c r="J526" s="584">
        <f t="shared" si="266"/>
        <v>1.5570507947433798</v>
      </c>
      <c r="K526" s="584">
        <f t="shared" si="267"/>
        <v>1.0008113240236389</v>
      </c>
      <c r="L526" s="585">
        <f t="shared" si="268"/>
        <v>4.0268495483388872E-2</v>
      </c>
      <c r="M526" s="584">
        <f t="shared" si="269"/>
        <v>1.1842648553245059</v>
      </c>
      <c r="N526" s="585">
        <f t="shared" si="270"/>
        <v>-0.56534150323576715</v>
      </c>
      <c r="O526" s="583">
        <f t="shared" si="271"/>
        <v>134925.57352524734</v>
      </c>
      <c r="P526" s="586">
        <f t="shared" si="272"/>
        <v>1.5707889153014793</v>
      </c>
      <c r="Q526" s="595">
        <f t="shared" si="262"/>
        <v>56.22788205602636</v>
      </c>
      <c r="R526" s="596">
        <f t="shared" si="263"/>
        <v>1.5530106182232273</v>
      </c>
      <c r="S526" s="583">
        <f t="shared" si="273"/>
        <v>1.0679278943721167</v>
      </c>
      <c r="T526" s="586">
        <f t="shared" si="274"/>
        <v>0.3585894062542333</v>
      </c>
      <c r="U526" s="587">
        <f t="shared" ref="U526:U589" si="286">IMABS(IMPRODUCT(AO526, AR526))</f>
        <v>0.7918112462975776</v>
      </c>
      <c r="V526" s="588">
        <f t="shared" ref="V526:V589" si="287">IMARGUMENT(IMPRODUCT(AO526, AR526))</f>
        <v>-0.83636306200662014</v>
      </c>
      <c r="W526" s="589">
        <f t="shared" si="275"/>
        <v>-9.0981205550795821</v>
      </c>
      <c r="X526" s="590">
        <f t="shared" si="276"/>
        <v>-188.78126106205252</v>
      </c>
      <c r="Y526" s="593">
        <f t="shared" si="277"/>
        <v>-8.781261062052522</v>
      </c>
      <c r="AA526" s="150">
        <f t="shared" si="278"/>
        <v>74562.75</v>
      </c>
      <c r="AB526" s="150">
        <f t="shared" si="279"/>
        <v>5559603687.5625</v>
      </c>
      <c r="AD526" s="592">
        <f t="shared" si="280"/>
        <v>27.03476010696809</v>
      </c>
      <c r="AE526" s="593">
        <f t="shared" si="281"/>
        <v>-21.564280970624036</v>
      </c>
      <c r="AG526" s="592">
        <f t="shared" si="282"/>
        <v>-6.6898043403716931</v>
      </c>
      <c r="AH526" s="593">
        <f t="shared" si="283"/>
        <v>-71.376832794679729</v>
      </c>
      <c r="AJ526" s="150">
        <f t="shared" si="284"/>
        <v>0</v>
      </c>
      <c r="AK526" s="150">
        <f t="shared" si="264"/>
        <v>0</v>
      </c>
      <c r="AM526" s="150" t="str">
        <f t="shared" ref="AM526:AM589" si="288">IMSUB(1,IMEXP(COMPLEX(0,-2*Pi*G526*Tsw)))</f>
        <v>0.769833307919149+0.973151218391345i</v>
      </c>
      <c r="AN526" s="150" t="str">
        <f t="shared" ref="AN526:AN589" si="289">COMPLEX(0, 2*Pi*G526*Tsw)</f>
        <v>1.3385473563645i</v>
      </c>
      <c r="AO526" s="150" t="str">
        <f t="shared" ref="AO526:AO589" si="290">IMDIV(AM526, AN526)</f>
        <v>0.727020388008107-0.575125941012666i</v>
      </c>
      <c r="AP526" s="150" t="str">
        <f t="shared" ref="AP526:AP589" si="291">IMDIV(IMEXP(COMPLEX(0,-2*Pi*G526*Tsw)),6)</f>
        <v>0.0383611153468085-0.162191869731891i</v>
      </c>
      <c r="AQ526" s="150" t="str">
        <f t="shared" ref="AQ526:AQ589" si="292">IMSUB(1, AP526)</f>
        <v>0.961638884653191+0.162191869731891i</v>
      </c>
      <c r="AR526" s="150" t="str">
        <f t="shared" ref="AR526:AR589" si="293">IMDIV(0.833, AQ526)</f>
        <v>0.842269616503507-0.142058818647224i</v>
      </c>
    </row>
    <row r="527" spans="7:44" x14ac:dyDescent="0.25">
      <c r="G527" s="594">
        <v>74994.5</v>
      </c>
      <c r="H527" s="582">
        <f t="shared" si="285"/>
        <v>74.994500000000002</v>
      </c>
      <c r="I527" s="583">
        <f t="shared" si="265"/>
        <v>73.174396101668179</v>
      </c>
      <c r="J527" s="584">
        <f t="shared" si="266"/>
        <v>1.5571299191112762</v>
      </c>
      <c r="K527" s="584">
        <f t="shared" si="267"/>
        <v>1.0008207431843148</v>
      </c>
      <c r="L527" s="585">
        <f t="shared" si="268"/>
        <v>4.0501413005133408E-2</v>
      </c>
      <c r="M527" s="584">
        <f t="shared" si="269"/>
        <v>1.1862368399341976</v>
      </c>
      <c r="N527" s="585">
        <f t="shared" si="270"/>
        <v>-0.56795646040395054</v>
      </c>
      <c r="O527" s="583">
        <f t="shared" si="271"/>
        <v>135706.84991816923</v>
      </c>
      <c r="P527" s="586">
        <f t="shared" si="272"/>
        <v>1.5707889579701055</v>
      </c>
      <c r="Q527" s="595">
        <f t="shared" si="262"/>
        <v>56.553362696145264</v>
      </c>
      <c r="R527" s="596">
        <f t="shared" si="263"/>
        <v>1.5531129907216086</v>
      </c>
      <c r="S527" s="583">
        <f t="shared" si="273"/>
        <v>1.0686914705427122</v>
      </c>
      <c r="T527" s="586">
        <f t="shared" si="274"/>
        <v>0.36049095817971682</v>
      </c>
      <c r="U527" s="587">
        <f t="shared" si="286"/>
        <v>0.7900589028096564</v>
      </c>
      <c r="V527" s="588">
        <f t="shared" si="287"/>
        <v>-0.84031946085204801</v>
      </c>
      <c r="W527" s="589">
        <f t="shared" si="275"/>
        <v>-9.1591959162465084</v>
      </c>
      <c r="X527" s="590">
        <f t="shared" si="276"/>
        <v>-189.25204816170677</v>
      </c>
      <c r="Y527" s="593">
        <f t="shared" si="277"/>
        <v>-9.2520481617067674</v>
      </c>
      <c r="AA527" s="150">
        <f t="shared" si="278"/>
        <v>74994.5</v>
      </c>
      <c r="AB527" s="150">
        <f t="shared" si="279"/>
        <v>5624175030.25</v>
      </c>
      <c r="AD527" s="592">
        <f t="shared" si="280"/>
        <v>27.02853608112536</v>
      </c>
      <c r="AE527" s="593">
        <f t="shared" si="281"/>
        <v>-21.667368803233764</v>
      </c>
      <c r="AG527" s="592">
        <f t="shared" si="282"/>
        <v>-6.7061678936774696</v>
      </c>
      <c r="AH527" s="593">
        <f t="shared" si="283"/>
        <v>-71.291162149379261</v>
      </c>
      <c r="AJ527" s="150">
        <f t="shared" si="284"/>
        <v>0</v>
      </c>
      <c r="AK527" s="150">
        <f t="shared" si="264"/>
        <v>0</v>
      </c>
      <c r="AM527" s="150" t="str">
        <f t="shared" si="288"/>
        <v>0.777382805371488+0.974905936311669i</v>
      </c>
      <c r="AN527" s="150" t="str">
        <f t="shared" si="289"/>
        <v>1.346298114231i</v>
      </c>
      <c r="AO527" s="150" t="str">
        <f t="shared" si="290"/>
        <v>0.724138232094703-0.577422487006547i</v>
      </c>
      <c r="AP527" s="150" t="str">
        <f t="shared" si="291"/>
        <v>0.0371028657714187-0.162484322718611i</v>
      </c>
      <c r="AQ527" s="150" t="str">
        <f t="shared" si="292"/>
        <v>0.962897134228581+0.162484322718611i</v>
      </c>
      <c r="AR527" s="150" t="str">
        <f t="shared" si="293"/>
        <v>0.841146000430039-0.1419393965658i</v>
      </c>
    </row>
    <row r="528" spans="7:44" x14ac:dyDescent="0.25">
      <c r="G528" s="594">
        <v>75426.25</v>
      </c>
      <c r="H528" s="582">
        <f t="shared" si="285"/>
        <v>75.426249999999996</v>
      </c>
      <c r="I528" s="583">
        <f t="shared" si="265"/>
        <v>73.59558915066421</v>
      </c>
      <c r="J528" s="584">
        <f t="shared" si="266"/>
        <v>1.5572081378103326</v>
      </c>
      <c r="K528" s="584">
        <f t="shared" si="267"/>
        <v>1.0008302166390648</v>
      </c>
      <c r="L528" s="585">
        <f t="shared" si="268"/>
        <v>4.0734326130106975E-2</v>
      </c>
      <c r="M528" s="584">
        <f t="shared" si="269"/>
        <v>1.1882169090763592</v>
      </c>
      <c r="N528" s="585">
        <f t="shared" si="270"/>
        <v>-0.57056272010734699</v>
      </c>
      <c r="O528" s="583">
        <f t="shared" si="271"/>
        <v>136488.12631109133</v>
      </c>
      <c r="P528" s="586">
        <f t="shared" si="272"/>
        <v>1.5707890001502496</v>
      </c>
      <c r="Q528" s="595">
        <f t="shared" si="262"/>
        <v>56.87884392216754</v>
      </c>
      <c r="R528" s="596">
        <f t="shared" si="263"/>
        <v>1.5532141915964439</v>
      </c>
      <c r="S528" s="583">
        <f t="shared" si="273"/>
        <v>1.0694589054682913</v>
      </c>
      <c r="T528" s="586">
        <f t="shared" si="274"/>
        <v>0.36238978788690418</v>
      </c>
      <c r="U528" s="587">
        <f t="shared" si="286"/>
        <v>0.78830701318000918</v>
      </c>
      <c r="V528" s="588">
        <f t="shared" si="287"/>
        <v>-0.84426542315486741</v>
      </c>
      <c r="W528" s="589">
        <f t="shared" si="275"/>
        <v>-9.2200123483534071</v>
      </c>
      <c r="X528" s="590">
        <f t="shared" si="276"/>
        <v>-189.72159845388194</v>
      </c>
      <c r="Y528" s="593">
        <f t="shared" si="277"/>
        <v>-9.7215984538819384</v>
      </c>
      <c r="AA528" s="150">
        <f t="shared" si="278"/>
        <v>75426.25</v>
      </c>
      <c r="AB528" s="150">
        <f t="shared" si="279"/>
        <v>5689119189.0625</v>
      </c>
      <c r="AD528" s="592">
        <f t="shared" si="280"/>
        <v>27.022285419528398</v>
      </c>
      <c r="AE528" s="593">
        <f t="shared" si="281"/>
        <v>-21.77036776532049</v>
      </c>
      <c r="AG528" s="592">
        <f t="shared" si="282"/>
        <v>-6.7221704233676292</v>
      </c>
      <c r="AH528" s="593">
        <f t="shared" si="283"/>
        <v>-71.205539506812556</v>
      </c>
      <c r="AJ528" s="150">
        <f t="shared" si="284"/>
        <v>0</v>
      </c>
      <c r="AK528" s="150">
        <f t="shared" si="264"/>
        <v>0</v>
      </c>
      <c r="AM528" s="150" t="str">
        <f t="shared" si="288"/>
        <v>0.784945676317325+0.976602087784676i</v>
      </c>
      <c r="AN528" s="150" t="str">
        <f t="shared" si="289"/>
        <v>1.3540488720975i</v>
      </c>
      <c r="AO528" s="150" t="str">
        <f t="shared" si="290"/>
        <v>0.721245819046297-0.579702618193831i</v>
      </c>
      <c r="AP528" s="150" t="str">
        <f t="shared" si="291"/>
        <v>0.0358423872804458-0.162767014630779i</v>
      </c>
      <c r="AQ528" s="150" t="str">
        <f t="shared" si="292"/>
        <v>0.964157612719554+0.162767014630779i</v>
      </c>
      <c r="AR528" s="150" t="str">
        <f t="shared" si="293"/>
        <v>0.840026324523995-0.141811437518367i</v>
      </c>
    </row>
    <row r="529" spans="7:44" x14ac:dyDescent="0.25">
      <c r="G529" s="594">
        <v>75858</v>
      </c>
      <c r="H529" s="582">
        <f t="shared" si="285"/>
        <v>75.858000000000004</v>
      </c>
      <c r="I529" s="583">
        <f t="shared" si="265"/>
        <v>74.016782644805659</v>
      </c>
      <c r="J529" s="584">
        <f t="shared" si="266"/>
        <v>1.5572854663007463</v>
      </c>
      <c r="K529" s="584">
        <f t="shared" si="267"/>
        <v>1.000839744386347</v>
      </c>
      <c r="L529" s="585">
        <f t="shared" si="268"/>
        <v>4.0967234833164404E-2</v>
      </c>
      <c r="M529" s="584">
        <f t="shared" si="269"/>
        <v>1.190205022401809</v>
      </c>
      <c r="N529" s="585">
        <f t="shared" si="270"/>
        <v>-0.57316029043608452</v>
      </c>
      <c r="O529" s="583">
        <f t="shared" si="271"/>
        <v>137269.40270401366</v>
      </c>
      <c r="P529" s="586">
        <f t="shared" si="272"/>
        <v>1.5707890418502526</v>
      </c>
      <c r="Q529" s="595">
        <f t="shared" si="262"/>
        <v>57.204325724092186</v>
      </c>
      <c r="R529" s="596">
        <f t="shared" si="263"/>
        <v>1.5533142408445919</v>
      </c>
      <c r="S529" s="583">
        <f t="shared" si="273"/>
        <v>1.0702301908478076</v>
      </c>
      <c r="T529" s="586">
        <f t="shared" si="274"/>
        <v>0.36428588755399804</v>
      </c>
      <c r="U529" s="587">
        <f t="shared" si="286"/>
        <v>0.78655564902387476</v>
      </c>
      <c r="V529" s="588">
        <f t="shared" si="287"/>
        <v>-0.84820098581636172</v>
      </c>
      <c r="W529" s="589">
        <f t="shared" si="275"/>
        <v>-9.2805728876374154</v>
      </c>
      <c r="X529" s="590">
        <f t="shared" si="276"/>
        <v>-190.1899138102273</v>
      </c>
      <c r="Y529" s="593">
        <f t="shared" si="277"/>
        <v>-10.189913810227296</v>
      </c>
      <c r="AA529" s="150">
        <f t="shared" si="278"/>
        <v>75858</v>
      </c>
      <c r="AB529" s="150">
        <f t="shared" si="279"/>
        <v>5754436164</v>
      </c>
      <c r="AD529" s="592">
        <f t="shared" si="280"/>
        <v>27.016008244509976</v>
      </c>
      <c r="AE529" s="593">
        <f t="shared" si="281"/>
        <v>-21.873276263470554</v>
      </c>
      <c r="AG529" s="592">
        <f t="shared" si="282"/>
        <v>-6.7378163561610229</v>
      </c>
      <c r="AH529" s="593">
        <f t="shared" si="283"/>
        <v>-71.119964103466685</v>
      </c>
      <c r="AJ529" s="150">
        <f t="shared" si="284"/>
        <v>0</v>
      </c>
      <c r="AK529" s="150">
        <f t="shared" si="264"/>
        <v>0</v>
      </c>
      <c r="AM529" s="150" t="str">
        <f t="shared" si="288"/>
        <v>0.792521466425155+0.978239570915853i</v>
      </c>
      <c r="AN529" s="150" t="str">
        <f t="shared" si="289"/>
        <v>1.361799629964i</v>
      </c>
      <c r="AO529" s="150" t="str">
        <f t="shared" si="290"/>
        <v>0.718343249176616-0.581966281226046i</v>
      </c>
      <c r="AP529" s="150" t="str">
        <f t="shared" si="291"/>
        <v>0.0345797555958075-0.163039928485976i</v>
      </c>
      <c r="AQ529" s="150" t="str">
        <f t="shared" si="292"/>
        <v>0.965420244404192+0.163039928485976i</v>
      </c>
      <c r="AR529" s="150" t="str">
        <f t="shared" si="293"/>
        <v>0.838910640053415-0.141675018266107i</v>
      </c>
    </row>
    <row r="530" spans="7:44" x14ac:dyDescent="0.25">
      <c r="G530" s="594">
        <v>76299.75</v>
      </c>
      <c r="H530" s="582">
        <f t="shared" si="285"/>
        <v>76.299750000000003</v>
      </c>
      <c r="I530" s="583">
        <f t="shared" si="265"/>
        <v>74.447732086739592</v>
      </c>
      <c r="J530" s="584">
        <f t="shared" si="266"/>
        <v>1.5573636802216795</v>
      </c>
      <c r="K530" s="584">
        <f t="shared" si="267"/>
        <v>1.0008495490027685</v>
      </c>
      <c r="L530" s="585">
        <f t="shared" si="268"/>
        <v>4.1205533460264621E-2</v>
      </c>
      <c r="M530" s="584">
        <f t="shared" si="269"/>
        <v>1.1922474673584122</v>
      </c>
      <c r="N530" s="585">
        <f t="shared" si="270"/>
        <v>-0.57580903980363674</v>
      </c>
      <c r="O530" s="583">
        <f t="shared" si="271"/>
        <v>138068.77467059979</v>
      </c>
      <c r="P530" s="586">
        <f t="shared" si="272"/>
        <v>1.5707890840276424</v>
      </c>
      <c r="Q530" s="595">
        <f t="shared" si="262"/>
        <v>57.537346775511182</v>
      </c>
      <c r="R530" s="596">
        <f t="shared" si="263"/>
        <v>1.5534154358249865</v>
      </c>
      <c r="S530" s="583">
        <f t="shared" si="273"/>
        <v>1.0710233169775412</v>
      </c>
      <c r="T530" s="586">
        <f t="shared" si="274"/>
        <v>0.36622307015927952</v>
      </c>
      <c r="U530" s="587">
        <f t="shared" si="286"/>
        <v>0.78476433792065659</v>
      </c>
      <c r="V530" s="588">
        <f t="shared" si="287"/>
        <v>-0.8522169774602496</v>
      </c>
      <c r="W530" s="589">
        <f t="shared" si="275"/>
        <v>-9.3422743627946314</v>
      </c>
      <c r="X530" s="590">
        <f t="shared" si="276"/>
        <v>-190.66779992297936</v>
      </c>
      <c r="Y530" s="593">
        <f t="shared" si="277"/>
        <v>-10.667799922979356</v>
      </c>
      <c r="AA530" s="150">
        <f t="shared" si="278"/>
        <v>76299.75</v>
      </c>
      <c r="AB530" s="150">
        <f t="shared" si="279"/>
        <v>5821651850.0625</v>
      </c>
      <c r="AD530" s="592">
        <f t="shared" si="280"/>
        <v>27.009558366592596</v>
      </c>
      <c r="AE530" s="593">
        <f t="shared" si="281"/>
        <v>-21.978473022321449</v>
      </c>
      <c r="AG530" s="592">
        <f t="shared" si="282"/>
        <v>-6.7534601397930984</v>
      </c>
      <c r="AH530" s="593">
        <f t="shared" si="283"/>
        <v>-71.032454713332839</v>
      </c>
      <c r="AJ530" s="150">
        <f t="shared" si="284"/>
        <v>0</v>
      </c>
      <c r="AK530" s="150">
        <f t="shared" si="264"/>
        <v>0</v>
      </c>
      <c r="AM530" s="150" t="str">
        <f t="shared" si="288"/>
        <v>0.800285620374799+0.9798541557655i</v>
      </c>
      <c r="AN530" s="150" t="str">
        <f t="shared" si="289"/>
        <v>1.3697299074105i</v>
      </c>
      <c r="AO530" s="150" t="str">
        <f t="shared" si="290"/>
        <v>0.715363043811997-0.584265274522445i</v>
      </c>
      <c r="AP530" s="150" t="str">
        <f t="shared" si="291"/>
        <v>0.0332857299375335-0.163309025960917i</v>
      </c>
      <c r="AQ530" s="150" t="str">
        <f t="shared" si="292"/>
        <v>0.966714270062466+0.163309025960917i</v>
      </c>
      <c r="AR530" s="150" t="str">
        <f t="shared" si="293"/>
        <v>0.837773297952398-0.141526762872581i</v>
      </c>
    </row>
    <row r="531" spans="7:44" x14ac:dyDescent="0.25">
      <c r="G531" s="594">
        <v>76741.5</v>
      </c>
      <c r="H531" s="582">
        <f t="shared" si="285"/>
        <v>76.741500000000002</v>
      </c>
      <c r="I531" s="583">
        <f t="shared" si="265"/>
        <v>74.87868197885912</v>
      </c>
      <c r="J531" s="584">
        <f t="shared" si="266"/>
        <v>1.5574409938526408</v>
      </c>
      <c r="K531" s="584">
        <f t="shared" si="267"/>
        <v>1.0008594104525528</v>
      </c>
      <c r="L531" s="585">
        <f t="shared" si="268"/>
        <v>4.1443827404992251E-2</v>
      </c>
      <c r="M531" s="584">
        <f t="shared" si="269"/>
        <v>1.19429824832806</v>
      </c>
      <c r="N531" s="585">
        <f t="shared" si="270"/>
        <v>-0.57844871107463847</v>
      </c>
      <c r="O531" s="583">
        <f t="shared" si="271"/>
        <v>138868.14663718612</v>
      </c>
      <c r="P531" s="586">
        <f t="shared" si="272"/>
        <v>1.5707891257194577</v>
      </c>
      <c r="Q531" s="595">
        <f t="shared" si="262"/>
        <v>57.870368409355706</v>
      </c>
      <c r="R531" s="596">
        <f t="shared" si="263"/>
        <v>1.5535154661302881</v>
      </c>
      <c r="S531" s="583">
        <f t="shared" si="273"/>
        <v>1.0718204563541944</v>
      </c>
      <c r="T531" s="586">
        <f t="shared" si="274"/>
        <v>0.36815737855321007</v>
      </c>
      <c r="U531" s="587">
        <f t="shared" si="286"/>
        <v>0.78297372493191431</v>
      </c>
      <c r="V531" s="588">
        <f t="shared" si="287"/>
        <v>-0.85622216179394239</v>
      </c>
      <c r="W531" s="589">
        <f t="shared" si="275"/>
        <v>-9.4037142173609602</v>
      </c>
      <c r="X531" s="590">
        <f t="shared" si="276"/>
        <v>-191.14439739428013</v>
      </c>
      <c r="Y531" s="593">
        <f t="shared" si="277"/>
        <v>-11.144397394280134</v>
      </c>
      <c r="AA531" s="150">
        <f t="shared" si="278"/>
        <v>76741.5</v>
      </c>
      <c r="AB531" s="150">
        <f t="shared" si="279"/>
        <v>5889257822.25</v>
      </c>
      <c r="AD531" s="592">
        <f t="shared" si="280"/>
        <v>27.003080992825794</v>
      </c>
      <c r="AE531" s="593">
        <f t="shared" si="281"/>
        <v>-22.083571804138359</v>
      </c>
      <c r="AG531" s="592">
        <f t="shared" si="282"/>
        <v>-6.7687397834237917</v>
      </c>
      <c r="AH531" s="593">
        <f t="shared" si="283"/>
        <v>-70.944993085307232</v>
      </c>
      <c r="AJ531" s="150">
        <f t="shared" si="284"/>
        <v>0</v>
      </c>
      <c r="AK531" s="150">
        <f t="shared" si="264"/>
        <v>0</v>
      </c>
      <c r="AM531" s="150" t="str">
        <f t="shared" si="288"/>
        <v>0.80806233415623+0.981407118595767i</v>
      </c>
      <c r="AN531" s="150" t="str">
        <f t="shared" si="289"/>
        <v>1.377660184857i</v>
      </c>
      <c r="AO531" s="150" t="str">
        <f t="shared" si="290"/>
        <v>0.712372419108299-0.58654691703971i</v>
      </c>
      <c r="AP531" s="150" t="str">
        <f t="shared" si="291"/>
        <v>0.0319896109739617-0.163567853099295i</v>
      </c>
      <c r="AQ531" s="150" t="str">
        <f t="shared" si="292"/>
        <v>0.968010389026038+0.163567853099295i</v>
      </c>
      <c r="AR531" s="150" t="str">
        <f t="shared" si="293"/>
        <v>0.836640238959894-0.141369813025292i</v>
      </c>
    </row>
    <row r="532" spans="7:44" x14ac:dyDescent="0.25">
      <c r="G532" s="594">
        <v>77183.25</v>
      </c>
      <c r="H532" s="582">
        <f t="shared" si="285"/>
        <v>77.183250000000001</v>
      </c>
      <c r="I532" s="583">
        <f t="shared" si="265"/>
        <v>75.30963231343587</v>
      </c>
      <c r="J532" s="584">
        <f t="shared" si="266"/>
        <v>1.5575174226481019</v>
      </c>
      <c r="K532" s="584">
        <f t="shared" si="267"/>
        <v>1.0008693287340202</v>
      </c>
      <c r="L532" s="585">
        <f t="shared" si="268"/>
        <v>4.1682116640423532E-2</v>
      </c>
      <c r="M532" s="584">
        <f t="shared" si="269"/>
        <v>1.1963573224422812</v>
      </c>
      <c r="N532" s="585">
        <f t="shared" si="270"/>
        <v>-0.58107931424261017</v>
      </c>
      <c r="O532" s="583">
        <f t="shared" si="271"/>
        <v>139667.51860377271</v>
      </c>
      <c r="P532" s="586">
        <f t="shared" si="272"/>
        <v>1.5707891669340357</v>
      </c>
      <c r="Q532" s="595">
        <f t="shared" si="262"/>
        <v>58.203390615628379</v>
      </c>
      <c r="R532" s="596">
        <f t="shared" si="263"/>
        <v>1.5536143517502341</v>
      </c>
      <c r="S532" s="583">
        <f t="shared" si="273"/>
        <v>1.0726216000302025</v>
      </c>
      <c r="T532" s="586">
        <f t="shared" si="274"/>
        <v>0.37008880468542626</v>
      </c>
      <c r="U532" s="587">
        <f t="shared" si="286"/>
        <v>0.78118388306965358</v>
      </c>
      <c r="V532" s="588">
        <f t="shared" si="287"/>
        <v>-0.86021657983676902</v>
      </c>
      <c r="W532" s="589">
        <f t="shared" si="275"/>
        <v>-9.4648955364335077</v>
      </c>
      <c r="X532" s="590">
        <f t="shared" si="276"/>
        <v>-191.61970842786741</v>
      </c>
      <c r="Y532" s="593">
        <f t="shared" si="277"/>
        <v>-11.619708427867408</v>
      </c>
      <c r="AA532" s="150">
        <f t="shared" si="278"/>
        <v>77183.25</v>
      </c>
      <c r="AB532" s="150">
        <f t="shared" si="279"/>
        <v>5957254080.5625</v>
      </c>
      <c r="AD532" s="592">
        <f t="shared" si="280"/>
        <v>26.996576255108302</v>
      </c>
      <c r="AE532" s="593">
        <f t="shared" si="281"/>
        <v>-22.188571002819543</v>
      </c>
      <c r="AG532" s="592">
        <f t="shared" si="282"/>
        <v>-6.7836598195532929</v>
      </c>
      <c r="AH532" s="593">
        <f t="shared" si="283"/>
        <v>-70.857578328760567</v>
      </c>
      <c r="AJ532" s="150">
        <f t="shared" si="284"/>
        <v>0</v>
      </c>
      <c r="AK532" s="150">
        <f t="shared" si="264"/>
        <v>0</v>
      </c>
      <c r="AM532" s="150" t="str">
        <f t="shared" si="288"/>
        <v>0.815851118699921+0.982898361742418i</v>
      </c>
      <c r="AN532" s="150" t="str">
        <f t="shared" si="289"/>
        <v>1.3855904623035i</v>
      </c>
      <c r="AO532" s="150" t="str">
        <f t="shared" si="290"/>
        <v>0.709371483481765-0.588811153725463i</v>
      </c>
      <c r="AP532" s="150" t="str">
        <f t="shared" si="291"/>
        <v>0.0306914802166798-0.163816393623736i</v>
      </c>
      <c r="AQ532" s="150" t="str">
        <f t="shared" si="292"/>
        <v>0.96930851978332+0.163816393623736i</v>
      </c>
      <c r="AR532" s="150" t="str">
        <f t="shared" si="293"/>
        <v>0.835511514018955-0.141204250519008i</v>
      </c>
    </row>
    <row r="533" spans="7:44" x14ac:dyDescent="0.25">
      <c r="G533" s="594">
        <v>77625</v>
      </c>
      <c r="H533" s="582">
        <f t="shared" si="285"/>
        <v>77.625</v>
      </c>
      <c r="I533" s="583">
        <f t="shared" si="265"/>
        <v>75.740583082917297</v>
      </c>
      <c r="J533" s="584">
        <f t="shared" si="266"/>
        <v>1.5575929817108434</v>
      </c>
      <c r="K533" s="584">
        <f t="shared" si="267"/>
        <v>1.0008793038454813</v>
      </c>
      <c r="L533" s="585">
        <f t="shared" si="268"/>
        <v>4.1920401139637915E-2</v>
      </c>
      <c r="M533" s="584">
        <f t="shared" si="269"/>
        <v>1.1984246469544606</v>
      </c>
      <c r="N533" s="585">
        <f t="shared" si="270"/>
        <v>-0.58370085973454344</v>
      </c>
      <c r="O533" s="583">
        <f t="shared" si="271"/>
        <v>140466.89057035954</v>
      </c>
      <c r="P533" s="586">
        <f t="shared" si="272"/>
        <v>1.570789207679524</v>
      </c>
      <c r="Q533" s="595">
        <f t="shared" si="262"/>
        <v>58.536413384559324</v>
      </c>
      <c r="R533" s="596">
        <f t="shared" si="263"/>
        <v>1.5537121122197535</v>
      </c>
      <c r="S533" s="583">
        <f t="shared" si="273"/>
        <v>1.0734267390398329</v>
      </c>
      <c r="T533" s="586">
        <f t="shared" si="274"/>
        <v>0.37201734061555319</v>
      </c>
      <c r="U533" s="587">
        <f t="shared" si="286"/>
        <v>0.77939488411736368</v>
      </c>
      <c r="V533" s="588">
        <f t="shared" si="287"/>
        <v>-0.86420027308681979</v>
      </c>
      <c r="W533" s="589">
        <f t="shared" si="275"/>
        <v>-9.5258213514579069</v>
      </c>
      <c r="X533" s="590">
        <f t="shared" si="276"/>
        <v>-192.09373529194519</v>
      </c>
      <c r="Y533" s="593">
        <f t="shared" si="277"/>
        <v>-12.093735291945194</v>
      </c>
      <c r="AA533" s="150">
        <f t="shared" si="278"/>
        <v>77625</v>
      </c>
      <c r="AB533" s="150">
        <f t="shared" si="279"/>
        <v>6025640625</v>
      </c>
      <c r="AD533" s="592">
        <f t="shared" si="280"/>
        <v>26.990044285603712</v>
      </c>
      <c r="AE533" s="593">
        <f t="shared" si="281"/>
        <v>-22.293469044612852</v>
      </c>
      <c r="AG533" s="592">
        <f t="shared" si="282"/>
        <v>-6.7982247129025977</v>
      </c>
      <c r="AH533" s="593">
        <f t="shared" si="283"/>
        <v>-70.77020953031807</v>
      </c>
      <c r="AJ533" s="150">
        <f t="shared" si="284"/>
        <v>0</v>
      </c>
      <c r="AK533" s="150">
        <f t="shared" si="264"/>
        <v>0</v>
      </c>
      <c r="AM533" s="150" t="str">
        <f t="shared" si="288"/>
        <v>0.82365148417723+0.984327791422708i</v>
      </c>
      <c r="AN533" s="150" t="str">
        <f t="shared" si="289"/>
        <v>1.39352073975i</v>
      </c>
      <c r="AO533" s="150" t="str">
        <f t="shared" si="290"/>
        <v>0.706360345666113-0.591057930235753i</v>
      </c>
      <c r="AP533" s="150" t="str">
        <f t="shared" si="291"/>
        <v>0.029391419303795-0.164054631903785i</v>
      </c>
      <c r="AQ533" s="150" t="str">
        <f t="shared" si="292"/>
        <v>0.970608580696205+0.164054631903785i</v>
      </c>
      <c r="AR533" s="150" t="str">
        <f t="shared" si="293"/>
        <v>0.834387172767201-0.141030156971595i</v>
      </c>
    </row>
    <row r="534" spans="7:44" x14ac:dyDescent="0.25">
      <c r="G534" s="594">
        <v>78077</v>
      </c>
      <c r="H534" s="582">
        <f t="shared" si="285"/>
        <v>78.076999999999998</v>
      </c>
      <c r="I534" s="583">
        <f t="shared" si="265"/>
        <v>76.181533718485596</v>
      </c>
      <c r="J534" s="584">
        <f t="shared" si="266"/>
        <v>1.5576694091405392</v>
      </c>
      <c r="K534" s="584">
        <f t="shared" si="267"/>
        <v>1.0008895692326147</v>
      </c>
      <c r="L534" s="585">
        <f t="shared" si="268"/>
        <v>4.2164209663996845E-2</v>
      </c>
      <c r="M534" s="584">
        <f t="shared" si="269"/>
        <v>1.2005484352608202</v>
      </c>
      <c r="N534" s="585">
        <f t="shared" si="270"/>
        <v>-0.58637386934903724</v>
      </c>
      <c r="O534" s="583">
        <f t="shared" si="271"/>
        <v>141284.81049995174</v>
      </c>
      <c r="P534" s="586">
        <f t="shared" si="272"/>
        <v>1.5707892488931996</v>
      </c>
      <c r="Q534" s="595">
        <f t="shared" si="262"/>
        <v>58.877163909583707</v>
      </c>
      <c r="R534" s="596">
        <f t="shared" si="263"/>
        <v>1.5538109963409821</v>
      </c>
      <c r="S534" s="583">
        <f t="shared" si="273"/>
        <v>1.0742546859212769</v>
      </c>
      <c r="T534" s="586">
        <f t="shared" si="274"/>
        <v>0.37398762495100335</v>
      </c>
      <c r="U534" s="587">
        <f t="shared" si="286"/>
        <v>0.77756532079039153</v>
      </c>
      <c r="V534" s="588">
        <f t="shared" si="287"/>
        <v>-0.86826534346693096</v>
      </c>
      <c r="W534" s="589">
        <f t="shared" si="275"/>
        <v>-9.5878994799952384</v>
      </c>
      <c r="X534" s="590">
        <f t="shared" si="276"/>
        <v>-192.57743430334025</v>
      </c>
      <c r="Y534" s="593">
        <f t="shared" si="277"/>
        <v>-12.577434303340254</v>
      </c>
      <c r="AA534" s="150">
        <f t="shared" si="278"/>
        <v>78077</v>
      </c>
      <c r="AB534" s="150">
        <f t="shared" si="279"/>
        <v>6096017929</v>
      </c>
      <c r="AD534" s="592">
        <f t="shared" si="280"/>
        <v>26.983332704912939</v>
      </c>
      <c r="AE534" s="593">
        <f t="shared" si="281"/>
        <v>-22.400694740159814</v>
      </c>
      <c r="AG534" s="592">
        <f t="shared" si="282"/>
        <v>-6.8127645462107367</v>
      </c>
      <c r="AH534" s="593">
        <f t="shared" si="283"/>
        <v>-70.680860093225888</v>
      </c>
      <c r="AJ534" s="150">
        <f t="shared" si="284"/>
        <v>0</v>
      </c>
      <c r="AK534" s="150">
        <f t="shared" si="264"/>
        <v>0</v>
      </c>
      <c r="AM534" s="150" t="str">
        <f t="shared" si="288"/>
        <v>0.831644318283091+0.985726313148652i</v>
      </c>
      <c r="AN534" s="150" t="str">
        <f t="shared" si="289"/>
        <v>1.401635024766i</v>
      </c>
      <c r="AO534" s="150" t="str">
        <f t="shared" si="290"/>
        <v>0.703268893636-0.59333871056906i</v>
      </c>
      <c r="AP534" s="150" t="str">
        <f t="shared" si="291"/>
        <v>0.0280592802861515-0.164287718858109i</v>
      </c>
      <c r="AQ534" s="150" t="str">
        <f t="shared" si="292"/>
        <v>0.971940719713849+0.164287718858109i</v>
      </c>
      <c r="AR534" s="150" t="str">
        <f t="shared" si="293"/>
        <v>0.833241331101813-0.140843278574967i</v>
      </c>
    </row>
    <row r="535" spans="7:44" x14ac:dyDescent="0.25">
      <c r="G535" s="594">
        <v>78529</v>
      </c>
      <c r="H535" s="582">
        <f t="shared" si="285"/>
        <v>78.528999999999996</v>
      </c>
      <c r="I535" s="583">
        <f t="shared" si="265"/>
        <v>76.622484793920123</v>
      </c>
      <c r="J535" s="584">
        <f t="shared" si="266"/>
        <v>1.5577449569135475</v>
      </c>
      <c r="K535" s="584">
        <f t="shared" si="267"/>
        <v>1.0008998941140006</v>
      </c>
      <c r="L535" s="585">
        <f t="shared" si="268"/>
        <v>4.2408013172786176E-2</v>
      </c>
      <c r="M535" s="584">
        <f t="shared" si="269"/>
        <v>1.2026807711314955</v>
      </c>
      <c r="N535" s="585">
        <f t="shared" si="270"/>
        <v>-0.5890374195225303</v>
      </c>
      <c r="O535" s="583">
        <f t="shared" si="271"/>
        <v>142102.7304295442</v>
      </c>
      <c r="P535" s="586">
        <f t="shared" si="272"/>
        <v>1.5707892896324369</v>
      </c>
      <c r="Q535" s="595">
        <f t="shared" ref="Q535:Q598" si="294">SQRT(1+(G535/Zero2)^2)</f>
        <v>59.217915003687665</v>
      </c>
      <c r="R535" s="596">
        <f t="shared" ref="R535:R598" si="295">ATAN(G535/Zero2)</f>
        <v>1.5539087424672486</v>
      </c>
      <c r="S535" s="583">
        <f t="shared" si="273"/>
        <v>1.0750867966486133</v>
      </c>
      <c r="T535" s="586">
        <f t="shared" si="274"/>
        <v>0.37595486693700297</v>
      </c>
      <c r="U535" s="587">
        <f t="shared" si="286"/>
        <v>0.77573678809472646</v>
      </c>
      <c r="V535" s="588">
        <f t="shared" si="287"/>
        <v>-0.87231927496418815</v>
      </c>
      <c r="W535" s="589">
        <f t="shared" si="275"/>
        <v>-9.6497163645391311</v>
      </c>
      <c r="X535" s="590">
        <f t="shared" si="276"/>
        <v>-193.05979386580904</v>
      </c>
      <c r="Y535" s="593">
        <f t="shared" si="277"/>
        <v>-13.059793865809041</v>
      </c>
      <c r="AA535" s="150">
        <f t="shared" si="278"/>
        <v>78529</v>
      </c>
      <c r="AB535" s="150">
        <f t="shared" si="279"/>
        <v>6166803841</v>
      </c>
      <c r="AD535" s="592">
        <f t="shared" si="280"/>
        <v>26.97659289478451</v>
      </c>
      <c r="AE535" s="593">
        <f t="shared" si="281"/>
        <v>-22.507811297048463</v>
      </c>
      <c r="AG535" s="592">
        <f t="shared" si="282"/>
        <v>-6.826941809984584</v>
      </c>
      <c r="AH535" s="593">
        <f t="shared" si="283"/>
        <v>-70.591556767819213</v>
      </c>
      <c r="AJ535" s="150">
        <f t="shared" si="284"/>
        <v>0</v>
      </c>
      <c r="AK535" s="150">
        <f t="shared" si="264"/>
        <v>0</v>
      </c>
      <c r="AM535" s="150" t="str">
        <f t="shared" si="288"/>
        <v>0.839648237139174+0.987059933412063i</v>
      </c>
      <c r="AN535" s="150" t="str">
        <f t="shared" si="289"/>
        <v>1.409749309782i</v>
      </c>
      <c r="AO535" s="150" t="str">
        <f t="shared" si="290"/>
        <v>0.700166991792817-0.595601098232859i</v>
      </c>
      <c r="AP535" s="150" t="str">
        <f t="shared" si="291"/>
        <v>0.0267252938101377-0.16450998890201i</v>
      </c>
      <c r="AQ535" s="150" t="str">
        <f t="shared" si="292"/>
        <v>0.973274706189862+0.16450998890201i</v>
      </c>
      <c r="AR535" s="150" t="str">
        <f t="shared" si="293"/>
        <v>0.832100179945813-0.140647640894864i</v>
      </c>
    </row>
    <row r="536" spans="7:44" x14ac:dyDescent="0.25">
      <c r="G536" s="594">
        <v>78981</v>
      </c>
      <c r="H536" s="582">
        <f t="shared" si="285"/>
        <v>78.980999999999995</v>
      </c>
      <c r="I536" s="583">
        <f t="shared" si="265"/>
        <v>77.063436301670265</v>
      </c>
      <c r="J536" s="584">
        <f t="shared" si="266"/>
        <v>1.5578196401289983</v>
      </c>
      <c r="K536" s="584">
        <f t="shared" si="267"/>
        <v>1.0009102784877977</v>
      </c>
      <c r="L536" s="585">
        <f t="shared" si="268"/>
        <v>4.2651811637178134E-2</v>
      </c>
      <c r="M536" s="584">
        <f t="shared" si="269"/>
        <v>1.2048216091831427</v>
      </c>
      <c r="N536" s="585">
        <f t="shared" si="270"/>
        <v>-0.59169152278717918</v>
      </c>
      <c r="O536" s="583">
        <f t="shared" si="271"/>
        <v>142920.65035913687</v>
      </c>
      <c r="P536" s="586">
        <f t="shared" si="272"/>
        <v>1.5707893299053814</v>
      </c>
      <c r="Q536" s="595">
        <f t="shared" si="294"/>
        <v>59.558666657103629</v>
      </c>
      <c r="R536" s="596">
        <f t="shared" si="295"/>
        <v>1.5540053701290235</v>
      </c>
      <c r="S536" s="583">
        <f t="shared" si="273"/>
        <v>1.0759230615609812</v>
      </c>
      <c r="T536" s="586">
        <f t="shared" si="274"/>
        <v>0.37791905842343781</v>
      </c>
      <c r="U536" s="587">
        <f t="shared" si="286"/>
        <v>0.7739093589938234</v>
      </c>
      <c r="V536" s="588">
        <f t="shared" si="287"/>
        <v>-0.87636211350899262</v>
      </c>
      <c r="W536" s="589">
        <f t="shared" si="275"/>
        <v>-9.7112750863070492</v>
      </c>
      <c r="X536" s="590">
        <f t="shared" si="276"/>
        <v>-193.54081661026353</v>
      </c>
      <c r="Y536" s="593">
        <f t="shared" si="277"/>
        <v>-13.540816610263533</v>
      </c>
      <c r="AA536" s="150">
        <f t="shared" si="278"/>
        <v>78981</v>
      </c>
      <c r="AB536" s="150">
        <f t="shared" si="279"/>
        <v>6237998361</v>
      </c>
      <c r="AD536" s="592">
        <f t="shared" si="280"/>
        <v>26.969824997571166</v>
      </c>
      <c r="AE536" s="593">
        <f t="shared" si="281"/>
        <v>-22.614817129764809</v>
      </c>
      <c r="AG536" s="592">
        <f t="shared" si="282"/>
        <v>-6.8407610749880057</v>
      </c>
      <c r="AH536" s="593">
        <f t="shared" si="283"/>
        <v>-70.502298507287762</v>
      </c>
      <c r="AJ536" s="150">
        <f t="shared" si="284"/>
        <v>0</v>
      </c>
      <c r="AK536" s="150">
        <f t="shared" si="264"/>
        <v>0</v>
      </c>
      <c r="AM536" s="150" t="str">
        <f t="shared" si="288"/>
        <v>0.847662713757378+0.988328564405701i</v>
      </c>
      <c r="AN536" s="150" t="str">
        <f t="shared" si="289"/>
        <v>1.417863594798i</v>
      </c>
      <c r="AO536" s="150" t="str">
        <f t="shared" si="290"/>
        <v>0.697054757616868-0.597845037327545i</v>
      </c>
      <c r="AP536" s="150" t="str">
        <f t="shared" si="291"/>
        <v>0.0253895477071037-0.16472142740095i</v>
      </c>
      <c r="AQ536" s="150" t="str">
        <f t="shared" si="292"/>
        <v>0.974610452292896+0.16472142740095i</v>
      </c>
      <c r="AR536" s="150" t="str">
        <f t="shared" si="293"/>
        <v>0.830963768339934-0.140443330683972i</v>
      </c>
    </row>
    <row r="537" spans="7:44" x14ac:dyDescent="0.25">
      <c r="G537" s="594">
        <v>79433</v>
      </c>
      <c r="H537" s="582">
        <f t="shared" si="285"/>
        <v>79.433000000000007</v>
      </c>
      <c r="I537" s="583">
        <f t="shared" si="265"/>
        <v>77.504388234357179</v>
      </c>
      <c r="J537" s="584">
        <f t="shared" si="266"/>
        <v>1.5578934735424406</v>
      </c>
      <c r="K537" s="584">
        <f t="shared" si="267"/>
        <v>1.0009207223521543</v>
      </c>
      <c r="L537" s="585">
        <f t="shared" si="268"/>
        <v>4.2895605028348535E-2</v>
      </c>
      <c r="M537" s="584">
        <f t="shared" si="269"/>
        <v>1.2069709041740944</v>
      </c>
      <c r="N537" s="585">
        <f t="shared" si="270"/>
        <v>-0.59433619211877398</v>
      </c>
      <c r="O537" s="583">
        <f t="shared" si="271"/>
        <v>143738.57028872977</v>
      </c>
      <c r="P537" s="586">
        <f t="shared" si="272"/>
        <v>1.5707893697199933</v>
      </c>
      <c r="Q537" s="595">
        <f t="shared" si="294"/>
        <v>59.899418860286261</v>
      </c>
      <c r="R537" s="596">
        <f t="shared" si="295"/>
        <v>1.5541008984124471</v>
      </c>
      <c r="S537" s="583">
        <f t="shared" si="273"/>
        <v>1.0767634709793772</v>
      </c>
      <c r="T537" s="586">
        <f t="shared" si="274"/>
        <v>0.37988019137960105</v>
      </c>
      <c r="U537" s="587">
        <f t="shared" si="286"/>
        <v>0.77208310514580392</v>
      </c>
      <c r="V537" s="588">
        <f t="shared" si="287"/>
        <v>-0.88039390550282337</v>
      </c>
      <c r="W537" s="589">
        <f t="shared" si="275"/>
        <v>-9.7725786731425686</v>
      </c>
      <c r="X537" s="590">
        <f t="shared" si="276"/>
        <v>-194.02050523262793</v>
      </c>
      <c r="Y537" s="593">
        <f t="shared" si="277"/>
        <v>-14.020505232627926</v>
      </c>
      <c r="AA537" s="150">
        <f t="shared" si="278"/>
        <v>79433</v>
      </c>
      <c r="AB537" s="150">
        <f t="shared" si="279"/>
        <v>6309601489</v>
      </c>
      <c r="AD537" s="592">
        <f t="shared" si="280"/>
        <v>26.963029155858283</v>
      </c>
      <c r="AE537" s="593">
        <f t="shared" si="281"/>
        <v>-22.721710685084041</v>
      </c>
      <c r="AG537" s="592">
        <f t="shared" si="282"/>
        <v>-6.854226843202385</v>
      </c>
      <c r="AH537" s="593">
        <f t="shared" si="283"/>
        <v>-70.413084243562793</v>
      </c>
      <c r="AJ537" s="150">
        <f t="shared" si="284"/>
        <v>0</v>
      </c>
      <c r="AK537" s="150">
        <f t="shared" si="264"/>
        <v>0</v>
      </c>
      <c r="AM537" s="150" t="str">
        <f t="shared" si="288"/>
        <v>0.855687220454462+0.989532122601303i</v>
      </c>
      <c r="AN537" s="150" t="str">
        <f t="shared" si="289"/>
        <v>1.425977879814i</v>
      </c>
      <c r="AO537" s="150" t="str">
        <f t="shared" si="290"/>
        <v>0.693932308915181-0.600070472738382i</v>
      </c>
      <c r="AP537" s="150" t="str">
        <f t="shared" si="291"/>
        <v>0.0240521299242563-0.164922020433551i</v>
      </c>
      <c r="AQ537" s="150" t="str">
        <f t="shared" si="292"/>
        <v>0.975947870075744+0.164922020433551i</v>
      </c>
      <c r="AR537" s="150" t="str">
        <f t="shared" si="293"/>
        <v>0.829832143969204-0.14023043443241i</v>
      </c>
    </row>
    <row r="538" spans="7:44" x14ac:dyDescent="0.25">
      <c r="G538" s="594">
        <v>79895.5</v>
      </c>
      <c r="H538" s="582">
        <f t="shared" si="285"/>
        <v>79.895499999999998</v>
      </c>
      <c r="I538" s="583">
        <f t="shared" si="265"/>
        <v>77.955583951799213</v>
      </c>
      <c r="J538" s="584">
        <f t="shared" si="266"/>
        <v>1.5579681575115678</v>
      </c>
      <c r="K538" s="584">
        <f t="shared" si="267"/>
        <v>1.0009314704060293</v>
      </c>
      <c r="L538" s="585">
        <f t="shared" si="268"/>
        <v>4.3145056480139415E-2</v>
      </c>
      <c r="M538" s="584">
        <f t="shared" si="269"/>
        <v>1.2091788343399203</v>
      </c>
      <c r="N538" s="585">
        <f t="shared" si="270"/>
        <v>-0.5970325461404542</v>
      </c>
      <c r="O538" s="583">
        <f t="shared" si="271"/>
        <v>144575.49057066962</v>
      </c>
      <c r="P538" s="586">
        <f t="shared" si="272"/>
        <v>1.5707894099931894</v>
      </c>
      <c r="Q538" s="595">
        <f t="shared" si="294"/>
        <v>60.248087326645141</v>
      </c>
      <c r="R538" s="596">
        <f t="shared" si="295"/>
        <v>1.5541975272997641</v>
      </c>
      <c r="S538" s="583">
        <f t="shared" si="273"/>
        <v>1.0776276831080607</v>
      </c>
      <c r="T538" s="586">
        <f t="shared" si="274"/>
        <v>0.38188370744535344</v>
      </c>
      <c r="U538" s="587">
        <f t="shared" si="286"/>
        <v>0.77021571717171355</v>
      </c>
      <c r="V538" s="588">
        <f t="shared" si="287"/>
        <v>-0.88450797081462262</v>
      </c>
      <c r="W538" s="589">
        <f t="shared" si="275"/>
        <v>-9.8350453575224428</v>
      </c>
      <c r="X538" s="590">
        <f t="shared" si="276"/>
        <v>-194.5099589733733</v>
      </c>
      <c r="Y538" s="593">
        <f t="shared" si="277"/>
        <v>-14.509958973373301</v>
      </c>
      <c r="AA538" s="150">
        <f t="shared" si="278"/>
        <v>79895.5</v>
      </c>
      <c r="AB538" s="150">
        <f t="shared" si="279"/>
        <v>6383290920.25</v>
      </c>
      <c r="AD538" s="592">
        <f t="shared" si="280"/>
        <v>26.956046669336288</v>
      </c>
      <c r="AE538" s="593">
        <f t="shared" si="281"/>
        <v>-22.830969580025005</v>
      </c>
      <c r="AG538" s="592">
        <f t="shared" si="282"/>
        <v>-6.867644137952249</v>
      </c>
      <c r="AH538" s="593">
        <f t="shared" si="283"/>
        <v>-70.321841930813903</v>
      </c>
      <c r="AJ538" s="150">
        <f t="shared" si="284"/>
        <v>0</v>
      </c>
      <c r="AK538" s="150">
        <f t="shared" ref="AK538:AK601" si="296">IF(AJ538&gt;0,Y538,0)</f>
        <v>0</v>
      </c>
      <c r="AM538" s="150" t="str">
        <f t="shared" si="288"/>
        <v>0.863907968301823+0.990696199098524i</v>
      </c>
      <c r="AN538" s="150" t="str">
        <f t="shared" si="289"/>
        <v>1.434280660389i</v>
      </c>
      <c r="AO538" s="150" t="str">
        <f t="shared" si="290"/>
        <v>0.690726875470685-0.602328395104705i</v>
      </c>
      <c r="AP538" s="150" t="str">
        <f t="shared" si="291"/>
        <v>0.0226820052830295-0.165116033183087i</v>
      </c>
      <c r="AQ538" s="150" t="str">
        <f t="shared" si="292"/>
        <v>0.97731799471697+0.165116033183087i</v>
      </c>
      <c r="AR538" s="150" t="str">
        <f t="shared" si="293"/>
        <v>0.828679235542299-0.140003794971116i</v>
      </c>
    </row>
    <row r="539" spans="7:44" x14ac:dyDescent="0.25">
      <c r="G539" s="594">
        <v>80358</v>
      </c>
      <c r="H539" s="582">
        <f t="shared" si="285"/>
        <v>80.358000000000004</v>
      </c>
      <c r="I539" s="583">
        <f t="shared" si="265"/>
        <v>78.406780099049456</v>
      </c>
      <c r="J539" s="584">
        <f t="shared" si="266"/>
        <v>1.5580419819350511</v>
      </c>
      <c r="K539" s="584">
        <f t="shared" si="267"/>
        <v>1.0009422807425532</v>
      </c>
      <c r="L539" s="585">
        <f t="shared" si="268"/>
        <v>4.339450255922099E-2</v>
      </c>
      <c r="M539" s="584">
        <f t="shared" si="269"/>
        <v>1.2113955235456701</v>
      </c>
      <c r="N539" s="585">
        <f t="shared" si="270"/>
        <v>-0.59971905171151729</v>
      </c>
      <c r="O539" s="583">
        <f t="shared" si="271"/>
        <v>145412.4108526097</v>
      </c>
      <c r="P539" s="586">
        <f t="shared" si="272"/>
        <v>1.5707894498028012</v>
      </c>
      <c r="Q539" s="595">
        <f t="shared" si="294"/>
        <v>60.596756349075285</v>
      </c>
      <c r="R539" s="596">
        <f t="shared" si="295"/>
        <v>1.554293044197762</v>
      </c>
      <c r="S539" s="583">
        <f t="shared" si="273"/>
        <v>1.0784962139742786</v>
      </c>
      <c r="T539" s="586">
        <f t="shared" si="274"/>
        <v>0.38388400460035116</v>
      </c>
      <c r="U539" s="587">
        <f t="shared" si="286"/>
        <v>0.76834970734367303</v>
      </c>
      <c r="V539" s="588">
        <f t="shared" si="287"/>
        <v>-0.88861057013700551</v>
      </c>
      <c r="W539" s="589">
        <f t="shared" si="275"/>
        <v>-9.8972511639469758</v>
      </c>
      <c r="X539" s="590">
        <f t="shared" si="276"/>
        <v>-194.99802180188885</v>
      </c>
      <c r="Y539" s="593">
        <f t="shared" si="277"/>
        <v>-14.998021801888854</v>
      </c>
      <c r="AA539" s="150">
        <f t="shared" si="278"/>
        <v>80358</v>
      </c>
      <c r="AB539" s="150">
        <f t="shared" si="279"/>
        <v>6457408164</v>
      </c>
      <c r="AD539" s="592">
        <f t="shared" si="280"/>
        <v>26.949035227656548</v>
      </c>
      <c r="AE539" s="593">
        <f t="shared" si="281"/>
        <v>-22.94010773069839</v>
      </c>
      <c r="AG539" s="592">
        <f t="shared" si="282"/>
        <v>-6.8807006433154463</v>
      </c>
      <c r="AH539" s="593">
        <f t="shared" si="283"/>
        <v>-70.230643355707343</v>
      </c>
      <c r="AJ539" s="150">
        <f t="shared" si="284"/>
        <v>0</v>
      </c>
      <c r="AK539" s="150">
        <f t="shared" si="296"/>
        <v>0</v>
      </c>
      <c r="AM539" s="150" t="str">
        <f t="shared" si="288"/>
        <v>0.872138097758079+0.991791981191156i</v>
      </c>
      <c r="AN539" s="150" t="str">
        <f t="shared" si="289"/>
        <v>1.442583440964i</v>
      </c>
      <c r="AO539" s="150" t="str">
        <f t="shared" si="290"/>
        <v>0.687510997997035-0.604566829891848i</v>
      </c>
      <c r="AP539" s="150" t="str">
        <f t="shared" si="291"/>
        <v>0.0213103170403202-0.165298663531859i</v>
      </c>
      <c r="AQ539" s="150" t="str">
        <f t="shared" si="292"/>
        <v>0.97868968295968+0.165298663531859i</v>
      </c>
      <c r="AR539" s="150" t="str">
        <f t="shared" si="293"/>
        <v>0.82753143609751-0.139768348230512i</v>
      </c>
    </row>
    <row r="540" spans="7:44" x14ac:dyDescent="0.25">
      <c r="G540" s="594">
        <v>80820.5</v>
      </c>
      <c r="H540" s="582">
        <f t="shared" si="285"/>
        <v>80.820499999999996</v>
      </c>
      <c r="I540" s="583">
        <f t="shared" si="265"/>
        <v>78.857976668730259</v>
      </c>
      <c r="J540" s="584">
        <f t="shared" si="266"/>
        <v>1.5581149615660983</v>
      </c>
      <c r="K540" s="584">
        <f t="shared" si="267"/>
        <v>1.0009531533597074</v>
      </c>
      <c r="L540" s="585">
        <f t="shared" si="268"/>
        <v>4.3643943234725119E-2</v>
      </c>
      <c r="M540" s="584">
        <f t="shared" si="269"/>
        <v>1.2136209237959557</v>
      </c>
      <c r="N540" s="585">
        <f t="shared" si="270"/>
        <v>-0.60239572412431064</v>
      </c>
      <c r="O540" s="583">
        <f t="shared" si="271"/>
        <v>146249.33113455004</v>
      </c>
      <c r="P540" s="586">
        <f t="shared" si="272"/>
        <v>1.5707894891567875</v>
      </c>
      <c r="Q540" s="595">
        <f t="shared" si="294"/>
        <v>60.945425918032832</v>
      </c>
      <c r="R540" s="596">
        <f t="shared" si="295"/>
        <v>1.5543874681897987</v>
      </c>
      <c r="S540" s="583">
        <f t="shared" si="273"/>
        <v>1.0793690531526159</v>
      </c>
      <c r="T540" s="586">
        <f t="shared" si="274"/>
        <v>0.38588107462726867</v>
      </c>
      <c r="U540" s="587">
        <f t="shared" si="286"/>
        <v>0.76648514825815284</v>
      </c>
      <c r="V540" s="588">
        <f t="shared" si="287"/>
        <v>-0.8927017546272753</v>
      </c>
      <c r="W540" s="589">
        <f t="shared" si="275"/>
        <v>-9.959199170886329</v>
      </c>
      <c r="X540" s="590">
        <f t="shared" si="276"/>
        <v>-195.48469680876642</v>
      </c>
      <c r="Y540" s="593">
        <f t="shared" si="277"/>
        <v>-15.484696808766415</v>
      </c>
      <c r="AA540" s="150">
        <f t="shared" si="278"/>
        <v>80820.5</v>
      </c>
      <c r="AB540" s="150">
        <f t="shared" si="279"/>
        <v>6531953220.25</v>
      </c>
      <c r="AD540" s="592">
        <f t="shared" si="280"/>
        <v>26.941994984240409</v>
      </c>
      <c r="AE540" s="593">
        <f t="shared" si="281"/>
        <v>-23.049123573346261</v>
      </c>
      <c r="AG540" s="592">
        <f t="shared" si="282"/>
        <v>-6.8934009671302405</v>
      </c>
      <c r="AH540" s="593">
        <f t="shared" si="283"/>
        <v>-70.139487310397641</v>
      </c>
      <c r="AJ540" s="150">
        <f t="shared" si="284"/>
        <v>0</v>
      </c>
      <c r="AK540" s="150">
        <f t="shared" si="296"/>
        <v>0</v>
      </c>
      <c r="AM540" s="150" t="str">
        <f t="shared" si="288"/>
        <v>0.880377041472925+0.992819393340616i</v>
      </c>
      <c r="AN540" s="150" t="str">
        <f t="shared" si="289"/>
        <v>1.450886221539i</v>
      </c>
      <c r="AO540" s="150" t="str">
        <f t="shared" si="290"/>
        <v>0.684284803730166-0.606785720619141i</v>
      </c>
      <c r="AP540" s="150" t="str">
        <f t="shared" si="291"/>
        <v>0.0199371597545125-0.165469898890103i</v>
      </c>
      <c r="AQ540" s="150" t="str">
        <f t="shared" si="292"/>
        <v>0.980062840245488+0.165469898890103i</v>
      </c>
      <c r="AR540" s="150" t="str">
        <f t="shared" si="293"/>
        <v>0.826388792438457-0.139524185912869i</v>
      </c>
    </row>
    <row r="541" spans="7:44" x14ac:dyDescent="0.25">
      <c r="G541" s="594">
        <v>81283</v>
      </c>
      <c r="H541" s="582">
        <f t="shared" si="285"/>
        <v>81.283000000000001</v>
      </c>
      <c r="I541" s="583">
        <f t="shared" si="265"/>
        <v>79.309173653631916</v>
      </c>
      <c r="J541" s="584">
        <f t="shared" si="266"/>
        <v>1.5581871108222247</v>
      </c>
      <c r="K541" s="584">
        <f t="shared" si="267"/>
        <v>1.0009640882554629</v>
      </c>
      <c r="L541" s="585">
        <f t="shared" si="268"/>
        <v>4.3893378475787663E-2</v>
      </c>
      <c r="M541" s="584">
        <f t="shared" si="269"/>
        <v>1.2158549872588555</v>
      </c>
      <c r="N541" s="585">
        <f t="shared" si="270"/>
        <v>-0.60506257912304373</v>
      </c>
      <c r="O541" s="583">
        <f t="shared" si="271"/>
        <v>147086.25141649056</v>
      </c>
      <c r="P541" s="586">
        <f t="shared" si="272"/>
        <v>1.5707895280629256</v>
      </c>
      <c r="Q541" s="595">
        <f t="shared" si="294"/>
        <v>61.294096024191077</v>
      </c>
      <c r="R541" s="596">
        <f t="shared" si="295"/>
        <v>1.5544808179250897</v>
      </c>
      <c r="S541" s="583">
        <f t="shared" si="273"/>
        <v>1.0802461901997207</v>
      </c>
      <c r="T541" s="586">
        <f t="shared" si="274"/>
        <v>0.38787490943823794</v>
      </c>
      <c r="U541" s="587">
        <f t="shared" si="286"/>
        <v>0.76462211112956457</v>
      </c>
      <c r="V541" s="588">
        <f t="shared" si="287"/>
        <v>-0.89678157590223895</v>
      </c>
      <c r="W541" s="589">
        <f t="shared" si="275"/>
        <v>-10.020892403714317</v>
      </c>
      <c r="X541" s="590">
        <f t="shared" si="276"/>
        <v>-195.96998714986262</v>
      </c>
      <c r="Y541" s="593">
        <f t="shared" si="277"/>
        <v>-15.969987149862618</v>
      </c>
      <c r="AA541" s="150">
        <f t="shared" si="278"/>
        <v>81283</v>
      </c>
      <c r="AB541" s="150">
        <f t="shared" si="279"/>
        <v>6606926089</v>
      </c>
      <c r="AD541" s="592">
        <f t="shared" si="280"/>
        <v>26.934926092704558</v>
      </c>
      <c r="AE541" s="593">
        <f t="shared" si="281"/>
        <v>-23.158015576492154</v>
      </c>
      <c r="AG541" s="592">
        <f t="shared" si="282"/>
        <v>-6.9057496473865125</v>
      </c>
      <c r="AH541" s="593">
        <f t="shared" si="283"/>
        <v>-70.048372567367537</v>
      </c>
      <c r="AJ541" s="150">
        <f t="shared" si="284"/>
        <v>0</v>
      </c>
      <c r="AK541" s="150">
        <f t="shared" si="296"/>
        <v>0</v>
      </c>
      <c r="AM541" s="150" t="str">
        <f t="shared" si="288"/>
        <v>0.888624231488439+0.99377836472146i</v>
      </c>
      <c r="AN541" s="150" t="str">
        <f t="shared" si="289"/>
        <v>1.459189002114i</v>
      </c>
      <c r="AO541" s="150" t="str">
        <f t="shared" si="290"/>
        <v>0.681048420240095-0.608985011675009i</v>
      </c>
      <c r="AP541" s="150" t="str">
        <f t="shared" si="291"/>
        <v>0.0185626280852602-0.165629727453577i</v>
      </c>
      <c r="AQ541" s="150" t="str">
        <f t="shared" si="292"/>
        <v>0.98143737191474+0.165629727453577i</v>
      </c>
      <c r="AR541" s="150" t="str">
        <f t="shared" si="293"/>
        <v>0.82525134996738-0.139271399365122i</v>
      </c>
    </row>
    <row r="542" spans="7:44" x14ac:dyDescent="0.25">
      <c r="G542" s="594">
        <v>81756.25</v>
      </c>
      <c r="H542" s="582">
        <f t="shared" si="285"/>
        <v>81.756249999999994</v>
      </c>
      <c r="I542" s="583">
        <f t="shared" si="265"/>
        <v>79.770858342264162</v>
      </c>
      <c r="J542" s="584">
        <f t="shared" si="266"/>
        <v>1.5582600922084204</v>
      </c>
      <c r="K542" s="584">
        <f t="shared" si="267"/>
        <v>1.0009753417782903</v>
      </c>
      <c r="L542" s="585">
        <f t="shared" si="268"/>
        <v>4.4148605743259212E-2</v>
      </c>
      <c r="M542" s="584">
        <f t="shared" si="269"/>
        <v>1.2181498954741647</v>
      </c>
      <c r="N542" s="585">
        <f t="shared" si="270"/>
        <v>-0.60778127502113866</v>
      </c>
      <c r="O542" s="583">
        <f t="shared" si="271"/>
        <v>147942.62444011969</v>
      </c>
      <c r="P542" s="586">
        <f t="shared" si="272"/>
        <v>1.5707895674177137</v>
      </c>
      <c r="Q542" s="595">
        <f t="shared" si="294"/>
        <v>61.650870901005796</v>
      </c>
      <c r="R542" s="596">
        <f t="shared" si="295"/>
        <v>1.5545752444216898</v>
      </c>
      <c r="S542" s="583">
        <f t="shared" si="273"/>
        <v>1.0811481527185705</v>
      </c>
      <c r="T542" s="586">
        <f t="shared" si="274"/>
        <v>0.3899117302500032</v>
      </c>
      <c r="U542" s="587">
        <f t="shared" si="286"/>
        <v>0.762717419257671</v>
      </c>
      <c r="V542" s="588">
        <f t="shared" si="287"/>
        <v>-0.90094451730557512</v>
      </c>
      <c r="W542" s="589">
        <f t="shared" si="275"/>
        <v>-10.083758963325593</v>
      </c>
      <c r="X542" s="590">
        <f t="shared" si="276"/>
        <v>-196.46512725538187</v>
      </c>
      <c r="Y542" s="593">
        <f t="shared" si="277"/>
        <v>-16.465127255381873</v>
      </c>
      <c r="AA542" s="150">
        <f t="shared" si="278"/>
        <v>81756.25</v>
      </c>
      <c r="AB542" s="150">
        <f t="shared" si="279"/>
        <v>6684084414.0625</v>
      </c>
      <c r="AD542" s="592">
        <f t="shared" si="280"/>
        <v>26.927663402968022</v>
      </c>
      <c r="AE542" s="593">
        <f t="shared" si="281"/>
        <v>-23.269308827891763</v>
      </c>
      <c r="AG542" s="592">
        <f t="shared" si="282"/>
        <v>-6.9180260143953412</v>
      </c>
      <c r="AH542" s="593">
        <f t="shared" si="283"/>
        <v>-69.955181475399257</v>
      </c>
      <c r="AJ542" s="150">
        <f t="shared" si="284"/>
        <v>0</v>
      </c>
      <c r="AK542" s="150">
        <f t="shared" si="296"/>
        <v>0</v>
      </c>
      <c r="AM542" s="150" t="str">
        <f t="shared" si="288"/>
        <v>0.897071055917535+0.994688711341427i</v>
      </c>
      <c r="AN542" s="150" t="str">
        <f t="shared" si="289"/>
        <v>1.4676847662375i</v>
      </c>
      <c r="AO542" s="150" t="str">
        <f t="shared" si="290"/>
        <v>0.677726398899249-0.611215075984765i</v>
      </c>
      <c r="AP542" s="150" t="str">
        <f t="shared" si="291"/>
        <v>0.0171548240137442-0.165781451890238i</v>
      </c>
      <c r="AQ542" s="150" t="str">
        <f t="shared" si="292"/>
        <v>0.982845175986256+0.165781451890238i</v>
      </c>
      <c r="AR542" s="150" t="str">
        <f t="shared" si="293"/>
        <v>0.824092899489726-0.139003904895549i</v>
      </c>
    </row>
    <row r="543" spans="7:44" x14ac:dyDescent="0.25">
      <c r="G543" s="594">
        <v>82229.5</v>
      </c>
      <c r="H543" s="582">
        <f t="shared" si="285"/>
        <v>82.229500000000002</v>
      </c>
      <c r="I543" s="583">
        <f t="shared" si="265"/>
        <v>80.232543450888727</v>
      </c>
      <c r="J543" s="584">
        <f t="shared" si="266"/>
        <v>1.5583322336759871</v>
      </c>
      <c r="K543" s="584">
        <f t="shared" si="267"/>
        <v>1.0009866605041418</v>
      </c>
      <c r="L543" s="585">
        <f t="shared" si="268"/>
        <v>4.4403827255355882E-2</v>
      </c>
      <c r="M543" s="584">
        <f t="shared" si="269"/>
        <v>1.220453773510354</v>
      </c>
      <c r="N543" s="585">
        <f t="shared" si="270"/>
        <v>-0.61048972658862499</v>
      </c>
      <c r="O543" s="583">
        <f t="shared" si="271"/>
        <v>148798.99746374905</v>
      </c>
      <c r="P543" s="586">
        <f t="shared" si="272"/>
        <v>1.5707896063195099</v>
      </c>
      <c r="Q543" s="595">
        <f t="shared" si="294"/>
        <v>62.007646321196411</v>
      </c>
      <c r="R543" s="596">
        <f t="shared" si="295"/>
        <v>1.5546685843094783</v>
      </c>
      <c r="S543" s="583">
        <f t="shared" si="273"/>
        <v>1.082054593042423</v>
      </c>
      <c r="T543" s="586">
        <f t="shared" si="274"/>
        <v>0.39194514698433036</v>
      </c>
      <c r="U543" s="587">
        <f t="shared" si="286"/>
        <v>0.76081446739878156</v>
      </c>
      <c r="V543" s="588">
        <f t="shared" si="287"/>
        <v>-0.90509567187706774</v>
      </c>
      <c r="W543" s="589">
        <f t="shared" si="275"/>
        <v>-10.146365011739221</v>
      </c>
      <c r="X543" s="590">
        <f t="shared" si="276"/>
        <v>-196.95882446711329</v>
      </c>
      <c r="Y543" s="593">
        <f t="shared" si="277"/>
        <v>-16.958824467113288</v>
      </c>
      <c r="AA543" s="150">
        <f t="shared" si="278"/>
        <v>82229.5</v>
      </c>
      <c r="AB543" s="150">
        <f t="shared" si="279"/>
        <v>6761690670.25</v>
      </c>
      <c r="AD543" s="592">
        <f t="shared" si="280"/>
        <v>26.920371043869086</v>
      </c>
      <c r="AE543" s="593">
        <f t="shared" si="281"/>
        <v>-23.380469272165239</v>
      </c>
      <c r="AG543" s="592">
        <f t="shared" si="282"/>
        <v>-6.9299435960914648</v>
      </c>
      <c r="AH543" s="593">
        <f t="shared" si="283"/>
        <v>-69.862030968207762</v>
      </c>
      <c r="AJ543" s="150">
        <f t="shared" si="284"/>
        <v>0</v>
      </c>
      <c r="AK543" s="150">
        <f t="shared" si="296"/>
        <v>0</v>
      </c>
      <c r="AM543" s="150" t="str">
        <f t="shared" si="288"/>
        <v>0.905525309508099+0.995527263743419i</v>
      </c>
      <c r="AN543" s="150" t="str">
        <f t="shared" si="289"/>
        <v>1.476180530361i</v>
      </c>
      <c r="AO543" s="150" t="str">
        <f t="shared" si="290"/>
        <v>0.674393980457094-0.613424503903091i</v>
      </c>
      <c r="AP543" s="150" t="str">
        <f t="shared" si="291"/>
        <v>0.0157457817486501-0.165921210623903i</v>
      </c>
      <c r="AQ543" s="150" t="str">
        <f t="shared" si="292"/>
        <v>0.98425421825135+0.165921210623903i</v>
      </c>
      <c r="AR543" s="150" t="str">
        <f t="shared" si="293"/>
        <v>0.822939986573535-0.138727572928959i</v>
      </c>
    </row>
    <row r="544" spans="7:44" x14ac:dyDescent="0.25">
      <c r="G544" s="594">
        <v>82702.75</v>
      </c>
      <c r="H544" s="582">
        <f t="shared" si="285"/>
        <v>82.702749999999995</v>
      </c>
      <c r="I544" s="583">
        <f t="shared" si="265"/>
        <v>80.694228972296756</v>
      </c>
      <c r="J544" s="584">
        <f t="shared" si="266"/>
        <v>1.5584035496407473</v>
      </c>
      <c r="K544" s="584">
        <f t="shared" si="267"/>
        <v>1.0009980444308058</v>
      </c>
      <c r="L544" s="585">
        <f t="shared" si="268"/>
        <v>4.465904297902424E-2</v>
      </c>
      <c r="M544" s="584">
        <f t="shared" si="269"/>
        <v>1.2227665706659077</v>
      </c>
      <c r="N544" s="585">
        <f t="shared" si="270"/>
        <v>-0.61318795210654309</v>
      </c>
      <c r="O544" s="583">
        <f t="shared" si="271"/>
        <v>149655.37048737862</v>
      </c>
      <c r="P544" s="586">
        <f t="shared" si="272"/>
        <v>1.5707896447760907</v>
      </c>
      <c r="Q544" s="595">
        <f t="shared" si="294"/>
        <v>62.364422275437256</v>
      </c>
      <c r="R544" s="596">
        <f t="shared" si="295"/>
        <v>1.5547608562357116</v>
      </c>
      <c r="S544" s="583">
        <f t="shared" si="273"/>
        <v>1.0829654999275329</v>
      </c>
      <c r="T544" s="586">
        <f t="shared" si="274"/>
        <v>0.39397515139452766</v>
      </c>
      <c r="U544" s="587">
        <f t="shared" si="286"/>
        <v>0.75891332743962026</v>
      </c>
      <c r="V544" s="588">
        <f t="shared" si="287"/>
        <v>-0.90923509632105615</v>
      </c>
      <c r="W544" s="589">
        <f t="shared" si="275"/>
        <v>-10.208713625766846</v>
      </c>
      <c r="X544" s="590">
        <f t="shared" si="276"/>
        <v>-197.45108236879827</v>
      </c>
      <c r="Y544" s="593">
        <f t="shared" si="277"/>
        <v>-17.451082368798268</v>
      </c>
      <c r="AA544" s="150">
        <f t="shared" si="278"/>
        <v>82702.75</v>
      </c>
      <c r="AB544" s="150">
        <f t="shared" si="279"/>
        <v>6839744857.5625</v>
      </c>
      <c r="AD544" s="592">
        <f t="shared" si="280"/>
        <v>26.91304918052915</v>
      </c>
      <c r="AE544" s="593">
        <f t="shared" si="281"/>
        <v>-23.491495368848419</v>
      </c>
      <c r="AG544" s="592">
        <f t="shared" si="282"/>
        <v>-6.9415070356734159</v>
      </c>
      <c r="AH544" s="593">
        <f t="shared" si="283"/>
        <v>-69.768919672159839</v>
      </c>
      <c r="AJ544" s="150">
        <f t="shared" si="284"/>
        <v>0</v>
      </c>
      <c r="AK544" s="150">
        <f t="shared" si="296"/>
        <v>0</v>
      </c>
      <c r="AM544" s="150" t="str">
        <f t="shared" si="288"/>
        <v>0.913986382052619+0.996293961402759i</v>
      </c>
      <c r="AN544" s="150" t="str">
        <f t="shared" si="289"/>
        <v>1.4846762944845i</v>
      </c>
      <c r="AO544" s="150" t="str">
        <f t="shared" si="290"/>
        <v>0.671051302633404-0.615613238689157i</v>
      </c>
      <c r="AP544" s="150" t="str">
        <f t="shared" si="291"/>
        <v>0.0143356029912302-0.166048993567127i</v>
      </c>
      <c r="AQ544" s="150" t="str">
        <f t="shared" si="292"/>
        <v>0.98566439700877+0.166048993567127i</v>
      </c>
      <c r="AR544" s="150" t="str">
        <f t="shared" si="293"/>
        <v>0.821792655445081-0.138442500075711i</v>
      </c>
    </row>
    <row r="545" spans="7:44" x14ac:dyDescent="0.25">
      <c r="G545" s="594">
        <v>83176</v>
      </c>
      <c r="H545" s="582">
        <f t="shared" si="285"/>
        <v>83.176000000000002</v>
      </c>
      <c r="I545" s="583">
        <f t="shared" si="265"/>
        <v>81.155914899443445</v>
      </c>
      <c r="J545" s="584">
        <f t="shared" si="266"/>
        <v>1.5584740541905184</v>
      </c>
      <c r="K545" s="584">
        <f t="shared" si="267"/>
        <v>1.0010094935560574</v>
      </c>
      <c r="L545" s="585">
        <f t="shared" si="268"/>
        <v>4.4914252881215339E-2</v>
      </c>
      <c r="M545" s="584">
        <f t="shared" si="269"/>
        <v>1.2250882364266356</v>
      </c>
      <c r="N545" s="585">
        <f t="shared" si="270"/>
        <v>-0.6158759703137503</v>
      </c>
      <c r="O545" s="583">
        <f t="shared" si="271"/>
        <v>150511.74351100839</v>
      </c>
      <c r="P545" s="586">
        <f t="shared" si="272"/>
        <v>1.5707896827950554</v>
      </c>
      <c r="Q545" s="595">
        <f t="shared" si="294"/>
        <v>62.721198754614853</v>
      </c>
      <c r="R545" s="596">
        <f t="shared" si="295"/>
        <v>1.5548520784234354</v>
      </c>
      <c r="S545" s="583">
        <f t="shared" si="273"/>
        <v>1.0838808621126401</v>
      </c>
      <c r="T545" s="586">
        <f t="shared" si="274"/>
        <v>0.39600173537405209</v>
      </c>
      <c r="U545" s="587">
        <f t="shared" si="286"/>
        <v>0.75701406980890096</v>
      </c>
      <c r="V545" s="588">
        <f t="shared" si="287"/>
        <v>-0.91336284778556398</v>
      </c>
      <c r="W545" s="589">
        <f t="shared" si="275"/>
        <v>-10.270807829403799</v>
      </c>
      <c r="X545" s="590">
        <f t="shared" si="276"/>
        <v>-197.94190460936173</v>
      </c>
      <c r="Y545" s="593">
        <f t="shared" si="277"/>
        <v>-17.941904609361728</v>
      </c>
      <c r="AA545" s="150">
        <f t="shared" si="278"/>
        <v>83176</v>
      </c>
      <c r="AB545" s="150">
        <f t="shared" si="279"/>
        <v>6918246976</v>
      </c>
      <c r="AD545" s="592">
        <f t="shared" si="280"/>
        <v>26.905697978221941</v>
      </c>
      <c r="AE545" s="593">
        <f t="shared" si="281"/>
        <v>-23.602385609802393</v>
      </c>
      <c r="AG545" s="592">
        <f t="shared" si="282"/>
        <v>-6.9527209053675323</v>
      </c>
      <c r="AH545" s="593">
        <f t="shared" si="283"/>
        <v>-69.6758461956384</v>
      </c>
      <c r="AJ545" s="150">
        <f t="shared" si="284"/>
        <v>0</v>
      </c>
      <c r="AK545" s="150">
        <f t="shared" si="296"/>
        <v>0</v>
      </c>
      <c r="AM545" s="150" t="str">
        <f t="shared" si="288"/>
        <v>0.922453662851404+0.996988748981069i</v>
      </c>
      <c r="AN545" s="150" t="str">
        <f t="shared" si="289"/>
        <v>1.493172058608i</v>
      </c>
      <c r="AO545" s="150" t="str">
        <f t="shared" si="290"/>
        <v>0.667698503486936-0.617781224563869i</v>
      </c>
      <c r="AP545" s="150" t="str">
        <f t="shared" si="291"/>
        <v>0.0129243895247659-0.166164791496845i</v>
      </c>
      <c r="AQ545" s="150" t="str">
        <f t="shared" si="292"/>
        <v>0.987075610475234+0.166164791496845i</v>
      </c>
      <c r="AR545" s="150" t="str">
        <f t="shared" si="293"/>
        <v>0.820650948889129-0.138148782491138i</v>
      </c>
    </row>
    <row r="546" spans="7:44" x14ac:dyDescent="0.25">
      <c r="G546" s="594">
        <v>83660.5</v>
      </c>
      <c r="H546" s="582">
        <f t="shared" si="285"/>
        <v>83.660499999999999</v>
      </c>
      <c r="I546" s="583">
        <f t="shared" si="265"/>
        <v>81.628576341001917</v>
      </c>
      <c r="J546" s="584">
        <f t="shared" si="266"/>
        <v>1.5585454085573092</v>
      </c>
      <c r="K546" s="584">
        <f t="shared" si="267"/>
        <v>1.0010212823870239</v>
      </c>
      <c r="L546" s="585">
        <f t="shared" si="268"/>
        <v>4.5175523514607768E-2</v>
      </c>
      <c r="M546" s="584">
        <f t="shared" si="269"/>
        <v>1.2274742271395032</v>
      </c>
      <c r="N546" s="585">
        <f t="shared" si="270"/>
        <v>-0.61861733340081682</v>
      </c>
      <c r="O546" s="583">
        <f t="shared" si="271"/>
        <v>151388.47405500995</v>
      </c>
      <c r="P546" s="586">
        <f t="shared" si="272"/>
        <v>1.5707897212722091</v>
      </c>
      <c r="Q546" s="595">
        <f t="shared" si="294"/>
        <v>63.086456984124545</v>
      </c>
      <c r="R546" s="596">
        <f t="shared" si="295"/>
        <v>1.5549444002542236</v>
      </c>
      <c r="S546" s="583">
        <f t="shared" si="273"/>
        <v>1.0848225877443902</v>
      </c>
      <c r="T546" s="586">
        <f t="shared" si="274"/>
        <v>0.39807294320450676</v>
      </c>
      <c r="U546" s="587">
        <f t="shared" si="286"/>
        <v>0.75507168542506309</v>
      </c>
      <c r="V546" s="588">
        <f t="shared" si="287"/>
        <v>-0.9175766909069959</v>
      </c>
      <c r="W546" s="589">
        <f t="shared" si="275"/>
        <v>-10.334117672860739</v>
      </c>
      <c r="X546" s="590">
        <f t="shared" si="276"/>
        <v>-198.44291119128414</v>
      </c>
      <c r="Y546" s="593">
        <f t="shared" si="277"/>
        <v>-18.442911191284139</v>
      </c>
      <c r="AA546" s="150">
        <f t="shared" si="278"/>
        <v>83660.5</v>
      </c>
      <c r="AB546" s="150">
        <f t="shared" si="279"/>
        <v>6999079260.25</v>
      </c>
      <c r="AD546" s="592">
        <f t="shared" si="280"/>
        <v>26.898141803969299</v>
      </c>
      <c r="AE546" s="593">
        <f t="shared" si="281"/>
        <v>-23.715769630428877</v>
      </c>
      <c r="AG546" s="592">
        <f t="shared" si="282"/>
        <v>-6.9638439162529355</v>
      </c>
      <c r="AH546" s="593">
        <f t="shared" si="283"/>
        <v>-69.580597903606005</v>
      </c>
      <c r="AJ546" s="150">
        <f t="shared" si="284"/>
        <v>0</v>
      </c>
      <c r="AK546" s="150">
        <f t="shared" si="296"/>
        <v>0</v>
      </c>
      <c r="AM546" s="150" t="str">
        <f t="shared" si="288"/>
        <v>0.931128019326557+0.997625506028248i</v>
      </c>
      <c r="AN546" s="150" t="str">
        <f t="shared" si="289"/>
        <v>1.501869782259i</v>
      </c>
      <c r="AO546" s="150" t="str">
        <f t="shared" si="290"/>
        <v>0.664255661717685-0.619979195483928i</v>
      </c>
      <c r="AP546" s="150" t="str">
        <f t="shared" si="291"/>
        <v>0.0114786634455738-0.166270917671375i</v>
      </c>
      <c r="AQ546" s="150" t="str">
        <f t="shared" si="292"/>
        <v>0.988521336554426+0.166270917671375i</v>
      </c>
      <c r="AR546" s="150" t="str">
        <f t="shared" si="293"/>
        <v>0.819487971829449-0.137839227195309i</v>
      </c>
    </row>
    <row r="547" spans="7:44" x14ac:dyDescent="0.25">
      <c r="G547" s="594">
        <v>84145</v>
      </c>
      <c r="H547" s="582">
        <f t="shared" si="285"/>
        <v>84.144999999999996</v>
      </c>
      <c r="I547" s="583">
        <f t="shared" si="265"/>
        <v>82.101238193382514</v>
      </c>
      <c r="J547" s="584">
        <f t="shared" si="266"/>
        <v>1.5586159413415432</v>
      </c>
      <c r="K547" s="584">
        <f t="shared" si="267"/>
        <v>1.0010331395484373</v>
      </c>
      <c r="L547" s="585">
        <f t="shared" si="268"/>
        <v>4.5436787976372808E-2</v>
      </c>
      <c r="M547" s="584">
        <f t="shared" si="269"/>
        <v>1.2298694065767555</v>
      </c>
      <c r="N547" s="585">
        <f t="shared" si="270"/>
        <v>-0.62134803929457938</v>
      </c>
      <c r="O547" s="583">
        <f t="shared" si="271"/>
        <v>152265.20459901172</v>
      </c>
      <c r="P547" s="586">
        <f t="shared" si="272"/>
        <v>1.5707897593062663</v>
      </c>
      <c r="Q547" s="595">
        <f t="shared" si="294"/>
        <v>63.451715745149741</v>
      </c>
      <c r="R547" s="596">
        <f t="shared" si="295"/>
        <v>1.5550356591875729</v>
      </c>
      <c r="S547" s="583">
        <f t="shared" si="273"/>
        <v>1.085768959074183</v>
      </c>
      <c r="T547" s="586">
        <f t="shared" si="274"/>
        <v>0.40014054930481774</v>
      </c>
      <c r="U547" s="587">
        <f t="shared" si="286"/>
        <v>0.75313141869649913</v>
      </c>
      <c r="V547" s="588">
        <f t="shared" si="287"/>
        <v>-0.92177842205799476</v>
      </c>
      <c r="W547" s="589">
        <f t="shared" si="275"/>
        <v>-10.397167116692392</v>
      </c>
      <c r="X547" s="590">
        <f t="shared" si="276"/>
        <v>-198.94242098682841</v>
      </c>
      <c r="Y547" s="593">
        <f t="shared" si="277"/>
        <v>-18.942420986828409</v>
      </c>
      <c r="AA547" s="150">
        <f t="shared" si="278"/>
        <v>84145</v>
      </c>
      <c r="AB547" s="150">
        <f t="shared" si="279"/>
        <v>7080381025</v>
      </c>
      <c r="AD547" s="592">
        <f t="shared" si="280"/>
        <v>26.890555230283123</v>
      </c>
      <c r="AE547" s="593">
        <f t="shared" si="281"/>
        <v>-23.829008161268778</v>
      </c>
      <c r="AG547" s="592">
        <f t="shared" si="282"/>
        <v>-6.974610015986026</v>
      </c>
      <c r="AH547" s="593">
        <f t="shared" si="283"/>
        <v>-69.485386244558427</v>
      </c>
      <c r="AJ547" s="150">
        <f t="shared" si="284"/>
        <v>0</v>
      </c>
      <c r="AK547" s="150">
        <f t="shared" si="296"/>
        <v>0</v>
      </c>
      <c r="AM547" s="150" t="str">
        <f t="shared" si="288"/>
        <v>0.939807585961524+0.99818679278591i</v>
      </c>
      <c r="AN547" s="150" t="str">
        <f t="shared" si="289"/>
        <v>1.51056750591i</v>
      </c>
      <c r="AO547" s="150" t="str">
        <f t="shared" si="290"/>
        <v>0.660802505601747-0.622155304072533i</v>
      </c>
      <c r="AP547" s="150" t="str">
        <f t="shared" si="291"/>
        <v>0.0100320690064127-0.166364465464318i</v>
      </c>
      <c r="AQ547" s="150" t="str">
        <f t="shared" si="292"/>
        <v>0.989967930993587+0.166364465464318i</v>
      </c>
      <c r="AR547" s="150" t="str">
        <f t="shared" si="293"/>
        <v>0.818330976159066-0.137520813714599i</v>
      </c>
    </row>
    <row r="548" spans="7:44" x14ac:dyDescent="0.25">
      <c r="G548" s="594">
        <v>84629.5</v>
      </c>
      <c r="H548" s="582">
        <f t="shared" si="285"/>
        <v>84.629499999999993</v>
      </c>
      <c r="I548" s="583">
        <f t="shared" si="265"/>
        <v>82.573900449530441</v>
      </c>
      <c r="J548" s="584">
        <f t="shared" si="266"/>
        <v>1.5586856666510049</v>
      </c>
      <c r="K548" s="584">
        <f t="shared" si="267"/>
        <v>1.0010450650378697</v>
      </c>
      <c r="L548" s="585">
        <f t="shared" si="268"/>
        <v>4.5698046231063029E-2</v>
      </c>
      <c r="M548" s="584">
        <f t="shared" si="269"/>
        <v>1.2322737211578216</v>
      </c>
      <c r="N548" s="585">
        <f t="shared" si="270"/>
        <v>-0.62406810953267233</v>
      </c>
      <c r="O548" s="583">
        <f t="shared" si="271"/>
        <v>153141.93514301375</v>
      </c>
      <c r="P548" s="586">
        <f t="shared" si="272"/>
        <v>1.570789796904837</v>
      </c>
      <c r="Q548" s="595">
        <f t="shared" si="294"/>
        <v>63.816975028563988</v>
      </c>
      <c r="R548" s="596">
        <f t="shared" si="295"/>
        <v>1.5551258734725713</v>
      </c>
      <c r="S548" s="583">
        <f t="shared" si="273"/>
        <v>1.0867199639648837</v>
      </c>
      <c r="T548" s="586">
        <f t="shared" si="274"/>
        <v>0.40220454542983258</v>
      </c>
      <c r="U548" s="587">
        <f t="shared" si="286"/>
        <v>0.7511933405430179</v>
      </c>
      <c r="V548" s="588">
        <f t="shared" si="287"/>
        <v>-0.92596810391018991</v>
      </c>
      <c r="W548" s="589">
        <f t="shared" si="275"/>
        <v>-10.4599592418387</v>
      </c>
      <c r="X548" s="590">
        <f t="shared" si="276"/>
        <v>-199.44043811360535</v>
      </c>
      <c r="Y548" s="593">
        <f t="shared" si="277"/>
        <v>-19.440438113605353</v>
      </c>
      <c r="AA548" s="150">
        <f t="shared" si="278"/>
        <v>84629.5</v>
      </c>
      <c r="AB548" s="150">
        <f t="shared" si="279"/>
        <v>7162152270.25</v>
      </c>
      <c r="AD548" s="592">
        <f t="shared" si="280"/>
        <v>26.88293843490554</v>
      </c>
      <c r="AE548" s="593">
        <f t="shared" si="281"/>
        <v>-23.94209968474993</v>
      </c>
      <c r="AG548" s="592">
        <f t="shared" si="282"/>
        <v>-6.9850238880670261</v>
      </c>
      <c r="AH548" s="593">
        <f t="shared" si="283"/>
        <v>-69.390209672038907</v>
      </c>
      <c r="AJ548" s="150">
        <f t="shared" si="284"/>
        <v>0</v>
      </c>
      <c r="AK548" s="150">
        <f t="shared" si="296"/>
        <v>0</v>
      </c>
      <c r="AM548" s="150" t="str">
        <f t="shared" si="288"/>
        <v>0.948491706147785+0.998672566792757i</v>
      </c>
      <c r="AN548" s="150" t="str">
        <f t="shared" si="289"/>
        <v>1.519265229561i</v>
      </c>
      <c r="AO548" s="150" t="str">
        <f t="shared" si="290"/>
        <v>0.65733918433803-0.624309493624005i</v>
      </c>
      <c r="AP548" s="150" t="str">
        <f t="shared" si="291"/>
        <v>0.0085847156420358-0.166445427798793i</v>
      </c>
      <c r="AQ548" s="150" t="str">
        <f t="shared" si="292"/>
        <v>0.991415284357964+0.166445427798793i</v>
      </c>
      <c r="AR548" s="150" t="str">
        <f t="shared" si="293"/>
        <v>0.817180003248002-0.137193643647844i</v>
      </c>
    </row>
    <row r="549" spans="7:44" x14ac:dyDescent="0.25">
      <c r="G549" s="594">
        <v>85114</v>
      </c>
      <c r="H549" s="582">
        <f t="shared" si="285"/>
        <v>85.114000000000004</v>
      </c>
      <c r="I549" s="583">
        <f t="shared" si="265"/>
        <v>83.046563102551531</v>
      </c>
      <c r="J549" s="584">
        <f t="shared" si="266"/>
        <v>1.5587545982723297</v>
      </c>
      <c r="K549" s="584">
        <f t="shared" si="267"/>
        <v>1.0010570588528787</v>
      </c>
      <c r="L549" s="585">
        <f t="shared" si="268"/>
        <v>4.5959298243236087E-2</v>
      </c>
      <c r="M549" s="584">
        <f t="shared" si="269"/>
        <v>1.2346871175159202</v>
      </c>
      <c r="N549" s="585">
        <f t="shared" si="270"/>
        <v>-0.62677756611481483</v>
      </c>
      <c r="O549" s="583">
        <f t="shared" si="271"/>
        <v>154018.66568701595</v>
      </c>
      <c r="P549" s="586">
        <f t="shared" si="272"/>
        <v>1.5707898340753581</v>
      </c>
      <c r="Q549" s="595">
        <f t="shared" si="294"/>
        <v>64.182234825448589</v>
      </c>
      <c r="R549" s="596">
        <f t="shared" si="295"/>
        <v>1.5552150609429558</v>
      </c>
      <c r="S549" s="583">
        <f t="shared" si="273"/>
        <v>1.0876755902624853</v>
      </c>
      <c r="T549" s="586">
        <f t="shared" si="274"/>
        <v>0.40426492348619419</v>
      </c>
      <c r="U549" s="587">
        <f t="shared" si="286"/>
        <v>0.74925752034883797</v>
      </c>
      <c r="V549" s="588">
        <f t="shared" si="287"/>
        <v>-0.93014579955942844</v>
      </c>
      <c r="W549" s="589">
        <f t="shared" si="275"/>
        <v>-10.522497076600539</v>
      </c>
      <c r="X549" s="590">
        <f t="shared" si="276"/>
        <v>-199.9369667540914</v>
      </c>
      <c r="Y549" s="593">
        <f t="shared" si="277"/>
        <v>-19.936966754091401</v>
      </c>
      <c r="AA549" s="150">
        <f t="shared" si="278"/>
        <v>85114</v>
      </c>
      <c r="AB549" s="150">
        <f t="shared" si="279"/>
        <v>7244392996</v>
      </c>
      <c r="AD549" s="592">
        <f t="shared" si="280"/>
        <v>26.875291595681674</v>
      </c>
      <c r="AE549" s="593">
        <f t="shared" si="281"/>
        <v>-24.055042715785369</v>
      </c>
      <c r="AG549" s="592">
        <f t="shared" si="282"/>
        <v>-6.9950901436998123</v>
      </c>
      <c r="AH549" s="593">
        <f t="shared" si="283"/>
        <v>-69.295066623359446</v>
      </c>
      <c r="AJ549" s="150">
        <f t="shared" si="284"/>
        <v>0</v>
      </c>
      <c r="AK549" s="150">
        <f t="shared" si="296"/>
        <v>0</v>
      </c>
      <c r="AM549" s="150" t="str">
        <f t="shared" si="288"/>
        <v>0.957179722932345+0.999082791300025i</v>
      </c>
      <c r="AN549" s="150" t="str">
        <f t="shared" si="289"/>
        <v>1.527962953212i</v>
      </c>
      <c r="AO549" s="150" t="str">
        <f t="shared" si="290"/>
        <v>0.653865847466922-0.626441708498373i</v>
      </c>
      <c r="AP549" s="150" t="str">
        <f t="shared" si="291"/>
        <v>0.00713671284460915-0.166513798550004i</v>
      </c>
      <c r="AQ549" s="150" t="str">
        <f t="shared" si="292"/>
        <v>0.992863287155391+0.166513798550004i</v>
      </c>
      <c r="AR549" s="150" t="str">
        <f t="shared" si="293"/>
        <v>0.816035092988109-0.136857818031385i</v>
      </c>
    </row>
    <row r="550" spans="7:44" x14ac:dyDescent="0.25">
      <c r="G550" s="594">
        <v>85609.5</v>
      </c>
      <c r="H550" s="582">
        <f t="shared" si="285"/>
        <v>85.609499999999997</v>
      </c>
      <c r="I550" s="583">
        <f t="shared" si="265"/>
        <v>83.52995740606697</v>
      </c>
      <c r="J550" s="584">
        <f t="shared" si="266"/>
        <v>1.5588242880229455</v>
      </c>
      <c r="K550" s="584">
        <f t="shared" si="267"/>
        <v>1.0010693956407895</v>
      </c>
      <c r="L550" s="585">
        <f t="shared" si="268"/>
        <v>4.6226475179992059E-2</v>
      </c>
      <c r="M550" s="584">
        <f t="shared" si="269"/>
        <v>1.2371646452011036</v>
      </c>
      <c r="N550" s="585">
        <f t="shared" si="270"/>
        <v>-0.6295375832603457</v>
      </c>
      <c r="O550" s="583">
        <f t="shared" si="271"/>
        <v>154915.30136204837</v>
      </c>
      <c r="P550" s="586">
        <f t="shared" si="272"/>
        <v>1.5707898716546282</v>
      </c>
      <c r="Q550" s="595">
        <f t="shared" si="294"/>
        <v>64.555787936425617</v>
      </c>
      <c r="R550" s="596">
        <f t="shared" si="295"/>
        <v>1.5553052294236185</v>
      </c>
      <c r="S550" s="583">
        <f t="shared" si="273"/>
        <v>1.0886576802260817</v>
      </c>
      <c r="T550" s="586">
        <f t="shared" si="274"/>
        <v>0.4063683294986824</v>
      </c>
      <c r="U550" s="587">
        <f t="shared" si="286"/>
        <v>0.74728015579884643</v>
      </c>
      <c r="V550" s="588">
        <f t="shared" si="287"/>
        <v>-0.93440601354413044</v>
      </c>
      <c r="W550" s="589">
        <f t="shared" si="275"/>
        <v>-10.586194845114647</v>
      </c>
      <c r="X550" s="590">
        <f t="shared" si="276"/>
        <v>-200.44323335422933</v>
      </c>
      <c r="Y550" s="593">
        <f t="shared" si="277"/>
        <v>-20.443233354229335</v>
      </c>
      <c r="AA550" s="150">
        <f t="shared" si="278"/>
        <v>85609.5</v>
      </c>
      <c r="AB550" s="150">
        <f t="shared" si="279"/>
        <v>7328986490.25</v>
      </c>
      <c r="AD550" s="592">
        <f t="shared" si="280"/>
        <v>26.867440254685672</v>
      </c>
      <c r="AE550" s="593">
        <f t="shared" si="281"/>
        <v>-24.170394882781693</v>
      </c>
      <c r="AG550" s="592">
        <f t="shared" si="282"/>
        <v>-7.005030128569425</v>
      </c>
      <c r="AH550" s="593">
        <f t="shared" si="283"/>
        <v>-69.197796493651197</v>
      </c>
      <c r="AJ550" s="150">
        <f t="shared" si="284"/>
        <v>0</v>
      </c>
      <c r="AK550" s="150">
        <f t="shared" si="296"/>
        <v>0</v>
      </c>
      <c r="AM550" s="150" t="str">
        <f t="shared" si="288"/>
        <v>0.966068336229626+0.999424155298327i</v>
      </c>
      <c r="AN550" s="150" t="str">
        <f t="shared" si="289"/>
        <v>1.536858148401i</v>
      </c>
      <c r="AO550" s="150" t="str">
        <f t="shared" si="290"/>
        <v>0.650303449500634-0.628599547222206i</v>
      </c>
      <c r="AP550" s="150" t="str">
        <f t="shared" si="291"/>
        <v>0.00565527729506228-0.166570692549721i</v>
      </c>
      <c r="AQ550" s="150" t="str">
        <f t="shared" si="292"/>
        <v>0.994344722704938+0.166570692549721i</v>
      </c>
      <c r="AR550" s="150" t="str">
        <f t="shared" si="293"/>
        <v>0.814870499626823-0.136505520029249i</v>
      </c>
    </row>
    <row r="551" spans="7:44" x14ac:dyDescent="0.25">
      <c r="G551" s="594">
        <v>86105</v>
      </c>
      <c r="H551" s="582">
        <f t="shared" si="285"/>
        <v>86.105000000000004</v>
      </c>
      <c r="I551" s="583">
        <f t="shared" si="265"/>
        <v>84.013352110590759</v>
      </c>
      <c r="J551" s="584">
        <f t="shared" si="266"/>
        <v>1.5588931758143099</v>
      </c>
      <c r="K551" s="584">
        <f t="shared" si="267"/>
        <v>1.0010818038867888</v>
      </c>
      <c r="L551" s="585">
        <f t="shared" si="268"/>
        <v>4.6493645512589929E-2</v>
      </c>
      <c r="M551" s="584">
        <f t="shared" si="269"/>
        <v>1.2396515595166213</v>
      </c>
      <c r="N551" s="585">
        <f t="shared" si="270"/>
        <v>-0.63228654731638656</v>
      </c>
      <c r="O551" s="583">
        <f t="shared" si="271"/>
        <v>155811.93703708099</v>
      </c>
      <c r="P551" s="586">
        <f t="shared" si="272"/>
        <v>1.570789908801391</v>
      </c>
      <c r="Q551" s="595">
        <f t="shared" si="294"/>
        <v>64.929341566224807</v>
      </c>
      <c r="R551" s="596">
        <f t="shared" si="295"/>
        <v>1.5553943603844442</v>
      </c>
      <c r="S551" s="583">
        <f t="shared" si="273"/>
        <v>1.0896445780614989</v>
      </c>
      <c r="T551" s="586">
        <f t="shared" si="274"/>
        <v>0.40846793465082615</v>
      </c>
      <c r="U551" s="587">
        <f t="shared" si="286"/>
        <v>0.74530529484617447</v>
      </c>
      <c r="V551" s="588">
        <f t="shared" si="287"/>
        <v>-0.93865382566004008</v>
      </c>
      <c r="W551" s="589">
        <f t="shared" si="275"/>
        <v>-10.649632888963737</v>
      </c>
      <c r="X551" s="590">
        <f t="shared" si="276"/>
        <v>-200.94795216122796</v>
      </c>
      <c r="Y551" s="593">
        <f t="shared" si="277"/>
        <v>-20.94795216122796</v>
      </c>
      <c r="AA551" s="150">
        <f t="shared" si="278"/>
        <v>86105</v>
      </c>
      <c r="AB551" s="150">
        <f t="shared" si="279"/>
        <v>7414071025</v>
      </c>
      <c r="AD551" s="592">
        <f t="shared" si="280"/>
        <v>26.859557866647904</v>
      </c>
      <c r="AE551" s="593">
        <f t="shared" si="281"/>
        <v>-24.285588697248553</v>
      </c>
      <c r="AG551" s="592">
        <f t="shared" si="282"/>
        <v>-7.0146160630819008</v>
      </c>
      <c r="AH551" s="593">
        <f t="shared" si="283"/>
        <v>-69.100558072814408</v>
      </c>
      <c r="AJ551" s="150">
        <f t="shared" si="284"/>
        <v>0</v>
      </c>
      <c r="AK551" s="150">
        <f t="shared" si="296"/>
        <v>0</v>
      </c>
      <c r="AM551" s="150" t="str">
        <f t="shared" si="288"/>
        <v>0.974959634335048+0.999686440884023i</v>
      </c>
      <c r="AN551" s="150" t="str">
        <f t="shared" si="289"/>
        <v>1.54575334359i</v>
      </c>
      <c r="AO551" s="150" t="str">
        <f t="shared" si="290"/>
        <v>0.646730893405192-0.630734287833214i</v>
      </c>
      <c r="AP551" s="150" t="str">
        <f t="shared" si="291"/>
        <v>0.00417339427749197-0.166614406814004i</v>
      </c>
      <c r="AQ551" s="150" t="str">
        <f t="shared" si="292"/>
        <v>0.995826605722508+0.166614406814004i</v>
      </c>
      <c r="AR551" s="150" t="str">
        <f t="shared" si="293"/>
        <v>0.813712327108352-0.136144380878472i</v>
      </c>
    </row>
    <row r="552" spans="7:44" x14ac:dyDescent="0.25">
      <c r="G552" s="594">
        <v>86600.5</v>
      </c>
      <c r="H552" s="582">
        <f t="shared" si="285"/>
        <v>86.600499999999997</v>
      </c>
      <c r="I552" s="583">
        <f t="shared" si="265"/>
        <v>84.496747209240567</v>
      </c>
      <c r="J552" s="584">
        <f t="shared" si="266"/>
        <v>1.5589612754094826</v>
      </c>
      <c r="K552" s="584">
        <f t="shared" si="267"/>
        <v>1.0010942835882195</v>
      </c>
      <c r="L552" s="585">
        <f t="shared" si="268"/>
        <v>4.6760809203134732E-2</v>
      </c>
      <c r="M552" s="584">
        <f t="shared" si="269"/>
        <v>1.2421478040833256</v>
      </c>
      <c r="N552" s="585">
        <f t="shared" si="270"/>
        <v>-0.63502448324927963</v>
      </c>
      <c r="O552" s="583">
        <f t="shared" si="271"/>
        <v>156708.57271211385</v>
      </c>
      <c r="P552" s="586">
        <f t="shared" si="272"/>
        <v>1.5707899455230703</v>
      </c>
      <c r="Q552" s="595">
        <f t="shared" si="294"/>
        <v>65.302895705942689</v>
      </c>
      <c r="R552" s="596">
        <f t="shared" si="295"/>
        <v>1.5554824716288731</v>
      </c>
      <c r="S552" s="583">
        <f t="shared" si="273"/>
        <v>1.0906362707170572</v>
      </c>
      <c r="T552" s="586">
        <f t="shared" si="274"/>
        <v>0.41056373077425123</v>
      </c>
      <c r="U552" s="587">
        <f t="shared" si="286"/>
        <v>0.74333300683650627</v>
      </c>
      <c r="V552" s="588">
        <f t="shared" si="287"/>
        <v>-0.94288930467664567</v>
      </c>
      <c r="W552" s="589">
        <f t="shared" si="275"/>
        <v>-10.712814284706166</v>
      </c>
      <c r="X552" s="590">
        <f t="shared" si="276"/>
        <v>-201.4511278488412</v>
      </c>
      <c r="Y552" s="593">
        <f t="shared" si="277"/>
        <v>-21.451127848841196</v>
      </c>
      <c r="AA552" s="150">
        <f t="shared" si="278"/>
        <v>86600.5</v>
      </c>
      <c r="AB552" s="150">
        <f t="shared" si="279"/>
        <v>7499646600.25</v>
      </c>
      <c r="AD552" s="592">
        <f t="shared" si="280"/>
        <v>26.851644622037661</v>
      </c>
      <c r="AE552" s="593">
        <f t="shared" si="281"/>
        <v>-24.400622671535956</v>
      </c>
      <c r="AG552" s="592">
        <f t="shared" si="282"/>
        <v>-7.0238526537181611</v>
      </c>
      <c r="AH552" s="593">
        <f t="shared" si="283"/>
        <v>-69.003349641850193</v>
      </c>
      <c r="AJ552" s="150">
        <f t="shared" si="284"/>
        <v>0</v>
      </c>
      <c r="AK552" s="150">
        <f t="shared" si="296"/>
        <v>0</v>
      </c>
      <c r="AM552" s="150" t="str">
        <f t="shared" si="288"/>
        <v>0.983852913733755+0.999869627304035i</v>
      </c>
      <c r="AN552" s="150" t="str">
        <f t="shared" si="289"/>
        <v>1.554648538779i</v>
      </c>
      <c r="AO552" s="150" t="str">
        <f t="shared" si="290"/>
        <v>0.643148340196119-0.632845874287741i</v>
      </c>
      <c r="AP552" s="150" t="str">
        <f t="shared" si="291"/>
        <v>0.0026911810443741-0.166644937884006i</v>
      </c>
      <c r="AQ552" s="150" t="str">
        <f t="shared" si="292"/>
        <v>0.997308818955626+0.166644937884006i</v>
      </c>
      <c r="AR552" s="150" t="str">
        <f t="shared" si="293"/>
        <v>0.812560613478649-0.135774506738984i</v>
      </c>
    </row>
    <row r="553" spans="7:44" x14ac:dyDescent="0.25">
      <c r="G553" s="594">
        <v>87096</v>
      </c>
      <c r="H553" s="582">
        <f t="shared" si="285"/>
        <v>87.096000000000004</v>
      </c>
      <c r="I553" s="583">
        <f t="shared" si="265"/>
        <v>84.980142695290638</v>
      </c>
      <c r="J553" s="584">
        <f t="shared" si="266"/>
        <v>1.5590286002583975</v>
      </c>
      <c r="K553" s="584">
        <f t="shared" si="267"/>
        <v>1.0011068347424095</v>
      </c>
      <c r="L553" s="585">
        <f t="shared" si="268"/>
        <v>4.7027966213737213E-2</v>
      </c>
      <c r="M553" s="584">
        <f t="shared" si="269"/>
        <v>1.2446533227636851</v>
      </c>
      <c r="N553" s="585">
        <f t="shared" si="270"/>
        <v>-0.63775141648681577</v>
      </c>
      <c r="O553" s="583">
        <f t="shared" si="271"/>
        <v>157605.20838714691</v>
      </c>
      <c r="P553" s="586">
        <f t="shared" si="272"/>
        <v>1.5707899818269211</v>
      </c>
      <c r="Q553" s="595">
        <f t="shared" si="294"/>
        <v>65.676450346878312</v>
      </c>
      <c r="R553" s="596">
        <f t="shared" si="295"/>
        <v>1.5555695805553598</v>
      </c>
      <c r="S553" s="583">
        <f t="shared" si="273"/>
        <v>1.0916327451252086</v>
      </c>
      <c r="T553" s="586">
        <f t="shared" si="274"/>
        <v>0.41265570986403799</v>
      </c>
      <c r="U553" s="587">
        <f t="shared" si="286"/>
        <v>0.74136335951094867</v>
      </c>
      <c r="V553" s="588">
        <f t="shared" si="287"/>
        <v>-0.94711251976167454</v>
      </c>
      <c r="W553" s="589">
        <f t="shared" si="275"/>
        <v>-10.775742056662583</v>
      </c>
      <c r="X553" s="590">
        <f t="shared" si="276"/>
        <v>-201.95276515469786</v>
      </c>
      <c r="Y553" s="593">
        <f t="shared" si="277"/>
        <v>-21.952765154697857</v>
      </c>
      <c r="AA553" s="150">
        <f t="shared" si="278"/>
        <v>87096</v>
      </c>
      <c r="AB553" s="150">
        <f t="shared" si="279"/>
        <v>7585713216</v>
      </c>
      <c r="AD553" s="592">
        <f t="shared" si="280"/>
        <v>26.843700711370076</v>
      </c>
      <c r="AE553" s="593">
        <f t="shared" si="281"/>
        <v>-24.515495350553444</v>
      </c>
      <c r="AG553" s="592">
        <f t="shared" si="282"/>
        <v>-7.0327445335890806</v>
      </c>
      <c r="AH553" s="593">
        <f t="shared" si="283"/>
        <v>-68.906169467440094</v>
      </c>
      <c r="AJ553" s="150">
        <f t="shared" si="284"/>
        <v>0</v>
      </c>
      <c r="AK553" s="150">
        <f t="shared" si="296"/>
        <v>0</v>
      </c>
      <c r="AM553" s="150" t="str">
        <f t="shared" si="288"/>
        <v>0.992747470754124+0.999973700063925i</v>
      </c>
      <c r="AN553" s="150" t="str">
        <f t="shared" si="289"/>
        <v>1.563543733968i</v>
      </c>
      <c r="AO553" s="150" t="str">
        <f t="shared" si="290"/>
        <v>0.639555951227643-0.634934251717222i</v>
      </c>
      <c r="AP553" s="150" t="str">
        <f t="shared" si="291"/>
        <v>0.00120875487431264-0.166662283343987i</v>
      </c>
      <c r="AQ553" s="150" t="str">
        <f t="shared" si="292"/>
        <v>0.998791245125687+0.166662283343987i</v>
      </c>
      <c r="AR553" s="150" t="str">
        <f t="shared" si="293"/>
        <v>0.811415395282357-0.135396003096927i</v>
      </c>
    </row>
    <row r="554" spans="7:44" x14ac:dyDescent="0.25">
      <c r="G554" s="594">
        <v>87603.25</v>
      </c>
      <c r="H554" s="582">
        <f t="shared" si="285"/>
        <v>87.603250000000003</v>
      </c>
      <c r="I554" s="583">
        <f t="shared" si="265"/>
        <v>85.475001536334887</v>
      </c>
      <c r="J554" s="584">
        <f t="shared" si="266"/>
        <v>1.559096732810616</v>
      </c>
      <c r="K554" s="584">
        <f t="shared" si="267"/>
        <v>1.0011197575390272</v>
      </c>
      <c r="L554" s="585">
        <f t="shared" si="268"/>
        <v>4.7301451471969527E-2</v>
      </c>
      <c r="M554" s="584">
        <f t="shared" si="269"/>
        <v>1.2472278041112737</v>
      </c>
      <c r="N554" s="585">
        <f t="shared" si="270"/>
        <v>-0.64053164450422129</v>
      </c>
      <c r="O554" s="583">
        <f t="shared" si="271"/>
        <v>158523.10636123494</v>
      </c>
      <c r="P554" s="586">
        <f t="shared" si="272"/>
        <v>1.5707900185662544</v>
      </c>
      <c r="Q554" s="595">
        <f t="shared" si="294"/>
        <v>66.058863756511016</v>
      </c>
      <c r="R554" s="596">
        <f t="shared" si="295"/>
        <v>1.5556577346315574</v>
      </c>
      <c r="S554" s="583">
        <f t="shared" si="273"/>
        <v>1.0926577888758988</v>
      </c>
      <c r="T554" s="586">
        <f t="shared" si="274"/>
        <v>0.41479333486851505</v>
      </c>
      <c r="U554" s="587">
        <f t="shared" si="286"/>
        <v>0.73934980952501828</v>
      </c>
      <c r="V554" s="588">
        <f t="shared" si="287"/>
        <v>-0.95142325072899014</v>
      </c>
      <c r="W554" s="589">
        <f t="shared" si="275"/>
        <v>-10.839902448798737</v>
      </c>
      <c r="X554" s="590">
        <f t="shared" si="276"/>
        <v>-202.46470947387544</v>
      </c>
      <c r="Y554" s="593">
        <f t="shared" si="277"/>
        <v>-22.464709473875445</v>
      </c>
      <c r="AA554" s="150">
        <f t="shared" si="278"/>
        <v>87603.25</v>
      </c>
      <c r="AB554" s="150">
        <f t="shared" si="279"/>
        <v>7674329410.5625</v>
      </c>
      <c r="AD554" s="592">
        <f t="shared" si="280"/>
        <v>26.835536856867396</v>
      </c>
      <c r="AE554" s="593">
        <f t="shared" si="281"/>
        <v>-24.632923490121538</v>
      </c>
      <c r="AG554" s="592">
        <f t="shared" si="282"/>
        <v>-7.041494962780348</v>
      </c>
      <c r="AH554" s="593">
        <f t="shared" si="283"/>
        <v>-68.806712264398101</v>
      </c>
      <c r="AJ554" s="150">
        <f t="shared" si="284"/>
        <v>0</v>
      </c>
      <c r="AK554" s="150">
        <f t="shared" si="296"/>
        <v>0</v>
      </c>
      <c r="AM554" s="150" t="str">
        <f t="shared" si="288"/>
        <v>1.00185353680727+0.999998282199177i</v>
      </c>
      <c r="AN554" s="150" t="str">
        <f t="shared" si="289"/>
        <v>1.5726498646635i</v>
      </c>
      <c r="AO554" s="150" t="str">
        <f t="shared" si="290"/>
        <v>0.635868354850332-0.637048054572298i</v>
      </c>
      <c r="AP554" s="150" t="str">
        <f t="shared" si="291"/>
        <v>-0.000308922801211177-0.16666638036653i</v>
      </c>
      <c r="AQ554" s="150" t="str">
        <f t="shared" si="292"/>
        <v>1.00030892280121+0.16666638036653i</v>
      </c>
      <c r="AR554" s="150" t="str">
        <f t="shared" si="293"/>
        <v>0.810249784955913-0.134999694367615i</v>
      </c>
    </row>
    <row r="555" spans="7:44" x14ac:dyDescent="0.25">
      <c r="G555" s="594">
        <v>88110.5</v>
      </c>
      <c r="H555" s="582">
        <f t="shared" si="285"/>
        <v>88.110500000000002</v>
      </c>
      <c r="I555" s="583">
        <f t="shared" si="265"/>
        <v>85.969860769590042</v>
      </c>
      <c r="J555" s="584">
        <f t="shared" si="266"/>
        <v>1.5591640809947096</v>
      </c>
      <c r="K555" s="584">
        <f t="shared" si="267"/>
        <v>1.0011327552116462</v>
      </c>
      <c r="L555" s="585">
        <f t="shared" si="268"/>
        <v>4.7574929649356307E-2</v>
      </c>
      <c r="M555" s="584">
        <f t="shared" si="269"/>
        <v>1.2498118863546466</v>
      </c>
      <c r="N555" s="585">
        <f t="shared" si="270"/>
        <v>-0.64330039717889231</v>
      </c>
      <c r="O555" s="583">
        <f t="shared" si="271"/>
        <v>159441.00433532317</v>
      </c>
      <c r="P555" s="586">
        <f t="shared" si="272"/>
        <v>1.5707900548825728</v>
      </c>
      <c r="Q555" s="595">
        <f t="shared" si="294"/>
        <v>66.441277673587109</v>
      </c>
      <c r="R555" s="596">
        <f t="shared" si="295"/>
        <v>1.5557448739372848</v>
      </c>
      <c r="S555" s="583">
        <f t="shared" si="273"/>
        <v>1.0936878160892918</v>
      </c>
      <c r="T555" s="586">
        <f t="shared" si="274"/>
        <v>0.41692694320782819</v>
      </c>
      <c r="U555" s="587">
        <f t="shared" si="286"/>
        <v>0.73733916554580403</v>
      </c>
      <c r="V555" s="588">
        <f t="shared" si="287"/>
        <v>-0.95572127713223254</v>
      </c>
      <c r="W555" s="589">
        <f t="shared" si="275"/>
        <v>-10.903803297679985</v>
      </c>
      <c r="X555" s="590">
        <f t="shared" si="276"/>
        <v>-202.97505183102811</v>
      </c>
      <c r="Y555" s="593">
        <f t="shared" si="277"/>
        <v>-22.975051831028111</v>
      </c>
      <c r="AA555" s="150">
        <f t="shared" si="278"/>
        <v>88110.5</v>
      </c>
      <c r="AB555" s="150">
        <f t="shared" si="279"/>
        <v>7763460210.25</v>
      </c>
      <c r="AD555" s="592">
        <f t="shared" si="280"/>
        <v>26.827341268797067</v>
      </c>
      <c r="AE555" s="593">
        <f t="shared" si="281"/>
        <v>-24.750179609555975</v>
      </c>
      <c r="AG555" s="592">
        <f t="shared" si="282"/>
        <v>-7.0498937351100857</v>
      </c>
      <c r="AH555" s="593">
        <f t="shared" si="283"/>
        <v>-68.707280955270363</v>
      </c>
      <c r="AJ555" s="150">
        <f t="shared" si="284"/>
        <v>0</v>
      </c>
      <c r="AK555" s="150">
        <f t="shared" si="296"/>
        <v>0</v>
      </c>
      <c r="AM555" s="150" t="str">
        <f t="shared" si="288"/>
        <v>1.0109594491632+0.999939943433624i</v>
      </c>
      <c r="AN555" s="150" t="str">
        <f t="shared" si="289"/>
        <v>1.581755995359i</v>
      </c>
      <c r="AO555" s="150" t="str">
        <f t="shared" si="290"/>
        <v>0.632170793957809-0.63913742203566i</v>
      </c>
      <c r="AP555" s="150" t="str">
        <f t="shared" si="291"/>
        <v>-0.001826574860534-0.166656657238937i</v>
      </c>
      <c r="AQ555" s="150" t="str">
        <f t="shared" si="292"/>
        <v>1.00182657486053+0.166656657238937i</v>
      </c>
      <c r="AR555" s="150" t="str">
        <f t="shared" si="293"/>
        <v>0.809091054582287-0.134594563512534i</v>
      </c>
    </row>
    <row r="556" spans="7:44" x14ac:dyDescent="0.25">
      <c r="G556" s="594">
        <v>88617.75</v>
      </c>
      <c r="H556" s="582">
        <f t="shared" si="285"/>
        <v>88.617750000000001</v>
      </c>
      <c r="I556" s="583">
        <f t="shared" si="265"/>
        <v>86.464720388321936</v>
      </c>
      <c r="J556" s="584">
        <f t="shared" si="266"/>
        <v>1.5592306582774778</v>
      </c>
      <c r="K556" s="584">
        <f t="shared" si="267"/>
        <v>1.0011458277573506</v>
      </c>
      <c r="L556" s="585">
        <f t="shared" si="268"/>
        <v>4.7848400705267094E-2</v>
      </c>
      <c r="M556" s="584">
        <f t="shared" si="269"/>
        <v>1.2524055100653593</v>
      </c>
      <c r="N556" s="585">
        <f t="shared" si="270"/>
        <v>-0.64605770322265987</v>
      </c>
      <c r="O556" s="583">
        <f t="shared" si="271"/>
        <v>160358.90230941161</v>
      </c>
      <c r="P556" s="586">
        <f t="shared" si="272"/>
        <v>1.5707900907831405</v>
      </c>
      <c r="Q556" s="595">
        <f t="shared" si="294"/>
        <v>66.823692089394712</v>
      </c>
      <c r="R556" s="596">
        <f t="shared" si="295"/>
        <v>1.5558310158930002</v>
      </c>
      <c r="S556" s="583">
        <f t="shared" si="273"/>
        <v>1.0947228126985333</v>
      </c>
      <c r="T556" s="586">
        <f t="shared" si="274"/>
        <v>0.41905652682173639</v>
      </c>
      <c r="U556" s="587">
        <f t="shared" si="286"/>
        <v>0.73533149514923712</v>
      </c>
      <c r="V556" s="588">
        <f t="shared" si="287"/>
        <v>-0.96000667437119802</v>
      </c>
      <c r="W556" s="589">
        <f t="shared" si="275"/>
        <v>-10.967447685886956</v>
      </c>
      <c r="X556" s="590">
        <f t="shared" si="276"/>
        <v>-203.48379750571098</v>
      </c>
      <c r="Y556" s="593">
        <f t="shared" si="277"/>
        <v>-23.483797505710982</v>
      </c>
      <c r="AA556" s="150">
        <f t="shared" si="278"/>
        <v>88617.75</v>
      </c>
      <c r="AB556" s="150">
        <f t="shared" si="279"/>
        <v>7853105615.0625</v>
      </c>
      <c r="AD556" s="592">
        <f t="shared" si="280"/>
        <v>26.819114151596146</v>
      </c>
      <c r="AE556" s="593">
        <f t="shared" si="281"/>
        <v>-24.867262249336424</v>
      </c>
      <c r="AG556" s="592">
        <f t="shared" si="282"/>
        <v>-7.057945590988389</v>
      </c>
      <c r="AH556" s="593">
        <f t="shared" si="283"/>
        <v>-68.607873638952213</v>
      </c>
      <c r="AJ556" s="150">
        <f t="shared" si="284"/>
        <v>0</v>
      </c>
      <c r="AK556" s="150">
        <f t="shared" si="296"/>
        <v>0</v>
      </c>
      <c r="AM556" s="150" t="str">
        <f t="shared" si="288"/>
        <v>1.02006445275018+0.999798688604779i</v>
      </c>
      <c r="AN556" s="150" t="str">
        <f t="shared" si="289"/>
        <v>1.5908621260545i</v>
      </c>
      <c r="AO556" s="150" t="str">
        <f t="shared" si="290"/>
        <v>0.628463442702217-0.641202299082978i</v>
      </c>
      <c r="AP556" s="150" t="str">
        <f t="shared" si="291"/>
        <v>-0.00334407545836385-0.166633114767463i</v>
      </c>
      <c r="AQ556" s="150" t="str">
        <f t="shared" si="292"/>
        <v>1.00334407545836+0.166633114767463i</v>
      </c>
      <c r="AR556" s="150" t="str">
        <f t="shared" si="293"/>
        <v>0.807939238667416-0.134180721424503i</v>
      </c>
    </row>
    <row r="557" spans="7:44" x14ac:dyDescent="0.25">
      <c r="G557" s="594">
        <v>89125</v>
      </c>
      <c r="H557" s="582">
        <f t="shared" si="285"/>
        <v>89.125</v>
      </c>
      <c r="I557" s="583">
        <f t="shared" si="265"/>
        <v>86.959580385949707</v>
      </c>
      <c r="J557" s="584">
        <f t="shared" si="266"/>
        <v>1.5592964778192064</v>
      </c>
      <c r="K557" s="584">
        <f t="shared" si="267"/>
        <v>1.0011589751732073</v>
      </c>
      <c r="L557" s="585">
        <f t="shared" si="268"/>
        <v>4.8121864599077836E-2</v>
      </c>
      <c r="M557" s="584">
        <f t="shared" si="269"/>
        <v>1.2550086160877016</v>
      </c>
      <c r="N557" s="585">
        <f t="shared" si="270"/>
        <v>-0.6488035918066547</v>
      </c>
      <c r="O557" s="583">
        <f t="shared" si="271"/>
        <v>161276.80028350026</v>
      </c>
      <c r="P557" s="586">
        <f t="shared" si="272"/>
        <v>1.5707901262750559</v>
      </c>
      <c r="Q557" s="595">
        <f t="shared" si="294"/>
        <v>67.206106995420186</v>
      </c>
      <c r="R557" s="596">
        <f t="shared" si="295"/>
        <v>1.5559161775227204</v>
      </c>
      <c r="S557" s="583">
        <f t="shared" si="273"/>
        <v>1.0957627646221779</v>
      </c>
      <c r="T557" s="586">
        <f t="shared" si="274"/>
        <v>0.42118207782639827</v>
      </c>
      <c r="U557" s="587">
        <f t="shared" si="286"/>
        <v>0.73332686423426374</v>
      </c>
      <c r="V557" s="588">
        <f t="shared" si="287"/>
        <v>-0.96427951821454172</v>
      </c>
      <c r="W557" s="589">
        <f t="shared" si="275"/>
        <v>-11.030838643961953</v>
      </c>
      <c r="X557" s="590">
        <f t="shared" si="276"/>
        <v>-203.99095184017904</v>
      </c>
      <c r="Y557" s="593">
        <f t="shared" si="277"/>
        <v>-23.990951840179036</v>
      </c>
      <c r="AA557" s="150">
        <f t="shared" si="278"/>
        <v>89125</v>
      </c>
      <c r="AB557" s="150">
        <f t="shared" si="279"/>
        <v>7943265625</v>
      </c>
      <c r="AD557" s="592">
        <f t="shared" si="280"/>
        <v>26.810855709682386</v>
      </c>
      <c r="AE557" s="593">
        <f t="shared" si="281"/>
        <v>-24.984169982754462</v>
      </c>
      <c r="AG557" s="592">
        <f t="shared" si="282"/>
        <v>-7.0656551960430694</v>
      </c>
      <c r="AH557" s="593">
        <f t="shared" si="283"/>
        <v>-68.508488401958616</v>
      </c>
      <c r="AJ557" s="150">
        <f t="shared" si="284"/>
        <v>0</v>
      </c>
      <c r="AK557" s="150">
        <f t="shared" si="296"/>
        <v>0</v>
      </c>
      <c r="AM557" s="150" t="str">
        <f t="shared" si="288"/>
        <v>1.02916779257181+0.999574529425639i</v>
      </c>
      <c r="AN557" s="150" t="str">
        <f t="shared" si="289"/>
        <v>1.59996825675i</v>
      </c>
      <c r="AO557" s="150" t="str">
        <f t="shared" si="290"/>
        <v>0.62474647556825-0.64324263198968i</v>
      </c>
      <c r="AP557" s="150" t="str">
        <f t="shared" si="291"/>
        <v>-0.00486129876196802-0.166595754904273i</v>
      </c>
      <c r="AQ557" s="150" t="str">
        <f t="shared" si="292"/>
        <v>1.00486129876197+0.166595754904273i</v>
      </c>
      <c r="AR557" s="150" t="str">
        <f t="shared" si="293"/>
        <v>0.806794370195092-0.133758278202938i</v>
      </c>
    </row>
    <row r="558" spans="7:44" x14ac:dyDescent="0.25">
      <c r="G558" s="594">
        <v>89644</v>
      </c>
      <c r="H558" s="582">
        <f t="shared" si="285"/>
        <v>89.644000000000005</v>
      </c>
      <c r="I558" s="583">
        <f t="shared" si="265"/>
        <v>87.465903765527571</v>
      </c>
      <c r="J558" s="584">
        <f t="shared" si="266"/>
        <v>1.5593630511536247</v>
      </c>
      <c r="K558" s="584">
        <f t="shared" si="267"/>
        <v>1.0011725046260003</v>
      </c>
      <c r="L558" s="585">
        <f t="shared" si="268"/>
        <v>4.8401655588168939E-2</v>
      </c>
      <c r="M558" s="584">
        <f t="shared" si="269"/>
        <v>1.2576817736888073</v>
      </c>
      <c r="N558" s="585">
        <f t="shared" si="270"/>
        <v>-0.65160130014314077</v>
      </c>
      <c r="O558" s="583">
        <f t="shared" si="271"/>
        <v>162215.9605566439</v>
      </c>
      <c r="P558" s="586">
        <f t="shared" si="272"/>
        <v>1.5707901621733849</v>
      </c>
      <c r="Q558" s="595">
        <f t="shared" si="294"/>
        <v>67.597380705021621</v>
      </c>
      <c r="R558" s="596">
        <f t="shared" si="295"/>
        <v>1.5560023145471675</v>
      </c>
      <c r="S558" s="583">
        <f t="shared" si="273"/>
        <v>1.096831920237749</v>
      </c>
      <c r="T558" s="586">
        <f t="shared" si="274"/>
        <v>0.42335268350252098</v>
      </c>
      <c r="U558" s="587">
        <f t="shared" si="286"/>
        <v>0.7312790107116921</v>
      </c>
      <c r="V558" s="588">
        <f t="shared" si="287"/>
        <v>-0.96863842517717036</v>
      </c>
      <c r="W558" s="589">
        <f t="shared" si="275"/>
        <v>-11.095438801562143</v>
      </c>
      <c r="X558" s="590">
        <f t="shared" si="276"/>
        <v>-204.50821253436877</v>
      </c>
      <c r="Y558" s="593">
        <f t="shared" si="277"/>
        <v>-24.508212534368766</v>
      </c>
      <c r="AA558" s="150">
        <f t="shared" si="278"/>
        <v>89644</v>
      </c>
      <c r="AB558" s="150">
        <f t="shared" si="279"/>
        <v>8036046736</v>
      </c>
      <c r="AD558" s="592">
        <f t="shared" si="280"/>
        <v>26.802373759867013</v>
      </c>
      <c r="AE558" s="593">
        <f t="shared" si="281"/>
        <v>-25.103603295982019</v>
      </c>
      <c r="AG558" s="592">
        <f t="shared" si="282"/>
        <v>-7.0731939420409295</v>
      </c>
      <c r="AH558" s="593">
        <f t="shared" si="283"/>
        <v>-68.406821837852434</v>
      </c>
      <c r="AJ558" s="150">
        <f t="shared" si="284"/>
        <v>0</v>
      </c>
      <c r="AK558" s="150">
        <f t="shared" si="296"/>
        <v>0</v>
      </c>
      <c r="AM558" s="150" t="str">
        <f t="shared" si="288"/>
        <v>1.03847949390969+0.999259390022658i</v>
      </c>
      <c r="AN558" s="150" t="str">
        <f t="shared" si="289"/>
        <v>1.609285322952i</v>
      </c>
      <c r="AO558" s="150" t="str">
        <f t="shared" si="290"/>
        <v>0.62093363791429-0.645304769203233i</v>
      </c>
      <c r="AP558" s="150" t="str">
        <f t="shared" si="291"/>
        <v>-0.00641324898494822-0.166543231670443i</v>
      </c>
      <c r="AQ558" s="150" t="str">
        <f t="shared" si="292"/>
        <v>1.00641324898495+0.166543231670443i</v>
      </c>
      <c r="AR558" s="150" t="str">
        <f t="shared" si="293"/>
        <v>0.805630205393988-0.133317261147904i</v>
      </c>
    </row>
    <row r="559" spans="7:44" x14ac:dyDescent="0.25">
      <c r="G559" s="594">
        <v>90163</v>
      </c>
      <c r="H559" s="582">
        <f t="shared" si="285"/>
        <v>90.162999999999997</v>
      </c>
      <c r="I559" s="583">
        <f t="shared" si="265"/>
        <v>87.972227528292862</v>
      </c>
      <c r="J559" s="584">
        <f t="shared" si="266"/>
        <v>1.5594288581632738</v>
      </c>
      <c r="K559" s="584">
        <f t="shared" si="267"/>
        <v>1.0011861124514561</v>
      </c>
      <c r="L559" s="585">
        <f t="shared" si="268"/>
        <v>4.8681438993489125E-2</v>
      </c>
      <c r="M559" s="584">
        <f t="shared" si="269"/>
        <v>1.2603647335791108</v>
      </c>
      <c r="N559" s="585">
        <f t="shared" si="270"/>
        <v>-0.65438711914870129</v>
      </c>
      <c r="O559" s="583">
        <f t="shared" si="271"/>
        <v>163155.12082978777</v>
      </c>
      <c r="P559" s="586">
        <f t="shared" si="272"/>
        <v>1.5707901976584349</v>
      </c>
      <c r="Q559" s="595">
        <f t="shared" si="294"/>
        <v>67.988654910394914</v>
      </c>
      <c r="R559" s="596">
        <f t="shared" si="295"/>
        <v>1.5560874601363652</v>
      </c>
      <c r="S559" s="583">
        <f t="shared" si="273"/>
        <v>1.0979062335296776</v>
      </c>
      <c r="T559" s="586">
        <f t="shared" si="274"/>
        <v>0.4255190514460207</v>
      </c>
      <c r="U559" s="587">
        <f t="shared" si="286"/>
        <v>0.7292344734053704</v>
      </c>
      <c r="V559" s="588">
        <f t="shared" si="287"/>
        <v>-0.97298435201990896</v>
      </c>
      <c r="W559" s="589">
        <f t="shared" si="275"/>
        <v>-11.159779909234448</v>
      </c>
      <c r="X559" s="590">
        <f t="shared" si="276"/>
        <v>-205.02381881851144</v>
      </c>
      <c r="Y559" s="593">
        <f t="shared" si="277"/>
        <v>-25.023818818511444</v>
      </c>
      <c r="AA559" s="150">
        <f t="shared" si="278"/>
        <v>90163</v>
      </c>
      <c r="AB559" s="150">
        <f t="shared" si="279"/>
        <v>8129366569</v>
      </c>
      <c r="AD559" s="592">
        <f t="shared" si="280"/>
        <v>26.793859450130494</v>
      </c>
      <c r="AE559" s="593">
        <f t="shared" si="281"/>
        <v>-25.222850586391669</v>
      </c>
      <c r="AG559" s="592">
        <f t="shared" si="282"/>
        <v>-7.0803840455620577</v>
      </c>
      <c r="AH559" s="593">
        <f t="shared" si="283"/>
        <v>-68.305174298693316</v>
      </c>
      <c r="AJ559" s="150">
        <f t="shared" si="284"/>
        <v>0</v>
      </c>
      <c r="AK559" s="150">
        <f t="shared" si="296"/>
        <v>0</v>
      </c>
      <c r="AM559" s="150" t="str">
        <f t="shared" si="288"/>
        <v>1.0477878549545+0.998857507815228i</v>
      </c>
      <c r="AN559" s="150" t="str">
        <f t="shared" si="289"/>
        <v>1.618602389154i</v>
      </c>
      <c r="AO559" s="150" t="str">
        <f t="shared" si="290"/>
        <v>0.617111104313459-0.647341102407584i</v>
      </c>
      <c r="AP559" s="150" t="str">
        <f t="shared" si="291"/>
        <v>-0.00796464249241675-0.166476251302538i</v>
      </c>
      <c r="AQ559" s="150" t="str">
        <f t="shared" si="292"/>
        <v>1.00796464249242+0.166476251302538i</v>
      </c>
      <c r="AR559" s="150" t="str">
        <f t="shared" si="293"/>
        <v>0.80447337874071-0.13286747046432i</v>
      </c>
    </row>
    <row r="560" spans="7:44" x14ac:dyDescent="0.25">
      <c r="G560" s="594">
        <v>90682</v>
      </c>
      <c r="H560" s="582">
        <f t="shared" si="285"/>
        <v>90.682000000000002</v>
      </c>
      <c r="I560" s="583">
        <f t="shared" si="265"/>
        <v>88.478551667667148</v>
      </c>
      <c r="J560" s="584">
        <f t="shared" si="266"/>
        <v>1.5594939120036053</v>
      </c>
      <c r="K560" s="584">
        <f t="shared" si="267"/>
        <v>1.0011997986463792</v>
      </c>
      <c r="L560" s="585">
        <f t="shared" si="268"/>
        <v>4.896121477154633E-2</v>
      </c>
      <c r="M560" s="584">
        <f t="shared" si="269"/>
        <v>1.2630574332931674</v>
      </c>
      <c r="N560" s="585">
        <f t="shared" si="270"/>
        <v>-0.65716108148583752</v>
      </c>
      <c r="O560" s="583">
        <f t="shared" si="271"/>
        <v>164094.28110293183</v>
      </c>
      <c r="P560" s="586">
        <f t="shared" si="272"/>
        <v>1.570790232737302</v>
      </c>
      <c r="Q560" s="595">
        <f t="shared" si="294"/>
        <v>68.379929603029566</v>
      </c>
      <c r="R560" s="596">
        <f t="shared" si="295"/>
        <v>1.5561716313082516</v>
      </c>
      <c r="S560" s="583">
        <f t="shared" si="273"/>
        <v>1.0989856893723065</v>
      </c>
      <c r="T560" s="586">
        <f t="shared" si="274"/>
        <v>0.42768117378037951</v>
      </c>
      <c r="U560" s="587">
        <f t="shared" si="286"/>
        <v>0.72719331759121508</v>
      </c>
      <c r="V560" s="588">
        <f t="shared" si="287"/>
        <v>-0.9773173809920972</v>
      </c>
      <c r="W560" s="589">
        <f t="shared" si="275"/>
        <v>-11.223865051936288</v>
      </c>
      <c r="X560" s="590">
        <f t="shared" si="276"/>
        <v>-205.53777660687365</v>
      </c>
      <c r="Y560" s="593">
        <f t="shared" si="277"/>
        <v>-25.537776606873649</v>
      </c>
      <c r="AA560" s="150">
        <f t="shared" si="278"/>
        <v>90682</v>
      </c>
      <c r="AB560" s="150">
        <f t="shared" si="279"/>
        <v>8223225124</v>
      </c>
      <c r="AD560" s="592">
        <f t="shared" si="280"/>
        <v>26.785312999255879</v>
      </c>
      <c r="AE560" s="593">
        <f t="shared" si="281"/>
        <v>-25.341910428042727</v>
      </c>
      <c r="AG560" s="592">
        <f t="shared" si="282"/>
        <v>-7.0872302698242127</v>
      </c>
      <c r="AH560" s="593">
        <f t="shared" si="283"/>
        <v>-68.203543699608488</v>
      </c>
      <c r="AJ560" s="150">
        <f t="shared" si="284"/>
        <v>0</v>
      </c>
      <c r="AK560" s="150">
        <f t="shared" si="296"/>
        <v>0</v>
      </c>
      <c r="AM560" s="150" t="str">
        <f t="shared" si="288"/>
        <v>1.05709206767446+0.998368917689576i</v>
      </c>
      <c r="AN560" s="150" t="str">
        <f t="shared" si="289"/>
        <v>1.627919455356i</v>
      </c>
      <c r="AO560" s="150" t="str">
        <f t="shared" si="290"/>
        <v>0.613279062674049-0.64935157829617i</v>
      </c>
      <c r="AP560" s="150" t="str">
        <f t="shared" si="291"/>
        <v>-0.0095153446124106-0.166394819614929i</v>
      </c>
      <c r="AQ560" s="150" t="str">
        <f t="shared" si="292"/>
        <v>1.00951534461241+0.166394819614929i</v>
      </c>
      <c r="AR560" s="150" t="str">
        <f t="shared" si="293"/>
        <v>0.803323920821946-0.132409021428838i</v>
      </c>
    </row>
    <row r="561" spans="7:44" x14ac:dyDescent="0.25">
      <c r="G561" s="594">
        <v>91201</v>
      </c>
      <c r="H561" s="582">
        <f t="shared" si="285"/>
        <v>91.200999999999993</v>
      </c>
      <c r="I561" s="583">
        <f t="shared" si="265"/>
        <v>88.984876177221707</v>
      </c>
      <c r="J561" s="584">
        <f t="shared" si="266"/>
        <v>1.559558225530679</v>
      </c>
      <c r="K561" s="584">
        <f t="shared" si="267"/>
        <v>1.0012135632075558</v>
      </c>
      <c r="L561" s="585">
        <f t="shared" si="268"/>
        <v>4.9240982878855623E-2</v>
      </c>
      <c r="M561" s="584">
        <f t="shared" si="269"/>
        <v>1.2657598106712695</v>
      </c>
      <c r="N561" s="585">
        <f t="shared" si="270"/>
        <v>-0.65992322026950423</v>
      </c>
      <c r="O561" s="583">
        <f t="shared" si="271"/>
        <v>165033.44137607608</v>
      </c>
      <c r="P561" s="586">
        <f t="shared" si="272"/>
        <v>1.5707902674169205</v>
      </c>
      <c r="Q561" s="595">
        <f t="shared" si="294"/>
        <v>68.771204774608762</v>
      </c>
      <c r="R561" s="596">
        <f t="shared" si="295"/>
        <v>1.5562548446935252</v>
      </c>
      <c r="S561" s="583">
        <f t="shared" si="273"/>
        <v>1.1000702726270852</v>
      </c>
      <c r="T561" s="586">
        <f t="shared" si="274"/>
        <v>0.42983904281869817</v>
      </c>
      <c r="U561" s="587">
        <f t="shared" si="286"/>
        <v>0.7251556068029209</v>
      </c>
      <c r="V561" s="588">
        <f t="shared" si="287"/>
        <v>-0.98163759467659328</v>
      </c>
      <c r="W561" s="589">
        <f t="shared" si="275"/>
        <v>-11.28769726290381</v>
      </c>
      <c r="X561" s="590">
        <f t="shared" si="276"/>
        <v>-206.05009187464282</v>
      </c>
      <c r="Y561" s="593">
        <f t="shared" si="277"/>
        <v>-26.050091874642817</v>
      </c>
      <c r="AA561" s="150">
        <f t="shared" si="278"/>
        <v>91201</v>
      </c>
      <c r="AB561" s="150">
        <f t="shared" si="279"/>
        <v>8317622401</v>
      </c>
      <c r="AD561" s="592">
        <f t="shared" si="280"/>
        <v>26.776734625932505</v>
      </c>
      <c r="AE561" s="593">
        <f t="shared" si="281"/>
        <v>-25.460781428036761</v>
      </c>
      <c r="AG561" s="592">
        <f t="shared" si="282"/>
        <v>-7.0937373019643521</v>
      </c>
      <c r="AH561" s="593">
        <f t="shared" si="283"/>
        <v>-68.101927945385327</v>
      </c>
      <c r="AJ561" s="150">
        <f t="shared" si="284"/>
        <v>0</v>
      </c>
      <c r="AK561" s="150">
        <f t="shared" si="296"/>
        <v>0</v>
      </c>
      <c r="AM561" s="150" t="str">
        <f t="shared" si="288"/>
        <v>1.0663913243979+0.997793662058791i</v>
      </c>
      <c r="AN561" s="150" t="str">
        <f t="shared" si="289"/>
        <v>1.637236521558i</v>
      </c>
      <c r="AO561" s="150" t="str">
        <f t="shared" si="290"/>
        <v>0.609437701224309-0.651336144995787i</v>
      </c>
      <c r="AP561" s="150" t="str">
        <f t="shared" si="291"/>
        <v>-0.0110652207329841-0.166298943676465i</v>
      </c>
      <c r="AQ561" s="150" t="str">
        <f t="shared" si="292"/>
        <v>1.01106522073298+0.166298943676465i</v>
      </c>
      <c r="AR561" s="150" t="str">
        <f t="shared" si="293"/>
        <v>0.802181860693721-0.131942028401566i</v>
      </c>
    </row>
    <row r="562" spans="7:44" x14ac:dyDescent="0.25">
      <c r="G562" s="594">
        <v>91732</v>
      </c>
      <c r="H562" s="582">
        <f t="shared" si="285"/>
        <v>91.731999999999999</v>
      </c>
      <c r="I562" s="583">
        <f t="shared" si="265"/>
        <v>89.502907988418428</v>
      </c>
      <c r="J562" s="584">
        <f t="shared" si="266"/>
        <v>1.5596232729917623</v>
      </c>
      <c r="K562" s="584">
        <f t="shared" si="267"/>
        <v>1.0012277271262169</v>
      </c>
      <c r="L562" s="585">
        <f t="shared" si="268"/>
        <v>4.9527211628743711E-2</v>
      </c>
      <c r="M562" s="584">
        <f t="shared" si="269"/>
        <v>1.2685346221500522</v>
      </c>
      <c r="N562" s="585">
        <f t="shared" si="270"/>
        <v>-0.662737021752272</v>
      </c>
      <c r="O562" s="583">
        <f t="shared" si="271"/>
        <v>165994.31633761697</v>
      </c>
      <c r="P562" s="586">
        <f t="shared" si="272"/>
        <v>1.5707903024922454</v>
      </c>
      <c r="Q562" s="595">
        <f t="shared" si="294"/>
        <v>69.171527258171238</v>
      </c>
      <c r="R562" s="596">
        <f t="shared" si="295"/>
        <v>1.5563390077769734</v>
      </c>
      <c r="S562" s="583">
        <f t="shared" si="273"/>
        <v>1.1011852237622661</v>
      </c>
      <c r="T562" s="586">
        <f t="shared" si="274"/>
        <v>0.43204239501767455</v>
      </c>
      <c r="U562" s="587">
        <f t="shared" si="286"/>
        <v>0.72307441120052307</v>
      </c>
      <c r="V562" s="588">
        <f t="shared" si="287"/>
        <v>-0.98604452098059225</v>
      </c>
      <c r="W562" s="589">
        <f t="shared" si="275"/>
        <v>-11.352746702099974</v>
      </c>
      <c r="X562" s="590">
        <f t="shared" si="276"/>
        <v>-206.5725589500565</v>
      </c>
      <c r="Y562" s="593">
        <f t="shared" si="277"/>
        <v>-26.572558950056504</v>
      </c>
      <c r="AA562" s="150">
        <f t="shared" si="278"/>
        <v>91732</v>
      </c>
      <c r="AB562" s="150">
        <f t="shared" si="279"/>
        <v>8414759824</v>
      </c>
      <c r="AD562" s="592">
        <f t="shared" si="280"/>
        <v>26.767925098558717</v>
      </c>
      <c r="AE562" s="593">
        <f t="shared" si="281"/>
        <v>-25.582204030153409</v>
      </c>
      <c r="AG562" s="592">
        <f t="shared" si="282"/>
        <v>-7.1000485490391307</v>
      </c>
      <c r="AH562" s="593">
        <f t="shared" si="283"/>
        <v>-67.997975862416681</v>
      </c>
      <c r="AJ562" s="150">
        <f t="shared" si="284"/>
        <v>0</v>
      </c>
      <c r="AK562" s="150">
        <f t="shared" si="296"/>
        <v>0</v>
      </c>
      <c r="AM562" s="150" t="str">
        <f t="shared" si="288"/>
        <v>1.0758996217419+0.997115463434118i</v>
      </c>
      <c r="AN562" s="150" t="str">
        <f t="shared" si="289"/>
        <v>1.646769011256i</v>
      </c>
      <c r="AO562" s="150" t="str">
        <f t="shared" si="290"/>
        <v>0.605498073268705-0.65333973033735i</v>
      </c>
      <c r="AP562" s="150" t="str">
        <f t="shared" si="291"/>
        <v>-0.0126499369569832-0.166185910572353i</v>
      </c>
      <c r="AQ562" s="150" t="str">
        <f t="shared" si="292"/>
        <v>1.01264993695698+0.166185910572353i</v>
      </c>
      <c r="AR562" s="150" t="str">
        <f t="shared" si="293"/>
        <v>0.801021079623185-0.131455513545826i</v>
      </c>
    </row>
    <row r="563" spans="7:44" x14ac:dyDescent="0.25">
      <c r="G563" s="594">
        <v>92263</v>
      </c>
      <c r="H563" s="582">
        <f t="shared" si="285"/>
        <v>92.263000000000005</v>
      </c>
      <c r="I563" s="583">
        <f t="shared" si="265"/>
        <v>90.020940173958834</v>
      </c>
      <c r="J563" s="584">
        <f t="shared" si="266"/>
        <v>1.5596875718122241</v>
      </c>
      <c r="K563" s="584">
        <f t="shared" si="267"/>
        <v>1.0012419730700344</v>
      </c>
      <c r="L563" s="585">
        <f t="shared" si="268"/>
        <v>4.9813432256999003E-2</v>
      </c>
      <c r="M563" s="584">
        <f t="shared" si="269"/>
        <v>1.2713194333357494</v>
      </c>
      <c r="N563" s="585">
        <f t="shared" si="270"/>
        <v>-0.6655385181328739</v>
      </c>
      <c r="O563" s="583">
        <f t="shared" si="271"/>
        <v>166955.19129915803</v>
      </c>
      <c r="P563" s="586">
        <f t="shared" si="272"/>
        <v>1.5707903371638332</v>
      </c>
      <c r="Q563" s="595">
        <f t="shared" si="294"/>
        <v>69.571850226066317</v>
      </c>
      <c r="R563" s="596">
        <f t="shared" si="295"/>
        <v>1.5564222022964138</v>
      </c>
      <c r="S563" s="583">
        <f t="shared" si="273"/>
        <v>1.1023055100586669</v>
      </c>
      <c r="T563" s="586">
        <f t="shared" si="274"/>
        <v>0.4342412792871968</v>
      </c>
      <c r="U563" s="587">
        <f t="shared" si="286"/>
        <v>0.72099695084171878</v>
      </c>
      <c r="V563" s="588">
        <f t="shared" si="287"/>
        <v>-0.99043820841841168</v>
      </c>
      <c r="W563" s="589">
        <f t="shared" si="275"/>
        <v>-11.417537641283227</v>
      </c>
      <c r="X563" s="590">
        <f t="shared" si="276"/>
        <v>-207.09331951327388</v>
      </c>
      <c r="Y563" s="593">
        <f t="shared" si="277"/>
        <v>-27.093319513273883</v>
      </c>
      <c r="AA563" s="150">
        <f t="shared" si="278"/>
        <v>92263</v>
      </c>
      <c r="AB563" s="150">
        <f t="shared" si="279"/>
        <v>8512461169</v>
      </c>
      <c r="AD563" s="592">
        <f t="shared" si="280"/>
        <v>26.759082618243497</v>
      </c>
      <c r="AE563" s="593">
        <f t="shared" si="281"/>
        <v>-25.703426110266367</v>
      </c>
      <c r="AG563" s="592">
        <f t="shared" si="282"/>
        <v>-7.1060144258083486</v>
      </c>
      <c r="AH563" s="593">
        <f t="shared" si="283"/>
        <v>-67.8940348515724</v>
      </c>
      <c r="AJ563" s="150">
        <f t="shared" si="284"/>
        <v>0</v>
      </c>
      <c r="AK563" s="150">
        <f t="shared" si="296"/>
        <v>0</v>
      </c>
      <c r="AM563" s="150" t="str">
        <f t="shared" si="288"/>
        <v>1.08540102226398+0.996346659248811i</v>
      </c>
      <c r="AN563" s="150" t="str">
        <f t="shared" si="289"/>
        <v>1.656301500954i</v>
      </c>
      <c r="AO563" s="150" t="str">
        <f t="shared" si="290"/>
        <v>0.601549089145263-0.65531608927409i</v>
      </c>
      <c r="AP563" s="150" t="str">
        <f t="shared" si="291"/>
        <v>-0.0142335037106632-0.166057776541468i</v>
      </c>
      <c r="AQ563" s="150" t="str">
        <f t="shared" si="292"/>
        <v>1.01423350371066+0.166057776541468i</v>
      </c>
      <c r="AR563" s="150" t="str">
        <f t="shared" si="293"/>
        <v>0.79986809916579-0.130960294239909i</v>
      </c>
    </row>
    <row r="564" spans="7:44" x14ac:dyDescent="0.25">
      <c r="G564" s="594">
        <v>92794</v>
      </c>
      <c r="H564" s="582">
        <f t="shared" si="285"/>
        <v>92.793999999999997</v>
      </c>
      <c r="I564" s="583">
        <f t="shared" si="265"/>
        <v>90.538972727417331</v>
      </c>
      <c r="J564" s="584">
        <f t="shared" si="266"/>
        <v>1.5597511348419129</v>
      </c>
      <c r="K564" s="584">
        <f t="shared" si="267"/>
        <v>1.0012563010355069</v>
      </c>
      <c r="L564" s="585">
        <f t="shared" si="268"/>
        <v>5.009964471707349E-2</v>
      </c>
      <c r="M564" s="584">
        <f t="shared" si="269"/>
        <v>1.2741141786597592</v>
      </c>
      <c r="N564" s="585">
        <f t="shared" si="270"/>
        <v>-0.66832774626605029</v>
      </c>
      <c r="O564" s="583">
        <f t="shared" si="271"/>
        <v>167916.06626069927</v>
      </c>
      <c r="P564" s="586">
        <f t="shared" si="272"/>
        <v>1.5707903714386149</v>
      </c>
      <c r="Q564" s="595">
        <f t="shared" si="294"/>
        <v>69.97217366998116</v>
      </c>
      <c r="R564" s="596">
        <f t="shared" si="295"/>
        <v>1.5565044448746732</v>
      </c>
      <c r="S564" s="583">
        <f t="shared" si="273"/>
        <v>1.1034311152663163</v>
      </c>
      <c r="T564" s="586">
        <f t="shared" si="274"/>
        <v>0.4364356880046289</v>
      </c>
      <c r="U564" s="587">
        <f t="shared" si="286"/>
        <v>0.71892328826528562</v>
      </c>
      <c r="V564" s="588">
        <f t="shared" si="287"/>
        <v>-0.99481874640920953</v>
      </c>
      <c r="W564" s="589">
        <f t="shared" si="275"/>
        <v>-11.482073168904067</v>
      </c>
      <c r="X564" s="590">
        <f t="shared" si="276"/>
        <v>-207.61238014939985</v>
      </c>
      <c r="Y564" s="593">
        <f t="shared" si="277"/>
        <v>-27.612380149399854</v>
      </c>
      <c r="AA564" s="150">
        <f t="shared" si="278"/>
        <v>92794</v>
      </c>
      <c r="AB564" s="150">
        <f t="shared" si="279"/>
        <v>8610726436</v>
      </c>
      <c r="AD564" s="592">
        <f t="shared" si="280"/>
        <v>26.750207418780757</v>
      </c>
      <c r="AE564" s="593">
        <f t="shared" si="281"/>
        <v>-25.824446279610026</v>
      </c>
      <c r="AG564" s="592">
        <f t="shared" si="282"/>
        <v>-7.111639713835558</v>
      </c>
      <c r="AH564" s="593">
        <f t="shared" si="283"/>
        <v>-67.790102640042264</v>
      </c>
      <c r="AJ564" s="150">
        <f t="shared" si="284"/>
        <v>0</v>
      </c>
      <c r="AK564" s="150">
        <f t="shared" si="296"/>
        <v>0</v>
      </c>
      <c r="AM564" s="150" t="str">
        <f t="shared" si="288"/>
        <v>1.094894662594+0.995487319362317i</v>
      </c>
      <c r="AN564" s="150" t="str">
        <f t="shared" si="289"/>
        <v>1.665833990652i</v>
      </c>
      <c r="AO564" s="150" t="str">
        <f t="shared" si="290"/>
        <v>0.597590951408482-0.657265170922262i</v>
      </c>
      <c r="AP564" s="150" t="str">
        <f t="shared" si="291"/>
        <v>-0.0158157770990001-0.165914553227053i</v>
      </c>
      <c r="AQ564" s="150" t="str">
        <f t="shared" si="292"/>
        <v>1.015815777099+0.165914553227053i</v>
      </c>
      <c r="AR564" s="150" t="str">
        <f t="shared" si="293"/>
        <v>0.798722945686506-0.130456489920079i</v>
      </c>
    </row>
    <row r="565" spans="7:44" x14ac:dyDescent="0.25">
      <c r="G565" s="594">
        <v>93325</v>
      </c>
      <c r="H565" s="582">
        <f t="shared" si="285"/>
        <v>93.325000000000003</v>
      </c>
      <c r="I565" s="583">
        <f t="shared" si="265"/>
        <v>91.057005642514525</v>
      </c>
      <c r="J565" s="584">
        <f t="shared" si="266"/>
        <v>1.5598139746382849</v>
      </c>
      <c r="K565" s="584">
        <f t="shared" si="267"/>
        <v>1.0012707110191137</v>
      </c>
      <c r="L565" s="585">
        <f t="shared" si="268"/>
        <v>5.038584896242719E-2</v>
      </c>
      <c r="M565" s="584">
        <f t="shared" si="269"/>
        <v>1.2769187928946311</v>
      </c>
      <c r="N565" s="585">
        <f t="shared" si="270"/>
        <v>-0.67110474344802451</v>
      </c>
      <c r="O565" s="583">
        <f t="shared" si="271"/>
        <v>168876.94122224074</v>
      </c>
      <c r="P565" s="586">
        <f t="shared" si="272"/>
        <v>1.5707904053233637</v>
      </c>
      <c r="Q565" s="595">
        <f t="shared" si="294"/>
        <v>70.372497581792089</v>
      </c>
      <c r="R565" s="596">
        <f t="shared" si="295"/>
        <v>1.5565857517563861</v>
      </c>
      <c r="S565" s="583">
        <f t="shared" si="273"/>
        <v>1.1045620231244868</v>
      </c>
      <c r="T565" s="586">
        <f t="shared" si="274"/>
        <v>0.43862561375074482</v>
      </c>
      <c r="U565" s="587">
        <f t="shared" si="286"/>
        <v>0.71685348420730055</v>
      </c>
      <c r="V565" s="588">
        <f t="shared" si="287"/>
        <v>-0.99918622466506468</v>
      </c>
      <c r="W565" s="589">
        <f t="shared" si="275"/>
        <v>-11.546356322021602</v>
      </c>
      <c r="X565" s="590">
        <f t="shared" si="276"/>
        <v>-208.1297475021787</v>
      </c>
      <c r="Y565" s="593">
        <f t="shared" si="277"/>
        <v>-28.129747502178702</v>
      </c>
      <c r="AA565" s="150">
        <f t="shared" si="278"/>
        <v>93325</v>
      </c>
      <c r="AB565" s="150">
        <f t="shared" si="279"/>
        <v>8709555625</v>
      </c>
      <c r="AD565" s="592">
        <f t="shared" si="280"/>
        <v>26.7412997337862</v>
      </c>
      <c r="AE565" s="593">
        <f t="shared" si="281"/>
        <v>-25.945263182733125</v>
      </c>
      <c r="AG565" s="592">
        <f t="shared" si="282"/>
        <v>-7.1169291172757196</v>
      </c>
      <c r="AH565" s="593">
        <f t="shared" si="283"/>
        <v>-67.686176946774793</v>
      </c>
      <c r="AJ565" s="150">
        <f t="shared" si="284"/>
        <v>0</v>
      </c>
      <c r="AK565" s="150">
        <f t="shared" si="296"/>
        <v>0</v>
      </c>
      <c r="AM565" s="150" t="str">
        <f t="shared" si="288"/>
        <v>1.10437968006697+0.994537521860848i</v>
      </c>
      <c r="AN565" s="150" t="str">
        <f t="shared" si="289"/>
        <v>1.67536648035i</v>
      </c>
      <c r="AO565" s="150" t="str">
        <f t="shared" si="290"/>
        <v>0.593623862913313-0.659186925977088i</v>
      </c>
      <c r="AP565" s="150" t="str">
        <f t="shared" si="291"/>
        <v>-0.0173966133444948-0.165756253643475i</v>
      </c>
      <c r="AQ565" s="150" t="str">
        <f t="shared" si="292"/>
        <v>1.01739661334449+0.165756253643475i</v>
      </c>
      <c r="AR565" s="150" t="str">
        <f t="shared" si="293"/>
        <v>0.797585644021283-0.129944218978859i</v>
      </c>
    </row>
    <row r="566" spans="7:44" x14ac:dyDescent="0.25">
      <c r="G566" s="594">
        <v>93868.5</v>
      </c>
      <c r="H566" s="582">
        <f t="shared" si="285"/>
        <v>93.868499999999997</v>
      </c>
      <c r="I566" s="583">
        <f t="shared" si="265"/>
        <v>91.587233674187829</v>
      </c>
      <c r="J566" s="584">
        <f t="shared" si="266"/>
        <v>1.5598775575507666</v>
      </c>
      <c r="K566" s="584">
        <f t="shared" si="267"/>
        <v>1.0012855451540745</v>
      </c>
      <c r="L566" s="585">
        <f t="shared" si="268"/>
        <v>5.0678782040223476E-2</v>
      </c>
      <c r="M566" s="584">
        <f t="shared" si="269"/>
        <v>1.27979958152641</v>
      </c>
      <c r="N566" s="585">
        <f t="shared" si="270"/>
        <v>-0.67393448565548142</v>
      </c>
      <c r="O566" s="583">
        <f t="shared" si="271"/>
        <v>169860.435650862</v>
      </c>
      <c r="P566" s="586">
        <f t="shared" si="272"/>
        <v>1.5707904396087713</v>
      </c>
      <c r="Q566" s="595">
        <f t="shared" si="294"/>
        <v>70.782245790764065</v>
      </c>
      <c r="R566" s="596">
        <f t="shared" si="295"/>
        <v>1.5566680202149474</v>
      </c>
      <c r="S566" s="583">
        <f t="shared" si="273"/>
        <v>1.1057250274856691</v>
      </c>
      <c r="T566" s="586">
        <f t="shared" si="274"/>
        <v>0.44086244137955427</v>
      </c>
      <c r="U566" s="587">
        <f t="shared" si="286"/>
        <v>0.71473901330958156</v>
      </c>
      <c r="V566" s="588">
        <f t="shared" si="287"/>
        <v>-1.003643084918272</v>
      </c>
      <c r="W566" s="589">
        <f t="shared" si="275"/>
        <v>-11.61189449325439</v>
      </c>
      <c r="X566" s="590">
        <f t="shared" si="276"/>
        <v>-208.65754738583991</v>
      </c>
      <c r="Y566" s="593">
        <f t="shared" si="277"/>
        <v>-28.657547385839905</v>
      </c>
      <c r="AA566" s="150">
        <f t="shared" si="278"/>
        <v>93868.5</v>
      </c>
      <c r="AB566" s="150">
        <f t="shared" si="279"/>
        <v>8811295292.25</v>
      </c>
      <c r="AD566" s="592">
        <f t="shared" si="280"/>
        <v>26.732148959526153</v>
      </c>
      <c r="AE566" s="593">
        <f t="shared" si="281"/>
        <v>-26.068712294449778</v>
      </c>
      <c r="AG566" s="592">
        <f t="shared" si="282"/>
        <v>-7.1220000278940319</v>
      </c>
      <c r="AH566" s="593">
        <f t="shared" si="283"/>
        <v>-67.579809153359022</v>
      </c>
      <c r="AJ566" s="150">
        <f t="shared" si="284"/>
        <v>0</v>
      </c>
      <c r="AK566" s="150">
        <f t="shared" si="296"/>
        <v>0</v>
      </c>
      <c r="AM566" s="150" t="str">
        <f t="shared" si="288"/>
        <v>1.1140781502174+0.993471778986688i</v>
      </c>
      <c r="AN566" s="150" t="str">
        <f t="shared" si="289"/>
        <v>1.685123369523i</v>
      </c>
      <c r="AO566" s="150" t="str">
        <f t="shared" si="290"/>
        <v>0.589554329940784-0.661125571199429i</v>
      </c>
      <c r="AP566" s="150" t="str">
        <f t="shared" si="291"/>
        <v>-0.0190130250362338-0.165578629831115i</v>
      </c>
      <c r="AQ566" s="150" t="str">
        <f t="shared" si="292"/>
        <v>1.01901302503623+0.165578629831115i</v>
      </c>
      <c r="AR566" s="150" t="str">
        <f t="shared" si="293"/>
        <v>0.796429725315694-0.129411243462619i</v>
      </c>
    </row>
    <row r="567" spans="7:44" x14ac:dyDescent="0.25">
      <c r="G567" s="594">
        <v>94412</v>
      </c>
      <c r="H567" s="582">
        <f t="shared" si="285"/>
        <v>94.412000000000006</v>
      </c>
      <c r="I567" s="583">
        <f t="shared" si="265"/>
        <v>92.117462071866257</v>
      </c>
      <c r="J567" s="584">
        <f t="shared" si="266"/>
        <v>1.5599404084966166</v>
      </c>
      <c r="K567" s="584">
        <f t="shared" si="267"/>
        <v>1.0013004652065856</v>
      </c>
      <c r="L567" s="585">
        <f t="shared" si="268"/>
        <v>5.0971706413353919E-2</v>
      </c>
      <c r="M567" s="584">
        <f t="shared" si="269"/>
        <v>1.2826905719985284</v>
      </c>
      <c r="N567" s="585">
        <f t="shared" si="270"/>
        <v>-0.67675149471388463</v>
      </c>
      <c r="O567" s="583">
        <f t="shared" si="271"/>
        <v>170843.93007948346</v>
      </c>
      <c r="P567" s="586">
        <f t="shared" si="272"/>
        <v>1.5707904734994385</v>
      </c>
      <c r="Q567" s="595">
        <f t="shared" si="294"/>
        <v>71.191994473282804</v>
      </c>
      <c r="R567" s="596">
        <f t="shared" si="295"/>
        <v>1.5567493416745279</v>
      </c>
      <c r="S567" s="583">
        <f t="shared" si="273"/>
        <v>1.1068935525872783</v>
      </c>
      <c r="T567" s="586">
        <f t="shared" si="274"/>
        <v>0.44309455740969367</v>
      </c>
      <c r="U567" s="587">
        <f t="shared" si="286"/>
        <v>0.71262870781748111</v>
      </c>
      <c r="V567" s="588">
        <f t="shared" si="287"/>
        <v>-1.0080864543837678</v>
      </c>
      <c r="W567" s="589">
        <f t="shared" si="275"/>
        <v>-11.677174546837577</v>
      </c>
      <c r="X567" s="590">
        <f t="shared" si="276"/>
        <v>-209.18358759045142</v>
      </c>
      <c r="Y567" s="593">
        <f t="shared" si="277"/>
        <v>-29.183587590451424</v>
      </c>
      <c r="AA567" s="150">
        <f t="shared" si="278"/>
        <v>94412</v>
      </c>
      <c r="AB567" s="150">
        <f t="shared" si="279"/>
        <v>8913625744</v>
      </c>
      <c r="AD567" s="592">
        <f t="shared" si="280"/>
        <v>26.722964646881067</v>
      </c>
      <c r="AE567" s="593">
        <f t="shared" si="281"/>
        <v>-26.191945687875471</v>
      </c>
      <c r="AG567" s="592">
        <f t="shared" si="282"/>
        <v>-7.1267287841620783</v>
      </c>
      <c r="AH567" s="593">
        <f t="shared" si="283"/>
        <v>-67.473443329582622</v>
      </c>
      <c r="AJ567" s="150">
        <f t="shared" si="284"/>
        <v>0</v>
      </c>
      <c r="AK567" s="150">
        <f t="shared" si="296"/>
        <v>0</v>
      </c>
      <c r="AM567" s="150" t="str">
        <f t="shared" si="288"/>
        <v>1.12376576056929+0.99231146144278i</v>
      </c>
      <c r="AN567" s="150" t="str">
        <f t="shared" si="289"/>
        <v>1.694880258696i</v>
      </c>
      <c r="AO567" s="150" t="str">
        <f t="shared" si="290"/>
        <v>0.585475850787383-0.663035488674515i</v>
      </c>
      <c r="AP567" s="150" t="str">
        <f t="shared" si="291"/>
        <v>-0.0206276267615482-0.165385243573797i</v>
      </c>
      <c r="AQ567" s="150" t="str">
        <f t="shared" si="292"/>
        <v>1.02062762676155+0.165385243573797i</v>
      </c>
      <c r="AR567" s="150" t="str">
        <f t="shared" si="293"/>
        <v>0.795282080346766-0.128869645617338i</v>
      </c>
    </row>
    <row r="568" spans="7:44" x14ac:dyDescent="0.25">
      <c r="G568" s="594">
        <v>94955.5</v>
      </c>
      <c r="H568" s="582">
        <f t="shared" si="285"/>
        <v>94.955500000000001</v>
      </c>
      <c r="I568" s="583">
        <f t="shared" si="265"/>
        <v>92.647690829265812</v>
      </c>
      <c r="J568" s="584">
        <f t="shared" si="266"/>
        <v>1.5600025400426121</v>
      </c>
      <c r="K568" s="584">
        <f t="shared" si="267"/>
        <v>1.0013154711728063</v>
      </c>
      <c r="L568" s="585">
        <f t="shared" si="268"/>
        <v>5.1264622031940182E-2</v>
      </c>
      <c r="M568" s="584">
        <f t="shared" si="269"/>
        <v>1.2855916954864377</v>
      </c>
      <c r="N568" s="585">
        <f t="shared" si="270"/>
        <v>-0.67955581196631321</v>
      </c>
      <c r="O568" s="583">
        <f t="shared" si="271"/>
        <v>171827.42450810509</v>
      </c>
      <c r="P568" s="586">
        <f t="shared" si="272"/>
        <v>1.5707905070021431</v>
      </c>
      <c r="Q568" s="595">
        <f t="shared" si="294"/>
        <v>71.601743621218532</v>
      </c>
      <c r="R568" s="596">
        <f t="shared" si="295"/>
        <v>1.556829732391972</v>
      </c>
      <c r="S568" s="583">
        <f t="shared" si="273"/>
        <v>1.1080675809634379</v>
      </c>
      <c r="T568" s="586">
        <f t="shared" si="274"/>
        <v>0.44532195454008766</v>
      </c>
      <c r="U568" s="587">
        <f t="shared" si="286"/>
        <v>0.71052262716529702</v>
      </c>
      <c r="V568" s="588">
        <f t="shared" si="287"/>
        <v>-1.0125164301011449</v>
      </c>
      <c r="W568" s="589">
        <f t="shared" si="275"/>
        <v>-11.742199580121028</v>
      </c>
      <c r="X568" s="590">
        <f t="shared" si="276"/>
        <v>-209.70787541825641</v>
      </c>
      <c r="Y568" s="593">
        <f t="shared" si="277"/>
        <v>-29.707875418256407</v>
      </c>
      <c r="AA568" s="150">
        <f t="shared" si="278"/>
        <v>94955.5</v>
      </c>
      <c r="AB568" s="150">
        <f t="shared" si="279"/>
        <v>9016546980.25</v>
      </c>
      <c r="AD568" s="592">
        <f t="shared" si="280"/>
        <v>26.713747045658103</v>
      </c>
      <c r="AE568" s="593">
        <f t="shared" si="281"/>
        <v>-26.314962013629163</v>
      </c>
      <c r="AG568" s="592">
        <f t="shared" si="282"/>
        <v>-7.1311201875312458</v>
      </c>
      <c r="AH568" s="593">
        <f t="shared" si="283"/>
        <v>-67.367077007151522</v>
      </c>
      <c r="AJ568" s="150">
        <f t="shared" si="284"/>
        <v>0</v>
      </c>
      <c r="AK568" s="150">
        <f t="shared" si="296"/>
        <v>0</v>
      </c>
      <c r="AM568" s="150" t="str">
        <f t="shared" si="288"/>
        <v>1.1334415888996+0.991056679686863i</v>
      </c>
      <c r="AN568" s="150" t="str">
        <f t="shared" si="289"/>
        <v>1.704637147869i</v>
      </c>
      <c r="AO568" s="150" t="str">
        <f t="shared" si="290"/>
        <v>0.58138864386817-0.66491663068386i</v>
      </c>
      <c r="AP568" s="150" t="str">
        <f t="shared" si="291"/>
        <v>-0.0222402648166003-0.165176113281144i</v>
      </c>
      <c r="AQ568" s="150" t="str">
        <f t="shared" si="292"/>
        <v>1.0222402648166+0.165176113281144i</v>
      </c>
      <c r="AR568" s="150" t="str">
        <f t="shared" si="293"/>
        <v>0.794142731006935-0.128319548948439i</v>
      </c>
    </row>
    <row r="569" spans="7:44" x14ac:dyDescent="0.25">
      <c r="G569" s="594">
        <v>95499</v>
      </c>
      <c r="H569" s="582">
        <f t="shared" si="285"/>
        <v>95.498999999999995</v>
      </c>
      <c r="I569" s="583">
        <f t="shared" si="265"/>
        <v>93.177919940245516</v>
      </c>
      <c r="J569" s="584">
        <f t="shared" si="266"/>
        <v>1.5600639644695073</v>
      </c>
      <c r="K569" s="584">
        <f t="shared" si="267"/>
        <v>1.0013305630488742</v>
      </c>
      <c r="L569" s="585">
        <f t="shared" si="268"/>
        <v>5.1557528846112928E-2</v>
      </c>
      <c r="M569" s="584">
        <f t="shared" si="269"/>
        <v>1.2885028835452872</v>
      </c>
      <c r="N569" s="585">
        <f t="shared" si="270"/>
        <v>-0.68234747918264638</v>
      </c>
      <c r="O569" s="583">
        <f t="shared" si="271"/>
        <v>172810.91893672693</v>
      </c>
      <c r="P569" s="586">
        <f t="shared" si="272"/>
        <v>1.5707905401235094</v>
      </c>
      <c r="Q569" s="595">
        <f t="shared" si="294"/>
        <v>72.011493226626499</v>
      </c>
      <c r="R569" s="596">
        <f t="shared" si="295"/>
        <v>1.5569092082541627</v>
      </c>
      <c r="S569" s="583">
        <f t="shared" si="273"/>
        <v>1.1092470951401319</v>
      </c>
      <c r="T569" s="586">
        <f t="shared" si="274"/>
        <v>0.4475446256877918</v>
      </c>
      <c r="U569" s="587">
        <f t="shared" si="286"/>
        <v>0.70842082892625635</v>
      </c>
      <c r="V569" s="588">
        <f t="shared" si="287"/>
        <v>-1.01693310935749</v>
      </c>
      <c r="W569" s="589">
        <f t="shared" si="275"/>
        <v>-11.806972639316442</v>
      </c>
      <c r="X569" s="590">
        <f t="shared" si="276"/>
        <v>-210.23041822743008</v>
      </c>
      <c r="Y569" s="593">
        <f t="shared" si="277"/>
        <v>-30.230418227430079</v>
      </c>
      <c r="AA569" s="150">
        <f t="shared" si="278"/>
        <v>95499</v>
      </c>
      <c r="AB569" s="150">
        <f t="shared" si="279"/>
        <v>9120059001</v>
      </c>
      <c r="AD569" s="592">
        <f t="shared" si="280"/>
        <v>26.704496405390159</v>
      </c>
      <c r="AE569" s="593">
        <f t="shared" si="281"/>
        <v>-26.43775995601623</v>
      </c>
      <c r="AG569" s="592">
        <f t="shared" si="282"/>
        <v>-7.1351789605491849</v>
      </c>
      <c r="AH569" s="593">
        <f t="shared" si="283"/>
        <v>-67.260707711656735</v>
      </c>
      <c r="AJ569" s="150">
        <f t="shared" si="284"/>
        <v>0</v>
      </c>
      <c r="AK569" s="150">
        <f t="shared" si="296"/>
        <v>0</v>
      </c>
      <c r="AM569" s="150" t="str">
        <f t="shared" si="288"/>
        <v>1.14310471410692+0.989707553169307i</v>
      </c>
      <c r="AN569" s="150" t="str">
        <f t="shared" si="289"/>
        <v>1.714394037042i</v>
      </c>
      <c r="AO569" s="150" t="str">
        <f t="shared" si="290"/>
        <v>0.577292927871436-0.666768951249517i</v>
      </c>
      <c r="AP569" s="150" t="str">
        <f t="shared" si="291"/>
        <v>-0.0238507856844867-0.164951258861551i</v>
      </c>
      <c r="AQ569" s="150" t="str">
        <f t="shared" si="292"/>
        <v>1.02385078568449+0.164951258861551i</v>
      </c>
      <c r="AR569" s="150" t="str">
        <f t="shared" si="293"/>
        <v>0.793011697669333-0.127761075785121i</v>
      </c>
    </row>
    <row r="570" spans="7:44" x14ac:dyDescent="0.25">
      <c r="G570" s="594">
        <v>96611.5</v>
      </c>
      <c r="H570" s="582">
        <f t="shared" si="285"/>
        <v>96.611500000000007</v>
      </c>
      <c r="I570" s="583">
        <f t="shared" si="265"/>
        <v>94.263256594501328</v>
      </c>
      <c r="J570" s="584">
        <f t="shared" si="266"/>
        <v>1.5601875403589145</v>
      </c>
      <c r="K570" s="584">
        <f t="shared" si="267"/>
        <v>1.0013617227680682</v>
      </c>
      <c r="L570" s="585">
        <f t="shared" si="268"/>
        <v>5.2157057447092439E-2</v>
      </c>
      <c r="M570" s="584">
        <f t="shared" si="269"/>
        <v>1.2944929465605302</v>
      </c>
      <c r="N570" s="585">
        <f t="shared" si="270"/>
        <v>-0.68802252346599657</v>
      </c>
      <c r="O570" s="583">
        <f t="shared" si="271"/>
        <v>174824.05150681364</v>
      </c>
      <c r="P570" s="586">
        <f t="shared" si="272"/>
        <v>1.5707906067581432</v>
      </c>
      <c r="Q570" s="595">
        <f t="shared" si="294"/>
        <v>72.850218514048549</v>
      </c>
      <c r="R570" s="596">
        <f t="shared" si="295"/>
        <v>1.5570691008893291</v>
      </c>
      <c r="S570" s="583">
        <f t="shared" si="273"/>
        <v>1.1116784974391876</v>
      </c>
      <c r="T570" s="586">
        <f t="shared" si="274"/>
        <v>0.45207948541065673</v>
      </c>
      <c r="U570" s="587">
        <f t="shared" si="286"/>
        <v>0.70413220677865118</v>
      </c>
      <c r="V570" s="588">
        <f t="shared" si="287"/>
        <v>-1.0259326369937953</v>
      </c>
      <c r="W570" s="589">
        <f t="shared" si="275"/>
        <v>-11.938784583862683</v>
      </c>
      <c r="X570" s="590">
        <f t="shared" si="276"/>
        <v>-211.29461015169971</v>
      </c>
      <c r="Y570" s="593">
        <f t="shared" si="277"/>
        <v>-31.294610151699715</v>
      </c>
      <c r="AA570" s="150">
        <f t="shared" si="278"/>
        <v>96611.5</v>
      </c>
      <c r="AB570" s="150">
        <f t="shared" si="279"/>
        <v>9333781932.25</v>
      </c>
      <c r="AD570" s="592">
        <f t="shared" si="280"/>
        <v>26.685459121465051</v>
      </c>
      <c r="AE570" s="593">
        <f t="shared" si="281"/>
        <v>-26.688430923819713</v>
      </c>
      <c r="AG570" s="592">
        <f t="shared" si="282"/>
        <v>-7.1424691198791912</v>
      </c>
      <c r="AH570" s="593">
        <f t="shared" si="283"/>
        <v>-67.042958764601181</v>
      </c>
      <c r="AJ570" s="150">
        <f t="shared" si="284"/>
        <v>0</v>
      </c>
      <c r="AK570" s="150">
        <f t="shared" si="296"/>
        <v>0</v>
      </c>
      <c r="AM570" s="150" t="str">
        <f t="shared" si="288"/>
        <v>1.16284085863572+0.986652347465298i</v>
      </c>
      <c r="AN570" s="150" t="str">
        <f t="shared" si="289"/>
        <v>1.734365590317i</v>
      </c>
      <c r="AO570" s="150" t="str">
        <f t="shared" si="290"/>
        <v>0.568883719196113-0.670470438947754i</v>
      </c>
      <c r="AP570" s="150" t="str">
        <f t="shared" si="291"/>
        <v>-0.0271401431059527-0.164442057910883i</v>
      </c>
      <c r="AQ570" s="150" t="str">
        <f t="shared" si="292"/>
        <v>1.02714014310595+0.164442057910883i</v>
      </c>
      <c r="AR570" s="150" t="str">
        <f t="shared" si="293"/>
        <v>0.790722575508128-0.12659231403415i</v>
      </c>
    </row>
    <row r="571" spans="7:44" x14ac:dyDescent="0.25">
      <c r="G571" s="594">
        <v>97724</v>
      </c>
      <c r="H571" s="582">
        <f t="shared" si="285"/>
        <v>97.724000000000004</v>
      </c>
      <c r="I571" s="583">
        <f t="shared" si="265"/>
        <v>95.348594655480312</v>
      </c>
      <c r="J571" s="584">
        <f t="shared" si="266"/>
        <v>1.5603083029602933</v>
      </c>
      <c r="K571" s="584">
        <f t="shared" si="267"/>
        <v>1.0013932423887812</v>
      </c>
      <c r="L571" s="585">
        <f t="shared" si="268"/>
        <v>5.2756548522292994E-2</v>
      </c>
      <c r="M571" s="584">
        <f t="shared" si="269"/>
        <v>1.3005243153576684</v>
      </c>
      <c r="N571" s="585">
        <f t="shared" si="270"/>
        <v>-0.69364510976808869</v>
      </c>
      <c r="O571" s="583">
        <f t="shared" si="271"/>
        <v>176837.18407690106</v>
      </c>
      <c r="P571" s="586">
        <f t="shared" si="272"/>
        <v>1.5707906718756259</v>
      </c>
      <c r="Q571" s="595">
        <f t="shared" si="294"/>
        <v>73.688945621537115</v>
      </c>
      <c r="R571" s="596">
        <f t="shared" si="295"/>
        <v>1.5572253537345144</v>
      </c>
      <c r="S571" s="583">
        <f t="shared" si="273"/>
        <v>1.114132661297345</v>
      </c>
      <c r="T571" s="586">
        <f t="shared" si="274"/>
        <v>0.45659445925382552</v>
      </c>
      <c r="U571" s="587">
        <f t="shared" si="286"/>
        <v>0.69986221364643597</v>
      </c>
      <c r="V571" s="588">
        <f t="shared" si="287"/>
        <v>-1.0348777019622644</v>
      </c>
      <c r="W571" s="589">
        <f t="shared" si="275"/>
        <v>-12.06957835762058</v>
      </c>
      <c r="X571" s="590">
        <f t="shared" si="276"/>
        <v>-212.35158601526274</v>
      </c>
      <c r="Y571" s="593">
        <f t="shared" si="277"/>
        <v>-32.35158601526274</v>
      </c>
      <c r="AA571" s="150">
        <f t="shared" si="278"/>
        <v>97724</v>
      </c>
      <c r="AB571" s="150">
        <f t="shared" si="279"/>
        <v>9549980176</v>
      </c>
      <c r="AD571" s="592">
        <f t="shared" si="280"/>
        <v>26.666286585408393</v>
      </c>
      <c r="AE571" s="593">
        <f t="shared" si="281"/>
        <v>-26.938170972321526</v>
      </c>
      <c r="AG571" s="592">
        <f t="shared" si="282"/>
        <v>-7.1484238309481229</v>
      </c>
      <c r="AH571" s="593">
        <f t="shared" si="283"/>
        <v>-66.825165638163952</v>
      </c>
      <c r="AJ571" s="150">
        <f t="shared" si="284"/>
        <v>0</v>
      </c>
      <c r="AK571" s="150">
        <f t="shared" si="296"/>
        <v>0</v>
      </c>
      <c r="AM571" s="150" t="str">
        <f t="shared" si="288"/>
        <v>1.1825120541397+0.983203615785512i</v>
      </c>
      <c r="AN571" s="150" t="str">
        <f t="shared" si="289"/>
        <v>1.754337143592i</v>
      </c>
      <c r="AO571" s="150" t="str">
        <f t="shared" si="290"/>
        <v>0.560441657053675-0.674050628443351i</v>
      </c>
      <c r="AP571" s="150" t="str">
        <f t="shared" si="291"/>
        <v>-0.0304186756899508-0.163867269297585i</v>
      </c>
      <c r="AQ571" s="150" t="str">
        <f t="shared" si="292"/>
        <v>1.03041867568995+0.163867269297585i</v>
      </c>
      <c r="AR571" s="150" t="str">
        <f t="shared" si="293"/>
        <v>0.788468517348159-0.125389985559458i</v>
      </c>
    </row>
    <row r="572" spans="7:44" x14ac:dyDescent="0.25">
      <c r="G572" s="594">
        <v>98862</v>
      </c>
      <c r="H572" s="582">
        <f t="shared" si="285"/>
        <v>98.861999999999995</v>
      </c>
      <c r="I572" s="583">
        <f t="shared" si="265"/>
        <v>96.458811534147728</v>
      </c>
      <c r="J572" s="584">
        <f t="shared" si="266"/>
        <v>1.560429021850728</v>
      </c>
      <c r="K572" s="584">
        <f t="shared" si="267"/>
        <v>1.0014258568164729</v>
      </c>
      <c r="L572" s="585">
        <f t="shared" si="268"/>
        <v>5.3369741469870807E-2</v>
      </c>
      <c r="M572" s="584">
        <f t="shared" si="269"/>
        <v>1.3067360717563552</v>
      </c>
      <c r="N572" s="585">
        <f t="shared" si="270"/>
        <v>-0.69934268728708782</v>
      </c>
      <c r="O572" s="583">
        <f t="shared" si="271"/>
        <v>178896.46035983175</v>
      </c>
      <c r="P572" s="586">
        <f t="shared" si="272"/>
        <v>1.5707907369693741</v>
      </c>
      <c r="Q572" s="595">
        <f t="shared" si="294"/>
        <v>74.546899304272856</v>
      </c>
      <c r="R572" s="596">
        <f t="shared" si="295"/>
        <v>1.5573815502895354</v>
      </c>
      <c r="S572" s="583">
        <f t="shared" si="273"/>
        <v>1.1166664715598118</v>
      </c>
      <c r="T572" s="586">
        <f t="shared" si="274"/>
        <v>0.46119229301272696</v>
      </c>
      <c r="U572" s="587">
        <f t="shared" si="286"/>
        <v>0.69551406288593354</v>
      </c>
      <c r="V572" s="588">
        <f t="shared" si="287"/>
        <v>-1.0439723283729385</v>
      </c>
      <c r="W572" s="589">
        <f t="shared" si="275"/>
        <v>-12.202341938249983</v>
      </c>
      <c r="X572" s="590">
        <f t="shared" si="276"/>
        <v>-213.42539098187055</v>
      </c>
      <c r="Y572" s="593">
        <f t="shared" si="277"/>
        <v>-33.425390981870549</v>
      </c>
      <c r="AA572" s="150">
        <f t="shared" si="278"/>
        <v>98862</v>
      </c>
      <c r="AB572" s="150">
        <f t="shared" si="279"/>
        <v>9773695044</v>
      </c>
      <c r="AD572" s="592">
        <f t="shared" si="280"/>
        <v>26.646536868786399</v>
      </c>
      <c r="AE572" s="593">
        <f t="shared" si="281"/>
        <v>-27.192661768120008</v>
      </c>
      <c r="AG572" s="592">
        <f t="shared" si="282"/>
        <v>-7.1531724749877501</v>
      </c>
      <c r="AH572" s="593">
        <f t="shared" si="283"/>
        <v>-66.602312388622735</v>
      </c>
      <c r="AJ572" s="150">
        <f t="shared" si="284"/>
        <v>0</v>
      </c>
      <c r="AK572" s="150">
        <f t="shared" si="296"/>
        <v>0</v>
      </c>
      <c r="AM572" s="150" t="str">
        <f t="shared" si="288"/>
        <v>1.20255876128209+0.979270109943046i</v>
      </c>
      <c r="AN572" s="150" t="str">
        <f t="shared" si="289"/>
        <v>1.774766471796i</v>
      </c>
      <c r="AO572" s="150" t="str">
        <f t="shared" si="290"/>
        <v>0.551774064647536-0.677587040544632i</v>
      </c>
      <c r="AP572" s="150" t="str">
        <f t="shared" si="291"/>
        <v>-0.0337597935470148-0.163211684990508i</v>
      </c>
      <c r="AQ572" s="150" t="str">
        <f t="shared" si="292"/>
        <v>1.03375979354701+0.163211684990508i</v>
      </c>
      <c r="AR572" s="150" t="str">
        <f t="shared" si="293"/>
        <v>0.786199196348338-0.124126413481335i</v>
      </c>
    </row>
    <row r="573" spans="7:44" x14ac:dyDescent="0.25">
      <c r="G573" s="594">
        <v>100000</v>
      </c>
      <c r="H573" s="582">
        <f t="shared" si="285"/>
        <v>100</v>
      </c>
      <c r="I573" s="583">
        <f t="shared" si="265"/>
        <v>97.569029786523984</v>
      </c>
      <c r="J573" s="584">
        <f t="shared" si="266"/>
        <v>1.5605469934711822</v>
      </c>
      <c r="K573" s="584">
        <f t="shared" si="267"/>
        <v>1.0014588477612774</v>
      </c>
      <c r="L573" s="585">
        <f t="shared" si="268"/>
        <v>5.3982894247293994E-2</v>
      </c>
      <c r="M573" s="584">
        <f t="shared" si="269"/>
        <v>1.3129898457556328</v>
      </c>
      <c r="N573" s="585">
        <f t="shared" si="270"/>
        <v>-0.70498617140725695</v>
      </c>
      <c r="O573" s="583">
        <f t="shared" si="271"/>
        <v>180955.73664276314</v>
      </c>
      <c r="P573" s="586">
        <f t="shared" si="272"/>
        <v>1.5707908005815885</v>
      </c>
      <c r="Q573" s="595">
        <f t="shared" si="294"/>
        <v>75.404854764369105</v>
      </c>
      <c r="R573" s="596">
        <f t="shared" si="295"/>
        <v>1.5575341924434534</v>
      </c>
      <c r="S573" s="583">
        <f t="shared" si="273"/>
        <v>1.119223781060102</v>
      </c>
      <c r="T573" s="586">
        <f t="shared" si="274"/>
        <v>0.46576921202112059</v>
      </c>
      <c r="U573" s="587">
        <f t="shared" si="286"/>
        <v>0.69118627047541359</v>
      </c>
      <c r="V573" s="588">
        <f t="shared" si="287"/>
        <v>-1.0530117521994857</v>
      </c>
      <c r="W573" s="589">
        <f t="shared" si="275"/>
        <v>-12.334090636385939</v>
      </c>
      <c r="X573" s="590">
        <f t="shared" si="276"/>
        <v>-214.49178388489656</v>
      </c>
      <c r="Y573" s="593">
        <f t="shared" si="277"/>
        <v>-34.491783884896563</v>
      </c>
      <c r="AA573" s="150">
        <f t="shared" si="278"/>
        <v>100000</v>
      </c>
      <c r="AB573" s="150">
        <f t="shared" si="279"/>
        <v>10000000000</v>
      </c>
      <c r="AD573" s="592">
        <f t="shared" si="280"/>
        <v>26.62665012408587</v>
      </c>
      <c r="AE573" s="593">
        <f t="shared" si="281"/>
        <v>-27.446157804279956</v>
      </c>
      <c r="AG573" s="592">
        <f t="shared" si="282"/>
        <v>-7.1566019188244638</v>
      </c>
      <c r="AH573" s="593">
        <f t="shared" si="283"/>
        <v>-66.379367585322896</v>
      </c>
      <c r="AJ573" s="150">
        <f t="shared" si="284"/>
        <v>0</v>
      </c>
      <c r="AK573" s="150">
        <f t="shared" si="296"/>
        <v>0</v>
      </c>
      <c r="AM573" s="150" t="str">
        <f t="shared" si="288"/>
        <v>1.22252093195643+0.974927912638283i</v>
      </c>
      <c r="AN573" s="150" t="str">
        <f t="shared" si="289"/>
        <v>1.7951958i</v>
      </c>
      <c r="AO573" s="150" t="str">
        <f t="shared" si="290"/>
        <v>0.543076088211817-0.680995873517769i</v>
      </c>
      <c r="AP573" s="150" t="str">
        <f t="shared" si="291"/>
        <v>-0.0370868219927392-0.162487985439714i</v>
      </c>
      <c r="AQ573" s="150" t="str">
        <f t="shared" si="292"/>
        <v>1.03708682199274+0.162487985439714i</v>
      </c>
      <c r="AR573" s="150" t="str">
        <f t="shared" si="293"/>
        <v>0.783966793506756-0.122829817356831i</v>
      </c>
    </row>
    <row r="574" spans="7:44" x14ac:dyDescent="0.25">
      <c r="G574" s="594">
        <v>101165</v>
      </c>
      <c r="H574" s="582">
        <f t="shared" si="285"/>
        <v>101.16500000000001</v>
      </c>
      <c r="I574" s="583">
        <f t="shared" si="265"/>
        <v>98.705590268333808</v>
      </c>
      <c r="J574" s="584">
        <f t="shared" si="266"/>
        <v>1.5606650150350194</v>
      </c>
      <c r="K574" s="584">
        <f t="shared" si="267"/>
        <v>1.0014930114277973</v>
      </c>
      <c r="L574" s="585">
        <f t="shared" si="268"/>
        <v>5.4610552497971768E-2</v>
      </c>
      <c r="M574" s="584">
        <f t="shared" si="269"/>
        <v>1.3194348967371627</v>
      </c>
      <c r="N574" s="585">
        <f t="shared" si="270"/>
        <v>-0.71070794868294218</v>
      </c>
      <c r="O574" s="583">
        <f t="shared" si="271"/>
        <v>183063.87097458728</v>
      </c>
      <c r="P574" s="586">
        <f t="shared" si="272"/>
        <v>1.5707908642205795</v>
      </c>
      <c r="Q574" s="595">
        <f t="shared" si="294"/>
        <v>76.28316771247809</v>
      </c>
      <c r="R574" s="596">
        <f t="shared" si="295"/>
        <v>1.5576868994676123</v>
      </c>
      <c r="S574" s="583">
        <f t="shared" si="273"/>
        <v>1.1218659392329877</v>
      </c>
      <c r="T574" s="586">
        <f t="shared" si="274"/>
        <v>0.47043300712894853</v>
      </c>
      <c r="U574" s="587">
        <f t="shared" si="286"/>
        <v>0.68677729384236097</v>
      </c>
      <c r="V574" s="588">
        <f t="shared" si="287"/>
        <v>-1.0622094075866539</v>
      </c>
      <c r="W574" s="589">
        <f t="shared" si="275"/>
        <v>-12.467939277206504</v>
      </c>
      <c r="X574" s="590">
        <f t="shared" si="276"/>
        <v>-215.57587433365705</v>
      </c>
      <c r="Y574" s="593">
        <f t="shared" si="277"/>
        <v>-35.575874333657055</v>
      </c>
      <c r="AA574" s="150">
        <f t="shared" si="278"/>
        <v>101165</v>
      </c>
      <c r="AB574" s="150">
        <f t="shared" si="279"/>
        <v>10234357225</v>
      </c>
      <c r="AD574" s="592">
        <f t="shared" si="280"/>
        <v>26.606151967583639</v>
      </c>
      <c r="AE574" s="593">
        <f t="shared" si="281"/>
        <v>-27.704627759026884</v>
      </c>
      <c r="AG574" s="592">
        <f t="shared" si="282"/>
        <v>-7.1587854140276903</v>
      </c>
      <c r="AH574" s="593">
        <f t="shared" si="283"/>
        <v>-66.151014407931086</v>
      </c>
      <c r="AJ574" s="150">
        <f t="shared" si="284"/>
        <v>0</v>
      </c>
      <c r="AK574" s="150">
        <f t="shared" si="296"/>
        <v>0</v>
      </c>
      <c r="AM574" s="150" t="str">
        <f t="shared" si="288"/>
        <v>1.24286045506259+0.970061234854167i</v>
      </c>
      <c r="AN574" s="150" t="str">
        <f t="shared" si="289"/>
        <v>1.81610983107i</v>
      </c>
      <c r="AO574" s="150" t="str">
        <f t="shared" si="290"/>
        <v>0.534142384044381-0.684353134265196i</v>
      </c>
      <c r="AP574" s="150" t="str">
        <f t="shared" si="291"/>
        <v>-0.0404767425104317-0.161676872475694i</v>
      </c>
      <c r="AQ574" s="150" t="str">
        <f t="shared" si="292"/>
        <v>1.04047674251043+0.161676872475694i</v>
      </c>
      <c r="AR574" s="150" t="str">
        <f t="shared" si="293"/>
        <v>0.781719750846962-0.121469321999909i</v>
      </c>
    </row>
    <row r="575" spans="7:44" x14ac:dyDescent="0.25">
      <c r="G575" s="594">
        <v>102330</v>
      </c>
      <c r="H575" s="582">
        <f t="shared" si="285"/>
        <v>102.33</v>
      </c>
      <c r="I575" s="583">
        <f t="shared" si="265"/>
        <v>99.842152093720557</v>
      </c>
      <c r="J575" s="584">
        <f t="shared" si="266"/>
        <v>1.5607803495829513</v>
      </c>
      <c r="K575" s="584">
        <f t="shared" si="267"/>
        <v>1.0015275696103687</v>
      </c>
      <c r="L575" s="585">
        <f t="shared" si="268"/>
        <v>5.5238167680597736E-2</v>
      </c>
      <c r="M575" s="584">
        <f t="shared" si="269"/>
        <v>1.3259227235873721</v>
      </c>
      <c r="N575" s="585">
        <f t="shared" si="270"/>
        <v>-0.71637391588693233</v>
      </c>
      <c r="O575" s="583">
        <f t="shared" si="271"/>
        <v>185172.0053064122</v>
      </c>
      <c r="P575" s="586">
        <f t="shared" si="272"/>
        <v>1.570790926410544</v>
      </c>
      <c r="Q575" s="595">
        <f t="shared" si="294"/>
        <v>77.161482398970207</v>
      </c>
      <c r="R575" s="596">
        <f t="shared" si="295"/>
        <v>1.557836130024338</v>
      </c>
      <c r="S575" s="583">
        <f t="shared" si="273"/>
        <v>1.124532384119562</v>
      </c>
      <c r="T575" s="586">
        <f t="shared" si="274"/>
        <v>0.47507478560518329</v>
      </c>
      <c r="U575" s="587">
        <f t="shared" si="286"/>
        <v>0.68239044868371279</v>
      </c>
      <c r="V575" s="588">
        <f t="shared" si="287"/>
        <v>-1.071351134169275</v>
      </c>
      <c r="W575" s="589">
        <f t="shared" si="275"/>
        <v>-12.600775037906892</v>
      </c>
      <c r="X575" s="590">
        <f t="shared" si="276"/>
        <v>-216.65234877315842</v>
      </c>
      <c r="Y575" s="593">
        <f t="shared" si="277"/>
        <v>-36.652348773158423</v>
      </c>
      <c r="AA575" s="150">
        <f t="shared" si="278"/>
        <v>102330</v>
      </c>
      <c r="AB575" s="150">
        <f t="shared" si="279"/>
        <v>10471428900</v>
      </c>
      <c r="AD575" s="592">
        <f t="shared" si="280"/>
        <v>26.585514990620922</v>
      </c>
      <c r="AE575" s="593">
        <f t="shared" si="281"/>
        <v>-27.962035357591656</v>
      </c>
      <c r="AG575" s="592">
        <f t="shared" si="282"/>
        <v>-7.1596646505329433</v>
      </c>
      <c r="AH575" s="593">
        <f t="shared" si="283"/>
        <v>-65.922516546377196</v>
      </c>
      <c r="AJ575" s="150">
        <f t="shared" si="284"/>
        <v>0</v>
      </c>
      <c r="AK575" s="150">
        <f t="shared" si="296"/>
        <v>0</v>
      </c>
      <c r="AM575" s="150" t="str">
        <f t="shared" si="288"/>
        <v>1.26309375568008+0.964770270956849i</v>
      </c>
      <c r="AN575" s="150" t="str">
        <f t="shared" si="289"/>
        <v>1.83702386214i</v>
      </c>
      <c r="AO575" s="150" t="str">
        <f t="shared" si="290"/>
        <v>0.525181131742601-0.687576128819942i</v>
      </c>
      <c r="AP575" s="150" t="str">
        <f t="shared" si="291"/>
        <v>-0.0438489592800127-0.160795045159475i</v>
      </c>
      <c r="AQ575" s="150" t="str">
        <f t="shared" si="292"/>
        <v>1.04384895928001+0.160795045159475i</v>
      </c>
      <c r="AR575" s="150" t="str">
        <f t="shared" si="293"/>
        <v>0.779511544657564-0.120076370159912i</v>
      </c>
    </row>
    <row r="576" spans="7:44" x14ac:dyDescent="0.25">
      <c r="G576" s="594">
        <v>103520</v>
      </c>
      <c r="H576" s="582">
        <f t="shared" si="285"/>
        <v>103.52</v>
      </c>
      <c r="I576" s="583">
        <f t="shared" si="265"/>
        <v>101.00310499782182</v>
      </c>
      <c r="J576" s="584">
        <f t="shared" si="266"/>
        <v>1.5608954793109977</v>
      </c>
      <c r="K576" s="584">
        <f t="shared" si="267"/>
        <v>1.0015632766482776</v>
      </c>
      <c r="L576" s="585">
        <f t="shared" si="268"/>
        <v>5.5879206026457774E-2</v>
      </c>
      <c r="M576" s="584">
        <f t="shared" si="269"/>
        <v>1.3325932871496355</v>
      </c>
      <c r="N576" s="585">
        <f t="shared" si="270"/>
        <v>-0.72210432317623818</v>
      </c>
      <c r="O576" s="583">
        <f t="shared" si="271"/>
        <v>187325.37857239714</v>
      </c>
      <c r="P576" s="586">
        <f t="shared" si="272"/>
        <v>1.5707909884899236</v>
      </c>
      <c r="Q576" s="595">
        <f t="shared" si="294"/>
        <v>78.05864677383147</v>
      </c>
      <c r="R576" s="596">
        <f t="shared" si="295"/>
        <v>1.5579850957979271</v>
      </c>
      <c r="S576" s="583">
        <f t="shared" si="273"/>
        <v>1.1272809437099676</v>
      </c>
      <c r="T576" s="586">
        <f t="shared" si="274"/>
        <v>0.47979339790793341</v>
      </c>
      <c r="U576" s="587">
        <f t="shared" si="286"/>
        <v>0.67793268255486228</v>
      </c>
      <c r="V576" s="588">
        <f t="shared" si="287"/>
        <v>-1.0806323076157769</v>
      </c>
      <c r="W576" s="589">
        <f t="shared" si="275"/>
        <v>-12.735441052287491</v>
      </c>
      <c r="X576" s="590">
        <f t="shared" si="276"/>
        <v>-217.74414166705137</v>
      </c>
      <c r="Y576" s="593">
        <f t="shared" si="277"/>
        <v>-37.744141667051366</v>
      </c>
      <c r="AA576" s="150">
        <f t="shared" si="278"/>
        <v>103520</v>
      </c>
      <c r="AB576" s="150">
        <f t="shared" si="279"/>
        <v>10716390400</v>
      </c>
      <c r="AD576" s="592">
        <f t="shared" si="280"/>
        <v>26.564294341545338</v>
      </c>
      <c r="AE576" s="593">
        <f t="shared" si="281"/>
        <v>-28.223860374764811</v>
      </c>
      <c r="AG576" s="592">
        <f t="shared" si="282"/>
        <v>-7.1592552931226621</v>
      </c>
      <c r="AH576" s="593">
        <f t="shared" si="283"/>
        <v>-65.688940287054777</v>
      </c>
      <c r="AJ576" s="150">
        <f t="shared" si="284"/>
        <v>0</v>
      </c>
      <c r="AK576" s="150">
        <f t="shared" si="296"/>
        <v>0</v>
      </c>
      <c r="AM576" s="150" t="str">
        <f t="shared" si="288"/>
        <v>1.28364237954082+0.958930133288353i</v>
      </c>
      <c r="AN576" s="150" t="str">
        <f t="shared" si="289"/>
        <v>1.85838669216i</v>
      </c>
      <c r="AO576" s="150" t="str">
        <f t="shared" si="290"/>
        <v>0.516001399134961-0.690729429432603i</v>
      </c>
      <c r="AP576" s="150" t="str">
        <f t="shared" si="291"/>
        <v>-0.0472737299234708-0.159821688881392i</v>
      </c>
      <c r="AQ576" s="150" t="str">
        <f t="shared" si="292"/>
        <v>1.04727372992347+0.159821688881392i</v>
      </c>
      <c r="AR576" s="150" t="str">
        <f t="shared" si="293"/>
        <v>0.777296088317989-0.118621111220806i</v>
      </c>
    </row>
    <row r="577" spans="7:44" x14ac:dyDescent="0.25">
      <c r="G577" s="594">
        <v>104710</v>
      </c>
      <c r="H577" s="582">
        <f t="shared" si="285"/>
        <v>104.71</v>
      </c>
      <c r="I577" s="583">
        <f t="shared" si="265"/>
        <v>102.16405921027773</v>
      </c>
      <c r="J577" s="584">
        <f t="shared" si="266"/>
        <v>1.5610079924580458</v>
      </c>
      <c r="K577" s="584">
        <f t="shared" si="267"/>
        <v>1.0015993952293012</v>
      </c>
      <c r="L577" s="585">
        <f t="shared" si="268"/>
        <v>5.6520198402858886E-2</v>
      </c>
      <c r="M577" s="584">
        <f t="shared" si="269"/>
        <v>1.3393071731067978</v>
      </c>
      <c r="N577" s="585">
        <f t="shared" si="270"/>
        <v>-0.72777746266647136</v>
      </c>
      <c r="O577" s="583">
        <f t="shared" si="271"/>
        <v>189478.75183838283</v>
      </c>
      <c r="P577" s="586">
        <f t="shared" si="272"/>
        <v>1.5707910491582735</v>
      </c>
      <c r="Q577" s="595">
        <f t="shared" si="294"/>
        <v>78.955812841511531</v>
      </c>
      <c r="R577" s="596">
        <f t="shared" si="295"/>
        <v>1.5581306762118479</v>
      </c>
      <c r="S577" s="583">
        <f t="shared" si="273"/>
        <v>1.1300544801314039</v>
      </c>
      <c r="T577" s="586">
        <f t="shared" si="274"/>
        <v>0.48448895218772148</v>
      </c>
      <c r="U577" s="587">
        <f t="shared" si="286"/>
        <v>0.67349872231689156</v>
      </c>
      <c r="V577" s="588">
        <f t="shared" si="287"/>
        <v>-1.0898571845823568</v>
      </c>
      <c r="W577" s="589">
        <f t="shared" si="275"/>
        <v>-12.86910098842929</v>
      </c>
      <c r="X577" s="590">
        <f t="shared" si="276"/>
        <v>-218.82815328042898</v>
      </c>
      <c r="Y577" s="593">
        <f t="shared" si="277"/>
        <v>-38.828153280428978</v>
      </c>
      <c r="AA577" s="150">
        <f t="shared" si="278"/>
        <v>104710</v>
      </c>
      <c r="AB577" s="150">
        <f t="shared" si="279"/>
        <v>10964184100</v>
      </c>
      <c r="AD577" s="592">
        <f t="shared" si="280"/>
        <v>26.542933914244195</v>
      </c>
      <c r="AE577" s="593">
        <f t="shared" si="281"/>
        <v>-28.484558150512125</v>
      </c>
      <c r="AG577" s="592">
        <f t="shared" si="282"/>
        <v>-7.1575629934561338</v>
      </c>
      <c r="AH577" s="593">
        <f t="shared" si="283"/>
        <v>-65.455161090052272</v>
      </c>
      <c r="AJ577" s="150">
        <f t="shared" si="284"/>
        <v>0</v>
      </c>
      <c r="AK577" s="150">
        <f t="shared" si="296"/>
        <v>0</v>
      </c>
      <c r="AM577" s="150" t="str">
        <f t="shared" si="288"/>
        <v>1.30406156230804+0.952652384832366i</v>
      </c>
      <c r="AN577" s="150" t="str">
        <f t="shared" si="289"/>
        <v>1.87974952218i</v>
      </c>
      <c r="AO577" s="150" t="str">
        <f t="shared" si="290"/>
        <v>0.50679751402599-0.693742196458006i</v>
      </c>
      <c r="AP577" s="150" t="str">
        <f t="shared" si="291"/>
        <v>-0.0506769270513397-0.158775397472061i</v>
      </c>
      <c r="AQ577" s="150" t="str">
        <f t="shared" si="292"/>
        <v>1.05067692705134+0.158775397472061i</v>
      </c>
      <c r="AR577" s="150" t="str">
        <f t="shared" si="293"/>
        <v>0.775121213083176-0.117134178478342i</v>
      </c>
    </row>
    <row r="578" spans="7:44" x14ac:dyDescent="0.25">
      <c r="G578" s="594">
        <v>105930</v>
      </c>
      <c r="H578" s="582">
        <f t="shared" si="285"/>
        <v>105.93</v>
      </c>
      <c r="I578" s="583">
        <f t="shared" si="265"/>
        <v>103.35428248807962</v>
      </c>
      <c r="J578" s="584">
        <f t="shared" si="266"/>
        <v>1.5611207180150994</v>
      </c>
      <c r="K578" s="584">
        <f t="shared" si="267"/>
        <v>1.0016368515526251</v>
      </c>
      <c r="L578" s="585">
        <f t="shared" si="268"/>
        <v>5.7177301982352297E-2</v>
      </c>
      <c r="M578" s="584">
        <f t="shared" si="269"/>
        <v>1.3462346125311939</v>
      </c>
      <c r="N578" s="585">
        <f t="shared" si="270"/>
        <v>-0.73353468855704163</v>
      </c>
      <c r="O578" s="583">
        <f t="shared" si="271"/>
        <v>191686.41182536044</v>
      </c>
      <c r="P578" s="586">
        <f t="shared" si="272"/>
        <v>1.5707911099410232</v>
      </c>
      <c r="Q578" s="595">
        <f t="shared" si="294"/>
        <v>79.875598238806546</v>
      </c>
      <c r="R578" s="596">
        <f t="shared" si="295"/>
        <v>1.5582765316792524</v>
      </c>
      <c r="S578" s="583">
        <f t="shared" si="273"/>
        <v>1.1329236748638403</v>
      </c>
      <c r="T578" s="586">
        <f t="shared" si="274"/>
        <v>0.48927890585378575</v>
      </c>
      <c r="U578" s="587">
        <f t="shared" si="286"/>
        <v>0.6689780222002496</v>
      </c>
      <c r="V578" s="588">
        <f t="shared" si="287"/>
        <v>-1.0992572677498267</v>
      </c>
      <c r="W578" s="589">
        <f t="shared" si="275"/>
        <v>-13.005111640796525</v>
      </c>
      <c r="X578" s="590">
        <f t="shared" si="276"/>
        <v>-219.93150326536795</v>
      </c>
      <c r="Y578" s="593">
        <f t="shared" si="277"/>
        <v>-39.931503265367951</v>
      </c>
      <c r="AA578" s="150">
        <f t="shared" si="278"/>
        <v>105930</v>
      </c>
      <c r="AB578" s="150">
        <f t="shared" si="279"/>
        <v>11221164900</v>
      </c>
      <c r="AD578" s="592">
        <f t="shared" si="280"/>
        <v>26.520892539884656</v>
      </c>
      <c r="AE578" s="593">
        <f t="shared" si="281"/>
        <v>-28.750648859838716</v>
      </c>
      <c r="AG578" s="592">
        <f t="shared" si="282"/>
        <v>-7.1545352333169889</v>
      </c>
      <c r="AH578" s="593">
        <f t="shared" si="283"/>
        <v>-65.215250179297811</v>
      </c>
      <c r="AJ578" s="150">
        <f t="shared" si="284"/>
        <v>0</v>
      </c>
      <c r="AK578" s="150">
        <f t="shared" si="296"/>
        <v>0</v>
      </c>
      <c r="AM578" s="150" t="str">
        <f t="shared" si="288"/>
        <v>1.32485138275726+0.945765076073704i</v>
      </c>
      <c r="AN578" s="150" t="str">
        <f t="shared" si="289"/>
        <v>1.90165091094i</v>
      </c>
      <c r="AO578" s="150" t="str">
        <f t="shared" si="290"/>
        <v>0.497338954606661-0.696684851638925i</v>
      </c>
      <c r="AP578" s="150" t="str">
        <f t="shared" si="291"/>
        <v>-0.0541418971262092-0.157627512678951i</v>
      </c>
      <c r="AQ578" s="150" t="str">
        <f t="shared" si="292"/>
        <v>1.05414189712621+0.157627512678951i</v>
      </c>
      <c r="AR578" s="150" t="str">
        <f t="shared" si="293"/>
        <v>0.772933634870621-0.115577994445248i</v>
      </c>
    </row>
    <row r="579" spans="7:44" x14ac:dyDescent="0.25">
      <c r="G579" s="594">
        <v>107150</v>
      </c>
      <c r="H579" s="582">
        <f t="shared" si="285"/>
        <v>107.15</v>
      </c>
      <c r="I579" s="583">
        <f t="shared" si="265"/>
        <v>104.54450704930557</v>
      </c>
      <c r="J579" s="584">
        <f t="shared" si="266"/>
        <v>1.5612308768441885</v>
      </c>
      <c r="K579" s="584">
        <f t="shared" si="267"/>
        <v>1.0016747403353774</v>
      </c>
      <c r="L579" s="585">
        <f t="shared" si="268"/>
        <v>5.7834356135076689E-2</v>
      </c>
      <c r="M579" s="584">
        <f t="shared" si="269"/>
        <v>1.3532062160561507</v>
      </c>
      <c r="N579" s="585">
        <f t="shared" si="270"/>
        <v>-0.73923278022289907</v>
      </c>
      <c r="O579" s="583">
        <f t="shared" si="271"/>
        <v>193894.07181233872</v>
      </c>
      <c r="P579" s="586">
        <f t="shared" si="272"/>
        <v>1.5707911693396395</v>
      </c>
      <c r="Q579" s="595">
        <f t="shared" si="294"/>
        <v>80.795385296671284</v>
      </c>
      <c r="R579" s="596">
        <f t="shared" si="295"/>
        <v>1.5584190662676103</v>
      </c>
      <c r="S579" s="583">
        <f t="shared" si="273"/>
        <v>1.1358187313365644</v>
      </c>
      <c r="T579" s="586">
        <f t="shared" si="274"/>
        <v>0.49404455044218698</v>
      </c>
      <c r="U579" s="587">
        <f t="shared" si="286"/>
        <v>0.66448297479467955</v>
      </c>
      <c r="V579" s="588">
        <f t="shared" si="287"/>
        <v>-1.1086003951479111</v>
      </c>
      <c r="W579" s="589">
        <f t="shared" si="275"/>
        <v>-13.140116047896269</v>
      </c>
      <c r="X579" s="590">
        <f t="shared" si="276"/>
        <v>-221.02685493835264</v>
      </c>
      <c r="Y579" s="593">
        <f t="shared" si="277"/>
        <v>-41.026854938352642</v>
      </c>
      <c r="AA579" s="150">
        <f t="shared" si="278"/>
        <v>107150</v>
      </c>
      <c r="AB579" s="150">
        <f t="shared" si="279"/>
        <v>11481122500</v>
      </c>
      <c r="AD579" s="592">
        <f t="shared" si="280"/>
        <v>26.498709644049327</v>
      </c>
      <c r="AE579" s="593">
        <f t="shared" si="281"/>
        <v>-29.015536954658625</v>
      </c>
      <c r="AG579" s="592">
        <f t="shared" si="282"/>
        <v>-7.1502370578101111</v>
      </c>
      <c r="AH579" s="593">
        <f t="shared" si="283"/>
        <v>-64.975070221512624</v>
      </c>
      <c r="AJ579" s="150">
        <f t="shared" si="284"/>
        <v>0</v>
      </c>
      <c r="AK579" s="150">
        <f t="shared" si="296"/>
        <v>0</v>
      </c>
      <c r="AM579" s="150" t="str">
        <f t="shared" si="288"/>
        <v>1.3454853877027+0.938424129529882i</v>
      </c>
      <c r="AN579" s="150" t="str">
        <f t="shared" si="289"/>
        <v>1.9235522997i</v>
      </c>
      <c r="AO579" s="150" t="str">
        <f t="shared" si="290"/>
        <v>0.487859950403345-0.699479493181726i</v>
      </c>
      <c r="AP579" s="150" t="str">
        <f t="shared" si="291"/>
        <v>-0.0575808979504497-0.156404021588314i</v>
      </c>
      <c r="AQ579" s="150" t="str">
        <f t="shared" si="292"/>
        <v>1.05758089795045+0.156404021588314i</v>
      </c>
      <c r="AR579" s="150" t="str">
        <f t="shared" si="293"/>
        <v>0.770788682342358-0.113990759427229i</v>
      </c>
    </row>
    <row r="580" spans="7:44" x14ac:dyDescent="0.25">
      <c r="G580" s="594">
        <v>108400</v>
      </c>
      <c r="H580" s="582">
        <f t="shared" si="285"/>
        <v>108.4</v>
      </c>
      <c r="I580" s="583">
        <f t="shared" si="265"/>
        <v>105.7640007134533</v>
      </c>
      <c r="J580" s="584">
        <f t="shared" si="266"/>
        <v>1.5613411729296995</v>
      </c>
      <c r="K580" s="584">
        <f t="shared" si="267"/>
        <v>1.001714009299741</v>
      </c>
      <c r="L580" s="585">
        <f t="shared" si="268"/>
        <v>5.8507515504951937E-2</v>
      </c>
      <c r="M580" s="584">
        <f t="shared" si="269"/>
        <v>1.3603943488794741</v>
      </c>
      <c r="N580" s="585">
        <f t="shared" si="270"/>
        <v>-0.7450102224707692</v>
      </c>
      <c r="O580" s="583">
        <f t="shared" si="271"/>
        <v>196156.01852030901</v>
      </c>
      <c r="P580" s="586">
        <f t="shared" si="272"/>
        <v>1.5707912288121402</v>
      </c>
      <c r="Q580" s="595">
        <f t="shared" si="294"/>
        <v>81.737791732775975</v>
      </c>
      <c r="R580" s="596">
        <f t="shared" si="295"/>
        <v>1.5585617786550789</v>
      </c>
      <c r="S580" s="583">
        <f t="shared" si="273"/>
        <v>1.1388115949405944</v>
      </c>
      <c r="T580" s="586">
        <f t="shared" si="274"/>
        <v>0.49890213835170699</v>
      </c>
      <c r="U580" s="587">
        <f t="shared" si="286"/>
        <v>0.65990428258588307</v>
      </c>
      <c r="V580" s="588">
        <f t="shared" si="287"/>
        <v>-1.1181153691070229</v>
      </c>
      <c r="W580" s="589">
        <f t="shared" si="275"/>
        <v>-13.277422416519704</v>
      </c>
      <c r="X580" s="590">
        <f t="shared" si="276"/>
        <v>-222.14094203207262</v>
      </c>
      <c r="Y580" s="593">
        <f t="shared" si="277"/>
        <v>-42.140942032072616</v>
      </c>
      <c r="AA580" s="150">
        <f t="shared" si="278"/>
        <v>108400</v>
      </c>
      <c r="AB580" s="150">
        <f t="shared" si="279"/>
        <v>11750560000</v>
      </c>
      <c r="AD580" s="592">
        <f t="shared" si="280"/>
        <v>26.4758373140921</v>
      </c>
      <c r="AE580" s="593">
        <f t="shared" si="281"/>
        <v>-29.285682830833686</v>
      </c>
      <c r="AG580" s="592">
        <f t="shared" si="282"/>
        <v>-7.14455464733346</v>
      </c>
      <c r="AH580" s="593">
        <f t="shared" si="283"/>
        <v>-64.728675737743671</v>
      </c>
      <c r="AJ580" s="150">
        <f t="shared" si="284"/>
        <v>0</v>
      </c>
      <c r="AK580" s="150">
        <f t="shared" si="296"/>
        <v>0</v>
      </c>
      <c r="AM580" s="150" t="str">
        <f t="shared" si="288"/>
        <v>1.36645482748547+0.93043584379182i</v>
      </c>
      <c r="AN580" s="150" t="str">
        <f t="shared" si="289"/>
        <v>1.9459922472i</v>
      </c>
      <c r="AO580" s="150" t="str">
        <f t="shared" si="290"/>
        <v>0.47812926548427-0.70218924533312i</v>
      </c>
      <c r="AP580" s="150" t="str">
        <f t="shared" si="291"/>
        <v>-0.0610758045809113-0.15507264063197i</v>
      </c>
      <c r="AQ580" s="150" t="str">
        <f t="shared" si="292"/>
        <v>1.06107580458091+0.15507264063197i</v>
      </c>
      <c r="AR580" s="150" t="str">
        <f t="shared" si="293"/>
        <v>0.768635148605281-0.112333427698736i</v>
      </c>
    </row>
    <row r="581" spans="7:44" x14ac:dyDescent="0.25">
      <c r="G581" s="594">
        <v>109650</v>
      </c>
      <c r="H581" s="582">
        <f t="shared" si="285"/>
        <v>109.65</v>
      </c>
      <c r="I581" s="583">
        <f t="shared" si="265"/>
        <v>106.98349563491143</v>
      </c>
      <c r="J581" s="584">
        <f t="shared" si="266"/>
        <v>1.561448954506846</v>
      </c>
      <c r="K581" s="584">
        <f t="shared" si="267"/>
        <v>1.0017537321486265</v>
      </c>
      <c r="L581" s="585">
        <f t="shared" si="268"/>
        <v>5.9180621793829769E-2</v>
      </c>
      <c r="M581" s="584">
        <f t="shared" si="269"/>
        <v>1.3676274118827527</v>
      </c>
      <c r="N581" s="585">
        <f t="shared" si="270"/>
        <v>-0.75072674276158757</v>
      </c>
      <c r="O581" s="583">
        <f t="shared" si="271"/>
        <v>198417.96522827994</v>
      </c>
      <c r="P581" s="586">
        <f t="shared" si="272"/>
        <v>1.5707912869286786</v>
      </c>
      <c r="Q581" s="595">
        <f t="shared" si="294"/>
        <v>82.680199795669907</v>
      </c>
      <c r="R581" s="596">
        <f t="shared" si="295"/>
        <v>1.5587012377076561</v>
      </c>
      <c r="S581" s="583">
        <f t="shared" si="273"/>
        <v>1.1418311888901558</v>
      </c>
      <c r="T581" s="586">
        <f t="shared" si="274"/>
        <v>0.50373414781380799</v>
      </c>
      <c r="U581" s="587">
        <f t="shared" si="286"/>
        <v>0.65535306047886022</v>
      </c>
      <c r="V581" s="588">
        <f t="shared" si="287"/>
        <v>-1.1275729309707632</v>
      </c>
      <c r="W581" s="589">
        <f t="shared" si="275"/>
        <v>-13.413724163118976</v>
      </c>
      <c r="X581" s="590">
        <f t="shared" si="276"/>
        <v>-223.24682884219104</v>
      </c>
      <c r="Y581" s="593">
        <f t="shared" si="277"/>
        <v>-43.246828842191036</v>
      </c>
      <c r="AA581" s="150">
        <f t="shared" si="278"/>
        <v>109650</v>
      </c>
      <c r="AB581" s="150">
        <f t="shared" si="279"/>
        <v>12023122500</v>
      </c>
      <c r="AD581" s="592">
        <f t="shared" si="280"/>
        <v>26.452822154146599</v>
      </c>
      <c r="AE581" s="593">
        <f t="shared" si="281"/>
        <v>-29.554549494591388</v>
      </c>
      <c r="AG581" s="592">
        <f t="shared" si="282"/>
        <v>-7.1376166378476107</v>
      </c>
      <c r="AH581" s="593">
        <f t="shared" si="283"/>
        <v>-64.481939124313669</v>
      </c>
      <c r="AJ581" s="150">
        <f t="shared" si="284"/>
        <v>0</v>
      </c>
      <c r="AK581" s="150">
        <f t="shared" si="296"/>
        <v>0</v>
      </c>
      <c r="AM581" s="150" t="str">
        <f t="shared" si="288"/>
        <v>1.38723974622724+0.921979055587416i</v>
      </c>
      <c r="AN581" s="150" t="str">
        <f t="shared" si="289"/>
        <v>1.9684321947i</v>
      </c>
      <c r="AO581" s="150" t="str">
        <f t="shared" si="290"/>
        <v>0.468382430479365-0.704743475524522i</v>
      </c>
      <c r="AP581" s="150" t="str">
        <f t="shared" si="291"/>
        <v>-0.0645399577045398-0.153663175931236i</v>
      </c>
      <c r="AQ581" s="150" t="str">
        <f t="shared" si="292"/>
        <v>1.06453995770454+0.153663175931236i</v>
      </c>
      <c r="AR581" s="150" t="str">
        <f t="shared" si="293"/>
        <v>0.766526246045935-0.110645783232082i</v>
      </c>
    </row>
    <row r="582" spans="7:44" x14ac:dyDescent="0.25">
      <c r="G582" s="594">
        <v>110925</v>
      </c>
      <c r="H582" s="582">
        <f t="shared" si="285"/>
        <v>110.925</v>
      </c>
      <c r="I582" s="583">
        <f t="shared" si="265"/>
        <v>108.2273817060027</v>
      </c>
      <c r="J582" s="584">
        <f t="shared" si="266"/>
        <v>1.561556389416892</v>
      </c>
      <c r="K582" s="584">
        <f t="shared" si="267"/>
        <v>1.0017947169903278</v>
      </c>
      <c r="L582" s="585">
        <f t="shared" si="268"/>
        <v>5.986713489848916E-2</v>
      </c>
      <c r="M582" s="584">
        <f t="shared" si="269"/>
        <v>1.3750506878853288</v>
      </c>
      <c r="N582" s="585">
        <f t="shared" si="270"/>
        <v>-0.75649544438042127</v>
      </c>
      <c r="O582" s="583">
        <f t="shared" si="271"/>
        <v>200725.15087041099</v>
      </c>
      <c r="P582" s="586">
        <f t="shared" si="272"/>
        <v>1.5707913448581754</v>
      </c>
      <c r="Q582" s="595">
        <f t="shared" si="294"/>
        <v>83.641457638713419</v>
      </c>
      <c r="R582" s="596">
        <f t="shared" si="295"/>
        <v>1.5588402483947326</v>
      </c>
      <c r="S582" s="583">
        <f t="shared" si="273"/>
        <v>1.1449384929802744</v>
      </c>
      <c r="T582" s="586">
        <f t="shared" si="274"/>
        <v>0.50863642338984416</v>
      </c>
      <c r="U582" s="587">
        <f t="shared" si="286"/>
        <v>0.65073934528096811</v>
      </c>
      <c r="V582" s="588">
        <f t="shared" si="287"/>
        <v>-1.1371617437994244</v>
      </c>
      <c r="W582" s="589">
        <f t="shared" si="275"/>
        <v>-13.551742885572121</v>
      </c>
      <c r="X582" s="590">
        <f t="shared" si="276"/>
        <v>-224.36648916251963</v>
      </c>
      <c r="Y582" s="593">
        <f t="shared" si="277"/>
        <v>-44.366489162519628</v>
      </c>
      <c r="AA582" s="150">
        <f t="shared" si="278"/>
        <v>110925</v>
      </c>
      <c r="AB582" s="150">
        <f t="shared" si="279"/>
        <v>12304355625</v>
      </c>
      <c r="AD582" s="592">
        <f t="shared" si="280"/>
        <v>26.429202530318634</v>
      </c>
      <c r="AE582" s="593">
        <f t="shared" si="281"/>
        <v>-29.82746778885916</v>
      </c>
      <c r="AG582" s="592">
        <f t="shared" si="282"/>
        <v>-7.1292851010589811</v>
      </c>
      <c r="AH582" s="593">
        <f t="shared" si="283"/>
        <v>-64.229884137872531</v>
      </c>
      <c r="AJ582" s="150">
        <f t="shared" si="284"/>
        <v>0</v>
      </c>
      <c r="AK582" s="150">
        <f t="shared" si="296"/>
        <v>0</v>
      </c>
      <c r="AM582" s="150" t="str">
        <f t="shared" si="288"/>
        <v>1.40823941649121+0.912874897684735i</v>
      </c>
      <c r="AN582" s="150" t="str">
        <f t="shared" si="289"/>
        <v>1.99132094115i</v>
      </c>
      <c r="AO582" s="150" t="str">
        <f t="shared" si="290"/>
        <v>0.458426805453843-0.707188573870942i</v>
      </c>
      <c r="AP582" s="150" t="str">
        <f t="shared" si="291"/>
        <v>-0.0680399027485353-0.152145816280789i</v>
      </c>
      <c r="AQ582" s="150" t="str">
        <f t="shared" si="292"/>
        <v>1.06803990274854+0.152145816280789i</v>
      </c>
      <c r="AR582" s="150" t="str">
        <f t="shared" si="293"/>
        <v>0.76442105269114-0.108894306986671i</v>
      </c>
    </row>
    <row r="583" spans="7:44" x14ac:dyDescent="0.25">
      <c r="G583" s="594">
        <v>112200</v>
      </c>
      <c r="H583" s="582">
        <f t="shared" si="285"/>
        <v>112.2</v>
      </c>
      <c r="I583" s="583">
        <f t="shared" si="265"/>
        <v>109.47126899789428</v>
      </c>
      <c r="J583" s="584">
        <f t="shared" si="266"/>
        <v>1.5616613828305446</v>
      </c>
      <c r="K583" s="584">
        <f t="shared" si="267"/>
        <v>1.0018361739393622</v>
      </c>
      <c r="L583" s="585">
        <f t="shared" si="268"/>
        <v>6.0553591509502111E-2</v>
      </c>
      <c r="M583" s="584">
        <f t="shared" si="269"/>
        <v>1.3825192304363798</v>
      </c>
      <c r="N583" s="585">
        <f t="shared" si="270"/>
        <v>-0.7622020076987478</v>
      </c>
      <c r="O583" s="583">
        <f t="shared" si="271"/>
        <v>203032.33651254265</v>
      </c>
      <c r="P583" s="586">
        <f t="shared" si="272"/>
        <v>1.5707914014710926</v>
      </c>
      <c r="Q583" s="595">
        <f t="shared" si="294"/>
        <v>84.60271706131347</v>
      </c>
      <c r="R583" s="596">
        <f t="shared" si="295"/>
        <v>1.5589761001945186</v>
      </c>
      <c r="S583" s="583">
        <f t="shared" si="273"/>
        <v>1.1480731632543026</v>
      </c>
      <c r="T583" s="586">
        <f t="shared" si="274"/>
        <v>0.51351204550633944</v>
      </c>
      <c r="U583" s="587">
        <f t="shared" si="286"/>
        <v>0.64615464574153991</v>
      </c>
      <c r="V583" s="588">
        <f t="shared" si="287"/>
        <v>-1.1466933466199216</v>
      </c>
      <c r="W583" s="589">
        <f t="shared" si="275"/>
        <v>-13.688768091331045</v>
      </c>
      <c r="X583" s="590">
        <f t="shared" si="276"/>
        <v>-225.47782846260239</v>
      </c>
      <c r="Y583" s="593">
        <f t="shared" si="277"/>
        <v>-45.477828462602389</v>
      </c>
      <c r="AA583" s="150">
        <f t="shared" si="278"/>
        <v>112200</v>
      </c>
      <c r="AB583" s="150">
        <f t="shared" si="279"/>
        <v>12588840000</v>
      </c>
      <c r="AD583" s="592">
        <f t="shared" si="280"/>
        <v>26.405440330230981</v>
      </c>
      <c r="AE583" s="593">
        <f t="shared" si="281"/>
        <v>-30.099039867859521</v>
      </c>
      <c r="AG583" s="592">
        <f t="shared" si="282"/>
        <v>-7.1197243126846619</v>
      </c>
      <c r="AH583" s="593">
        <f t="shared" si="283"/>
        <v>-63.977410130487904</v>
      </c>
      <c r="AJ583" s="150">
        <f t="shared" si="284"/>
        <v>0</v>
      </c>
      <c r="AK583" s="150">
        <f t="shared" si="296"/>
        <v>0</v>
      </c>
      <c r="AM583" s="150" t="str">
        <f t="shared" si="288"/>
        <v>1.42902522161996+0.903292510327603i</v>
      </c>
      <c r="AN583" s="150" t="str">
        <f t="shared" si="289"/>
        <v>2.0142096876i</v>
      </c>
      <c r="AO583" s="150" t="str">
        <f t="shared" si="290"/>
        <v>0.448460016793935-0.709471923612229i</v>
      </c>
      <c r="AP583" s="150" t="str">
        <f t="shared" si="291"/>
        <v>-0.071504203603327-0.150548751721267i</v>
      </c>
      <c r="AQ583" s="150" t="str">
        <f t="shared" si="292"/>
        <v>1.07150420360333+0.150548751721267i</v>
      </c>
      <c r="AR583" s="150" t="str">
        <f t="shared" si="293"/>
        <v>0.762362088867181-0.107113588964566i</v>
      </c>
    </row>
    <row r="584" spans="7:44" x14ac:dyDescent="0.25">
      <c r="G584" s="594">
        <v>113510</v>
      </c>
      <c r="H584" s="582">
        <f t="shared" si="285"/>
        <v>113.51</v>
      </c>
      <c r="I584" s="583">
        <f t="shared" si="265"/>
        <v>110.74930344373844</v>
      </c>
      <c r="J584" s="584">
        <f t="shared" si="266"/>
        <v>1.5617668019333055</v>
      </c>
      <c r="K584" s="584">
        <f t="shared" si="267"/>
        <v>1.0018792605856128</v>
      </c>
      <c r="L584" s="585">
        <f t="shared" si="268"/>
        <v>6.125883251376283E-2</v>
      </c>
      <c r="M584" s="584">
        <f t="shared" si="269"/>
        <v>1.3902391724911225</v>
      </c>
      <c r="N584" s="585">
        <f t="shared" si="270"/>
        <v>-0.76800116667773832</v>
      </c>
      <c r="O584" s="583">
        <f t="shared" si="271"/>
        <v>205402.85666249826</v>
      </c>
      <c r="P584" s="586">
        <f t="shared" si="272"/>
        <v>1.5707914583134341</v>
      </c>
      <c r="Q584" s="595">
        <f t="shared" si="294"/>
        <v>85.590365586729035</v>
      </c>
      <c r="R584" s="596">
        <f t="shared" si="295"/>
        <v>1.5591125029735631</v>
      </c>
      <c r="S584" s="583">
        <f t="shared" si="273"/>
        <v>1.151322151678378</v>
      </c>
      <c r="T584" s="586">
        <f t="shared" si="274"/>
        <v>0.51849373346613004</v>
      </c>
      <c r="U584" s="587">
        <f t="shared" si="286"/>
        <v>0.6414744921514971</v>
      </c>
      <c r="V584" s="588">
        <f t="shared" si="287"/>
        <v>-1.156428347308923</v>
      </c>
      <c r="W584" s="589">
        <f t="shared" si="275"/>
        <v>-13.828546173574763</v>
      </c>
      <c r="X584" s="590">
        <f t="shared" si="276"/>
        <v>-226.61112063596048</v>
      </c>
      <c r="Y584" s="593">
        <f t="shared" si="277"/>
        <v>-46.611120635960475</v>
      </c>
      <c r="AA584" s="150">
        <f t="shared" si="278"/>
        <v>113510</v>
      </c>
      <c r="AB584" s="150">
        <f t="shared" si="279"/>
        <v>12884520100</v>
      </c>
      <c r="AD584" s="592">
        <f t="shared" si="280"/>
        <v>26.380880497390716</v>
      </c>
      <c r="AE584" s="593">
        <f t="shared" si="281"/>
        <v>-30.376657516397032</v>
      </c>
      <c r="AG584" s="592">
        <f t="shared" si="282"/>
        <v>-7.1086593788534955</v>
      </c>
      <c r="AH584" s="593">
        <f t="shared" si="283"/>
        <v>-63.717535747960319</v>
      </c>
      <c r="AJ584" s="150">
        <f t="shared" si="284"/>
        <v>0</v>
      </c>
      <c r="AK584" s="150">
        <f t="shared" si="296"/>
        <v>0</v>
      </c>
      <c r="AM584" s="150" t="str">
        <f t="shared" si="288"/>
        <v>1.45014742103817+0.892954253773777i</v>
      </c>
      <c r="AN584" s="150" t="str">
        <f t="shared" si="289"/>
        <v>2.03772675258i</v>
      </c>
      <c r="AO584" s="150" t="str">
        <f t="shared" si="290"/>
        <v>0.438210988123502-0.711649596395647i</v>
      </c>
      <c r="AP584" s="150" t="str">
        <f t="shared" si="291"/>
        <v>-0.0750245701730287-0.148825708962296i</v>
      </c>
      <c r="AQ584" s="150" t="str">
        <f t="shared" si="292"/>
        <v>1.07502457017303+0.148825708962296i</v>
      </c>
      <c r="AR584" s="150" t="str">
        <f t="shared" si="293"/>
        <v>0.76029461814353-0.105254697152844i</v>
      </c>
    </row>
    <row r="585" spans="7:44" x14ac:dyDescent="0.25">
      <c r="G585" s="594">
        <v>114820</v>
      </c>
      <c r="H585" s="582">
        <f t="shared" si="285"/>
        <v>114.82</v>
      </c>
      <c r="I585" s="583">
        <f t="shared" si="265"/>
        <v>112.0273390922783</v>
      </c>
      <c r="J585" s="584">
        <f t="shared" si="266"/>
        <v>1.5618698157426882</v>
      </c>
      <c r="K585" s="584">
        <f t="shared" si="267"/>
        <v>1.0019228454884137</v>
      </c>
      <c r="L585" s="585">
        <f t="shared" si="268"/>
        <v>6.1964012510990207E-2</v>
      </c>
      <c r="M585" s="584">
        <f t="shared" si="269"/>
        <v>1.3980053513557951</v>
      </c>
      <c r="N585" s="585">
        <f t="shared" si="270"/>
        <v>-0.77373608594035204</v>
      </c>
      <c r="O585" s="583">
        <f t="shared" si="271"/>
        <v>207773.37681245446</v>
      </c>
      <c r="P585" s="586">
        <f t="shared" si="272"/>
        <v>1.5707915138587287</v>
      </c>
      <c r="Q585" s="595">
        <f t="shared" si="294"/>
        <v>86.578015668282248</v>
      </c>
      <c r="R585" s="596">
        <f t="shared" si="295"/>
        <v>1.5592457936898168</v>
      </c>
      <c r="S585" s="583">
        <f t="shared" si="273"/>
        <v>1.1545995514955212</v>
      </c>
      <c r="T585" s="586">
        <f t="shared" si="274"/>
        <v>0.52344726214215631</v>
      </c>
      <c r="U585" s="587">
        <f t="shared" si="286"/>
        <v>0.63682529979639657</v>
      </c>
      <c r="V585" s="588">
        <f t="shared" si="287"/>
        <v>-1.1661056647450265</v>
      </c>
      <c r="W585" s="589">
        <f t="shared" si="275"/>
        <v>-13.967327996708272</v>
      </c>
      <c r="X585" s="590">
        <f t="shared" si="276"/>
        <v>-227.73585764566454</v>
      </c>
      <c r="Y585" s="593">
        <f t="shared" si="277"/>
        <v>-47.735857645664538</v>
      </c>
      <c r="AA585" s="150">
        <f t="shared" si="278"/>
        <v>114820</v>
      </c>
      <c r="AB585" s="150">
        <f t="shared" si="279"/>
        <v>13183632400</v>
      </c>
      <c r="AD585" s="592">
        <f t="shared" si="280"/>
        <v>26.356176570978391</v>
      </c>
      <c r="AE585" s="593">
        <f t="shared" si="281"/>
        <v>-30.652839990567301</v>
      </c>
      <c r="AG585" s="592">
        <f t="shared" si="282"/>
        <v>-7.0963739607536036</v>
      </c>
      <c r="AH585" s="593">
        <f t="shared" si="283"/>
        <v>-63.457151390032763</v>
      </c>
      <c r="AJ585" s="150">
        <f t="shared" si="284"/>
        <v>0</v>
      </c>
      <c r="AK585" s="150">
        <f t="shared" si="296"/>
        <v>0</v>
      </c>
      <c r="AM585" s="150" t="str">
        <f t="shared" si="288"/>
        <v>1.47102067684301+0.882122169535688i</v>
      </c>
      <c r="AN585" s="150" t="str">
        <f t="shared" si="289"/>
        <v>2.06124381756i</v>
      </c>
      <c r="AO585" s="150" t="str">
        <f t="shared" si="290"/>
        <v>0.427956247592243-0.713656804843365i</v>
      </c>
      <c r="AP585" s="150" t="str">
        <f t="shared" si="291"/>
        <v>-0.0785034461405023-0.147020361589281i</v>
      </c>
      <c r="AQ585" s="150" t="str">
        <f t="shared" si="292"/>
        <v>1.0785034461405+0.147020361589281i</v>
      </c>
      <c r="AR585" s="150" t="str">
        <f t="shared" si="293"/>
        <v>0.758275654081908-0.103367273647958i</v>
      </c>
    </row>
    <row r="586" spans="7:44" x14ac:dyDescent="0.25">
      <c r="G586" s="594">
        <v>116155</v>
      </c>
      <c r="H586" s="582">
        <f t="shared" si="285"/>
        <v>116.155</v>
      </c>
      <c r="I586" s="583">
        <f t="shared" si="265"/>
        <v>113.32976592932658</v>
      </c>
      <c r="J586" s="584">
        <f t="shared" si="266"/>
        <v>1.561972405128335</v>
      </c>
      <c r="K586" s="584">
        <f t="shared" si="267"/>
        <v>1.0019677747071962</v>
      </c>
      <c r="L586" s="585">
        <f t="shared" si="268"/>
        <v>6.2682586659381201E-2</v>
      </c>
      <c r="M586" s="584">
        <f t="shared" si="269"/>
        <v>1.4059665152348275</v>
      </c>
      <c r="N586" s="585">
        <f t="shared" si="270"/>
        <v>-0.77951507482008653</v>
      </c>
      <c r="O586" s="583">
        <f t="shared" si="271"/>
        <v>210189.13589657081</v>
      </c>
      <c r="P586" s="586">
        <f t="shared" si="272"/>
        <v>1.5707915691750713</v>
      </c>
      <c r="Q586" s="595">
        <f t="shared" si="294"/>
        <v>87.584515580296852</v>
      </c>
      <c r="R586" s="596">
        <f t="shared" si="295"/>
        <v>1.5593785354037495</v>
      </c>
      <c r="S586" s="583">
        <f t="shared" si="273"/>
        <v>1.1579684772035561</v>
      </c>
      <c r="T586" s="586">
        <f t="shared" si="274"/>
        <v>0.52846635028389877</v>
      </c>
      <c r="U586" s="587">
        <f t="shared" si="286"/>
        <v>0.63211935718190315</v>
      </c>
      <c r="V586" s="588">
        <f t="shared" si="287"/>
        <v>-1.1759097341238933</v>
      </c>
      <c r="W586" s="589">
        <f t="shared" si="275"/>
        <v>-14.107759723479861</v>
      </c>
      <c r="X586" s="590">
        <f t="shared" si="276"/>
        <v>-228.87337798688438</v>
      </c>
      <c r="Y586" s="593">
        <f t="shared" si="277"/>
        <v>-48.873377986884378</v>
      </c>
      <c r="AA586" s="150">
        <f t="shared" si="278"/>
        <v>116155</v>
      </c>
      <c r="AB586" s="150">
        <f t="shared" si="279"/>
        <v>13491984025</v>
      </c>
      <c r="AD586" s="592">
        <f t="shared" si="280"/>
        <v>26.330856279188275</v>
      </c>
      <c r="AE586" s="593">
        <f t="shared" si="281"/>
        <v>-30.932810187832494</v>
      </c>
      <c r="AG586" s="592">
        <f t="shared" si="282"/>
        <v>-7.082636638274086</v>
      </c>
      <c r="AH586" s="593">
        <f t="shared" si="283"/>
        <v>-63.19123793777861</v>
      </c>
      <c r="AJ586" s="150">
        <f t="shared" si="284"/>
        <v>0</v>
      </c>
      <c r="AK586" s="150">
        <f t="shared" si="296"/>
        <v>0</v>
      </c>
      <c r="AM586" s="150" t="str">
        <f t="shared" si="288"/>
        <v>1.49202421117237+0.87058151578138i</v>
      </c>
      <c r="AN586" s="150" t="str">
        <f t="shared" si="289"/>
        <v>2.08520968149i</v>
      </c>
      <c r="AO586" s="150" t="str">
        <f t="shared" si="290"/>
        <v>0.41750310460831-0.715527183868739i</v>
      </c>
      <c r="AP586" s="150" t="str">
        <f t="shared" si="291"/>
        <v>-0.0820040351953952-0.145096919296897i</v>
      </c>
      <c r="AQ586" s="150" t="str">
        <f t="shared" si="292"/>
        <v>1.0820040351954+0.145096919296897i</v>
      </c>
      <c r="AR586" s="150" t="str">
        <f t="shared" si="293"/>
        <v>0.756267883783662-0.10141564775253i</v>
      </c>
    </row>
    <row r="587" spans="7:44" x14ac:dyDescent="0.25">
      <c r="G587" s="594">
        <v>117490</v>
      </c>
      <c r="H587" s="582">
        <f t="shared" si="285"/>
        <v>117.49</v>
      </c>
      <c r="I587" s="583">
        <f t="shared" si="265"/>
        <v>114.63219393201977</v>
      </c>
      <c r="J587" s="584">
        <f t="shared" si="266"/>
        <v>1.5620726633149578</v>
      </c>
      <c r="K587" s="584">
        <f t="shared" si="267"/>
        <v>1.0020132212442914</v>
      </c>
      <c r="L587" s="585">
        <f t="shared" si="268"/>
        <v>6.3401095996558535E-2</v>
      </c>
      <c r="M587" s="584">
        <f t="shared" si="269"/>
        <v>1.4139741041225995</v>
      </c>
      <c r="N587" s="585">
        <f t="shared" si="270"/>
        <v>-0.78522879782657173</v>
      </c>
      <c r="O587" s="583">
        <f t="shared" si="271"/>
        <v>212604.89498068779</v>
      </c>
      <c r="P587" s="586">
        <f t="shared" si="272"/>
        <v>1.5707916232343313</v>
      </c>
      <c r="Q587" s="595">
        <f t="shared" si="294"/>
        <v>88.591017000515578</v>
      </c>
      <c r="R587" s="596">
        <f t="shared" si="295"/>
        <v>1.5595082609061341</v>
      </c>
      <c r="S587" s="583">
        <f t="shared" si="273"/>
        <v>1.1613664039146232</v>
      </c>
      <c r="T587" s="586">
        <f t="shared" si="274"/>
        <v>0.53345619381228915</v>
      </c>
      <c r="U587" s="587">
        <f t="shared" si="286"/>
        <v>0.62744578165025267</v>
      </c>
      <c r="V587" s="588">
        <f t="shared" si="287"/>
        <v>-1.1856567585485702</v>
      </c>
      <c r="W587" s="589">
        <f t="shared" si="275"/>
        <v>-14.247209396156373</v>
      </c>
      <c r="X587" s="590">
        <f t="shared" si="276"/>
        <v>-230.00225773068473</v>
      </c>
      <c r="Y587" s="593">
        <f t="shared" si="277"/>
        <v>-50.002257730684732</v>
      </c>
      <c r="AA587" s="150">
        <f t="shared" si="278"/>
        <v>117490</v>
      </c>
      <c r="AB587" s="150">
        <f t="shared" si="279"/>
        <v>13803900100</v>
      </c>
      <c r="AD587" s="592">
        <f t="shared" si="280"/>
        <v>26.305393054210072</v>
      </c>
      <c r="AE587" s="593">
        <f t="shared" si="281"/>
        <v>-31.211277536343722</v>
      </c>
      <c r="AG587" s="592">
        <f t="shared" si="282"/>
        <v>-7.0677076489619282</v>
      </c>
      <c r="AH587" s="593">
        <f t="shared" si="283"/>
        <v>-62.924723607101676</v>
      </c>
      <c r="AJ587" s="150">
        <f t="shared" si="284"/>
        <v>0</v>
      </c>
      <c r="AK587" s="150">
        <f t="shared" si="296"/>
        <v>0</v>
      </c>
      <c r="AM587" s="150" t="str">
        <f t="shared" si="288"/>
        <v>1.51274515870585+0.858540856467364i</v>
      </c>
      <c r="AN587" s="150" t="str">
        <f t="shared" si="289"/>
        <v>2.10917554542i</v>
      </c>
      <c r="AO587" s="150" t="str">
        <f t="shared" si="290"/>
        <v>0.407050450746812-0.717221078155738i</v>
      </c>
      <c r="AP587" s="150" t="str">
        <f t="shared" si="291"/>
        <v>-0.0854575264509747-0.143090142744561i</v>
      </c>
      <c r="AQ587" s="150" t="str">
        <f t="shared" si="292"/>
        <v>1.08545752645097+0.143090142744561i</v>
      </c>
      <c r="AR587" s="150" t="str">
        <f t="shared" si="293"/>
        <v>0.754310108804889-0.0994367246182914i</v>
      </c>
    </row>
    <row r="588" spans="7:44" x14ac:dyDescent="0.25">
      <c r="G588" s="594">
        <v>118860</v>
      </c>
      <c r="H588" s="582">
        <f t="shared" si="285"/>
        <v>118.86</v>
      </c>
      <c r="I588" s="583">
        <f t="shared" si="265"/>
        <v>115.96876915791513</v>
      </c>
      <c r="J588" s="584">
        <f t="shared" si="266"/>
        <v>1.5621732086882154</v>
      </c>
      <c r="K588" s="584">
        <f t="shared" si="267"/>
        <v>1.0020603970298885</v>
      </c>
      <c r="L588" s="585">
        <f t="shared" si="268"/>
        <v>6.413837450620466E-2</v>
      </c>
      <c r="M588" s="584">
        <f t="shared" si="269"/>
        <v>1.4222390740453414</v>
      </c>
      <c r="N588" s="585">
        <f t="shared" si="270"/>
        <v>-0.79102523221577903</v>
      </c>
      <c r="O588" s="583">
        <f t="shared" si="271"/>
        <v>215083.98857262867</v>
      </c>
      <c r="P588" s="586">
        <f t="shared" si="272"/>
        <v>1.5707916774483477</v>
      </c>
      <c r="Q588" s="595">
        <f t="shared" si="294"/>
        <v>89.623907613161705</v>
      </c>
      <c r="R588" s="596">
        <f t="shared" si="295"/>
        <v>1.5596383581570892</v>
      </c>
      <c r="S588" s="583">
        <f t="shared" si="273"/>
        <v>1.1648833001321548</v>
      </c>
      <c r="T588" s="586">
        <f t="shared" si="274"/>
        <v>0.538546461476762</v>
      </c>
      <c r="U588" s="587">
        <f t="shared" si="286"/>
        <v>0.62268339010518692</v>
      </c>
      <c r="V588" s="588">
        <f t="shared" si="287"/>
        <v>-1.1956015203378814</v>
      </c>
      <c r="W588" s="589">
        <f t="shared" si="275"/>
        <v>-14.389320674764042</v>
      </c>
      <c r="X588" s="590">
        <f t="shared" si="276"/>
        <v>-231.15187965271829</v>
      </c>
      <c r="Y588" s="593">
        <f t="shared" si="277"/>
        <v>-51.151879652718293</v>
      </c>
      <c r="AA588" s="150">
        <f t="shared" si="278"/>
        <v>118860</v>
      </c>
      <c r="AB588" s="150">
        <f t="shared" si="279"/>
        <v>14127699600</v>
      </c>
      <c r="AD588" s="592">
        <f t="shared" si="280"/>
        <v>26.279117158594254</v>
      </c>
      <c r="AE588" s="593">
        <f t="shared" si="281"/>
        <v>-31.495477473263026</v>
      </c>
      <c r="AG588" s="592">
        <f t="shared" si="282"/>
        <v>-7.0511861254346204</v>
      </c>
      <c r="AH588" s="593">
        <f t="shared" si="283"/>
        <v>-62.650559833332785</v>
      </c>
      <c r="AJ588" s="150">
        <f t="shared" si="284"/>
        <v>0</v>
      </c>
      <c r="AK588" s="150">
        <f t="shared" si="296"/>
        <v>0</v>
      </c>
      <c r="AM588" s="150" t="str">
        <f t="shared" si="288"/>
        <v>1.53370307533806+0.845671938386687i</v>
      </c>
      <c r="AN588" s="150" t="str">
        <f t="shared" si="289"/>
        <v>2.13376972788i</v>
      </c>
      <c r="AO588" s="150" t="str">
        <f t="shared" si="290"/>
        <v>0.396327648357305-0.718776283728547i</v>
      </c>
      <c r="AP588" s="150" t="str">
        <f t="shared" si="291"/>
        <v>-0.0889505125563433-0.140945323064448i</v>
      </c>
      <c r="AQ588" s="150" t="str">
        <f t="shared" si="292"/>
        <v>1.08895051255634+0.140945323064448i</v>
      </c>
      <c r="AR588" s="150" t="str">
        <f t="shared" si="293"/>
        <v>0.752352761601836-0.0973787163141761i</v>
      </c>
    </row>
    <row r="589" spans="7:44" x14ac:dyDescent="0.25">
      <c r="G589" s="594">
        <v>120230</v>
      </c>
      <c r="H589" s="582">
        <f t="shared" si="285"/>
        <v>120.23</v>
      </c>
      <c r="I589" s="583">
        <f t="shared" ref="I589:I613" si="297">SQRT(1+(G589/pole1)^2)</f>
        <v>117.30534552946598</v>
      </c>
      <c r="J589" s="584">
        <f t="shared" ref="J589:J613" si="298">ATAN(G589/pole1)</f>
        <v>1.5622714628357424</v>
      </c>
      <c r="K589" s="584">
        <f t="shared" ref="K589:K613" si="299">SQRT(1+(G589/Zero1)^2)</f>
        <v>1.0021081174636182</v>
      </c>
      <c r="L589" s="585">
        <f t="shared" ref="L589:L613" si="300">ATAN(G589/Zero1)</f>
        <v>6.4875583198079026E-2</v>
      </c>
      <c r="M589" s="584">
        <f t="shared" ref="M589:M613" si="301">SQRT(1+(G589/z_RHP)^2)</f>
        <v>1.4305512761963921</v>
      </c>
      <c r="N589" s="585">
        <f t="shared" ref="N589:N613" si="302">-ATAN(G589/z_RHP)</f>
        <v>-0.79675449701140955</v>
      </c>
      <c r="O589" s="583">
        <f t="shared" ref="O589:O613" si="303">SQRT(1+(G589/Pole2)^2)</f>
        <v>217563.08216457019</v>
      </c>
      <c r="P589" s="586">
        <f t="shared" ref="P589:P613" si="304">ATAN(G589/Pole2)</f>
        <v>1.5707917304268453</v>
      </c>
      <c r="Q589" s="595">
        <f t="shared" si="294"/>
        <v>90.656799708153301</v>
      </c>
      <c r="R589" s="596">
        <f t="shared" si="295"/>
        <v>1.5597654909017558</v>
      </c>
      <c r="S589" s="583">
        <f t="shared" ref="S589:S613" si="305">SQRT(1+(G589/pole4)^2)</f>
        <v>1.1684301972841684</v>
      </c>
      <c r="T589" s="586">
        <f t="shared" ref="T589:T613" si="306">ATAN(G589/pole4)</f>
        <v>0.54360595545290602</v>
      </c>
      <c r="U589" s="587">
        <f t="shared" si="286"/>
        <v>0.61795517608721706</v>
      </c>
      <c r="V589" s="588">
        <f t="shared" si="287"/>
        <v>-1.2054892627576179</v>
      </c>
      <c r="W589" s="589">
        <f t="shared" ref="W589:W613" si="307">20*LOG10(((K589*Q589*M589*U589)/(I589*O589*S589))*Adc)</f>
        <v>-14.530451143164845</v>
      </c>
      <c r="X589" s="590">
        <f t="shared" ref="X589:X613" si="308">((L589+R589+N589+V589)-(J589+P589+T589))*radconv</f>
        <v>-232.29266537443786</v>
      </c>
      <c r="Y589" s="593">
        <f t="shared" ref="Y589:Y613" si="309">IF(X589&gt;0,X589,X589+180)</f>
        <v>-52.29266537443786</v>
      </c>
      <c r="AA589" s="150">
        <f t="shared" ref="AA589:AA613" si="310">IF(W589&lt;0,G589,1000000000)</f>
        <v>120230</v>
      </c>
      <c r="AB589" s="150">
        <f t="shared" ref="AB589:AB613" si="311">G589^2</f>
        <v>14455252900</v>
      </c>
      <c r="AD589" s="592">
        <f t="shared" ref="AD589:AD613" si="312">20*LOG10((Q589/(O589*S589))*Aea)</f>
        <v>26.252697841674735</v>
      </c>
      <c r="AE589" s="593">
        <f t="shared" ref="AE589:AE613" si="313">(R589-(P589+T589))*radconv</f>
        <v>-31.778083990627884</v>
      </c>
      <c r="AG589" s="592">
        <f t="shared" ref="AG589:AG613" si="314">20*LOG10((K589*M589/(I589*U589))*Acs*Am)</f>
        <v>-7.033485001168291</v>
      </c>
      <c r="AH589" s="593">
        <f t="shared" ref="AH589:AH613" si="315">(L589+N589-(J589+V589))*radconv</f>
        <v>-62.37568721726602</v>
      </c>
      <c r="AJ589" s="150">
        <f t="shared" ref="AJ589:AJ613" si="316">SUM((W590&lt;0)*(W589&gt;0))*G589</f>
        <v>0</v>
      </c>
      <c r="AK589" s="150">
        <f t="shared" si="296"/>
        <v>0</v>
      </c>
      <c r="AM589" s="150" t="str">
        <f t="shared" si="288"/>
        <v>1.55433818522915+0.832291521281365i</v>
      </c>
      <c r="AN589" s="150" t="str">
        <f t="shared" si="289"/>
        <v>2.15836391034i</v>
      </c>
      <c r="AO589" s="150" t="str">
        <f t="shared" si="290"/>
        <v>0.385612230307472-0.720146485855715i</v>
      </c>
      <c r="AP589" s="150" t="str">
        <f t="shared" si="291"/>
        <v>-0.0923896975381923-0.138715253546894i</v>
      </c>
      <c r="AQ589" s="150" t="str">
        <f t="shared" si="292"/>
        <v>1.09238969753819+0.138715253546894i</v>
      </c>
      <c r="AR589" s="150" t="str">
        <f t="shared" si="293"/>
        <v>0.7504475982006-0.0952943158404463i</v>
      </c>
    </row>
    <row r="590" spans="7:44" x14ac:dyDescent="0.25">
      <c r="G590" s="594">
        <v>126030</v>
      </c>
      <c r="H590" s="582">
        <f t="shared" ref="H590:H613" si="317">G590/1000</f>
        <v>126.03</v>
      </c>
      <c r="I590" s="583">
        <f t="shared" si="297"/>
        <v>122.96385586878986</v>
      </c>
      <c r="J590" s="584">
        <f t="shared" si="298"/>
        <v>1.5626637660833753</v>
      </c>
      <c r="K590" s="584">
        <f t="shared" si="299"/>
        <v>1.0023161775856375</v>
      </c>
      <c r="L590" s="585">
        <f t="shared" si="300"/>
        <v>6.7995821023008537E-2</v>
      </c>
      <c r="M590" s="584">
        <f t="shared" si="301"/>
        <v>1.4662463015118716</v>
      </c>
      <c r="N590" s="585">
        <f t="shared" si="302"/>
        <v>-0.82028383432200302</v>
      </c>
      <c r="O590" s="583">
        <f t="shared" si="303"/>
        <v>228058.51488958442</v>
      </c>
      <c r="P590" s="586">
        <f t="shared" si="304"/>
        <v>1.5707919419553282</v>
      </c>
      <c r="Q590" s="595">
        <f t="shared" si="294"/>
        <v>95.029642864888558</v>
      </c>
      <c r="R590" s="596">
        <f t="shared" si="295"/>
        <v>1.5602731002892163</v>
      </c>
      <c r="S590" s="583">
        <f t="shared" si="305"/>
        <v>1.1837723696917835</v>
      </c>
      <c r="T590" s="586">
        <f t="shared" si="306"/>
        <v>0.56468539404126017</v>
      </c>
      <c r="U590" s="587">
        <f t="shared" ref="U590:U613" si="318">IMABS(IMPRODUCT(AO590, AR590))</f>
        <v>0.59831593422928742</v>
      </c>
      <c r="V590" s="588">
        <f t="shared" ref="V590:V613" si="319">IMARGUMENT(IMPRODUCT(AO590, AR590))</f>
        <v>-1.2467533320082018</v>
      </c>
      <c r="W590" s="589">
        <f t="shared" si="307"/>
        <v>-15.117655488828348</v>
      </c>
      <c r="X590" s="590">
        <f t="shared" si="308"/>
        <v>-237.02744608777644</v>
      </c>
      <c r="Y590" s="593">
        <f t="shared" si="309"/>
        <v>-57.02744608777644</v>
      </c>
      <c r="AA590" s="150">
        <f t="shared" si="310"/>
        <v>126030</v>
      </c>
      <c r="AB590" s="150">
        <f t="shared" si="311"/>
        <v>15883560900</v>
      </c>
      <c r="AD590" s="592">
        <f t="shared" si="312"/>
        <v>26.1393417947017</v>
      </c>
      <c r="AE590" s="593">
        <f t="shared" si="313"/>
        <v>-32.95677510173924</v>
      </c>
      <c r="AG590" s="592">
        <f t="shared" si="314"/>
        <v>-6.9462770891962666</v>
      </c>
      <c r="AH590" s="593">
        <f t="shared" si="315"/>
        <v>-61.20326278690213</v>
      </c>
      <c r="AJ590" s="150">
        <f t="shared" si="316"/>
        <v>0</v>
      </c>
      <c r="AK590" s="150">
        <f t="shared" si="296"/>
        <v>0</v>
      </c>
      <c r="AM590" s="150" t="str">
        <f t="shared" ref="AM590:AM613" si="320">IMSUB(1,IMEXP(COMPLEX(0,-2*Pi*G590*Tsw)))</f>
        <v>1.63783886193821+0.770169842438257i</v>
      </c>
      <c r="AN590" s="150" t="str">
        <f t="shared" ref="AN590:AN613" si="321">COMPLEX(0, 2*Pi*G590*Tsw)</f>
        <v>2.26248526674i</v>
      </c>
      <c r="AO590" s="150" t="str">
        <f t="shared" ref="AO590:AO613" si="322">IMDIV(AM590, AN590)</f>
        <v>0.340408776914596-0.723911393375905i</v>
      </c>
      <c r="AP590" s="150" t="str">
        <f t="shared" ref="AP590:AP613" si="323">IMDIV(IMEXP(COMPLEX(0,-2*Pi*G590*Tsw)),6)</f>
        <v>-0.106306476989702-0.128361640406376i</v>
      </c>
      <c r="AQ590" s="150" t="str">
        <f t="shared" ref="AQ590:AQ613" si="324">IMSUB(1, AP590)</f>
        <v>1.1063064769897+0.128361640406376i</v>
      </c>
      <c r="AR590" s="150" t="str">
        <f t="shared" ref="AR590:AR613" si="325">IMDIV(0.833, AQ590)</f>
        <v>0.742954031933888-0.0862028744015504i</v>
      </c>
    </row>
    <row r="591" spans="7:44" x14ac:dyDescent="0.25">
      <c r="G591" s="594">
        <v>131830</v>
      </c>
      <c r="H591" s="582">
        <f t="shared" si="317"/>
        <v>131.83000000000001</v>
      </c>
      <c r="I591" s="583">
        <f t="shared" si="297"/>
        <v>128.62238346738891</v>
      </c>
      <c r="J591" s="584">
        <f t="shared" si="298"/>
        <v>1.5630215519257518</v>
      </c>
      <c r="K591" s="584">
        <f t="shared" si="299"/>
        <v>1.0025339920359522</v>
      </c>
      <c r="L591" s="585">
        <f t="shared" si="300"/>
        <v>7.1114733372423466E-2</v>
      </c>
      <c r="M591" s="584">
        <f t="shared" si="301"/>
        <v>1.5027142654535575</v>
      </c>
      <c r="N591" s="585">
        <f t="shared" si="302"/>
        <v>-0.84268305758014672</v>
      </c>
      <c r="O591" s="583">
        <f t="shared" si="303"/>
        <v>238553.94761460795</v>
      </c>
      <c r="P591" s="586">
        <f t="shared" si="304"/>
        <v>1.5707921348709732</v>
      </c>
      <c r="Q591" s="595">
        <f t="shared" si="294"/>
        <v>99.402508353307482</v>
      </c>
      <c r="R591" s="596">
        <f t="shared" si="295"/>
        <v>1.5607360487902036</v>
      </c>
      <c r="S591" s="583">
        <f t="shared" si="305"/>
        <v>1.1996269543659417</v>
      </c>
      <c r="T591" s="586">
        <f t="shared" si="306"/>
        <v>0.58521657571251939</v>
      </c>
      <c r="U591" s="587">
        <f t="shared" si="318"/>
        <v>0.57928267163513414</v>
      </c>
      <c r="V591" s="588">
        <f t="shared" si="319"/>
        <v>-1.2871378217439975</v>
      </c>
      <c r="W591" s="589">
        <f t="shared" si="307"/>
        <v>-15.689562506267539</v>
      </c>
      <c r="X591" s="590">
        <f t="shared" si="308"/>
        <v>-241.61632309037168</v>
      </c>
      <c r="Y591" s="593">
        <f t="shared" si="309"/>
        <v>-61.616323090371679</v>
      </c>
      <c r="AA591" s="150">
        <f t="shared" si="310"/>
        <v>131830</v>
      </c>
      <c r="AB591" s="150">
        <f t="shared" si="311"/>
        <v>17379148900</v>
      </c>
      <c r="AD591" s="592">
        <f t="shared" si="312"/>
        <v>26.023740080693585</v>
      </c>
      <c r="AE591" s="593">
        <f t="shared" si="313"/>
        <v>-34.106611219246382</v>
      </c>
      <c r="AG591" s="592">
        <f t="shared" si="314"/>
        <v>-6.8409811282977895</v>
      </c>
      <c r="AH591" s="593">
        <f t="shared" si="315"/>
        <v>-60.014582027401275</v>
      </c>
      <c r="AJ591" s="150">
        <f t="shared" si="316"/>
        <v>0</v>
      </c>
      <c r="AK591" s="150">
        <f t="shared" si="296"/>
        <v>0</v>
      </c>
      <c r="AM591" s="150" t="str">
        <f t="shared" si="320"/>
        <v>1.71443080870507+0.699706095137826i</v>
      </c>
      <c r="AN591" s="150" t="str">
        <f t="shared" si="321"/>
        <v>2.36660662314i</v>
      </c>
      <c r="AO591" s="150" t="str">
        <f t="shared" si="322"/>
        <v>0.295657963725911-0.72442576300677i</v>
      </c>
      <c r="AP591" s="150" t="str">
        <f t="shared" si="323"/>
        <v>-0.119071801450845-0.116617682522971i</v>
      </c>
      <c r="AQ591" s="150" t="str">
        <f t="shared" si="324"/>
        <v>1.11907180145084+0.116617682522971i</v>
      </c>
      <c r="AR591" s="150" t="str">
        <f t="shared" si="325"/>
        <v>0.736370223961474-0.0767366212659238i</v>
      </c>
    </row>
    <row r="592" spans="7:44" x14ac:dyDescent="0.25">
      <c r="G592" s="594">
        <v>144540</v>
      </c>
      <c r="H592" s="582">
        <f t="shared" si="317"/>
        <v>144.54</v>
      </c>
      <c r="I592" s="583">
        <f t="shared" si="297"/>
        <v>141.02241397565334</v>
      </c>
      <c r="J592" s="584">
        <f t="shared" si="298"/>
        <v>1.5637051960125863</v>
      </c>
      <c r="K592" s="584">
        <f t="shared" si="299"/>
        <v>1.0030453832148101</v>
      </c>
      <c r="L592" s="585">
        <f t="shared" si="300"/>
        <v>7.7944526605462736E-2</v>
      </c>
      <c r="M592" s="584">
        <f t="shared" si="301"/>
        <v>1.5850699313684329</v>
      </c>
      <c r="N592" s="585">
        <f t="shared" si="302"/>
        <v>-0.88810043127848437</v>
      </c>
      <c r="O592" s="583">
        <f t="shared" si="303"/>
        <v>261553.42174136767</v>
      </c>
      <c r="P592" s="586">
        <f t="shared" si="304"/>
        <v>1.5707925034841812</v>
      </c>
      <c r="Q592" s="595">
        <f t="shared" si="294"/>
        <v>108.98518026772811</v>
      </c>
      <c r="R592" s="596">
        <f t="shared" si="295"/>
        <v>1.5616206385968294</v>
      </c>
      <c r="S592" s="583">
        <f t="shared" si="305"/>
        <v>1.2360648943408037</v>
      </c>
      <c r="T592" s="586">
        <f t="shared" si="306"/>
        <v>0.62831509755329862</v>
      </c>
      <c r="U592" s="587">
        <f t="shared" si="318"/>
        <v>0.53961738638245449</v>
      </c>
      <c r="V592" s="588">
        <f t="shared" si="319"/>
        <v>-1.3731047697589907</v>
      </c>
      <c r="W592" s="589">
        <f t="shared" si="307"/>
        <v>-16.897191541857698</v>
      </c>
      <c r="X592" s="590">
        <f t="shared" si="308"/>
        <v>-251.21064308555242</v>
      </c>
      <c r="Y592" s="593">
        <f t="shared" si="309"/>
        <v>-71.21064308555242</v>
      </c>
      <c r="AA592" s="150">
        <f t="shared" si="310"/>
        <v>144540</v>
      </c>
      <c r="AB592" s="150">
        <f t="shared" si="311"/>
        <v>20891811600</v>
      </c>
      <c r="AD592" s="592">
        <f t="shared" si="312"/>
        <v>25.763765043160276</v>
      </c>
      <c r="AE592" s="593">
        <f t="shared" si="313"/>
        <v>-36.525312484200356</v>
      </c>
      <c r="AG592" s="592">
        <f t="shared" si="314"/>
        <v>-6.5564509939710298</v>
      </c>
      <c r="AH592" s="593">
        <f t="shared" si="315"/>
        <v>-57.33911414861219</v>
      </c>
      <c r="AJ592" s="150">
        <f t="shared" si="316"/>
        <v>0</v>
      </c>
      <c r="AK592" s="150">
        <f t="shared" si="296"/>
        <v>0</v>
      </c>
      <c r="AM592" s="150" t="str">
        <f t="shared" si="320"/>
        <v>1.85418409900145+0.519970696302279i</v>
      </c>
      <c r="AN592" s="150" t="str">
        <f t="shared" si="321"/>
        <v>2.59477600932i</v>
      </c>
      <c r="AO592" s="150" t="str">
        <f t="shared" si="322"/>
        <v>0.200391361117349-0.714583490960889i</v>
      </c>
      <c r="AP592" s="150" t="str">
        <f t="shared" si="323"/>
        <v>-0.142364016500242-0.0866617827170465i</v>
      </c>
      <c r="AQ592" s="150" t="str">
        <f t="shared" si="324"/>
        <v>1.14236401650024+0.0866617827170465i</v>
      </c>
      <c r="AR592" s="150" t="str">
        <f t="shared" si="325"/>
        <v>0.725017152632985-0.0550011012602639i</v>
      </c>
    </row>
    <row r="593" spans="7:44" x14ac:dyDescent="0.25">
      <c r="G593" s="594">
        <v>158490</v>
      </c>
      <c r="H593" s="582">
        <f t="shared" si="317"/>
        <v>158.49</v>
      </c>
      <c r="I593" s="583">
        <f t="shared" si="297"/>
        <v>154.63226666496618</v>
      </c>
      <c r="J593" s="584">
        <f t="shared" si="298"/>
        <v>1.5643293261361644</v>
      </c>
      <c r="K593" s="584">
        <f t="shared" si="299"/>
        <v>1.0036604648430107</v>
      </c>
      <c r="L593" s="585">
        <f t="shared" si="300"/>
        <v>8.5432239512665833E-2</v>
      </c>
      <c r="M593" s="584">
        <f t="shared" si="301"/>
        <v>1.6788319005215464</v>
      </c>
      <c r="N593" s="585">
        <f t="shared" si="302"/>
        <v>-0.93271890019019599</v>
      </c>
      <c r="O593" s="583">
        <f t="shared" si="303"/>
        <v>286796.74700247939</v>
      </c>
      <c r="P593" s="586">
        <f t="shared" si="304"/>
        <v>1.5707928400049993</v>
      </c>
      <c r="Q593" s="595">
        <f t="shared" si="294"/>
        <v>119.50282865826698</v>
      </c>
      <c r="R593" s="596">
        <f t="shared" si="295"/>
        <v>1.5624282263727236</v>
      </c>
      <c r="S593" s="583">
        <f t="shared" si="305"/>
        <v>1.278539549769834</v>
      </c>
      <c r="T593" s="586">
        <f t="shared" si="306"/>
        <v>0.67269958663127105</v>
      </c>
      <c r="U593" s="587">
        <f t="shared" si="318"/>
        <v>0.49906751532168475</v>
      </c>
      <c r="V593" s="588">
        <f t="shared" si="319"/>
        <v>-1.4645635726542459</v>
      </c>
      <c r="W593" s="589">
        <f t="shared" si="307"/>
        <v>-18.164982770573555</v>
      </c>
      <c r="X593" s="590">
        <f t="shared" si="308"/>
        <v>-261.11083394330819</v>
      </c>
      <c r="Y593" s="593">
        <f t="shared" si="309"/>
        <v>-81.110833943308194</v>
      </c>
      <c r="AA593" s="150">
        <f t="shared" si="310"/>
        <v>158490</v>
      </c>
      <c r="AB593" s="150">
        <f t="shared" si="311"/>
        <v>25119080100</v>
      </c>
      <c r="AD593" s="592">
        <f t="shared" si="312"/>
        <v>25.470245616071296</v>
      </c>
      <c r="AE593" s="593">
        <f t="shared" si="313"/>
        <v>-39.022104297143159</v>
      </c>
      <c r="AG593" s="592">
        <f t="shared" si="314"/>
        <v>-6.1736575200678212</v>
      </c>
      <c r="AH593" s="593">
        <f t="shared" si="315"/>
        <v>-54.262106371015584</v>
      </c>
      <c r="AJ593" s="150">
        <f t="shared" si="316"/>
        <v>0</v>
      </c>
      <c r="AK593" s="150">
        <f t="shared" si="296"/>
        <v>0</v>
      </c>
      <c r="AM593" s="150" t="str">
        <f t="shared" si="320"/>
        <v>1.95639801554691+0.292066492186162i</v>
      </c>
      <c r="AN593" s="150" t="str">
        <f t="shared" si="321"/>
        <v>2.84520582342i</v>
      </c>
      <c r="AO593" s="150" t="str">
        <f t="shared" si="322"/>
        <v>0.10265214902277-0.687612122625026i</v>
      </c>
      <c r="AP593" s="150" t="str">
        <f t="shared" si="323"/>
        <v>-0.159399669257819-0.0486777486976937i</v>
      </c>
      <c r="AQ593" s="150" t="str">
        <f t="shared" si="324"/>
        <v>1.15939966925782+0.0486777486976937i</v>
      </c>
      <c r="AR593" s="150" t="str">
        <f t="shared" si="325"/>
        <v>0.717211003221387-0.030112322699195i</v>
      </c>
    </row>
    <row r="594" spans="7:44" x14ac:dyDescent="0.25">
      <c r="G594" s="594">
        <v>173780</v>
      </c>
      <c r="H594" s="582">
        <f t="shared" si="317"/>
        <v>173.78</v>
      </c>
      <c r="I594" s="583">
        <f t="shared" si="297"/>
        <v>169.54950325622232</v>
      </c>
      <c r="J594" s="584">
        <f t="shared" si="298"/>
        <v>1.5648983101178491</v>
      </c>
      <c r="K594" s="584">
        <f t="shared" si="299"/>
        <v>1.004399182782941</v>
      </c>
      <c r="L594" s="585">
        <f t="shared" si="300"/>
        <v>9.3628155514950767E-2</v>
      </c>
      <c r="M594" s="584">
        <f t="shared" si="301"/>
        <v>1.7850122730624256</v>
      </c>
      <c r="N594" s="585">
        <f t="shared" si="302"/>
        <v>-0.97614467343606171</v>
      </c>
      <c r="O594" s="583">
        <f t="shared" si="303"/>
        <v>314464.87913458201</v>
      </c>
      <c r="P594" s="586">
        <f t="shared" si="304"/>
        <v>1.5707931467895404</v>
      </c>
      <c r="Q594" s="595">
        <f t="shared" si="294"/>
        <v>131.03084892294083</v>
      </c>
      <c r="R594" s="596">
        <f t="shared" si="295"/>
        <v>1.5631644621168785</v>
      </c>
      <c r="S594" s="583">
        <f t="shared" si="305"/>
        <v>1.3277898657287026</v>
      </c>
      <c r="T594" s="586">
        <f t="shared" si="306"/>
        <v>0.71798749779166549</v>
      </c>
      <c r="U594" s="587">
        <f t="shared" si="318"/>
        <v>0.4577235997457561</v>
      </c>
      <c r="V594" s="588">
        <f t="shared" si="319"/>
        <v>-1.5629742478131081</v>
      </c>
      <c r="W594" s="589">
        <f t="shared" si="307"/>
        <v>-19.50531498806744</v>
      </c>
      <c r="X594" s="590">
        <f t="shared" si="308"/>
        <v>-271.35311336336088</v>
      </c>
      <c r="Y594" s="593">
        <f t="shared" si="309"/>
        <v>-91.353113363360876</v>
      </c>
      <c r="AA594" s="150">
        <f t="shared" si="310"/>
        <v>173780</v>
      </c>
      <c r="AB594" s="150">
        <f t="shared" si="311"/>
        <v>30199488400</v>
      </c>
      <c r="AD594" s="592">
        <f t="shared" si="312"/>
        <v>25.141890801048167</v>
      </c>
      <c r="AE594" s="593">
        <f t="shared" si="313"/>
        <v>-41.574744849106672</v>
      </c>
      <c r="AG594" s="592">
        <f t="shared" si="314"/>
        <v>-5.6833950240066677</v>
      </c>
      <c r="AH594" s="593">
        <f t="shared" si="315"/>
        <v>-50.674712534947304</v>
      </c>
      <c r="AJ594" s="150">
        <f t="shared" si="316"/>
        <v>0</v>
      </c>
      <c r="AK594" s="150">
        <f t="shared" si="296"/>
        <v>0</v>
      </c>
      <c r="AM594" s="150" t="str">
        <f t="shared" si="320"/>
        <v>1.99976017409326+0.0218996414813723i</v>
      </c>
      <c r="AN594" s="150" t="str">
        <f t="shared" si="321"/>
        <v>3.11969126124i</v>
      </c>
      <c r="AO594" s="150" t="str">
        <f t="shared" si="322"/>
        <v>0.00701981050287256-0.641012204937999i</v>
      </c>
      <c r="AP594" s="150" t="str">
        <f t="shared" si="323"/>
        <v>-0.16662669568221-0.00364994024689538i</v>
      </c>
      <c r="AQ594" s="150" t="str">
        <f t="shared" si="324"/>
        <v>1.16662669568221+0.00364994024689538i</v>
      </c>
      <c r="AR594" s="150" t="str">
        <f t="shared" si="325"/>
        <v>0.71401747405665-0.00223389463415455i</v>
      </c>
    </row>
    <row r="595" spans="7:44" x14ac:dyDescent="0.25">
      <c r="G595" s="594">
        <v>190550</v>
      </c>
      <c r="H595" s="582">
        <f t="shared" si="317"/>
        <v>190.55</v>
      </c>
      <c r="I595" s="583">
        <f t="shared" si="297"/>
        <v>185.91071060298734</v>
      </c>
      <c r="J595" s="584">
        <f t="shared" si="298"/>
        <v>1.565417374614247</v>
      </c>
      <c r="K595" s="584">
        <f t="shared" si="299"/>
        <v>1.0052868627473834</v>
      </c>
      <c r="L595" s="585">
        <f t="shared" si="300"/>
        <v>0.10260287439796426</v>
      </c>
      <c r="M595" s="584">
        <f t="shared" si="301"/>
        <v>1.9048842808988555</v>
      </c>
      <c r="N595" s="585">
        <f t="shared" si="302"/>
        <v>-1.0181208415390011</v>
      </c>
      <c r="O595" s="583">
        <f t="shared" si="303"/>
        <v>344811.1561689701</v>
      </c>
      <c r="P595" s="586">
        <f t="shared" si="304"/>
        <v>1.5707934266567134</v>
      </c>
      <c r="Q595" s="595">
        <f t="shared" si="294"/>
        <v>143.67479519347069</v>
      </c>
      <c r="R595" s="596">
        <f t="shared" si="295"/>
        <v>1.5638361075524909</v>
      </c>
      <c r="S595" s="583">
        <f t="shared" si="305"/>
        <v>1.3847012798415843</v>
      </c>
      <c r="T595" s="586">
        <f t="shared" si="306"/>
        <v>0.76385126667443681</v>
      </c>
      <c r="U595" s="587">
        <f t="shared" si="318"/>
        <v>0.41536669303972984</v>
      </c>
      <c r="V595" s="588">
        <f t="shared" si="319"/>
        <v>-1.6708114888810548</v>
      </c>
      <c r="W595" s="589">
        <f t="shared" si="307"/>
        <v>-20.941261973784606</v>
      </c>
      <c r="X595" s="590">
        <f t="shared" si="308"/>
        <v>-282.04165010212239</v>
      </c>
      <c r="Y595" s="593">
        <f t="shared" si="309"/>
        <v>-102.04165010212239</v>
      </c>
      <c r="AA595" s="150">
        <f t="shared" si="310"/>
        <v>190550</v>
      </c>
      <c r="AB595" s="150">
        <f t="shared" si="311"/>
        <v>36309302500</v>
      </c>
      <c r="AD595" s="592">
        <f t="shared" si="312"/>
        <v>24.777313356132204</v>
      </c>
      <c r="AE595" s="593">
        <f t="shared" si="313"/>
        <v>-44.16407882802968</v>
      </c>
      <c r="AG595" s="592">
        <f t="shared" si="314"/>
        <v>-5.0678991290023179</v>
      </c>
      <c r="AH595" s="593">
        <f t="shared" si="315"/>
        <v>-46.416677705609352</v>
      </c>
      <c r="AJ595" s="150">
        <f t="shared" si="316"/>
        <v>0</v>
      </c>
      <c r="AK595" s="150">
        <f t="shared" si="296"/>
        <v>0</v>
      </c>
      <c r="AM595" s="150" t="str">
        <f t="shared" si="320"/>
        <v>1.96128918240262-0.275541481079901i</v>
      </c>
      <c r="AN595" s="150" t="str">
        <f t="shared" si="321"/>
        <v>3.4207455969i</v>
      </c>
      <c r="AO595" s="150" t="str">
        <f t="shared" si="322"/>
        <v>-0.0805501237302202-0.573351372338244i</v>
      </c>
      <c r="AP595" s="150" t="str">
        <f t="shared" si="323"/>
        <v>-0.16021486373377+0.0459235801799835i</v>
      </c>
      <c r="AQ595" s="150" t="str">
        <f t="shared" si="324"/>
        <v>1.16021486373377-0.0459235801799835i</v>
      </c>
      <c r="AR595" s="150" t="str">
        <f t="shared" si="325"/>
        <v>0.716847353044793+0.0283742243987624i</v>
      </c>
    </row>
    <row r="596" spans="7:44" x14ac:dyDescent="0.25">
      <c r="G596" s="594">
        <v>208930</v>
      </c>
      <c r="H596" s="582">
        <f t="shared" si="317"/>
        <v>208.93</v>
      </c>
      <c r="I596" s="583">
        <f t="shared" si="297"/>
        <v>203.84271975946641</v>
      </c>
      <c r="J596" s="584">
        <f t="shared" si="298"/>
        <v>1.5658905640957144</v>
      </c>
      <c r="K596" s="584">
        <f t="shared" si="299"/>
        <v>1.0063525923798233</v>
      </c>
      <c r="L596" s="585">
        <f t="shared" si="300"/>
        <v>0.11242014191353542</v>
      </c>
      <c r="M596" s="584">
        <f t="shared" si="301"/>
        <v>2.0396408049515964</v>
      </c>
      <c r="N596" s="585">
        <f t="shared" si="302"/>
        <v>-1.058382581830321</v>
      </c>
      <c r="O596" s="583">
        <f t="shared" si="303"/>
        <v>378070.82056327455</v>
      </c>
      <c r="P596" s="586">
        <f t="shared" si="304"/>
        <v>1.570793681787809</v>
      </c>
      <c r="Q596" s="595">
        <f t="shared" si="294"/>
        <v>157.53268254400976</v>
      </c>
      <c r="R596" s="596">
        <f t="shared" si="295"/>
        <v>1.5644483950519597</v>
      </c>
      <c r="S596" s="583">
        <f t="shared" si="305"/>
        <v>1.4501424614998926</v>
      </c>
      <c r="T596" s="586">
        <f t="shared" si="306"/>
        <v>0.80987712998153893</v>
      </c>
      <c r="U596" s="587">
        <f t="shared" si="318"/>
        <v>0.3714804021702624</v>
      </c>
      <c r="V596" s="588">
        <f t="shared" si="319"/>
        <v>-1.7916580344896627</v>
      </c>
      <c r="W596" s="589">
        <f t="shared" si="307"/>
        <v>-22.50921487248857</v>
      </c>
      <c r="X596" s="590">
        <f t="shared" si="308"/>
        <v>-293.3391195511993</v>
      </c>
      <c r="Y596" s="593">
        <f t="shared" si="309"/>
        <v>-113.3391195511993</v>
      </c>
      <c r="AA596" s="150">
        <f t="shared" si="310"/>
        <v>208930</v>
      </c>
      <c r="AB596" s="150">
        <f t="shared" si="311"/>
        <v>43651744900</v>
      </c>
      <c r="AD596" s="592">
        <f t="shared" si="312"/>
        <v>24.376186454266442</v>
      </c>
      <c r="AE596" s="593">
        <f t="shared" si="313"/>
        <v>-46.766099675312738</v>
      </c>
      <c r="AG596" s="592">
        <f t="shared" si="314"/>
        <v>-4.2948946528559091</v>
      </c>
      <c r="AH596" s="593">
        <f t="shared" si="315"/>
        <v>-41.264132227362666</v>
      </c>
      <c r="AJ596" s="150">
        <f t="shared" si="316"/>
        <v>0</v>
      </c>
      <c r="AK596" s="150">
        <f t="shared" si="296"/>
        <v>0</v>
      </c>
      <c r="AM596" s="150" t="str">
        <f t="shared" si="320"/>
        <v>1.82015758447322-0.572137690273113i</v>
      </c>
      <c r="AN596" s="150" t="str">
        <f t="shared" si="321"/>
        <v>3.75070258494i</v>
      </c>
      <c r="AO596" s="150" t="str">
        <f t="shared" si="322"/>
        <v>-0.152541471182063-0.485284434916702i</v>
      </c>
      <c r="AP596" s="150" t="str">
        <f t="shared" si="323"/>
        <v>-0.136692930745537+0.0953562817121855i</v>
      </c>
      <c r="AQ596" s="150" t="str">
        <f t="shared" si="324"/>
        <v>1.13669293074554-0.0953562817121855i</v>
      </c>
      <c r="AR596" s="150" t="str">
        <f t="shared" si="325"/>
        <v>0.727706479596287+0.0610467279203132i</v>
      </c>
    </row>
    <row r="597" spans="7:44" x14ac:dyDescent="0.25">
      <c r="G597" s="594">
        <v>229090</v>
      </c>
      <c r="H597" s="582">
        <f t="shared" si="317"/>
        <v>229.09</v>
      </c>
      <c r="I597" s="583">
        <f t="shared" si="297"/>
        <v>223.51138717000279</v>
      </c>
      <c r="J597" s="584">
        <f t="shared" si="298"/>
        <v>1.5663222668873842</v>
      </c>
      <c r="K597" s="584">
        <f t="shared" si="299"/>
        <v>1.0076328129110212</v>
      </c>
      <c r="L597" s="585">
        <f t="shared" si="300"/>
        <v>0.12316312097871207</v>
      </c>
      <c r="M597" s="584">
        <f t="shared" si="301"/>
        <v>2.1907557316992032</v>
      </c>
      <c r="N597" s="585">
        <f t="shared" si="302"/>
        <v>-1.0967799616107112</v>
      </c>
      <c r="O597" s="583">
        <f t="shared" si="303"/>
        <v>414551.49706978211</v>
      </c>
      <c r="P597" s="586">
        <f t="shared" si="304"/>
        <v>1.5707939145493564</v>
      </c>
      <c r="Q597" s="595">
        <f t="shared" si="294"/>
        <v>172.7326851156333</v>
      </c>
      <c r="R597" s="596">
        <f t="shared" si="295"/>
        <v>1.565007002178082</v>
      </c>
      <c r="S597" s="583">
        <f t="shared" si="305"/>
        <v>1.5251314042804682</v>
      </c>
      <c r="T597" s="586">
        <f t="shared" si="306"/>
        <v>0.85571184365525799</v>
      </c>
      <c r="U597" s="587">
        <f t="shared" si="318"/>
        <v>0.32491482535545291</v>
      </c>
      <c r="V597" s="588">
        <f t="shared" si="319"/>
        <v>-1.9312163027035667</v>
      </c>
      <c r="W597" s="589">
        <f t="shared" si="307"/>
        <v>-24.278744830317486</v>
      </c>
      <c r="X597" s="590">
        <f t="shared" si="308"/>
        <v>-305.53857767807887</v>
      </c>
      <c r="Y597" s="593">
        <f t="shared" si="309"/>
        <v>-125.53857767807887</v>
      </c>
      <c r="AA597" s="150">
        <f t="shared" si="310"/>
        <v>229090</v>
      </c>
      <c r="AB597" s="150">
        <f t="shared" si="311"/>
        <v>52482228100</v>
      </c>
      <c r="AD597" s="592">
        <f t="shared" si="312"/>
        <v>23.938225118154275</v>
      </c>
      <c r="AE597" s="593">
        <f t="shared" si="313"/>
        <v>-49.360242832493199</v>
      </c>
      <c r="AG597" s="592">
        <f t="shared" si="314"/>
        <v>-3.2998081115833218</v>
      </c>
      <c r="AH597" s="593">
        <f t="shared" si="315"/>
        <v>-34.877247649165142</v>
      </c>
      <c r="AJ597" s="150">
        <f t="shared" si="316"/>
        <v>0</v>
      </c>
      <c r="AK597" s="150">
        <f t="shared" si="296"/>
        <v>0</v>
      </c>
      <c r="AM597" s="150" t="str">
        <f t="shared" si="320"/>
        <v>1.56445669434059-0.825462682508477i</v>
      </c>
      <c r="AN597" s="150" t="str">
        <f t="shared" si="321"/>
        <v>4.11261405822i</v>
      </c>
      <c r="AO597" s="150" t="str">
        <f t="shared" si="322"/>
        <v>-0.200714842390474-0.380404451327901i</v>
      </c>
      <c r="AP597" s="150" t="str">
        <f t="shared" si="323"/>
        <v>-0.0940761157234322+0.137577113751413i</v>
      </c>
      <c r="AQ597" s="150" t="str">
        <f t="shared" si="324"/>
        <v>1.09407611572343-0.137577113751413i</v>
      </c>
      <c r="AR597" s="150" t="str">
        <f t="shared" si="325"/>
        <v>0.749521269714174+0.0942502733590769i</v>
      </c>
    </row>
    <row r="598" spans="7:44" x14ac:dyDescent="0.25">
      <c r="G598" s="594">
        <v>251190</v>
      </c>
      <c r="H598" s="582">
        <f t="shared" si="317"/>
        <v>251.19</v>
      </c>
      <c r="I598" s="583">
        <f t="shared" si="297"/>
        <v>245.0728133763661</v>
      </c>
      <c r="J598" s="584">
        <f t="shared" si="298"/>
        <v>1.5667158955091292</v>
      </c>
      <c r="K598" s="584">
        <f t="shared" si="299"/>
        <v>1.0091694810515393</v>
      </c>
      <c r="L598" s="585">
        <f t="shared" si="300"/>
        <v>0.13490707023353257</v>
      </c>
      <c r="M598" s="584">
        <f t="shared" si="301"/>
        <v>2.359622147827642</v>
      </c>
      <c r="N598" s="585">
        <f t="shared" si="302"/>
        <v>-1.1331633934424676</v>
      </c>
      <c r="O598" s="583">
        <f t="shared" si="303"/>
        <v>454542.71486711601</v>
      </c>
      <c r="P598" s="586">
        <f t="shared" si="304"/>
        <v>1.5707941267816365</v>
      </c>
      <c r="Q598" s="595">
        <f t="shared" si="294"/>
        <v>189.39543785835235</v>
      </c>
      <c r="R598" s="596">
        <f t="shared" si="295"/>
        <v>1.5655163440366389</v>
      </c>
      <c r="S598" s="583">
        <f t="shared" si="305"/>
        <v>1.6106538614496082</v>
      </c>
      <c r="T598" s="586">
        <f t="shared" si="306"/>
        <v>0.90094957153660482</v>
      </c>
      <c r="U598" s="587">
        <f t="shared" si="318"/>
        <v>0.27367066053143863</v>
      </c>
      <c r="V598" s="588">
        <f t="shared" si="319"/>
        <v>-2.0980346832413588</v>
      </c>
      <c r="W598" s="589">
        <f t="shared" si="307"/>
        <v>-26.385197524944619</v>
      </c>
      <c r="X598" s="590">
        <f t="shared" si="308"/>
        <v>-319.09361836690834</v>
      </c>
      <c r="Y598" s="593">
        <f t="shared" si="309"/>
        <v>-139.09361836690834</v>
      </c>
      <c r="AA598" s="150">
        <f t="shared" si="310"/>
        <v>251190</v>
      </c>
      <c r="AB598" s="150">
        <f t="shared" si="311"/>
        <v>63096416100</v>
      </c>
      <c r="AD598" s="592">
        <f t="shared" si="312"/>
        <v>23.464301545813719</v>
      </c>
      <c r="AE598" s="593">
        <f t="shared" si="313"/>
        <v>-51.923002738973317</v>
      </c>
      <c r="AG598" s="592">
        <f t="shared" si="314"/>
        <v>-1.9506857310620032</v>
      </c>
      <c r="AH598" s="593">
        <f t="shared" si="315"/>
        <v>-26.753550109625756</v>
      </c>
      <c r="AJ598" s="150">
        <f t="shared" si="316"/>
        <v>0</v>
      </c>
      <c r="AK598" s="150">
        <f t="shared" si="296"/>
        <v>0</v>
      </c>
      <c r="AM598" s="150" t="str">
        <f t="shared" si="320"/>
        <v>1.20164452976354-0.979458770758852i</v>
      </c>
      <c r="AN598" s="150" t="str">
        <f t="shared" si="321"/>
        <v>4.50935233002i</v>
      </c>
      <c r="AO598" s="150" t="str">
        <f t="shared" si="322"/>
        <v>-0.217206086168589-0.266478297063607i</v>
      </c>
      <c r="AP598" s="150" t="str">
        <f t="shared" si="323"/>
        <v>-0.0336074216272563+0.163243128459809i</v>
      </c>
      <c r="AQ598" s="150" t="str">
        <f t="shared" si="324"/>
        <v>1.03360742162726-0.163243128459809i</v>
      </c>
      <c r="AR598" s="150" t="str">
        <f t="shared" si="325"/>
        <v>0.786302086130781+0.124184878870531i</v>
      </c>
    </row>
    <row r="599" spans="7:44" x14ac:dyDescent="0.25">
      <c r="G599" s="594">
        <v>275420</v>
      </c>
      <c r="H599" s="582">
        <f t="shared" si="317"/>
        <v>275.42</v>
      </c>
      <c r="I599" s="583">
        <f t="shared" si="297"/>
        <v>268.71236808967302</v>
      </c>
      <c r="J599" s="584">
        <f t="shared" si="298"/>
        <v>1.5670748668735555</v>
      </c>
      <c r="K599" s="584">
        <f t="shared" si="299"/>
        <v>1.0110136827039395</v>
      </c>
      <c r="L599" s="585">
        <f t="shared" si="300"/>
        <v>0.14773990232525167</v>
      </c>
      <c r="M599" s="584">
        <f t="shared" si="301"/>
        <v>2.5478519869007705</v>
      </c>
      <c r="N599" s="585">
        <f t="shared" si="302"/>
        <v>-1.167461796146797</v>
      </c>
      <c r="O599" s="583">
        <f t="shared" si="303"/>
        <v>498388.28985489125</v>
      </c>
      <c r="P599" s="586">
        <f t="shared" si="304"/>
        <v>1.5707943203272079</v>
      </c>
      <c r="Q599" s="595">
        <f t="shared" ref="Q599:Q613" si="326">SQRT(1+(G599/Zero2)^2)</f>
        <v>207.66419518638801</v>
      </c>
      <c r="R599" s="596">
        <f t="shared" ref="R599:R613" si="327">ATAN(G599/Zero2)</f>
        <v>1.5659808415643819</v>
      </c>
      <c r="S599" s="583">
        <f t="shared" si="305"/>
        <v>1.7078045420612105</v>
      </c>
      <c r="T599" s="586">
        <f t="shared" si="306"/>
        <v>0.94524153103225839</v>
      </c>
      <c r="U599" s="587">
        <f t="shared" si="318"/>
        <v>0.21439278493157607</v>
      </c>
      <c r="V599" s="588">
        <f t="shared" si="319"/>
        <v>-2.3050713146155775</v>
      </c>
      <c r="W599" s="589">
        <f t="shared" si="307"/>
        <v>-29.131655586600097</v>
      </c>
      <c r="X599" s="590">
        <f t="shared" si="308"/>
        <v>-334.71753739907598</v>
      </c>
      <c r="Y599" s="593">
        <f t="shared" si="309"/>
        <v>-154.71753739907598</v>
      </c>
      <c r="AA599" s="150">
        <f t="shared" si="310"/>
        <v>275420</v>
      </c>
      <c r="AB599" s="150">
        <f t="shared" si="311"/>
        <v>75856176400</v>
      </c>
      <c r="AD599" s="592">
        <f t="shared" si="312"/>
        <v>22.955562257354515</v>
      </c>
      <c r="AE599" s="593">
        <f t="shared" si="313"/>
        <v>-54.434142428718481</v>
      </c>
      <c r="AG599" s="592">
        <f t="shared" si="314"/>
        <v>5.2318482518910921E-2</v>
      </c>
      <c r="AH599" s="593">
        <f t="shared" si="315"/>
        <v>-16.141679060241689</v>
      </c>
      <c r="AJ599" s="150">
        <f t="shared" si="316"/>
        <v>0</v>
      </c>
      <c r="AK599" s="150">
        <f t="shared" si="296"/>
        <v>0</v>
      </c>
      <c r="AM599" s="150" t="str">
        <f t="shared" si="320"/>
        <v>0.770134682916788-0.973222449392858i</v>
      </c>
      <c r="AN599" s="150" t="str">
        <f t="shared" si="321"/>
        <v>4.94432827236i</v>
      </c>
      <c r="AO599" s="150" t="str">
        <f t="shared" si="322"/>
        <v>-0.196836131377726-0.155761236004905i</v>
      </c>
      <c r="AP599" s="150" t="str">
        <f t="shared" si="323"/>
        <v>0.0383108861805353+0.162203741565476i</v>
      </c>
      <c r="AQ599" s="150" t="str">
        <f t="shared" si="324"/>
        <v>0.961689113819465-0.162203741565476i</v>
      </c>
      <c r="AR599" s="150" t="str">
        <f t="shared" si="325"/>
        <v>0.842224647954205+0.142054211879624i</v>
      </c>
    </row>
    <row r="600" spans="7:44" x14ac:dyDescent="0.25">
      <c r="G600" s="594">
        <v>302000</v>
      </c>
      <c r="H600" s="582">
        <f t="shared" si="317"/>
        <v>302</v>
      </c>
      <c r="I600" s="583">
        <f t="shared" si="297"/>
        <v>294.64469029052577</v>
      </c>
      <c r="J600" s="584">
        <f t="shared" si="298"/>
        <v>1.5674024020009214</v>
      </c>
      <c r="K600" s="584">
        <f t="shared" si="299"/>
        <v>1.0132274969693305</v>
      </c>
      <c r="L600" s="585">
        <f t="shared" si="300"/>
        <v>0.16176104876736661</v>
      </c>
      <c r="M600" s="584">
        <f t="shared" si="301"/>
        <v>2.7572891891598013</v>
      </c>
      <c r="N600" s="585">
        <f t="shared" si="302"/>
        <v>-1.1996595437746349</v>
      </c>
      <c r="O600" s="583">
        <f t="shared" si="303"/>
        <v>546486.3246537149</v>
      </c>
      <c r="P600" s="586">
        <f t="shared" si="304"/>
        <v>1.5707944969229404</v>
      </c>
      <c r="Q600" s="595">
        <f t="shared" si="326"/>
        <v>227.7048311077599</v>
      </c>
      <c r="R600" s="596">
        <f t="shared" si="327"/>
        <v>1.5664046623335186</v>
      </c>
      <c r="S600" s="583">
        <f t="shared" si="305"/>
        <v>1.8177946358744521</v>
      </c>
      <c r="T600" s="586">
        <f t="shared" si="306"/>
        <v>0.98829181358574503</v>
      </c>
      <c r="U600" s="587">
        <f t="shared" si="318"/>
        <v>0.14253502666222698</v>
      </c>
      <c r="V600" s="588">
        <f t="shared" si="319"/>
        <v>-2.5697967582354977</v>
      </c>
      <c r="W600" s="589">
        <f t="shared" si="307"/>
        <v>-33.314635002630567</v>
      </c>
      <c r="X600" s="590">
        <f t="shared" si="308"/>
        <v>-353.38772345784344</v>
      </c>
      <c r="Y600" s="593">
        <f t="shared" si="309"/>
        <v>-173.38772345784344</v>
      </c>
      <c r="AA600" s="150">
        <f t="shared" si="310"/>
        <v>302000</v>
      </c>
      <c r="AB600" s="150">
        <f t="shared" si="311"/>
        <v>91204000000</v>
      </c>
      <c r="AD600" s="592">
        <f t="shared" si="312"/>
        <v>22.413412245024659</v>
      </c>
      <c r="AE600" s="593">
        <f t="shared" si="313"/>
        <v>-56.876468905518337</v>
      </c>
      <c r="AG600" s="592">
        <f t="shared" si="314"/>
        <v>3.5030316560389823</v>
      </c>
      <c r="AH600" s="593">
        <f t="shared" si="315"/>
        <v>-2.034237309246492</v>
      </c>
      <c r="AJ600" s="150">
        <f t="shared" si="316"/>
        <v>0</v>
      </c>
      <c r="AK600" s="150">
        <f t="shared" si="296"/>
        <v>0</v>
      </c>
      <c r="AM600" s="150" t="str">
        <f t="shared" si="320"/>
        <v>0.348847245958069-0.758946698328419i</v>
      </c>
      <c r="AN600" s="150" t="str">
        <f t="shared" si="321"/>
        <v>5.421491316i</v>
      </c>
      <c r="AO600" s="150" t="str">
        <f t="shared" si="322"/>
        <v>-0.139988548185737-0.0643452558760991i</v>
      </c>
      <c r="AP600" s="150" t="str">
        <f t="shared" si="323"/>
        <v>0.108525459006988+0.12649111638807i</v>
      </c>
      <c r="AQ600" s="150" t="str">
        <f t="shared" si="324"/>
        <v>0.891474540993012-0.12649111638807i</v>
      </c>
      <c r="AR600" s="150" t="str">
        <f t="shared" si="325"/>
        <v>0.915966066380888+0.129966213259494i</v>
      </c>
    </row>
    <row r="601" spans="7:44" x14ac:dyDescent="0.25">
      <c r="G601" s="594">
        <v>331130</v>
      </c>
      <c r="H601" s="582">
        <f t="shared" si="317"/>
        <v>331.13</v>
      </c>
      <c r="I601" s="583">
        <f t="shared" si="297"/>
        <v>323.06490655516643</v>
      </c>
      <c r="J601" s="584">
        <f t="shared" si="298"/>
        <v>1.5677009686282097</v>
      </c>
      <c r="K601" s="584">
        <f t="shared" si="299"/>
        <v>1.0158813976186101</v>
      </c>
      <c r="L601" s="585">
        <f t="shared" si="300"/>
        <v>0.17705380468204088</v>
      </c>
      <c r="M601" s="584">
        <f t="shared" si="301"/>
        <v>2.9896180505744265</v>
      </c>
      <c r="N601" s="585">
        <f t="shared" si="302"/>
        <v>-1.2297313770711042</v>
      </c>
      <c r="O601" s="583">
        <f t="shared" si="303"/>
        <v>599198.73073686648</v>
      </c>
      <c r="P601" s="586">
        <f t="shared" si="304"/>
        <v>1.5707946578995056</v>
      </c>
      <c r="Q601" s="595">
        <f t="shared" si="326"/>
        <v>249.66814047311712</v>
      </c>
      <c r="R601" s="596">
        <f t="shared" si="327"/>
        <v>1.566790999275395</v>
      </c>
      <c r="S601" s="583">
        <f t="shared" si="305"/>
        <v>1.9417424061600406</v>
      </c>
      <c r="T601" s="586">
        <f t="shared" si="306"/>
        <v>1.0297870789149044</v>
      </c>
      <c r="U601" s="587">
        <f t="shared" si="318"/>
        <v>5.5934142225855771E-2</v>
      </c>
      <c r="V601" s="588">
        <f t="shared" si="319"/>
        <v>-2.9065948761769835</v>
      </c>
      <c r="W601" s="589">
        <f t="shared" si="307"/>
        <v>-42.086912143856694</v>
      </c>
      <c r="X601" s="590">
        <f t="shared" si="308"/>
        <v>-375.90409687646445</v>
      </c>
      <c r="Y601" s="593">
        <f t="shared" si="309"/>
        <v>-195.90409687646445</v>
      </c>
      <c r="AA601" s="150">
        <f t="shared" si="310"/>
        <v>331130</v>
      </c>
      <c r="AB601" s="150">
        <f t="shared" si="311"/>
        <v>109647076900</v>
      </c>
      <c r="AD601" s="592">
        <f t="shared" si="312"/>
        <v>21.840462199252933</v>
      </c>
      <c r="AE601" s="593">
        <f t="shared" si="313"/>
        <v>-59.231846228384406</v>
      </c>
      <c r="AG601" s="592">
        <f t="shared" si="314"/>
        <v>11.553489317778144</v>
      </c>
      <c r="AH601" s="593">
        <f t="shared" si="315"/>
        <v>16.398988051091816</v>
      </c>
      <c r="AJ601" s="150">
        <f t="shared" si="316"/>
        <v>0</v>
      </c>
      <c r="AK601" s="150">
        <f t="shared" si="296"/>
        <v>0</v>
      </c>
      <c r="AM601" s="150" t="str">
        <f t="shared" si="320"/>
        <v>0.056830360253364-0.33231164689219i</v>
      </c>
      <c r="AN601" s="150" t="str">
        <f t="shared" si="321"/>
        <v>5.94443185254i</v>
      </c>
      <c r="AO601" s="150" t="str">
        <f t="shared" si="322"/>
        <v>-0.0559030122870693-0.0095602677704314i</v>
      </c>
      <c r="AP601" s="150" t="str">
        <f t="shared" si="323"/>
        <v>0.157194939957773+0.0553852744820317i</v>
      </c>
      <c r="AQ601" s="150" t="str">
        <f t="shared" si="324"/>
        <v>0.842805060042227-0.0553852744820317i</v>
      </c>
      <c r="AR601" s="150" t="str">
        <f t="shared" si="325"/>
        <v>0.984116239032071+0.0646715956098853i</v>
      </c>
    </row>
    <row r="602" spans="7:44" x14ac:dyDescent="0.25">
      <c r="G602" s="594">
        <v>363080</v>
      </c>
      <c r="H602" s="582">
        <f t="shared" si="317"/>
        <v>363.08</v>
      </c>
      <c r="I602" s="583">
        <f t="shared" si="297"/>
        <v>354.23643803576289</v>
      </c>
      <c r="J602" s="584">
        <f t="shared" si="298"/>
        <v>1.5679733497636625</v>
      </c>
      <c r="K602" s="584">
        <f t="shared" si="299"/>
        <v>1.0190638772420506</v>
      </c>
      <c r="L602" s="585">
        <f t="shared" si="300"/>
        <v>0.19373107231945691</v>
      </c>
      <c r="M602" s="584">
        <f t="shared" si="301"/>
        <v>3.2470788218370936</v>
      </c>
      <c r="N602" s="585">
        <f t="shared" si="302"/>
        <v>-1.257738667203163</v>
      </c>
      <c r="O602" s="583">
        <f t="shared" si="303"/>
        <v>657014.08859327307</v>
      </c>
      <c r="P602" s="586">
        <f t="shared" si="304"/>
        <v>1.5707948047575198</v>
      </c>
      <c r="Q602" s="595">
        <f t="shared" si="326"/>
        <v>273.75769668563953</v>
      </c>
      <c r="R602" s="596">
        <f t="shared" si="327"/>
        <v>1.5671434533377318</v>
      </c>
      <c r="S602" s="583">
        <f t="shared" si="305"/>
        <v>2.0810496976779835</v>
      </c>
      <c r="T602" s="586">
        <f t="shared" si="306"/>
        <v>1.0695410985713245</v>
      </c>
      <c r="U602" s="587">
        <f t="shared" si="318"/>
        <v>3.5693723929384504E-2</v>
      </c>
      <c r="V602" s="588">
        <f t="shared" si="319"/>
        <v>-0.16365076946145229</v>
      </c>
      <c r="W602" s="589">
        <f t="shared" si="307"/>
        <v>-46.645801512301055</v>
      </c>
      <c r="X602" s="590">
        <f t="shared" si="308"/>
        <v>-221.66729653444659</v>
      </c>
      <c r="Y602" s="593">
        <f t="shared" si="309"/>
        <v>-41.667296534446592</v>
      </c>
      <c r="AA602" s="150">
        <f t="shared" si="310"/>
        <v>363080</v>
      </c>
      <c r="AB602" s="150">
        <f t="shared" si="311"/>
        <v>131827086400</v>
      </c>
      <c r="AD602" s="592">
        <f t="shared" si="312"/>
        <v>21.238633749384725</v>
      </c>
      <c r="AE602" s="593">
        <f t="shared" si="313"/>
        <v>-61.489398060057276</v>
      </c>
      <c r="AG602" s="592">
        <f t="shared" si="314"/>
        <v>15.399833282162383</v>
      </c>
      <c r="AH602" s="593">
        <f t="shared" si="315"/>
        <v>-141.42490164454162</v>
      </c>
      <c r="AJ602" s="150">
        <f t="shared" si="316"/>
        <v>0</v>
      </c>
      <c r="AK602" s="150">
        <f t="shared" ref="AK602:AK613" si="328">IF(AJ602&gt;0,Y602,0)</f>
        <v>0</v>
      </c>
      <c r="AM602" s="150" t="str">
        <f t="shared" si="320"/>
        <v>0.027441809113729+0.232659763044717i</v>
      </c>
      <c r="AN602" s="150" t="str">
        <f t="shared" si="321"/>
        <v>6.51799691064i</v>
      </c>
      <c r="AO602" s="150" t="str">
        <f t="shared" si="322"/>
        <v>0.0356949790302788-0.00421015988346556i</v>
      </c>
      <c r="AP602" s="150" t="str">
        <f t="shared" si="323"/>
        <v>0.162093031814379-0.0387766271741195i</v>
      </c>
      <c r="AQ602" s="150" t="str">
        <f t="shared" si="324"/>
        <v>0.837906968185621+0.0387766271741195i</v>
      </c>
      <c r="AR602" s="150" t="str">
        <f t="shared" si="325"/>
        <v>0.992019221463986-0.0459086282377683i</v>
      </c>
    </row>
    <row r="603" spans="7:44" x14ac:dyDescent="0.25">
      <c r="G603" s="594">
        <v>398110</v>
      </c>
      <c r="H603" s="582">
        <f t="shared" si="317"/>
        <v>398.11</v>
      </c>
      <c r="I603" s="583">
        <f t="shared" si="297"/>
        <v>388.41294978594232</v>
      </c>
      <c r="J603" s="584">
        <f t="shared" si="298"/>
        <v>1.5682217444971189</v>
      </c>
      <c r="K603" s="584">
        <f t="shared" si="299"/>
        <v>1.0228767011655706</v>
      </c>
      <c r="L603" s="585">
        <f t="shared" si="300"/>
        <v>0.21189114714666357</v>
      </c>
      <c r="M603" s="584">
        <f t="shared" si="301"/>
        <v>3.5318374650172157</v>
      </c>
      <c r="N603" s="585">
        <f t="shared" si="302"/>
        <v>-1.2837311333753738</v>
      </c>
      <c r="O603" s="583">
        <f t="shared" si="303"/>
        <v>720402.88313819806</v>
      </c>
      <c r="P603" s="586">
        <f t="shared" si="304"/>
        <v>1.5707949386827396</v>
      </c>
      <c r="Q603" s="595">
        <f t="shared" si="326"/>
        <v>300.16953370392656</v>
      </c>
      <c r="R603" s="596">
        <f t="shared" si="327"/>
        <v>1.5674648699430622</v>
      </c>
      <c r="S603" s="583">
        <f t="shared" si="305"/>
        <v>2.2370690046877826</v>
      </c>
      <c r="T603" s="586">
        <f t="shared" si="306"/>
        <v>1.1073724416061348</v>
      </c>
      <c r="U603" s="587">
        <f t="shared" si="318"/>
        <v>0.10832364412031077</v>
      </c>
      <c r="V603" s="588">
        <f t="shared" si="319"/>
        <v>-0.57297955949612334</v>
      </c>
      <c r="W603" s="589">
        <f t="shared" si="307"/>
        <v>-37.668536042688629</v>
      </c>
      <c r="X603" s="590">
        <f t="shared" si="308"/>
        <v>-247.73227175146258</v>
      </c>
      <c r="Y603" s="593">
        <f t="shared" si="309"/>
        <v>-67.732271751462577</v>
      </c>
      <c r="AA603" s="150">
        <f t="shared" si="310"/>
        <v>398110</v>
      </c>
      <c r="AB603" s="150">
        <f t="shared" si="311"/>
        <v>158491572100</v>
      </c>
      <c r="AD603" s="592">
        <f t="shared" si="312"/>
        <v>20.610685423701931</v>
      </c>
      <c r="AE603" s="593">
        <f t="shared" si="313"/>
        <v>-63.638566210118348</v>
      </c>
      <c r="AG603" s="592">
        <f t="shared" si="314"/>
        <v>5.7197910212705612</v>
      </c>
      <c r="AH603" s="593">
        <f t="shared" si="315"/>
        <v>-118.43508445353253</v>
      </c>
      <c r="AJ603" s="150">
        <f t="shared" si="316"/>
        <v>0</v>
      </c>
      <c r="AK603" s="150">
        <f t="shared" si="328"/>
        <v>0</v>
      </c>
      <c r="AM603" s="150" t="str">
        <f t="shared" si="320"/>
        <v>0.350347207370477+0.760231049766229i</v>
      </c>
      <c r="AN603" s="150" t="str">
        <f t="shared" si="321"/>
        <v>7.14685399938i</v>
      </c>
      <c r="AO603" s="150" t="str">
        <f t="shared" si="322"/>
        <v>0.106372824998549-0.0490211787453431i</v>
      </c>
      <c r="AP603" s="150" t="str">
        <f t="shared" si="323"/>
        <v>0.108275465438254-0.126705174961038i</v>
      </c>
      <c r="AQ603" s="150" t="str">
        <f t="shared" si="324"/>
        <v>0.891724534561746+0.126705174961038i</v>
      </c>
      <c r="AR603" s="150" t="str">
        <f t="shared" si="325"/>
        <v>0.915658228185263-0.13010591445008i</v>
      </c>
    </row>
    <row r="604" spans="7:44" x14ac:dyDescent="0.25">
      <c r="G604" s="594">
        <v>436520</v>
      </c>
      <c r="H604" s="582">
        <f t="shared" si="317"/>
        <v>436.52</v>
      </c>
      <c r="I604" s="583">
        <f t="shared" si="297"/>
        <v>425.88713245498167</v>
      </c>
      <c r="J604" s="584">
        <f t="shared" si="298"/>
        <v>1.5684482846901262</v>
      </c>
      <c r="K604" s="584">
        <f t="shared" si="299"/>
        <v>1.0274420456532973</v>
      </c>
      <c r="L604" s="585">
        <f t="shared" si="300"/>
        <v>0.23164128994411792</v>
      </c>
      <c r="M604" s="584">
        <f t="shared" si="301"/>
        <v>3.846387945741919</v>
      </c>
      <c r="N604" s="585">
        <f t="shared" si="302"/>
        <v>-1.3077905116172552</v>
      </c>
      <c r="O604" s="583">
        <f t="shared" si="303"/>
        <v>789907.98158156115</v>
      </c>
      <c r="P604" s="586">
        <f t="shared" si="304"/>
        <v>1.5707950608246528</v>
      </c>
      <c r="Q604" s="595">
        <f t="shared" si="326"/>
        <v>329.12984481950656</v>
      </c>
      <c r="R604" s="596">
        <f t="shared" si="327"/>
        <v>1.5677580075591737</v>
      </c>
      <c r="S604" s="583">
        <f t="shared" si="305"/>
        <v>2.4113201064139349</v>
      </c>
      <c r="T604" s="586">
        <f t="shared" si="306"/>
        <v>1.1431715888594747</v>
      </c>
      <c r="U604" s="587">
        <f t="shared" si="318"/>
        <v>0.14739503144591923</v>
      </c>
      <c r="V604" s="588">
        <f t="shared" si="319"/>
        <v>-0.94220203238785105</v>
      </c>
      <c r="W604" s="589">
        <f t="shared" si="307"/>
        <v>-35.665150125920192</v>
      </c>
      <c r="X604" s="590">
        <f t="shared" si="308"/>
        <v>-271.18139347495998</v>
      </c>
      <c r="Y604" s="593">
        <f t="shared" si="309"/>
        <v>-91.181393474959975</v>
      </c>
      <c r="AA604" s="150">
        <f t="shared" si="310"/>
        <v>436520</v>
      </c>
      <c r="AB604" s="150">
        <f t="shared" si="311"/>
        <v>190549710400</v>
      </c>
      <c r="AD604" s="592">
        <f t="shared" si="312"/>
        <v>19.959167576517196</v>
      </c>
      <c r="AE604" s="593">
        <f t="shared" si="313"/>
        <v>-65.672917710223075</v>
      </c>
      <c r="AG604" s="592">
        <f t="shared" si="314"/>
        <v>3.0243114897414358</v>
      </c>
      <c r="AH604" s="593">
        <f t="shared" si="315"/>
        <v>-97.540075832420285</v>
      </c>
      <c r="AJ604" s="150">
        <f t="shared" si="316"/>
        <v>0</v>
      </c>
      <c r="AK604" s="150">
        <f t="shared" si="328"/>
        <v>0</v>
      </c>
      <c r="AM604" s="150" t="str">
        <f t="shared" si="320"/>
        <v>0.982407979705906+0.999845248436963i</v>
      </c>
      <c r="AN604" s="150" t="str">
        <f t="shared" si="321"/>
        <v>7.83638870616i</v>
      </c>
      <c r="AO604" s="150" t="str">
        <f t="shared" si="322"/>
        <v>0.12759005275619-0.125364886370894i</v>
      </c>
      <c r="AP604" s="150" t="str">
        <f t="shared" si="323"/>
        <v>0.00293200338234902-0.166640874739494i</v>
      </c>
      <c r="AQ604" s="150" t="str">
        <f t="shared" si="324"/>
        <v>0.997067996617651+0.166640874739494i</v>
      </c>
      <c r="AR604" s="150" t="str">
        <f t="shared" si="325"/>
        <v>0.812747283324233-0.135835187464385i</v>
      </c>
    </row>
    <row r="605" spans="7:44" x14ac:dyDescent="0.25">
      <c r="G605" s="594">
        <v>478630</v>
      </c>
      <c r="H605" s="582">
        <f t="shared" si="317"/>
        <v>478.63</v>
      </c>
      <c r="I605" s="583">
        <f t="shared" si="297"/>
        <v>466.97118959156745</v>
      </c>
      <c r="J605" s="584">
        <f t="shared" si="298"/>
        <v>1.5686548654229766</v>
      </c>
      <c r="K605" s="584">
        <f t="shared" si="299"/>
        <v>1.0329033218148795</v>
      </c>
      <c r="L605" s="585">
        <f t="shared" si="300"/>
        <v>0.25308400791086233</v>
      </c>
      <c r="M605" s="584">
        <f t="shared" si="301"/>
        <v>4.1933941360850664</v>
      </c>
      <c r="N605" s="585">
        <f t="shared" si="302"/>
        <v>-1.3300059139577147</v>
      </c>
      <c r="O605" s="583">
        <f t="shared" si="303"/>
        <v>866108.44228060928</v>
      </c>
      <c r="P605" s="586">
        <f t="shared" si="304"/>
        <v>1.5707951722050657</v>
      </c>
      <c r="Q605" s="595">
        <f t="shared" si="326"/>
        <v>360.87990312181756</v>
      </c>
      <c r="R605" s="596">
        <f t="shared" si="327"/>
        <v>1.5680253182929031</v>
      </c>
      <c r="S605" s="583">
        <f t="shared" si="305"/>
        <v>2.6054072360485003</v>
      </c>
      <c r="T605" s="586">
        <f t="shared" si="306"/>
        <v>1.1768697972916369</v>
      </c>
      <c r="U605" s="587">
        <f t="shared" si="318"/>
        <v>0.15848219378961312</v>
      </c>
      <c r="V605" s="588">
        <f t="shared" si="319"/>
        <v>-1.2649587212272133</v>
      </c>
      <c r="W605" s="589">
        <f t="shared" si="307"/>
        <v>-35.711231812930528</v>
      </c>
      <c r="X605" s="590">
        <f t="shared" si="308"/>
        <v>-291.6455530611683</v>
      </c>
      <c r="Y605" s="593">
        <f t="shared" si="309"/>
        <v>-111.6455530611683</v>
      </c>
      <c r="AA605" s="150">
        <f t="shared" si="310"/>
        <v>478630</v>
      </c>
      <c r="AB605" s="150">
        <f t="shared" si="311"/>
        <v>229086676900</v>
      </c>
      <c r="AD605" s="592">
        <f t="shared" si="312"/>
        <v>19.286745881814337</v>
      </c>
      <c r="AE605" s="593">
        <f t="shared" si="313"/>
        <v>-67.588373437493217</v>
      </c>
      <c r="AG605" s="592">
        <f t="shared" si="314"/>
        <v>2.3907462894316907</v>
      </c>
      <c r="AH605" s="593">
        <f t="shared" si="315"/>
        <v>-79.10358748887154</v>
      </c>
      <c r="AJ605" s="150">
        <f t="shared" si="316"/>
        <v>0</v>
      </c>
      <c r="AK605" s="150">
        <f t="shared" si="328"/>
        <v>0</v>
      </c>
      <c r="AM605" s="150" t="str">
        <f t="shared" si="320"/>
        <v>1.67307889266911+0.73957068914562i</v>
      </c>
      <c r="AN605" s="150" t="str">
        <f t="shared" si="321"/>
        <v>8.59234565754i</v>
      </c>
      <c r="AO605" s="150" t="str">
        <f t="shared" si="322"/>
        <v>0.0860732003369334-0.194717363494442i</v>
      </c>
      <c r="AP605" s="150" t="str">
        <f t="shared" si="323"/>
        <v>-0.112179815444852-0.12326178152427i</v>
      </c>
      <c r="AQ605" s="150" t="str">
        <f t="shared" si="324"/>
        <v>1.11217981544485+0.12326178152427i</v>
      </c>
      <c r="AR605" s="150" t="str">
        <f t="shared" si="325"/>
        <v>0.73989146866196-0.0820014347458764i</v>
      </c>
    </row>
    <row r="606" spans="7:44" x14ac:dyDescent="0.25">
      <c r="G606" s="594">
        <v>524810</v>
      </c>
      <c r="H606" s="582">
        <f t="shared" si="317"/>
        <v>524.80999999999995</v>
      </c>
      <c r="I606" s="583">
        <f t="shared" si="297"/>
        <v>512.02610673774643</v>
      </c>
      <c r="J606" s="584">
        <f t="shared" si="298"/>
        <v>1.5688433001375444</v>
      </c>
      <c r="K606" s="584">
        <f t="shared" si="299"/>
        <v>1.0394322500401483</v>
      </c>
      <c r="L606" s="585">
        <f t="shared" si="300"/>
        <v>0.27632825560837426</v>
      </c>
      <c r="M606" s="584">
        <f t="shared" si="301"/>
        <v>4.5759393105533022</v>
      </c>
      <c r="N606" s="585">
        <f t="shared" si="302"/>
        <v>-1.3504840456014064</v>
      </c>
      <c r="O606" s="583">
        <f t="shared" si="303"/>
        <v>949673.80146091059</v>
      </c>
      <c r="P606" s="586">
        <f t="shared" si="304"/>
        <v>1.5707952738017548</v>
      </c>
      <c r="Q606" s="595">
        <f t="shared" si="326"/>
        <v>395.69868086491283</v>
      </c>
      <c r="R606" s="596">
        <f t="shared" si="327"/>
        <v>1.5682691486343496</v>
      </c>
      <c r="S606" s="583">
        <f t="shared" si="305"/>
        <v>2.8211616680464737</v>
      </c>
      <c r="T606" s="586">
        <f t="shared" si="306"/>
        <v>1.2084556357529728</v>
      </c>
      <c r="U606" s="587">
        <f t="shared" si="318"/>
        <v>0.15157024757061491</v>
      </c>
      <c r="V606" s="588">
        <f t="shared" si="319"/>
        <v>-1.5695781537916538</v>
      </c>
      <c r="W606" s="589">
        <f t="shared" si="307"/>
        <v>-36.776633543615652</v>
      </c>
      <c r="X606" s="590">
        <f t="shared" si="308"/>
        <v>-310.74704127273452</v>
      </c>
      <c r="Y606" s="593">
        <f t="shared" si="309"/>
        <v>-130.74704127273452</v>
      </c>
      <c r="AA606" s="150">
        <f t="shared" si="310"/>
        <v>524810</v>
      </c>
      <c r="AB606" s="150">
        <f t="shared" si="311"/>
        <v>275425536100</v>
      </c>
      <c r="AD606" s="592">
        <f t="shared" si="312"/>
        <v>18.595693084520853</v>
      </c>
      <c r="AE606" s="593">
        <f t="shared" si="313"/>
        <v>-69.384144047341096</v>
      </c>
      <c r="AG606" s="592">
        <f t="shared" si="314"/>
        <v>2.7910579286947081</v>
      </c>
      <c r="AH606" s="593">
        <f t="shared" si="315"/>
        <v>-61.502489363478126</v>
      </c>
      <c r="AJ606" s="150">
        <f t="shared" si="316"/>
        <v>0</v>
      </c>
      <c r="AK606" s="150">
        <f t="shared" si="328"/>
        <v>0</v>
      </c>
      <c r="AM606" s="150" t="str">
        <f t="shared" si="320"/>
        <v>1.99999418294494+0.00341087617561343i</v>
      </c>
      <c r="AN606" s="150" t="str">
        <f t="shared" si="321"/>
        <v>9.42136707798i</v>
      </c>
      <c r="AO606" s="150" t="str">
        <f t="shared" si="322"/>
        <v>0.000362036225463019-0.212282799979146i</v>
      </c>
      <c r="AP606" s="150" t="str">
        <f t="shared" si="323"/>
        <v>-0.16666569715749-0.000568479362602238i</v>
      </c>
      <c r="AQ606" s="150" t="str">
        <f t="shared" si="324"/>
        <v>1.16666569715749+0.000568479362602238i</v>
      </c>
      <c r="AR606" s="150" t="str">
        <f t="shared" si="325"/>
        <v>0.714000423814615-0.000347909865539715i</v>
      </c>
    </row>
    <row r="607" spans="7:44" x14ac:dyDescent="0.25">
      <c r="G607" s="594">
        <v>575440</v>
      </c>
      <c r="H607" s="582">
        <f t="shared" si="317"/>
        <v>575.44000000000005</v>
      </c>
      <c r="I607" s="583">
        <f t="shared" si="297"/>
        <v>561.42262595895932</v>
      </c>
      <c r="J607" s="584">
        <f t="shared" si="298"/>
        <v>1.5690151365069824</v>
      </c>
      <c r="K607" s="584">
        <f t="shared" si="299"/>
        <v>1.0472270396878471</v>
      </c>
      <c r="L607" s="585">
        <f t="shared" si="300"/>
        <v>0.3014641848463388</v>
      </c>
      <c r="M607" s="584">
        <f t="shared" si="301"/>
        <v>4.9971981099925191</v>
      </c>
      <c r="N607" s="585">
        <f t="shared" si="302"/>
        <v>-1.3693239538510928</v>
      </c>
      <c r="O607" s="583">
        <f t="shared" si="303"/>
        <v>1041291.6909216963</v>
      </c>
      <c r="P607" s="586">
        <f t="shared" si="304"/>
        <v>1.5707953664491945</v>
      </c>
      <c r="Q607" s="595">
        <f t="shared" si="326"/>
        <v>433.87269029715213</v>
      </c>
      <c r="R607" s="596">
        <f t="shared" si="327"/>
        <v>1.5684915011911329</v>
      </c>
      <c r="S607" s="583">
        <f t="shared" si="305"/>
        <v>3.0604611953515795</v>
      </c>
      <c r="T607" s="586">
        <f t="shared" si="306"/>
        <v>1.2379355243066417</v>
      </c>
      <c r="U607" s="587">
        <f t="shared" si="318"/>
        <v>0.13057668275032897</v>
      </c>
      <c r="V607" s="588">
        <f t="shared" si="319"/>
        <v>-1.905209907598856</v>
      </c>
      <c r="W607" s="589">
        <f t="shared" si="307"/>
        <v>-38.748919545541696</v>
      </c>
      <c r="X607" s="590">
        <f t="shared" si="308"/>
        <v>-331.30277296821191</v>
      </c>
      <c r="Y607" s="593">
        <f t="shared" si="309"/>
        <v>-151.30277296821191</v>
      </c>
      <c r="AA607" s="150">
        <f t="shared" si="310"/>
        <v>575440</v>
      </c>
      <c r="AB607" s="150">
        <f t="shared" si="311"/>
        <v>331131193600</v>
      </c>
      <c r="AD607" s="592">
        <f t="shared" si="312"/>
        <v>17.888510358934901</v>
      </c>
      <c r="AE607" s="593">
        <f t="shared" si="313"/>
        <v>-71.060482689137473</v>
      </c>
      <c r="AG607" s="592">
        <f t="shared" si="314"/>
        <v>4.1158877983517534</v>
      </c>
      <c r="AH607" s="593">
        <f t="shared" si="315"/>
        <v>-41.921316445758322</v>
      </c>
      <c r="AJ607" s="150">
        <f t="shared" si="316"/>
        <v>0</v>
      </c>
      <c r="AK607" s="150">
        <f t="shared" si="328"/>
        <v>0</v>
      </c>
      <c r="AM607" s="150" t="str">
        <f t="shared" si="320"/>
        <v>1.61729484645299-0.786731893685886i</v>
      </c>
      <c r="AN607" s="150" t="str">
        <f t="shared" si="321"/>
        <v>10.33027471152i</v>
      </c>
      <c r="AO607" s="150" t="str">
        <f t="shared" si="322"/>
        <v>-0.0761578869542111-0.156558745204465i</v>
      </c>
      <c r="AP607" s="150" t="str">
        <f t="shared" si="323"/>
        <v>-0.102882474408832+0.131121982280981i</v>
      </c>
      <c r="AQ607" s="150" t="str">
        <f t="shared" si="324"/>
        <v>1.10288247440883-0.131121982280981i</v>
      </c>
      <c r="AR607" s="150" t="str">
        <f t="shared" si="325"/>
        <v>0.744766339564223+0.0885454625001241i</v>
      </c>
    </row>
    <row r="608" spans="7:44" x14ac:dyDescent="0.25">
      <c r="G608" s="594">
        <v>630960</v>
      </c>
      <c r="H608" s="582">
        <f t="shared" si="317"/>
        <v>630.96</v>
      </c>
      <c r="I608" s="583">
        <f t="shared" si="297"/>
        <v>615.59002769063773</v>
      </c>
      <c r="J608" s="584">
        <f t="shared" si="298"/>
        <v>1.5691718683163172</v>
      </c>
      <c r="K608" s="584">
        <f t="shared" si="299"/>
        <v>1.0565231923537273</v>
      </c>
      <c r="L608" s="585">
        <f t="shared" si="300"/>
        <v>0.32858240146212464</v>
      </c>
      <c r="M608" s="584">
        <f t="shared" si="301"/>
        <v>5.4608521369656549</v>
      </c>
      <c r="N608" s="585">
        <f t="shared" si="302"/>
        <v>-1.3866355117540408</v>
      </c>
      <c r="O608" s="583">
        <f t="shared" si="303"/>
        <v>1141758.3159041819</v>
      </c>
      <c r="P608" s="586">
        <f t="shared" si="304"/>
        <v>1.5707954509527975</v>
      </c>
      <c r="Q608" s="595">
        <f t="shared" si="326"/>
        <v>475.73368263591789</v>
      </c>
      <c r="R608" s="596">
        <f t="shared" si="327"/>
        <v>1.5686943088531085</v>
      </c>
      <c r="S608" s="583">
        <f t="shared" si="305"/>
        <v>3.3254676315725868</v>
      </c>
      <c r="T608" s="586">
        <f t="shared" si="306"/>
        <v>1.2653597357859363</v>
      </c>
      <c r="U608" s="587">
        <f t="shared" si="318"/>
        <v>8.9093869878330206E-2</v>
      </c>
      <c r="V608" s="588">
        <f t="shared" si="319"/>
        <v>-2.3567737955723129</v>
      </c>
      <c r="W608" s="589">
        <f t="shared" si="307"/>
        <v>-42.743189073820858</v>
      </c>
      <c r="X608" s="590">
        <f t="shared" si="308"/>
        <v>-358.18225426899653</v>
      </c>
      <c r="Y608" s="593">
        <f t="shared" si="309"/>
        <v>-178.18225426899653</v>
      </c>
      <c r="AA608" s="150">
        <f t="shared" si="310"/>
        <v>630960</v>
      </c>
      <c r="AB608" s="150">
        <f t="shared" si="311"/>
        <v>398110521600</v>
      </c>
      <c r="AD608" s="592">
        <f t="shared" si="312"/>
        <v>17.167189523716445</v>
      </c>
      <c r="AE608" s="593">
        <f t="shared" si="313"/>
        <v>-72.62015908377316</v>
      </c>
      <c r="AG608" s="592">
        <f t="shared" si="314"/>
        <v>7.4836514245410743</v>
      </c>
      <c r="AH608" s="593">
        <f t="shared" si="315"/>
        <v>-15.495711369984797</v>
      </c>
      <c r="AJ608" s="150">
        <f t="shared" si="316"/>
        <v>0</v>
      </c>
      <c r="AK608" s="150">
        <f t="shared" si="328"/>
        <v>0</v>
      </c>
      <c r="AM608" s="150" t="str">
        <f t="shared" si="320"/>
        <v>0.674639324513921-0.945589990877252i</v>
      </c>
      <c r="AN608" s="150" t="str">
        <f t="shared" si="321"/>
        <v>11.32696741968i</v>
      </c>
      <c r="AO608" s="150" t="str">
        <f t="shared" si="322"/>
        <v>-0.0834813022622754-0.0595604542255301i</v>
      </c>
      <c r="AP608" s="150" t="str">
        <f t="shared" si="323"/>
        <v>0.0542267792476798+0.157598331812875i</v>
      </c>
      <c r="AQ608" s="150" t="str">
        <f t="shared" si="324"/>
        <v>0.94577322075232-0.157598331812875i</v>
      </c>
      <c r="AR608" s="150" t="str">
        <f t="shared" si="325"/>
        <v>0.856965449579503+0.142799904154157i</v>
      </c>
    </row>
    <row r="609" spans="7:44" x14ac:dyDescent="0.25">
      <c r="G609" s="594">
        <v>691830</v>
      </c>
      <c r="H609" s="582">
        <f t="shared" si="317"/>
        <v>691.83</v>
      </c>
      <c r="I609" s="583">
        <f t="shared" si="297"/>
        <v>674.9771052466449</v>
      </c>
      <c r="J609" s="584">
        <f t="shared" si="298"/>
        <v>1.5693147945206165</v>
      </c>
      <c r="K609" s="584">
        <f t="shared" si="299"/>
        <v>1.0675912885062351</v>
      </c>
      <c r="L609" s="585">
        <f t="shared" si="300"/>
        <v>0.35774721027680784</v>
      </c>
      <c r="M609" s="584">
        <f t="shared" si="301"/>
        <v>5.9707588638653641</v>
      </c>
      <c r="N609" s="585">
        <f t="shared" si="302"/>
        <v>-1.4025203795184402</v>
      </c>
      <c r="O609" s="583">
        <f t="shared" si="303"/>
        <v>1251906.0727969112</v>
      </c>
      <c r="P609" s="586">
        <f t="shared" si="304"/>
        <v>1.570795528012926</v>
      </c>
      <c r="Q609" s="595">
        <f t="shared" si="326"/>
        <v>521.62848886936422</v>
      </c>
      <c r="R609" s="596">
        <f t="shared" si="327"/>
        <v>1.5688792524136703</v>
      </c>
      <c r="S609" s="583">
        <f t="shared" si="305"/>
        <v>3.6184421472975625</v>
      </c>
      <c r="T609" s="586">
        <f t="shared" si="306"/>
        <v>1.2907896917243231</v>
      </c>
      <c r="U609" s="587">
        <f t="shared" si="318"/>
        <v>1.1763686315563101E-2</v>
      </c>
      <c r="V609" s="588">
        <f t="shared" si="319"/>
        <v>-3.039101342887597</v>
      </c>
      <c r="W609" s="589">
        <f t="shared" si="307"/>
        <v>-60.996705535186521</v>
      </c>
      <c r="X609" s="590">
        <f t="shared" si="308"/>
        <v>-397.97048459328943</v>
      </c>
      <c r="Y609" s="593">
        <f t="shared" si="309"/>
        <v>-217.97048459328943</v>
      </c>
      <c r="AA609" s="150">
        <f t="shared" si="310"/>
        <v>691830</v>
      </c>
      <c r="AB609" s="150">
        <f t="shared" si="311"/>
        <v>478628748900</v>
      </c>
      <c r="AD609" s="592">
        <f t="shared" si="312"/>
        <v>16.433808127488739</v>
      </c>
      <c r="AE609" s="593">
        <f t="shared" si="313"/>
        <v>-74.066596163650985</v>
      </c>
      <c r="AG609" s="592">
        <f t="shared" si="314"/>
        <v>25.135691880618477</v>
      </c>
      <c r="AH609" s="593">
        <f t="shared" si="315"/>
        <v>24.351472888301622</v>
      </c>
      <c r="AJ609" s="150">
        <f t="shared" si="316"/>
        <v>0</v>
      </c>
      <c r="AK609" s="150">
        <f t="shared" si="328"/>
        <v>0</v>
      </c>
      <c r="AM609" s="150" t="str">
        <f t="shared" si="320"/>
        <v>0.010736412470181-0.146142240258017i</v>
      </c>
      <c r="AN609" s="150" t="str">
        <f t="shared" si="321"/>
        <v>12.41970310314i</v>
      </c>
      <c r="AO609" s="150" t="str">
        <f t="shared" si="322"/>
        <v>-0.0117669672973961-0.000864466113321709i</v>
      </c>
      <c r="AP609" s="150" t="str">
        <f t="shared" si="323"/>
        <v>0.164877264588303+0.0243570400430028i</v>
      </c>
      <c r="AQ609" s="150" t="str">
        <f t="shared" si="324"/>
        <v>0.835122735411697-0.0243570400430028i</v>
      </c>
      <c r="AR609" s="150" t="str">
        <f t="shared" si="325"/>
        <v>0.996610413753454+0.0290669607301491i</v>
      </c>
    </row>
    <row r="610" spans="7:44" x14ac:dyDescent="0.25">
      <c r="G610" s="594">
        <v>758580</v>
      </c>
      <c r="H610" s="582">
        <f t="shared" si="317"/>
        <v>758.58</v>
      </c>
      <c r="I610" s="583">
        <f t="shared" si="297"/>
        <v>740.10094670175943</v>
      </c>
      <c r="J610" s="584">
        <f t="shared" si="298"/>
        <v>1.5694451593511416</v>
      </c>
      <c r="K610" s="584">
        <f t="shared" si="299"/>
        <v>1.0807494595570437</v>
      </c>
      <c r="L610" s="585">
        <f t="shared" si="300"/>
        <v>0.38901306465415253</v>
      </c>
      <c r="M610" s="584">
        <f t="shared" si="301"/>
        <v>6.5313704178410443</v>
      </c>
      <c r="N610" s="585">
        <f t="shared" si="302"/>
        <v>-1.4170845167912316</v>
      </c>
      <c r="O610" s="583">
        <f t="shared" si="303"/>
        <v>1372694.0270040764</v>
      </c>
      <c r="P610" s="586">
        <f t="shared" si="304"/>
        <v>1.5707955983004322</v>
      </c>
      <c r="Q610" s="595">
        <f t="shared" si="326"/>
        <v>571.95671877756934</v>
      </c>
      <c r="R610" s="596">
        <f t="shared" si="327"/>
        <v>1.5690479418618331</v>
      </c>
      <c r="S610" s="583">
        <f t="shared" si="305"/>
        <v>3.9419875875265622</v>
      </c>
      <c r="T610" s="586">
        <f t="shared" si="306"/>
        <v>1.3143144027376852</v>
      </c>
      <c r="U610" s="587">
        <f t="shared" si="318"/>
        <v>6.6121225181614771E-2</v>
      </c>
      <c r="V610" s="588">
        <f t="shared" si="319"/>
        <v>-0.6822735445461815</v>
      </c>
      <c r="W610" s="589">
        <f t="shared" si="307"/>
        <v>-46.658774045946814</v>
      </c>
      <c r="X610" s="590">
        <f t="shared" si="308"/>
        <v>-263.32293549831275</v>
      </c>
      <c r="Y610" s="593">
        <f t="shared" si="309"/>
        <v>-83.322935498312745</v>
      </c>
      <c r="AA610" s="150">
        <f t="shared" si="310"/>
        <v>758580</v>
      </c>
      <c r="AB610" s="150">
        <f t="shared" si="311"/>
        <v>575443616400</v>
      </c>
      <c r="AD610" s="592">
        <f t="shared" si="312"/>
        <v>15.689933061058882</v>
      </c>
      <c r="AE610" s="593">
        <f t="shared" si="313"/>
        <v>-75.404801654260027</v>
      </c>
      <c r="AG610" s="592">
        <f t="shared" si="314"/>
        <v>10.225600162604625</v>
      </c>
      <c r="AH610" s="593">
        <f t="shared" si="315"/>
        <v>-109.73534460286156</v>
      </c>
      <c r="AJ610" s="150">
        <f t="shared" si="316"/>
        <v>0</v>
      </c>
      <c r="AK610" s="150">
        <f t="shared" si="328"/>
        <v>0</v>
      </c>
      <c r="AM610" s="150" t="str">
        <f t="shared" si="320"/>
        <v>0.503839766160561+0.868230972930817i</v>
      </c>
      <c r="AN610" s="150" t="str">
        <f t="shared" si="321"/>
        <v>13.61799629964i</v>
      </c>
      <c r="AO610" s="150" t="str">
        <f t="shared" si="322"/>
        <v>0.0637561469269726-0.0369980836442055i</v>
      </c>
      <c r="AP610" s="150" t="str">
        <f t="shared" si="323"/>
        <v>0.0826933723065732-0.144705162155136i</v>
      </c>
      <c r="AQ610" s="150" t="str">
        <f t="shared" si="324"/>
        <v>0.917306627693427+0.144705162155136i</v>
      </c>
      <c r="AR610" s="150" t="str">
        <f t="shared" si="325"/>
        <v>0.886044023515205-0.139773484927014i</v>
      </c>
    </row>
    <row r="611" spans="7:44" x14ac:dyDescent="0.25">
      <c r="G611" s="594">
        <v>831760</v>
      </c>
      <c r="H611" s="582">
        <f t="shared" si="317"/>
        <v>831.76</v>
      </c>
      <c r="I611" s="583">
        <f t="shared" si="297"/>
        <v>811.49815299640113</v>
      </c>
      <c r="J611" s="584">
        <f t="shared" si="298"/>
        <v>1.5695640377879567</v>
      </c>
      <c r="K611" s="584">
        <f t="shared" si="299"/>
        <v>1.0963578881621867</v>
      </c>
      <c r="L611" s="585">
        <f t="shared" si="300"/>
        <v>0.42239211681891625</v>
      </c>
      <c r="M611" s="584">
        <f t="shared" si="301"/>
        <v>7.1473154892653499</v>
      </c>
      <c r="N611" s="585">
        <f t="shared" si="302"/>
        <v>-1.4304231092314643</v>
      </c>
      <c r="O611" s="583">
        <f t="shared" si="303"/>
        <v>1505117.4350771962</v>
      </c>
      <c r="P611" s="586">
        <f t="shared" si="304"/>
        <v>1.5707956623949124</v>
      </c>
      <c r="Q611" s="595">
        <f t="shared" si="326"/>
        <v>627.13306189483421</v>
      </c>
      <c r="R611" s="596">
        <f t="shared" si="327"/>
        <v>1.569201768184403</v>
      </c>
      <c r="S611" s="583">
        <f t="shared" si="305"/>
        <v>4.2988105710072873</v>
      </c>
      <c r="T611" s="586">
        <f t="shared" si="306"/>
        <v>1.3360230524641559</v>
      </c>
      <c r="U611" s="587">
        <f t="shared" si="318"/>
        <v>9.1800617605007712E-2</v>
      </c>
      <c r="V611" s="588">
        <f t="shared" si="319"/>
        <v>-1.2866552143838692</v>
      </c>
      <c r="W611" s="589">
        <f t="shared" si="307"/>
        <v>-44.453955567106327</v>
      </c>
      <c r="X611" s="590">
        <f t="shared" si="308"/>
        <v>-298.04503598728081</v>
      </c>
      <c r="Y611" s="593">
        <f t="shared" si="309"/>
        <v>-118.04503598728081</v>
      </c>
      <c r="AA611" s="150">
        <f t="shared" si="310"/>
        <v>831760</v>
      </c>
      <c r="AB611" s="150">
        <f t="shared" si="311"/>
        <v>691824697600</v>
      </c>
      <c r="AD611" s="592">
        <f t="shared" si="312"/>
        <v>14.937269713483872</v>
      </c>
      <c r="AE611" s="593">
        <f t="shared" si="313"/>
        <v>-76.639805737207752</v>
      </c>
      <c r="AG611" s="592">
        <f t="shared" si="314"/>
        <v>7.4828935551256315</v>
      </c>
      <c r="AH611" s="593">
        <f t="shared" si="315"/>
        <v>-73.965403136206845</v>
      </c>
      <c r="AJ611" s="150">
        <f t="shared" si="316"/>
        <v>0</v>
      </c>
      <c r="AK611" s="150">
        <f t="shared" si="328"/>
        <v>0</v>
      </c>
      <c r="AM611" s="150" t="str">
        <f t="shared" si="320"/>
        <v>1.71355095817426+0.70060333291285i</v>
      </c>
      <c r="AN611" s="150" t="str">
        <f t="shared" si="321"/>
        <v>14.93172058608i</v>
      </c>
      <c r="AO611" s="150" t="str">
        <f t="shared" si="322"/>
        <v>0.0469204690024794-0.114759109527653i</v>
      </c>
      <c r="AP611" s="150" t="str">
        <f t="shared" si="323"/>
        <v>-0.11892515969571-0.116767222152142i</v>
      </c>
      <c r="AQ611" s="150" t="str">
        <f t="shared" si="324"/>
        <v>1.11892515969571+0.116767222152142i</v>
      </c>
      <c r="AR611" s="150" t="str">
        <f t="shared" si="325"/>
        <v>0.73644434736496-0.0768528260950349i</v>
      </c>
    </row>
    <row r="612" spans="7:44" x14ac:dyDescent="0.25">
      <c r="G612" s="594">
        <v>912010</v>
      </c>
      <c r="H612" s="582">
        <f t="shared" si="317"/>
        <v>912.01</v>
      </c>
      <c r="I612" s="583">
        <f t="shared" si="297"/>
        <v>889.79313260304946</v>
      </c>
      <c r="J612" s="584">
        <f t="shared" si="298"/>
        <v>1.5696724698287459</v>
      </c>
      <c r="K612" s="584">
        <f t="shared" si="299"/>
        <v>1.1148362727670111</v>
      </c>
      <c r="L612" s="585">
        <f t="shared" si="300"/>
        <v>0.45787762860713049</v>
      </c>
      <c r="M612" s="584">
        <f t="shared" si="301"/>
        <v>7.8239881026914144</v>
      </c>
      <c r="N612" s="585">
        <f t="shared" si="302"/>
        <v>-1.4426337002799647</v>
      </c>
      <c r="O612" s="583">
        <f t="shared" si="303"/>
        <v>1650334.4137307669</v>
      </c>
      <c r="P612" s="586">
        <f t="shared" si="304"/>
        <v>1.5707957208570991</v>
      </c>
      <c r="Q612" s="595">
        <f t="shared" si="326"/>
        <v>687.64006617933285</v>
      </c>
      <c r="R612" s="596">
        <f t="shared" si="327"/>
        <v>1.5693420771057678</v>
      </c>
      <c r="S612" s="583">
        <f t="shared" si="305"/>
        <v>4.692063562206183</v>
      </c>
      <c r="T612" s="586">
        <f t="shared" si="306"/>
        <v>1.3560231288602995</v>
      </c>
      <c r="U612" s="587">
        <f t="shared" si="318"/>
        <v>8.4686849707892212E-2</v>
      </c>
      <c r="V612" s="588">
        <f t="shared" si="319"/>
        <v>-1.8124013537994426</v>
      </c>
      <c r="W612" s="589">
        <f t="shared" si="307"/>
        <v>-45.784012306085806</v>
      </c>
      <c r="X612" s="590">
        <f t="shared" si="308"/>
        <v>-327.97861308476052</v>
      </c>
      <c r="Y612" s="593">
        <f t="shared" si="309"/>
        <v>-147.97861308476052</v>
      </c>
      <c r="AA612" s="150">
        <f t="shared" si="310"/>
        <v>912010</v>
      </c>
      <c r="AB612" s="150">
        <f t="shared" si="311"/>
        <v>831762240100</v>
      </c>
      <c r="AD612" s="592">
        <f t="shared" si="312"/>
        <v>14.176956283645154</v>
      </c>
      <c r="AE612" s="593">
        <f t="shared" si="313"/>
        <v>-77.777689946560542</v>
      </c>
      <c r="AG612" s="592">
        <f t="shared" si="314"/>
        <v>8.3143352576325729</v>
      </c>
      <c r="AH612" s="593">
        <f t="shared" si="315"/>
        <v>-42.515026187874724</v>
      </c>
      <c r="AJ612" s="150">
        <f t="shared" si="316"/>
        <v>0</v>
      </c>
      <c r="AK612" s="150">
        <f t="shared" si="328"/>
        <v>0</v>
      </c>
      <c r="AM612" s="150" t="str">
        <f t="shared" si="320"/>
        <v>1.78728567805562-0.616588404957887i</v>
      </c>
      <c r="AN612" s="150" t="str">
        <f t="shared" si="321"/>
        <v>16.37236521558i</v>
      </c>
      <c r="AO612" s="150" t="str">
        <f t="shared" si="322"/>
        <v>-0.0376603133902205-0.109164781906699i</v>
      </c>
      <c r="AP612" s="150" t="str">
        <f t="shared" si="323"/>
        <v>-0.131214279675936+0.102764734159648i</v>
      </c>
      <c r="AQ612" s="150" t="str">
        <f t="shared" si="324"/>
        <v>1.13121427967594-0.102764734159648i</v>
      </c>
      <c r="AR612" s="150" t="str">
        <f t="shared" si="325"/>
        <v>0.730349454852632+0.0663483204906814i</v>
      </c>
    </row>
    <row r="613" spans="7:44" x14ac:dyDescent="0.25">
      <c r="G613" s="594">
        <v>1000000</v>
      </c>
      <c r="H613" s="582">
        <f t="shared" si="317"/>
        <v>1000</v>
      </c>
      <c r="I613" s="583">
        <f t="shared" si="297"/>
        <v>975.63956323447667</v>
      </c>
      <c r="J613" s="584">
        <f t="shared" si="298"/>
        <v>1.5697713579305976</v>
      </c>
      <c r="K613" s="584">
        <f t="shared" si="299"/>
        <v>1.1366540264893932</v>
      </c>
      <c r="L613" s="585">
        <f t="shared" si="300"/>
        <v>0.49540725187427148</v>
      </c>
      <c r="M613" s="584">
        <f t="shared" si="301"/>
        <v>8.5670434518414833</v>
      </c>
      <c r="N613" s="585">
        <f t="shared" si="302"/>
        <v>-1.4538032376161505</v>
      </c>
      <c r="O613" s="583">
        <f t="shared" si="303"/>
        <v>1809557.3664002765</v>
      </c>
      <c r="P613" s="586">
        <f t="shared" si="304"/>
        <v>1.5707957741735659</v>
      </c>
      <c r="Q613" s="595">
        <f t="shared" si="326"/>
        <v>753.9828991453054</v>
      </c>
      <c r="R613" s="596">
        <f t="shared" si="327"/>
        <v>1.569470036378618</v>
      </c>
      <c r="S613" s="583">
        <f t="shared" si="305"/>
        <v>5.125054849369624</v>
      </c>
      <c r="T613" s="586">
        <f t="shared" si="306"/>
        <v>1.3744166661445592</v>
      </c>
      <c r="U613" s="587">
        <f t="shared" si="318"/>
        <v>4.4467574512693585E-2</v>
      </c>
      <c r="V613" s="588">
        <f t="shared" si="319"/>
        <v>-2.5483897001268332</v>
      </c>
      <c r="W613" s="589">
        <f t="shared" si="307"/>
        <v>-51.98976441877754</v>
      </c>
      <c r="X613" s="590">
        <f t="shared" si="308"/>
        <v>-369.68952693245791</v>
      </c>
      <c r="Y613" s="593">
        <f t="shared" si="309"/>
        <v>-189.68952693245791</v>
      </c>
      <c r="AA613" s="150">
        <f t="shared" si="310"/>
        <v>1000000</v>
      </c>
      <c r="AB613" s="150">
        <f t="shared" si="311"/>
        <v>1000000000000</v>
      </c>
      <c r="AD613" s="592">
        <f t="shared" si="312"/>
        <v>13.410262120479651</v>
      </c>
      <c r="AE613" s="593">
        <f t="shared" si="313"/>
        <v>-78.82423353298563</v>
      </c>
      <c r="AG613" s="592">
        <f t="shared" si="314"/>
        <v>14.066178757892862</v>
      </c>
      <c r="AH613" s="593">
        <f t="shared" si="315"/>
        <v>1.1586556779677271</v>
      </c>
      <c r="AJ613" s="150">
        <f t="shared" si="316"/>
        <v>0</v>
      </c>
      <c r="AK613" s="150">
        <f t="shared" si="328"/>
        <v>0</v>
      </c>
      <c r="AM613" s="150" t="str">
        <f t="shared" si="320"/>
        <v>0.376510214179056-0.78183149525774i</v>
      </c>
      <c r="AN613" s="150" t="str">
        <f t="shared" si="321"/>
        <v>17.951958i</v>
      </c>
      <c r="AO613" s="150" t="str">
        <f t="shared" si="322"/>
        <v>-0.0435513215470836-0.0209732116228801i</v>
      </c>
      <c r="AP613" s="150" t="str">
        <f t="shared" si="323"/>
        <v>0.103914964303491+0.130305249209623i</v>
      </c>
      <c r="AQ613" s="150" t="str">
        <f t="shared" si="324"/>
        <v>0.896085035696509-0.130305249209623i</v>
      </c>
      <c r="AR613" s="150" t="str">
        <f t="shared" si="325"/>
        <v>0.910349158778887+0.132379483282242i</v>
      </c>
    </row>
    <row r="614" spans="7:44" x14ac:dyDescent="0.25">
      <c r="G614" s="597"/>
      <c r="H614" s="597"/>
      <c r="I614" s="598"/>
      <c r="J614" s="598"/>
      <c r="K614" s="598"/>
      <c r="L614" s="598"/>
      <c r="M614" s="584"/>
      <c r="N614" s="585"/>
      <c r="O614" s="598"/>
      <c r="P614" s="598"/>
      <c r="Q614" s="598"/>
      <c r="R614" s="598"/>
      <c r="S614" s="598"/>
      <c r="T614" s="598"/>
      <c r="U614" s="598"/>
      <c r="V614" s="599"/>
      <c r="W614" s="600"/>
      <c r="X614" s="590"/>
      <c r="Y614" s="601"/>
      <c r="AG614" s="592"/>
      <c r="AH614" s="593"/>
    </row>
    <row r="615" spans="7:44" x14ac:dyDescent="0.25">
      <c r="G615" s="597"/>
      <c r="H615" s="597"/>
      <c r="I615" s="598"/>
      <c r="J615" s="598"/>
      <c r="K615" s="598"/>
      <c r="L615" s="598"/>
      <c r="M615" s="584"/>
      <c r="N615" s="585"/>
      <c r="O615" s="598"/>
      <c r="P615" s="598"/>
      <c r="Q615" s="598"/>
      <c r="R615" s="598"/>
      <c r="S615" s="598"/>
      <c r="T615" s="598"/>
      <c r="U615" s="598"/>
      <c r="V615" s="599"/>
      <c r="W615" s="601"/>
      <c r="X615" s="590"/>
      <c r="Y615" s="601"/>
      <c r="AG615" s="592"/>
      <c r="AH615" s="593"/>
    </row>
    <row r="616" spans="7:44" x14ac:dyDescent="0.25">
      <c r="G616" s="150" t="s">
        <v>739</v>
      </c>
      <c r="M616" s="584"/>
      <c r="N616" s="585"/>
      <c r="W616" s="589"/>
      <c r="X616" s="590"/>
      <c r="Y616" s="601"/>
      <c r="AG616" s="592"/>
      <c r="AH616" s="593"/>
    </row>
    <row r="617" spans="7:44" x14ac:dyDescent="0.25">
      <c r="G617" s="602">
        <f>W4*1000</f>
        <v>29008</v>
      </c>
      <c r="H617" s="602"/>
      <c r="I617" s="603">
        <f t="shared" ref="I617:I626" si="329">SQRT(1+(G617/pole1)^2)</f>
        <v>28.318999082812947</v>
      </c>
      <c r="J617" s="595">
        <f t="shared" ref="J617:J626" si="330">ATAN(G617/pole1)</f>
        <v>1.5354770015440244</v>
      </c>
      <c r="K617" s="595">
        <f t="shared" ref="K617:K626" si="331">SQRT(1+(G617/Zero1)^2)</f>
        <v>1.0001228387936505</v>
      </c>
      <c r="L617" s="596">
        <f t="shared" ref="L617:L626" si="332">ATAN(G617/Zero1)</f>
        <v>1.5673303448482716E-2</v>
      </c>
      <c r="M617" s="584">
        <v>1</v>
      </c>
      <c r="N617" s="585">
        <v>0</v>
      </c>
      <c r="O617" s="603">
        <f t="shared" ref="O617:O626" si="333">SQRT(1+(G617/Pole2)^2)</f>
        <v>52491.640094056529</v>
      </c>
      <c r="P617" s="604">
        <f t="shared" ref="P617:P626" si="334">ATAN(G617/Pole2)</f>
        <v>1.5707772761422922</v>
      </c>
      <c r="Q617" s="595">
        <f t="shared" ref="Q617:Q626" si="335">SQRT(1+(G617/Zero2)^2)</f>
        <v>21.894365550089955</v>
      </c>
      <c r="R617" s="596">
        <f t="shared" ref="R617:R626" si="336">ATAN(G617/Zero2)</f>
        <v>1.5251065803642585</v>
      </c>
      <c r="S617" s="603">
        <f t="shared" ref="S617:S626" si="337">SQRT(1+(G617/pole4)^2)</f>
        <v>1.010574385471307</v>
      </c>
      <c r="T617" s="604">
        <f t="shared" ref="T617:T626" si="338">ATAN(G617/pole4)</f>
        <v>0.14478975976192671</v>
      </c>
      <c r="U617" s="603" t="e">
        <v>#DIV/0!</v>
      </c>
      <c r="V617" s="605" t="e">
        <v>#DIV/0!</v>
      </c>
      <c r="W617" s="589" t="e">
        <f>20*LOG10(((K617*Q617*M617)/(I617*O617*U617*S617))*Adc)</f>
        <v>#DIV/0!</v>
      </c>
      <c r="X617" s="590" t="e">
        <f>((L617+R617+N617)-(J617+P617+V617+T617))*radconv</f>
        <v>#DIV/0!</v>
      </c>
      <c r="Y617" s="593" t="e">
        <f t="shared" ref="Y617:Y626" si="339">IF(X617&gt;0,X617,X617+180)</f>
        <v>#DIV/0!</v>
      </c>
      <c r="Z617" s="150" t="s">
        <v>740</v>
      </c>
      <c r="AD617" s="592">
        <f>20*LOG10((Q617/(O617*S617))*Aea)</f>
        <v>27.521928392037417</v>
      </c>
      <c r="AE617" s="593">
        <f>(R617-(P617+T617))*radconv</f>
        <v>-10.912580279048235</v>
      </c>
      <c r="AG617" s="592" t="e">
        <f>20*LOG10((K617*M617/(I617*U617))*Acs*Am)</f>
        <v>#DIV/0!</v>
      </c>
      <c r="AH617" s="593" t="e">
        <f>(L617+N617-(J617+V617))*radconv</f>
        <v>#DIV/0!</v>
      </c>
    </row>
    <row r="618" spans="7:44" x14ac:dyDescent="0.25">
      <c r="G618" s="602">
        <f>G617</f>
        <v>29008</v>
      </c>
      <c r="H618" s="602"/>
      <c r="I618" s="603"/>
      <c r="J618" s="595"/>
      <c r="K618" s="595"/>
      <c r="L618" s="596"/>
      <c r="M618" s="584"/>
      <c r="N618" s="585"/>
      <c r="O618" s="603"/>
      <c r="P618" s="604"/>
      <c r="Q618" s="595"/>
      <c r="R618" s="596"/>
      <c r="S618" s="583"/>
      <c r="T618" s="586"/>
      <c r="U618" s="603"/>
      <c r="V618" s="588"/>
      <c r="W618" s="589"/>
      <c r="X618" s="590">
        <v>-135</v>
      </c>
      <c r="Y618" s="593"/>
      <c r="AD618" s="592"/>
      <c r="AE618" s="593"/>
      <c r="AG618" s="592"/>
      <c r="AH618" s="593"/>
    </row>
    <row r="619" spans="7:44" x14ac:dyDescent="0.25">
      <c r="G619" s="150">
        <f>G618</f>
        <v>29008</v>
      </c>
      <c r="H619" s="602"/>
      <c r="I619" s="603"/>
      <c r="J619" s="595"/>
      <c r="K619" s="595"/>
      <c r="L619" s="596"/>
      <c r="M619" s="584"/>
      <c r="N619" s="585"/>
      <c r="O619" s="603"/>
      <c r="P619" s="604"/>
      <c r="Q619" s="595"/>
      <c r="R619" s="596"/>
      <c r="S619" s="583"/>
      <c r="T619" s="586"/>
      <c r="U619" s="603"/>
      <c r="V619" s="588"/>
      <c r="W619" s="589"/>
      <c r="X619" s="590"/>
      <c r="Y619" s="593"/>
      <c r="AD619" s="592"/>
      <c r="AE619" s="593"/>
      <c r="AG619" s="592"/>
      <c r="AH619" s="593"/>
    </row>
    <row r="620" spans="7:44" x14ac:dyDescent="0.25">
      <c r="G620" s="602">
        <v>1000000</v>
      </c>
      <c r="H620" s="602"/>
      <c r="I620" s="603"/>
      <c r="J620" s="595"/>
      <c r="K620" s="595"/>
      <c r="L620" s="596"/>
      <c r="M620" s="584"/>
      <c r="N620" s="585"/>
      <c r="O620" s="603"/>
      <c r="P620" s="604"/>
      <c r="Q620" s="595"/>
      <c r="R620" s="596"/>
      <c r="S620" s="583"/>
      <c r="T620" s="586"/>
      <c r="U620" s="603"/>
      <c r="V620" s="588"/>
      <c r="W620" s="589"/>
      <c r="X620" s="590" t="e">
        <f>X617</f>
        <v>#DIV/0!</v>
      </c>
      <c r="Y620" s="593"/>
      <c r="AD620" s="592"/>
      <c r="AE620" s="593"/>
      <c r="AG620" s="592"/>
      <c r="AH620" s="593"/>
    </row>
    <row r="621" spans="7:44" x14ac:dyDescent="0.25">
      <c r="G621" s="602"/>
      <c r="H621" s="602"/>
      <c r="I621" s="603"/>
      <c r="J621" s="595"/>
      <c r="K621" s="595"/>
      <c r="L621" s="596"/>
      <c r="M621" s="584"/>
      <c r="N621" s="585"/>
      <c r="O621" s="603"/>
      <c r="P621" s="604"/>
      <c r="Q621" s="595"/>
      <c r="R621" s="596"/>
      <c r="S621" s="583"/>
      <c r="T621" s="586"/>
      <c r="U621" s="603"/>
      <c r="V621" s="588"/>
      <c r="W621" s="589"/>
      <c r="X621" s="590"/>
      <c r="Y621" s="593"/>
      <c r="AD621" s="592"/>
      <c r="AE621" s="593"/>
      <c r="AG621" s="592"/>
      <c r="AH621" s="593"/>
    </row>
    <row r="622" spans="7:44" x14ac:dyDescent="0.25">
      <c r="G622" s="606">
        <f>pole1</f>
        <v>1024.9692232299162</v>
      </c>
      <c r="H622" s="602"/>
      <c r="I622" s="603">
        <f t="shared" si="329"/>
        <v>1.4142135623730951</v>
      </c>
      <c r="J622" s="595">
        <f t="shared" si="330"/>
        <v>0.78539816339744828</v>
      </c>
      <c r="K622" s="595">
        <f t="shared" si="331"/>
        <v>1.0000001533727694</v>
      </c>
      <c r="L622" s="596">
        <f t="shared" si="332"/>
        <v>5.5384609721621434E-4</v>
      </c>
      <c r="M622" s="584">
        <v>1</v>
      </c>
      <c r="N622" s="585">
        <v>0</v>
      </c>
      <c r="O622" s="603">
        <f t="shared" si="333"/>
        <v>1854.7408778084368</v>
      </c>
      <c r="P622" s="604">
        <f t="shared" si="334"/>
        <v>1.5702571678965225</v>
      </c>
      <c r="Q622" s="595">
        <f t="shared" si="335"/>
        <v>1.2638168822156144</v>
      </c>
      <c r="R622" s="596">
        <f t="shared" si="336"/>
        <v>0.65793951649465987</v>
      </c>
      <c r="S622" s="583">
        <f t="shared" si="337"/>
        <v>1.0000132717588586</v>
      </c>
      <c r="T622" s="586">
        <f t="shared" si="338"/>
        <v>5.1520116609297352E-3</v>
      </c>
      <c r="U622" s="603" t="e">
        <f t="shared" ref="U622:U626" si="340">SQRT((1-(G622^2/(pole3^2)))^2+(G622/(Q*pole3))^2)</f>
        <v>#DIV/0!</v>
      </c>
      <c r="V622" s="588" t="e">
        <f t="shared" ref="V622:V626" si="341">ATAN((G622/(Q*pole3))/(1-G622^2/pole3^2))</f>
        <v>#NAME?</v>
      </c>
      <c r="W622" s="589" t="e">
        <f t="shared" ref="W622:W628" si="342">20*LOG10(((K622*Q622*M622)/(I622*O622*U622*S622))*Adc)</f>
        <v>#DIV/0!</v>
      </c>
      <c r="X622" s="590" t="e">
        <f t="shared" ref="X622:X628" si="343">((L622+R622+N622)-(J622+P622+V622+T622))*radconv</f>
        <v>#NAME?</v>
      </c>
      <c r="Y622" s="593" t="e">
        <f t="shared" si="339"/>
        <v>#NAME?</v>
      </c>
      <c r="Z622" s="150" t="s">
        <v>728</v>
      </c>
      <c r="AD622" s="592">
        <f>20*LOG10((Q622/(O622*S622))*Aea)</f>
        <v>31.876352565410784</v>
      </c>
      <c r="AE622" s="593">
        <f>(R622-(P622+T622))*radconv</f>
        <v>-52.567139584854395</v>
      </c>
      <c r="AG622" s="592" t="e">
        <f t="shared" ref="AG622:AG628" si="344">20*LOG10((K622*M622/(I622*U622))*Acs*Am)</f>
        <v>#DIV/0!</v>
      </c>
      <c r="AH622" s="593" t="e">
        <f t="shared" ref="AH622:AH628" si="345">(L622+N622-(J622+V622))*radconv</f>
        <v>#NAME?</v>
      </c>
    </row>
    <row r="623" spans="7:44" x14ac:dyDescent="0.25">
      <c r="G623" s="606">
        <f>Zero1</f>
        <v>1850638.8752762375</v>
      </c>
      <c r="H623" s="602"/>
      <c r="I623" s="603">
        <f t="shared" si="329"/>
        <v>1805.5558324786111</v>
      </c>
      <c r="J623" s="595">
        <f t="shared" si="330"/>
        <v>1.5702424806976805</v>
      </c>
      <c r="K623" s="595">
        <f t="shared" si="331"/>
        <v>1.4142135623730951</v>
      </c>
      <c r="L623" s="596">
        <f t="shared" si="332"/>
        <v>0.78539816339744828</v>
      </c>
      <c r="M623" s="584">
        <v>1</v>
      </c>
      <c r="N623" s="585">
        <v>0</v>
      </c>
      <c r="O623" s="603">
        <f t="shared" si="333"/>
        <v>3348837.2093024761</v>
      </c>
      <c r="P623" s="604">
        <f t="shared" si="334"/>
        <v>1.5707960281837856</v>
      </c>
      <c r="Q623" s="595">
        <f t="shared" si="335"/>
        <v>1395.34919554259</v>
      </c>
      <c r="R623" s="596">
        <f t="shared" si="336"/>
        <v>1.5700796602509259</v>
      </c>
      <c r="S623" s="583">
        <f t="shared" si="337"/>
        <v>9.3559211851256183</v>
      </c>
      <c r="T623" s="586">
        <f t="shared" si="338"/>
        <v>1.4637075779842479</v>
      </c>
      <c r="U623" s="603" t="e">
        <f t="shared" si="340"/>
        <v>#DIV/0!</v>
      </c>
      <c r="V623" s="588" t="e">
        <f t="shared" si="341"/>
        <v>#NAME?</v>
      </c>
      <c r="W623" s="589" t="e">
        <f t="shared" si="342"/>
        <v>#DIV/0!</v>
      </c>
      <c r="X623" s="590" t="e">
        <f t="shared" si="343"/>
        <v>#NAME?</v>
      </c>
      <c r="Y623" s="593" t="e">
        <f t="shared" si="339"/>
        <v>#NAME?</v>
      </c>
      <c r="Z623" s="150" t="s">
        <v>729</v>
      </c>
      <c r="AD623" s="592">
        <f>20*LOG10((Q623/(O623*S623))*Aea)</f>
        <v>8.1824959722514361</v>
      </c>
      <c r="AE623" s="593">
        <f>(R623-(P623+T623))*radconv</f>
        <v>-83.905311614820377</v>
      </c>
      <c r="AG623" s="592" t="e">
        <f t="shared" si="344"/>
        <v>#DIV/0!</v>
      </c>
      <c r="AH623" s="593" t="e">
        <f t="shared" si="345"/>
        <v>#NAME?</v>
      </c>
    </row>
    <row r="624" spans="7:44" x14ac:dyDescent="0.25">
      <c r="G624" s="606">
        <f>Pole2</f>
        <v>0.5526213308116541</v>
      </c>
      <c r="H624" s="602"/>
      <c r="I624" s="603">
        <f t="shared" si="329"/>
        <v>1.0000001453461764</v>
      </c>
      <c r="J624" s="595">
        <f t="shared" si="330"/>
        <v>5.3915889837416106E-4</v>
      </c>
      <c r="K624" s="595">
        <f t="shared" si="331"/>
        <v>1.0000000000000446</v>
      </c>
      <c r="L624" s="596">
        <f t="shared" si="332"/>
        <v>2.9861111111110214E-7</v>
      </c>
      <c r="M624" s="584">
        <v>1</v>
      </c>
      <c r="N624" s="585">
        <v>0</v>
      </c>
      <c r="O624" s="603">
        <f t="shared" si="333"/>
        <v>1.4142135623730951</v>
      </c>
      <c r="P624" s="604">
        <f t="shared" si="334"/>
        <v>0.78539816339744828</v>
      </c>
      <c r="Q624" s="595">
        <f t="shared" si="335"/>
        <v>1.0000000868055519</v>
      </c>
      <c r="R624" s="596">
        <f t="shared" si="336"/>
        <v>4.1666664255401488E-4</v>
      </c>
      <c r="S624" s="583">
        <f t="shared" si="337"/>
        <v>1.000000000003858</v>
      </c>
      <c r="T624" s="586">
        <f t="shared" si="338"/>
        <v>2.7777777777706336E-6</v>
      </c>
      <c r="U624" s="603" t="e">
        <f t="shared" si="340"/>
        <v>#DIV/0!</v>
      </c>
      <c r="V624" s="588" t="e">
        <f t="shared" si="341"/>
        <v>#NAME?</v>
      </c>
      <c r="W624" s="589" t="e">
        <f t="shared" si="342"/>
        <v>#DIV/0!</v>
      </c>
      <c r="X624" s="590" t="e">
        <f t="shared" si="343"/>
        <v>#NAME?</v>
      </c>
      <c r="Y624" s="593" t="e">
        <f t="shared" si="339"/>
        <v>#NAME?</v>
      </c>
      <c r="Z624" s="150" t="s">
        <v>730</v>
      </c>
      <c r="AC624" s="150">
        <f>Pole2</f>
        <v>0.5526213308116541</v>
      </c>
      <c r="AD624" s="592">
        <f>20*LOG10((Q624/(O624*S624))*Aea)</f>
        <v>92.198150465774319</v>
      </c>
      <c r="AE624" s="593">
        <f>(R624-(P624+T624))*radconv</f>
        <v>-44.976285966253755</v>
      </c>
      <c r="AG624" s="592" t="e">
        <f t="shared" si="344"/>
        <v>#DIV/0!</v>
      </c>
      <c r="AH624" s="593" t="e">
        <f t="shared" si="345"/>
        <v>#NAME?</v>
      </c>
    </row>
    <row r="625" spans="7:34" x14ac:dyDescent="0.25">
      <c r="G625" s="606">
        <f>Zero2</f>
        <v>1326.2911939479698</v>
      </c>
      <c r="H625" s="602"/>
      <c r="I625" s="603">
        <f t="shared" si="329"/>
        <v>1.6353556415706672</v>
      </c>
      <c r="J625" s="595">
        <f t="shared" si="330"/>
        <v>0.91285681030023669</v>
      </c>
      <c r="K625" s="595">
        <f t="shared" si="331"/>
        <v>1.0000002568055226</v>
      </c>
      <c r="L625" s="596">
        <f t="shared" si="332"/>
        <v>7.1666654397071659E-4</v>
      </c>
      <c r="M625" s="584">
        <v>1</v>
      </c>
      <c r="N625" s="585">
        <v>0</v>
      </c>
      <c r="O625" s="603">
        <f t="shared" si="333"/>
        <v>2400.0002083333243</v>
      </c>
      <c r="P625" s="604">
        <f t="shared" si="334"/>
        <v>1.5703796601523425</v>
      </c>
      <c r="Q625" s="595">
        <f t="shared" si="335"/>
        <v>1.4142135623730951</v>
      </c>
      <c r="R625" s="596">
        <f t="shared" si="336"/>
        <v>0.78539816339744828</v>
      </c>
      <c r="S625" s="583">
        <f t="shared" si="337"/>
        <v>1.0000222219753141</v>
      </c>
      <c r="T625" s="586">
        <f t="shared" si="338"/>
        <v>6.6665679038682285E-3</v>
      </c>
      <c r="U625" s="603" t="e">
        <f t="shared" si="340"/>
        <v>#DIV/0!</v>
      </c>
      <c r="V625" s="588" t="e">
        <f t="shared" si="341"/>
        <v>#NAME?</v>
      </c>
      <c r="W625" s="589" t="e">
        <f t="shared" si="342"/>
        <v>#DIV/0!</v>
      </c>
      <c r="X625" s="590" t="e">
        <f t="shared" si="343"/>
        <v>#NAME?</v>
      </c>
      <c r="Y625" s="593" t="e">
        <f t="shared" si="339"/>
        <v>#NAME?</v>
      </c>
      <c r="Z625" s="150" t="s">
        <v>741</v>
      </c>
      <c r="AC625" s="150">
        <f>Zero2</f>
        <v>1326.2911939479698</v>
      </c>
      <c r="AD625" s="592">
        <f>20*LOG10((Q625/(O625*S625))*Aea)</f>
        <v>30.614331021407992</v>
      </c>
      <c r="AE625" s="593">
        <f>(R625-(P625+T625))*radconv</f>
        <v>-45.358093016475969</v>
      </c>
      <c r="AG625" s="592" t="e">
        <f t="shared" si="344"/>
        <v>#DIV/0!</v>
      </c>
      <c r="AH625" s="593" t="e">
        <f t="shared" si="345"/>
        <v>#NAME?</v>
      </c>
    </row>
    <row r="626" spans="7:34" x14ac:dyDescent="0.25">
      <c r="G626" s="606">
        <f>pole3</f>
        <v>0</v>
      </c>
      <c r="H626" s="602"/>
      <c r="I626" s="603">
        <f t="shared" si="329"/>
        <v>1</v>
      </c>
      <c r="J626" s="595">
        <f t="shared" si="330"/>
        <v>0</v>
      </c>
      <c r="K626" s="595">
        <f t="shared" si="331"/>
        <v>1</v>
      </c>
      <c r="L626" s="596">
        <f t="shared" si="332"/>
        <v>0</v>
      </c>
      <c r="M626" s="584">
        <v>1</v>
      </c>
      <c r="N626" s="585">
        <v>0</v>
      </c>
      <c r="O626" s="603">
        <f t="shared" si="333"/>
        <v>1</v>
      </c>
      <c r="P626" s="604">
        <f t="shared" si="334"/>
        <v>0</v>
      </c>
      <c r="Q626" s="595">
        <f t="shared" si="335"/>
        <v>1</v>
      </c>
      <c r="R626" s="596">
        <f t="shared" si="336"/>
        <v>0</v>
      </c>
      <c r="S626" s="583">
        <f t="shared" si="337"/>
        <v>1</v>
      </c>
      <c r="T626" s="586">
        <f t="shared" si="338"/>
        <v>0</v>
      </c>
      <c r="U626" s="603" t="e">
        <f t="shared" si="340"/>
        <v>#DIV/0!</v>
      </c>
      <c r="V626" s="588" t="e">
        <f t="shared" si="341"/>
        <v>#NAME?</v>
      </c>
      <c r="W626" s="589" t="e">
        <f t="shared" si="342"/>
        <v>#DIV/0!</v>
      </c>
      <c r="X626" s="590" t="e">
        <f t="shared" si="343"/>
        <v>#NAME?</v>
      </c>
      <c r="Y626" s="593" t="e">
        <f t="shared" si="339"/>
        <v>#NAME?</v>
      </c>
      <c r="Z626" s="150" t="s">
        <v>706</v>
      </c>
      <c r="AD626" s="592">
        <f>20*LOG10((Q626/(O626*S626))*Aea)</f>
        <v>95.20844966846424</v>
      </c>
      <c r="AE626" s="593">
        <f>(R626-(P626+T626))*radconv</f>
        <v>0</v>
      </c>
      <c r="AG626" s="592" t="e">
        <f t="shared" si="344"/>
        <v>#DIV/0!</v>
      </c>
      <c r="AH626" s="593" t="e">
        <f t="shared" si="345"/>
        <v>#NAME?</v>
      </c>
    </row>
    <row r="627" spans="7:34" ht="13.8" thickBot="1" x14ac:dyDescent="0.3">
      <c r="G627" s="175">
        <v>195034.73926858415</v>
      </c>
      <c r="I627" s="603">
        <f>SQRT(1+(G627/pole1)^2)</f>
        <v>190.28613552322835</v>
      </c>
      <c r="J627" s="595">
        <f>ATAN(G627/pole1)</f>
        <v>1.5655410589834062</v>
      </c>
      <c r="K627" s="595">
        <f>SQRT(1+(G627/Zero1)^2)</f>
        <v>1.0055379585408055</v>
      </c>
      <c r="L627" s="596">
        <f>ATAN(G627/Zero1)</f>
        <v>0.10500020239686804</v>
      </c>
      <c r="M627" s="584">
        <v>1</v>
      </c>
      <c r="N627" s="585">
        <v>0</v>
      </c>
      <c r="O627" s="603">
        <f>SQRT(1+(G627/Pole2)^2)</f>
        <v>352926.54914878652</v>
      </c>
      <c r="P627" s="604">
        <f>ATAN(G627/Pole2)</f>
        <v>1.5707934933441334</v>
      </c>
      <c r="Q627" s="595">
        <f>SQRT(1+(G627/Zero2)^2)</f>
        <v>147.05612891301183</v>
      </c>
      <c r="R627" s="596">
        <f>ATAN(G627/Zero2)</f>
        <v>1.5639961497842465</v>
      </c>
      <c r="S627" s="583">
        <f>SQRT(1+(G627/pole4)^2)</f>
        <v>1.4003889150419822</v>
      </c>
      <c r="T627" s="586">
        <f>ATAN(G627/pole4)</f>
        <v>0.77547677840975859</v>
      </c>
      <c r="U627" s="603" t="e">
        <v>#DIV/0!</v>
      </c>
      <c r="V627" s="588" t="e">
        <v>#DIV/0!</v>
      </c>
      <c r="W627" s="589" t="e">
        <f t="shared" si="342"/>
        <v>#DIV/0!</v>
      </c>
      <c r="X627" s="590" t="e">
        <f t="shared" si="343"/>
        <v>#DIV/0!</v>
      </c>
      <c r="Y627" s="593" t="e">
        <f>IF(X627&gt;0,X627,X627+180)</f>
        <v>#DIV/0!</v>
      </c>
      <c r="Z627" s="150" t="s">
        <v>742</v>
      </c>
      <c r="AD627" s="607"/>
      <c r="AE627" s="608"/>
      <c r="AG627" s="592" t="e">
        <f t="shared" si="344"/>
        <v>#DIV/0!</v>
      </c>
      <c r="AH627" s="593" t="e">
        <f t="shared" si="345"/>
        <v>#DIV/0!</v>
      </c>
    </row>
    <row r="628" spans="7:34" x14ac:dyDescent="0.25">
      <c r="G628" s="175">
        <f>z_RHP</f>
        <v>117529.80426369701</v>
      </c>
      <c r="I628" s="603">
        <f>SQRT(1+(G628/pole1)^2)</f>
        <v>114.67102704887766</v>
      </c>
      <c r="J628" s="595">
        <f>ATAN(G628/pole1)</f>
        <v>1.5620756176412738</v>
      </c>
      <c r="K628" s="595">
        <f>SQRT(1+(G628/Zero1)^2)</f>
        <v>1.0020145842163419</v>
      </c>
      <c r="L628" s="596">
        <f>ATAN(G628/Zero1)</f>
        <v>6.3422518016498064E-2</v>
      </c>
      <c r="M628" s="584">
        <v>1</v>
      </c>
      <c r="N628" s="585">
        <v>0</v>
      </c>
      <c r="O628" s="603">
        <f>SQRT(1+(G628/Pole2)^2)</f>
        <v>212676.92307927404</v>
      </c>
      <c r="P628" s="604">
        <f>ATAN(G628/Pole2)</f>
        <v>1.5707916248273042</v>
      </c>
      <c r="Q628" s="595">
        <f>SQRT(1+(G628/Zero2)^2)</f>
        <v>88.621026796875597</v>
      </c>
      <c r="R628" s="596">
        <f>ATAN(G628/Zero2)</f>
        <v>1.559512083553561</v>
      </c>
      <c r="S628" s="583">
        <f>SQRT(1+(G628/pole4)^2)</f>
        <v>1.1614681588505422</v>
      </c>
      <c r="T628" s="586">
        <f>ATAN(G628/pole4)</f>
        <v>0.53360452172464223</v>
      </c>
      <c r="U628" s="603" t="e">
        <v>#DIV/0!</v>
      </c>
      <c r="V628" s="588" t="e">
        <v>#DIV/0!</v>
      </c>
      <c r="W628" s="589" t="e">
        <f t="shared" si="342"/>
        <v>#DIV/0!</v>
      </c>
      <c r="X628" s="590" t="e">
        <f t="shared" si="343"/>
        <v>#DIV/0!</v>
      </c>
      <c r="Y628" s="593" t="e">
        <f>IF(X628&gt;0,X628,X628+180)</f>
        <v>#DIV/0!</v>
      </c>
      <c r="Z628" s="150" t="s">
        <v>727</v>
      </c>
      <c r="AD628" s="601"/>
      <c r="AE628" s="601"/>
      <c r="AG628" s="592" t="e">
        <f t="shared" si="344"/>
        <v>#DIV/0!</v>
      </c>
      <c r="AH628" s="593" t="e">
        <f t="shared" si="345"/>
        <v>#DIV/0!</v>
      </c>
    </row>
    <row r="629" spans="7:34" x14ac:dyDescent="0.25">
      <c r="G629" s="175">
        <v>195034.73926858415</v>
      </c>
      <c r="W629" s="589">
        <v>-25</v>
      </c>
    </row>
    <row r="631" spans="7:34" x14ac:dyDescent="0.25">
      <c r="J631" s="150" t="s">
        <v>743</v>
      </c>
      <c r="K631" s="150" t="s">
        <v>744</v>
      </c>
    </row>
    <row r="632" spans="7:34" x14ac:dyDescent="0.25">
      <c r="G632" s="150" t="s">
        <v>728</v>
      </c>
      <c r="H632" s="150" t="s">
        <v>745</v>
      </c>
      <c r="I632" s="152">
        <f>pole1</f>
        <v>1024.9692232299162</v>
      </c>
      <c r="J632" s="152" t="e">
        <f>W622</f>
        <v>#DIV/0!</v>
      </c>
      <c r="K632" s="152" t="e">
        <f>AG622</f>
        <v>#DIV/0!</v>
      </c>
    </row>
    <row r="633" spans="7:34" x14ac:dyDescent="0.25">
      <c r="G633" s="150" t="s">
        <v>729</v>
      </c>
      <c r="H633" s="150" t="s">
        <v>746</v>
      </c>
      <c r="I633" s="152">
        <f>Zero1</f>
        <v>1850638.8752762375</v>
      </c>
      <c r="J633" s="152" t="e">
        <f>W623</f>
        <v>#DIV/0!</v>
      </c>
      <c r="K633" s="152" t="e">
        <f>AG623</f>
        <v>#DIV/0!</v>
      </c>
    </row>
    <row r="634" spans="7:34" x14ac:dyDescent="0.25">
      <c r="G634" s="150" t="s">
        <v>730</v>
      </c>
      <c r="H634" s="150" t="s">
        <v>747</v>
      </c>
      <c r="I634" s="152">
        <f>Pole2</f>
        <v>0.5526213308116541</v>
      </c>
      <c r="J634" s="152" t="e">
        <f>W624</f>
        <v>#DIV/0!</v>
      </c>
      <c r="K634" s="152" t="e">
        <f>AG624</f>
        <v>#DIV/0!</v>
      </c>
    </row>
    <row r="635" spans="7:34" x14ac:dyDescent="0.25">
      <c r="G635" s="150" t="s">
        <v>741</v>
      </c>
      <c r="H635" s="150" t="s">
        <v>748</v>
      </c>
      <c r="I635" s="152">
        <f>Zero2</f>
        <v>1326.2911939479698</v>
      </c>
      <c r="J635" s="152" t="e">
        <f>W625</f>
        <v>#DIV/0!</v>
      </c>
      <c r="K635" s="152" t="e">
        <f>AG625</f>
        <v>#DIV/0!</v>
      </c>
    </row>
    <row r="636" spans="7:34" x14ac:dyDescent="0.25">
      <c r="G636" s="150" t="s">
        <v>706</v>
      </c>
      <c r="H636" s="150" t="s">
        <v>749</v>
      </c>
      <c r="I636" s="150">
        <f>pole3</f>
        <v>0</v>
      </c>
      <c r="J636" s="152" t="e">
        <f>W626</f>
        <v>#DIV/0!</v>
      </c>
      <c r="K636" s="152" t="e">
        <f>AG626</f>
        <v>#DIV/0!</v>
      </c>
    </row>
    <row r="637" spans="7:34" x14ac:dyDescent="0.25">
      <c r="I637" s="175"/>
      <c r="J637" s="152"/>
      <c r="K637" s="152"/>
    </row>
    <row r="639" spans="7:34" x14ac:dyDescent="0.25">
      <c r="G639" s="152">
        <f>W4*1000</f>
        <v>29008</v>
      </c>
    </row>
    <row r="640" spans="7:34" x14ac:dyDescent="0.25">
      <c r="G640" s="152">
        <f>W4*1000</f>
        <v>29008</v>
      </c>
    </row>
    <row r="687" spans="36:37" x14ac:dyDescent="0.25">
      <c r="AJ687" s="150" t="s">
        <v>720</v>
      </c>
      <c r="AK687" s="152">
        <f>SUM(AK689:AK1306)</f>
        <v>0</v>
      </c>
    </row>
  </sheetData>
  <sheetProtection algorithmName="SHA-512" hashValue="6Gww5v8K1u0sMJmRsJzNotHpnJSMw3l6CokmkNZohTjUSKey6Rp18riypwEapPgIbKUiVDnxz7cxslN/Cvw6Gw==" saltValue="9a6yvk4cv1CD78/MdeXtgA==" spinCount="100000" sheet="1" objects="1" scenarios="1"/>
  <mergeCells count="20">
    <mergeCell ref="W10:Y10"/>
    <mergeCell ref="AD10:AE10"/>
    <mergeCell ref="AG10:AH10"/>
    <mergeCell ref="I11:J11"/>
    <mergeCell ref="K11:L11"/>
    <mergeCell ref="M11:N11"/>
    <mergeCell ref="O11:P11"/>
    <mergeCell ref="Q11:R11"/>
    <mergeCell ref="S11:T11"/>
    <mergeCell ref="U11:V11"/>
    <mergeCell ref="G2:J2"/>
    <mergeCell ref="K2:M2"/>
    <mergeCell ref="P2:R2"/>
    <mergeCell ref="S2:U2"/>
    <mergeCell ref="V2:X2"/>
    <mergeCell ref="G10:G12"/>
    <mergeCell ref="H10:H11"/>
    <mergeCell ref="I10:N10"/>
    <mergeCell ref="O10:T10"/>
    <mergeCell ref="U10:V10"/>
  </mergeCells>
  <pageMargins left="0.75" right="0.75" top="1" bottom="1" header="0.5" footer="0.5"/>
  <pageSetup scale="48" orientation="portrait" horizontalDpi="300" verticalDpi="300" r:id="rId1"/>
  <headerFooter alignWithMargins="0"/>
  <colBreaks count="1" manualBreakCount="1">
    <brk id="25"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740353" r:id="rId4" name="Drop Down 1">
              <controlPr locked="0" defaultSize="0" autoLine="0" autoPict="0">
                <anchor moveWithCells="1">
                  <from>
                    <xdr:col>0</xdr:col>
                    <xdr:colOff>38100</xdr:colOff>
                    <xdr:row>2</xdr:row>
                    <xdr:rowOff>137160</xdr:rowOff>
                  </from>
                  <to>
                    <xdr:col>1</xdr:col>
                    <xdr:colOff>403860</xdr:colOff>
                    <xdr:row>4</xdr:row>
                    <xdr:rowOff>38100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rgb="FF7030A0"/>
  </sheetPr>
  <dimension ref="B1:CJ336"/>
  <sheetViews>
    <sheetView zoomScale="115" zoomScaleNormal="115" workbookViewId="0">
      <pane xSplit="6" ySplit="4" topLeftCell="G309" activePane="bottomRight" state="frozen"/>
      <selection pane="topRight" activeCell="G1" sqref="G1"/>
      <selection pane="bottomLeft" activeCell="A5" sqref="A5"/>
      <selection pane="bottomRight" activeCell="G331" sqref="G331"/>
    </sheetView>
  </sheetViews>
  <sheetFormatPr defaultRowHeight="13.2" x14ac:dyDescent="0.25"/>
  <cols>
    <col min="1" max="1" width="2.6640625" customWidth="1"/>
    <col min="2" max="2" width="3.5546875" customWidth="1"/>
    <col min="3" max="3" width="2.6640625" customWidth="1"/>
    <col min="4" max="4" width="3.6640625" customWidth="1"/>
    <col min="5" max="5" width="6.33203125" customWidth="1"/>
    <col min="6" max="6" width="8.5546875" customWidth="1"/>
    <col min="7" max="8" width="7.6640625" customWidth="1"/>
    <col min="9" max="9" width="6.33203125" customWidth="1"/>
    <col min="10" max="10" width="9.5546875" customWidth="1"/>
    <col min="11" max="11" width="9.33203125" customWidth="1"/>
    <col min="12" max="12" width="1.6640625" customWidth="1"/>
    <col min="13" max="13" width="8.44140625" customWidth="1"/>
    <col min="14" max="15" width="9.5546875" customWidth="1"/>
    <col min="16" max="16" width="8.6640625" customWidth="1"/>
    <col min="17" max="18" width="8.5546875" customWidth="1"/>
    <col min="19" max="19" width="15.44140625" customWidth="1"/>
    <col min="20" max="20" width="10.44140625" customWidth="1"/>
    <col min="21" max="21" width="7.5546875" customWidth="1"/>
    <col min="22" max="22" width="9" customWidth="1"/>
    <col min="23" max="23" width="8.6640625" customWidth="1"/>
    <col min="24" max="24" width="10" customWidth="1"/>
    <col min="25" max="25" width="9.5546875" customWidth="1"/>
    <col min="26" max="26" width="1.6640625" customWidth="1"/>
    <col min="27" max="27" width="9.6640625" customWidth="1"/>
    <col min="28" max="28" width="10.44140625" customWidth="1"/>
    <col min="29" max="29" width="10.33203125" customWidth="1"/>
    <col min="30" max="30" width="2" customWidth="1"/>
    <col min="31" max="31" width="9.33203125" customWidth="1"/>
    <col min="32" max="32" width="9.44140625" customWidth="1"/>
    <col min="33" max="33" width="10.44140625" customWidth="1"/>
    <col min="34" max="34" width="2.33203125" customWidth="1"/>
    <col min="36" max="36" width="8" customWidth="1"/>
    <col min="38" max="38" width="2.33203125" customWidth="1"/>
    <col min="39" max="39" width="6.5546875" customWidth="1"/>
    <col min="40" max="40" width="7.5546875" customWidth="1"/>
    <col min="41" max="41" width="2" customWidth="1"/>
    <col min="42" max="42" width="6.44140625" customWidth="1"/>
    <col min="43" max="43" width="7.5546875" customWidth="1"/>
    <col min="44" max="44" width="2.33203125" customWidth="1"/>
    <col min="45" max="48" width="7" customWidth="1"/>
    <col min="49" max="50" width="8.44140625" customWidth="1"/>
    <col min="51" max="52" width="11" customWidth="1"/>
    <col min="53" max="53" width="9.44140625" customWidth="1"/>
    <col min="54" max="54" width="10.6640625" customWidth="1"/>
    <col min="55" max="55" width="9.6640625" customWidth="1"/>
    <col min="56" max="56" width="11.6640625" customWidth="1"/>
    <col min="57" max="57" width="2" customWidth="1"/>
    <col min="60" max="60" width="2.33203125" customWidth="1"/>
    <col min="61" max="61" width="9" customWidth="1"/>
    <col min="62" max="63" width="8.33203125" customWidth="1"/>
    <col min="64" max="64" width="8.6640625" customWidth="1"/>
    <col min="65" max="66" width="7.5546875" customWidth="1"/>
    <col min="67" max="67" width="10.5546875" customWidth="1"/>
    <col min="68" max="68" width="8.6640625" customWidth="1"/>
    <col min="69" max="70" width="10.33203125" customWidth="1"/>
    <col min="71" max="72" width="10.5546875" customWidth="1"/>
    <col min="73" max="73" width="8.6640625" customWidth="1"/>
    <col min="75" max="75" width="9.6640625" customWidth="1"/>
    <col min="76" max="76" width="11.5546875" customWidth="1"/>
    <col min="77" max="77" width="12.33203125" customWidth="1"/>
    <col min="78" max="78" width="9.33203125" customWidth="1"/>
    <col min="80" max="80" width="7.6640625" customWidth="1"/>
    <col min="81" max="81" width="10.44140625" customWidth="1"/>
    <col min="82" max="82" width="12.44140625" bestFit="1" customWidth="1"/>
    <col min="83" max="83" width="4.5546875" customWidth="1"/>
    <col min="84" max="84" width="5" customWidth="1"/>
    <col min="85" max="85" width="9.5546875" customWidth="1"/>
  </cols>
  <sheetData>
    <row r="1" spans="2:86" x14ac:dyDescent="0.25">
      <c r="B1" s="162" t="s">
        <v>526</v>
      </c>
      <c r="M1">
        <f>Vfwd2</f>
        <v>0.4</v>
      </c>
      <c r="BC1">
        <f>Ltc</f>
        <v>4.0000000000000001E-3</v>
      </c>
      <c r="BV1">
        <f>Ta</f>
        <v>55</v>
      </c>
    </row>
    <row r="2" spans="2:86" ht="13.8" thickBot="1" x14ac:dyDescent="0.3">
      <c r="M2">
        <f>Vfwd1</f>
        <v>0.32</v>
      </c>
      <c r="U2">
        <f>Isw_max</f>
        <v>0.75</v>
      </c>
    </row>
    <row r="3" spans="2:86" x14ac:dyDescent="0.25">
      <c r="E3" s="194" t="s">
        <v>428</v>
      </c>
      <c r="F3" s="471"/>
      <c r="G3" s="471"/>
      <c r="H3" s="471"/>
      <c r="I3" s="195"/>
      <c r="J3" s="196"/>
      <c r="K3" s="459"/>
      <c r="L3" s="459"/>
      <c r="M3" s="728" t="s">
        <v>189</v>
      </c>
      <c r="N3" s="729"/>
      <c r="O3" s="730"/>
      <c r="P3" s="728"/>
      <c r="Q3" s="728"/>
      <c r="R3" s="730"/>
      <c r="S3" s="730"/>
      <c r="T3" s="730"/>
      <c r="U3" s="728"/>
      <c r="V3" s="729"/>
      <c r="W3" s="729"/>
      <c r="X3" s="728"/>
      <c r="Y3" s="729"/>
      <c r="Z3" s="728"/>
      <c r="AA3" s="731"/>
      <c r="AB3" s="468"/>
      <c r="AC3" s="468"/>
      <c r="AD3" s="468"/>
      <c r="AE3" s="468"/>
      <c r="AF3" s="468"/>
      <c r="AG3" s="468"/>
      <c r="AH3" s="468"/>
      <c r="AI3" s="468"/>
      <c r="AJ3" s="468"/>
      <c r="AK3" s="468"/>
      <c r="AL3" s="468"/>
      <c r="AM3" s="468"/>
      <c r="AN3" s="468"/>
      <c r="AO3" s="468"/>
      <c r="AP3" s="468"/>
      <c r="AQ3" s="468"/>
      <c r="AR3" s="468"/>
      <c r="AS3" s="468" t="s">
        <v>467</v>
      </c>
      <c r="AT3" s="468"/>
      <c r="AU3" s="468"/>
      <c r="AV3" s="468"/>
      <c r="AW3" s="468"/>
      <c r="AX3" s="468"/>
      <c r="AY3" s="468"/>
      <c r="AZ3" s="468"/>
      <c r="BA3" s="468" t="s">
        <v>477</v>
      </c>
      <c r="BB3" s="468"/>
      <c r="BC3" s="468"/>
      <c r="BD3" s="468"/>
      <c r="BE3" s="468"/>
      <c r="BF3" s="487" t="s">
        <v>478</v>
      </c>
      <c r="BG3" s="468"/>
      <c r="BH3" s="468"/>
      <c r="BI3" s="487" t="s">
        <v>502</v>
      </c>
      <c r="BJ3" s="468"/>
      <c r="BK3" s="468"/>
      <c r="BL3" s="468"/>
      <c r="BM3" s="468"/>
      <c r="BN3" s="468"/>
      <c r="BO3" s="468"/>
      <c r="BP3" s="468"/>
      <c r="BQ3" s="487" t="s">
        <v>498</v>
      </c>
      <c r="BR3" s="468"/>
      <c r="BS3" s="468"/>
      <c r="BT3" s="468"/>
      <c r="BU3" s="488" t="s">
        <v>499</v>
      </c>
      <c r="BV3" s="468"/>
      <c r="BW3" s="468"/>
      <c r="BX3" s="468"/>
      <c r="BY3" s="468"/>
      <c r="BZ3" s="468"/>
      <c r="CA3" s="487"/>
      <c r="CB3" s="468"/>
      <c r="CC3" s="468"/>
      <c r="CD3" s="468"/>
      <c r="CE3" s="468"/>
    </row>
    <row r="4" spans="2:86" ht="45" customHeight="1" thickBot="1" x14ac:dyDescent="0.3">
      <c r="E4" s="214" t="s">
        <v>25</v>
      </c>
      <c r="F4" s="387" t="s">
        <v>194</v>
      </c>
      <c r="G4" s="233"/>
      <c r="H4" s="462" t="s">
        <v>223</v>
      </c>
      <c r="I4" s="215" t="s">
        <v>419</v>
      </c>
      <c r="J4" s="216" t="s">
        <v>425</v>
      </c>
      <c r="K4" s="462" t="s">
        <v>420</v>
      </c>
      <c r="L4" s="462"/>
      <c r="M4" s="217" t="s">
        <v>48</v>
      </c>
      <c r="N4" s="462" t="s">
        <v>409</v>
      </c>
      <c r="O4" s="462" t="s">
        <v>671</v>
      </c>
      <c r="P4" s="462" t="s">
        <v>410</v>
      </c>
      <c r="Q4" s="462" t="s">
        <v>440</v>
      </c>
      <c r="R4" s="462" t="s">
        <v>669</v>
      </c>
      <c r="S4" s="462" t="s">
        <v>672</v>
      </c>
      <c r="T4" s="462" t="s">
        <v>670</v>
      </c>
      <c r="U4" s="462" t="s">
        <v>421</v>
      </c>
      <c r="V4" s="462" t="s">
        <v>473</v>
      </c>
      <c r="W4" s="462" t="s">
        <v>472</v>
      </c>
      <c r="X4" s="476" t="s">
        <v>427</v>
      </c>
      <c r="Y4" s="473" t="s">
        <v>432</v>
      </c>
      <c r="AA4" s="218" t="s">
        <v>424</v>
      </c>
      <c r="AB4" s="218" t="s">
        <v>471</v>
      </c>
      <c r="AC4" s="218" t="s">
        <v>430</v>
      </c>
      <c r="AD4" s="475"/>
      <c r="AE4" s="218" t="s">
        <v>470</v>
      </c>
      <c r="AF4" s="218" t="s">
        <v>696</v>
      </c>
      <c r="AG4" s="218" t="s">
        <v>434</v>
      </c>
      <c r="AH4" s="475"/>
      <c r="AI4" s="218" t="s">
        <v>436</v>
      </c>
      <c r="AJ4" s="477" t="s">
        <v>437</v>
      </c>
      <c r="AK4" s="477" t="s">
        <v>438</v>
      </c>
      <c r="AM4" s="474" t="s">
        <v>274</v>
      </c>
      <c r="AN4" s="474" t="s">
        <v>439</v>
      </c>
      <c r="AP4" s="218" t="s">
        <v>274</v>
      </c>
      <c r="AQ4" s="218" t="s">
        <v>439</v>
      </c>
      <c r="AR4" s="478"/>
      <c r="AS4" s="218" t="s">
        <v>474</v>
      </c>
      <c r="AT4" s="218" t="s">
        <v>468</v>
      </c>
      <c r="AU4" s="218" t="s">
        <v>469</v>
      </c>
      <c r="AV4" s="218" t="s">
        <v>668</v>
      </c>
      <c r="AW4" s="218" t="s">
        <v>48</v>
      </c>
      <c r="AX4" s="478" t="s">
        <v>666</v>
      </c>
      <c r="AY4" s="475" t="s">
        <v>665</v>
      </c>
      <c r="AZ4" s="475" t="s">
        <v>667</v>
      </c>
      <c r="BA4" s="218" t="s">
        <v>489</v>
      </c>
      <c r="BB4" s="218" t="s">
        <v>794</v>
      </c>
      <c r="BC4" s="218" t="s">
        <v>525</v>
      </c>
      <c r="BD4" s="218" t="s">
        <v>795</v>
      </c>
      <c r="BE4" s="475"/>
      <c r="BF4" s="486" t="s">
        <v>463</v>
      </c>
      <c r="BG4" s="218" t="s">
        <v>464</v>
      </c>
      <c r="BH4" s="475"/>
      <c r="BI4" s="486" t="s">
        <v>481</v>
      </c>
      <c r="BJ4" s="218" t="s">
        <v>482</v>
      </c>
      <c r="BK4" s="218" t="s">
        <v>480</v>
      </c>
      <c r="BL4" s="218" t="s">
        <v>476</v>
      </c>
      <c r="BM4" s="218" t="s">
        <v>485</v>
      </c>
      <c r="BN4" s="218" t="s">
        <v>793</v>
      </c>
      <c r="BO4" s="218" t="s">
        <v>686</v>
      </c>
      <c r="BP4" s="218" t="s">
        <v>500</v>
      </c>
      <c r="BQ4" s="486" t="s">
        <v>483</v>
      </c>
      <c r="BR4" s="218" t="s">
        <v>484</v>
      </c>
      <c r="BS4" s="218" t="s">
        <v>492</v>
      </c>
      <c r="BT4" s="218" t="s">
        <v>816</v>
      </c>
      <c r="BU4" s="486" t="s">
        <v>465</v>
      </c>
      <c r="BV4" s="218" t="s">
        <v>466</v>
      </c>
      <c r="BW4" s="218" t="s">
        <v>475</v>
      </c>
      <c r="BX4" s="218" t="s">
        <v>684</v>
      </c>
      <c r="BY4" s="218" t="s">
        <v>493</v>
      </c>
      <c r="BZ4" s="218" t="s">
        <v>685</v>
      </c>
      <c r="CA4" s="486" t="s">
        <v>491</v>
      </c>
      <c r="CB4" s="218" t="s">
        <v>223</v>
      </c>
      <c r="CC4" s="218" t="s">
        <v>47</v>
      </c>
      <c r="CD4" s="218" t="s">
        <v>494</v>
      </c>
      <c r="CE4" s="218"/>
      <c r="CG4" s="497" t="s">
        <v>681</v>
      </c>
      <c r="CH4" s="497" t="s">
        <v>682</v>
      </c>
    </row>
    <row r="5" spans="2:86" x14ac:dyDescent="0.25">
      <c r="E5" s="150">
        <v>0.1</v>
      </c>
      <c r="F5" s="191">
        <v>1.0000000000000001E-9</v>
      </c>
      <c r="G5" s="191"/>
      <c r="H5" s="191">
        <f t="shared" ref="H5:H36" si="0">F5*Vout</f>
        <v>2E-8</v>
      </c>
      <c r="I5" s="472">
        <f t="shared" ref="I5:I36" si="1">Vin</f>
        <v>20</v>
      </c>
      <c r="J5" s="152">
        <f t="shared" ref="J5:J36" si="2">(T5+Vfwd1)*Nps</f>
        <v>20.32</v>
      </c>
      <c r="K5" s="386">
        <f t="shared" ref="K5:K36" si="3">(Vout+Vfwd1)*Nps+I5</f>
        <v>40.32</v>
      </c>
      <c r="L5" s="386"/>
      <c r="M5" s="190">
        <f t="shared" ref="M5:M36" si="4">(Vout+Vfwd1)*Nps/((Vout+Vfwd1)*Nps+I5)</f>
        <v>0.50396825396825395</v>
      </c>
      <c r="N5" s="152">
        <f t="shared" ref="N5:N36" si="5">M5*I5*Isw_max*0.5*Efficiency</f>
        <v>3.4017857142857144</v>
      </c>
      <c r="O5" s="152">
        <f>T5*F5</f>
        <v>2E-8</v>
      </c>
      <c r="P5" s="191">
        <f t="shared" ref="P5:P36" si="6">N5/Vout</f>
        <v>0.17008928571428572</v>
      </c>
      <c r="Q5" s="191">
        <f t="shared" ref="Q5:Q36" si="7">MIN(Vout,N5/F5)</f>
        <v>20</v>
      </c>
      <c r="R5" s="191">
        <f t="shared" ref="R5:R36" si="8">Isw_max/2*I5*Nps*(Q5+Vfwd1)/Q5/(I5+Nps*(Q5+Vfwd1))</f>
        <v>0.18898809523809523</v>
      </c>
      <c r="S5" s="152">
        <f t="shared" ref="S5:S36" si="9">(SQRT(Isw_max^2*Nps^2*I5^2+4*Isw_max*F5/Efficiency*(Nps^2*Vfwd1*I5-Nps*I5^2)+4*(F5/Efficiency)^2*Nps^2*Vfwd1^2+8*(F5/Efficiency)^2*Nps*Vfwd1*I5+4*(F5/Efficiency)^2*I5^2)-2*F5/Efficiency*I5-2*F5/Efficiency*Nps*Vfwd1+Isw_max*Nps*I5)/(4*F5/Efficiency*Nps)</f>
        <v>6749999980</v>
      </c>
      <c r="T5" s="152">
        <f t="shared" ref="T5:T36" si="10">MIN(Vout, S5)</f>
        <v>20</v>
      </c>
      <c r="U5" s="191">
        <f t="shared" ref="U5:U36" si="11">MIN(2*Vout*F5/(Efficiency*I5*M5), Isw_max)</f>
        <v>4.4094488188976383E-9</v>
      </c>
      <c r="V5" s="191">
        <f t="shared" ref="V5:V36" si="12">L*U5/I5*1000000</f>
        <v>1.3228346456692917E-8</v>
      </c>
      <c r="W5" s="191">
        <f t="shared" ref="W5:W36" si="13">L*U5/J5*1000000</f>
        <v>1.3020026040052084E-8</v>
      </c>
      <c r="X5" s="175">
        <f t="shared" ref="X5:X36" si="14">IF(1/((350000*L)*(1/I5+1/J5))&gt;Isw_min, 350, 0.001/((Isw_min*L)*(1/I5+1/J5)))</f>
        <v>350</v>
      </c>
      <c r="Y5" s="386">
        <f>MIN(1/(V5+W5)*1000, 350)</f>
        <v>350</v>
      </c>
      <c r="AA5" s="191">
        <f t="shared" ref="AA5:AA36" si="15">1/((X5*1000*L)*(1/I5+1/J5))</f>
        <v>0.47996976568405147</v>
      </c>
      <c r="AB5" s="153">
        <f t="shared" ref="AB5:AB36" si="16">L*AA5/J5*1000000</f>
        <v>1.4172335600907031</v>
      </c>
      <c r="AC5" s="153">
        <f t="shared" ref="AC5:AC36" si="17">0.5*AB5*AA5*Nps*X5/1000</f>
        <v>0.11904012045735404</v>
      </c>
      <c r="AD5" s="153"/>
      <c r="AE5" s="153">
        <f t="shared" ref="AE5:AE36" si="18">L*Isw_min/J5*1000000</f>
        <v>0.44291338582677164</v>
      </c>
      <c r="AF5" s="317">
        <f t="shared" ref="AF5:AF36" si="19">MAX(12, F5/(0.5*AE5/1000000*Isw_min*Nps)/1000)</f>
        <v>12</v>
      </c>
      <c r="AG5" s="463">
        <f t="shared" ref="AG5:AG36" si="20">0.5*AE5/1000000*Isw_min*Nps*X5*1000</f>
        <v>1.1626476377952754E-2</v>
      </c>
      <c r="AI5" s="153">
        <f t="shared" ref="AI5:AI36" si="21">SQRT(F5/Efficiency/(0.5*L/J5*Fsw_DCM*Nps))</f>
        <v>4.6370945108597372E-5</v>
      </c>
      <c r="AJ5" s="153">
        <f t="shared" ref="AJ5:AJ36" si="22">MAX(IF(F5&gt;AC5,U5,AI5),Isw_min)</f>
        <v>0.15</v>
      </c>
      <c r="AK5" s="153">
        <f t="shared" ref="AK5:AK36" si="23">IF(F5&gt;AG5, (AJ5-Isw_min)/1.2*0.8+1.2, AF5*0.2/350+1)</f>
        <v>1.0068571428571429</v>
      </c>
      <c r="AM5" s="317">
        <f t="shared" ref="AM5:AM36" si="24">F5*1000</f>
        <v>1.0000000000000002E-6</v>
      </c>
      <c r="AN5" s="147">
        <f t="shared" ref="AN5:AN36" si="25">IF(F5&gt;AG5, Y5, AF5)</f>
        <v>12</v>
      </c>
      <c r="AP5">
        <f t="shared" ref="AP5:AP36" si="26">IF(H5&gt;N5, "",AM5)</f>
        <v>1.0000000000000002E-6</v>
      </c>
      <c r="AQ5" s="147">
        <f t="shared" ref="AQ5:AQ36" si="27">IF(H5&gt;N5, "",AN5)</f>
        <v>12</v>
      </c>
      <c r="AR5" s="147"/>
      <c r="AS5" s="5">
        <f>1/AN5*1000</f>
        <v>83.333333333333329</v>
      </c>
      <c r="AT5" s="5">
        <f t="shared" ref="AT5:AT36" si="28">L*AJ5/I5*1000000</f>
        <v>0.45</v>
      </c>
      <c r="AU5" s="5">
        <f>AS5-AT5</f>
        <v>82.883333333333326</v>
      </c>
      <c r="AV5" s="5">
        <f t="shared" ref="AV5:AV36" si="29">L*AJ5/J5*1000000</f>
        <v>0.44291338582677164</v>
      </c>
      <c r="AW5" s="153">
        <f>AT5/AS5</f>
        <v>5.4000000000000003E-3</v>
      </c>
      <c r="AX5" s="153">
        <f t="shared" ref="AX5:AX36" si="30">0.5*L*AJ5^2*AN5*1000</f>
        <v>8.0999999999999996E-3</v>
      </c>
      <c r="AY5" s="153">
        <f t="shared" ref="AY5:AY36" si="31">AJ5*Nps/2*(1-AW5)</f>
        <v>7.4594999999999995E-2</v>
      </c>
      <c r="AZ5" s="153">
        <f>AX5/AY5</f>
        <v>0.1085863663784436</v>
      </c>
      <c r="BA5" s="147">
        <f t="shared" ref="BA5:BA36" si="32">L*Isw_max^2/(2*Vout_ripple*Vout)*1000000000*((1+M5)/2)^2</f>
        <v>2.385619286777211</v>
      </c>
      <c r="BB5" s="147">
        <f t="shared" ref="BB5:BB36" si="33">L*F5^2/(2*Cout*Vout*Nps^2)*1000000000*((1+M5)/(1-M5))^2+F5*RCoutEsr</f>
        <v>3.0000013789536003E-9</v>
      </c>
      <c r="BC5" s="5">
        <f t="shared" ref="BC5:BC36" si="34">H5/Efficiency/I5*AU5/Vinripple1</f>
        <v>9.2092592592592593E-8</v>
      </c>
      <c r="BD5" s="147">
        <f t="shared" ref="BD5:BD36" si="35">((CB5/I5/Efficiency)*AU5/Cin+(CB5/I5/Efficiency)*RCinEsr)*1000</f>
        <v>9.2125925925925918E-6</v>
      </c>
      <c r="BE5" s="5"/>
      <c r="BF5" s="153">
        <f>AJ5*SQRT(AW5/3)</f>
        <v>6.3639610306789277E-3</v>
      </c>
      <c r="BG5" s="153">
        <f t="shared" ref="BG5:BG36" si="36">AJ5*Nps*SQRT((1-AW5)/3)</f>
        <v>8.6368396997976063E-2</v>
      </c>
      <c r="BH5" s="153"/>
      <c r="BI5" s="463">
        <f t="shared" ref="BI5:BI36" si="37">Rdson*BF5^2</f>
        <v>1.4174999999999999E-5</v>
      </c>
      <c r="BJ5" s="463">
        <f t="shared" ref="BJ5:BJ36" si="38">0.5*K5*AJ5*AN5*1000*Trise</f>
        <v>3.6288E-4</v>
      </c>
      <c r="BK5" s="463">
        <f t="shared" ref="BK5:BK36" si="39">Qg*Vdd*AN5*1000</f>
        <v>1.4999999999999999E-4</v>
      </c>
      <c r="BL5" s="463">
        <f t="shared" ref="BL5:BL36" si="40">0.5*(Coss+Csw)*K5^2*AN5*1000</f>
        <v>9.7542144000000027E-4</v>
      </c>
      <c r="BM5">
        <f t="shared" ref="BM5:BM36" si="41">I5*IQ</f>
        <v>5.7999999999999996E-3</v>
      </c>
      <c r="BN5">
        <f t="shared" ref="BN5:BN36" si="42">(I5-Vdd)*Qg*AN5</f>
        <v>4.4999999999999998E-7</v>
      </c>
      <c r="BO5" s="463">
        <f t="shared" ref="BO5:BO36" si="43">(BJ5+BK5+BL5+BM5+BN5+BI5*(1+RdsonTC*(Ta-25)))/(1-BI5*RdsonTC*ThetaJA)</f>
        <v>7.3048591693068744E-3</v>
      </c>
      <c r="BP5" s="147">
        <f>BO5*1000</f>
        <v>7.3048591693068747</v>
      </c>
      <c r="BQ5" s="463">
        <f t="shared" ref="BQ5:BQ36" si="44">(Vfwd2*F5+BG5^2*Rdiode)*(1+Diode_TC/1000*(Ta-25))</f>
        <v>5.6990583820000018E-3</v>
      </c>
      <c r="BR5" s="463"/>
      <c r="BT5" s="147">
        <f>SUM(BQ5:BS5)*1000</f>
        <v>5.6990583820000023</v>
      </c>
      <c r="BU5" s="463">
        <f t="shared" ref="BU5:BU36" si="45">Rdcr_pri*BF5^2</f>
        <v>4.0500000000000002E-5</v>
      </c>
      <c r="BV5" s="463">
        <f t="shared" ref="BV5:BV36" si="46">Rdcr_sec*BG5^2</f>
        <v>7.4595000000000009E-3</v>
      </c>
      <c r="BW5" s="463">
        <f t="shared" ref="BW5:BW36" si="47">AJ5^2.5*AN5^2.5*k_core</f>
        <v>0</v>
      </c>
      <c r="BX5" s="463">
        <f t="shared" ref="BX5:BX36" si="48">(BW5+(BU5+BV5)*(1+Ltc*(Ta-25)))/(1-(BU5+BV5)*Ltc*ThetaCa)</f>
        <v>8.4050430258154913E-3</v>
      </c>
      <c r="BY5" s="463">
        <f t="shared" ref="BY5:BY36" si="49">0.5*Lleak*0.000000001*AJ5^2*AN5*1000</f>
        <v>1.3500000000000003E-4</v>
      </c>
      <c r="BZ5" s="147">
        <f>1000*(BX5+BY5)</f>
        <v>8.5400430258154909</v>
      </c>
      <c r="CA5" s="153">
        <f>SUM(BO5,BQ5:BS5,BX5, BY5)</f>
        <v>2.1543960577122368E-2</v>
      </c>
      <c r="CB5" s="5">
        <f>MIN(H5,O5)</f>
        <v>2E-8</v>
      </c>
      <c r="CC5" s="153">
        <f>CB5/(CB5+CA5)</f>
        <v>9.2833355137899051E-7</v>
      </c>
      <c r="CD5" s="5">
        <f>CC5*100</f>
        <v>9.2833355137899052E-5</v>
      </c>
      <c r="CG5" s="59">
        <f t="shared" ref="CG5:CG36" si="50">IF(ABS(F5-Ioutmax_Vinnom)&lt;Iout/200, AN5, -50)</f>
        <v>-50</v>
      </c>
      <c r="CH5">
        <f t="shared" ref="CH5:CH36" si="51">IF(ABS(F5-Ioutmax_Vinnom)&lt;Iout/200, N5*CC5, -50)</f>
        <v>-50</v>
      </c>
    </row>
    <row r="6" spans="2:86" x14ac:dyDescent="0.25">
      <c r="E6" s="150">
        <v>1</v>
      </c>
      <c r="F6" s="191">
        <f t="shared" ref="F6:F37" si="52">IF(PLOT_TYPE=1, E6/100*Iout_max, min_I*EXP(N6*rr/100))</f>
        <v>1E-3</v>
      </c>
      <c r="G6" s="191"/>
      <c r="H6" s="191">
        <f t="shared" si="0"/>
        <v>0.02</v>
      </c>
      <c r="I6" s="472">
        <f t="shared" si="1"/>
        <v>20</v>
      </c>
      <c r="J6" s="152">
        <f t="shared" si="2"/>
        <v>20.32</v>
      </c>
      <c r="K6" s="386">
        <f t="shared" si="3"/>
        <v>40.32</v>
      </c>
      <c r="L6" s="386"/>
      <c r="M6" s="191">
        <f t="shared" si="4"/>
        <v>0.50396825396825395</v>
      </c>
      <c r="N6" s="152">
        <f t="shared" si="5"/>
        <v>3.4017857142857144</v>
      </c>
      <c r="O6" s="152">
        <f t="shared" ref="O6:O69" si="53">T6*F6</f>
        <v>0.02</v>
      </c>
      <c r="P6" s="191">
        <f t="shared" si="6"/>
        <v>0.17008928571428572</v>
      </c>
      <c r="Q6" s="191">
        <f t="shared" si="7"/>
        <v>20</v>
      </c>
      <c r="R6" s="191">
        <f t="shared" si="8"/>
        <v>0.18898809523809523</v>
      </c>
      <c r="S6" s="152">
        <f t="shared" si="9"/>
        <v>6730.0009509204756</v>
      </c>
      <c r="T6" s="152">
        <f t="shared" si="10"/>
        <v>20</v>
      </c>
      <c r="U6" s="191">
        <f t="shared" si="11"/>
        <v>4.4094488188976379E-3</v>
      </c>
      <c r="V6" s="191">
        <f t="shared" si="12"/>
        <v>1.3228346456692913E-2</v>
      </c>
      <c r="W6" s="191">
        <f t="shared" si="13"/>
        <v>1.302002604005208E-2</v>
      </c>
      <c r="X6" s="175">
        <f t="shared" si="14"/>
        <v>350</v>
      </c>
      <c r="Y6" s="386">
        <f t="shared" ref="Y6:Y69" si="54">MIN(1/(V6+W6)*1000, 350)</f>
        <v>350</v>
      </c>
      <c r="AA6" s="191">
        <f t="shared" si="15"/>
        <v>0.47996976568405147</v>
      </c>
      <c r="AB6" s="153">
        <f t="shared" si="16"/>
        <v>1.4172335600907031</v>
      </c>
      <c r="AC6" s="153">
        <f t="shared" si="17"/>
        <v>0.11904012045735404</v>
      </c>
      <c r="AD6" s="153"/>
      <c r="AE6" s="153">
        <f t="shared" si="18"/>
        <v>0.44291338582677164</v>
      </c>
      <c r="AF6" s="317">
        <f t="shared" si="19"/>
        <v>30.103703703703708</v>
      </c>
      <c r="AG6" s="463">
        <f t="shared" si="20"/>
        <v>1.1626476377952754E-2</v>
      </c>
      <c r="AI6" s="153">
        <f t="shared" si="21"/>
        <v>4.6370945108597371E-2</v>
      </c>
      <c r="AJ6" s="153">
        <f t="shared" si="22"/>
        <v>0.15</v>
      </c>
      <c r="AK6" s="153">
        <f t="shared" si="23"/>
        <v>1.0172021164021163</v>
      </c>
      <c r="AM6" s="317">
        <f t="shared" si="24"/>
        <v>1</v>
      </c>
      <c r="AN6" s="147">
        <f t="shared" si="25"/>
        <v>30.103703703703708</v>
      </c>
      <c r="AP6">
        <f t="shared" si="26"/>
        <v>1</v>
      </c>
      <c r="AQ6" s="147">
        <f t="shared" si="27"/>
        <v>30.103703703703708</v>
      </c>
      <c r="AR6" s="147"/>
      <c r="AS6" s="5">
        <f t="shared" ref="AS6:AS69" si="55">1/AN6*1000</f>
        <v>33.218503937007867</v>
      </c>
      <c r="AT6" s="5">
        <f t="shared" si="28"/>
        <v>0.45</v>
      </c>
      <c r="AU6" s="5">
        <f t="shared" ref="AU6:AU69" si="56">AS6-AT6</f>
        <v>32.768503937007864</v>
      </c>
      <c r="AV6" s="5">
        <f t="shared" si="29"/>
        <v>0.44291338582677164</v>
      </c>
      <c r="AW6" s="153">
        <f t="shared" ref="AW6:AW69" si="57">AT6/AS6</f>
        <v>1.354666666666667E-2</v>
      </c>
      <c r="AX6" s="153">
        <f t="shared" si="30"/>
        <v>2.0320000000000001E-2</v>
      </c>
      <c r="AY6" s="153">
        <f t="shared" si="31"/>
        <v>7.3983999999999994E-2</v>
      </c>
      <c r="AZ6" s="153">
        <f t="shared" ref="AZ6:AZ69" si="58">AX6/AY6</f>
        <v>0.27465397923875434</v>
      </c>
      <c r="BA6" s="147">
        <f t="shared" si="32"/>
        <v>2.385619286777211</v>
      </c>
      <c r="BB6" s="147">
        <f t="shared" si="33"/>
        <v>4.3789535999999999E-3</v>
      </c>
      <c r="BC6" s="5">
        <f t="shared" si="34"/>
        <v>3.6409448818897627E-2</v>
      </c>
      <c r="BD6" s="147">
        <f t="shared" si="35"/>
        <v>3.6442782152230961</v>
      </c>
      <c r="BE6" s="5"/>
      <c r="BF6" s="153">
        <f t="shared" ref="BF6:BF69" si="59">AJ6*SQRT(AW6/3)</f>
        <v>1.0079682534683323E-2</v>
      </c>
      <c r="BG6" s="153">
        <f t="shared" si="36"/>
        <v>8.6013952356579923E-2</v>
      </c>
      <c r="BH6" s="153"/>
      <c r="BI6" s="463">
        <f t="shared" si="37"/>
        <v>3.5560000000000005E-5</v>
      </c>
      <c r="BJ6" s="463">
        <f t="shared" si="38"/>
        <v>9.1033600000000009E-4</v>
      </c>
      <c r="BK6" s="463">
        <f t="shared" si="39"/>
        <v>3.7629629629629634E-4</v>
      </c>
      <c r="BL6" s="463">
        <f t="shared" si="40"/>
        <v>2.4469831680000009E-3</v>
      </c>
      <c r="BM6">
        <f t="shared" si="41"/>
        <v>5.7999999999999996E-3</v>
      </c>
      <c r="BN6">
        <f t="shared" si="42"/>
        <v>1.1288888888888889E-6</v>
      </c>
      <c r="BO6" s="463">
        <f t="shared" si="43"/>
        <v>9.5751677741374216E-3</v>
      </c>
      <c r="BP6" s="147">
        <f t="shared" ref="BP6:BP69" si="60">BO6*1000</f>
        <v>9.5751677741374213</v>
      </c>
      <c r="BQ6" s="463">
        <f t="shared" si="44"/>
        <v>6.0343776000000024E-3</v>
      </c>
      <c r="BR6" s="463"/>
      <c r="BT6" s="147">
        <f t="shared" ref="BT6:BT69" si="61">SUM(BQ6:BS6)*1000</f>
        <v>6.0343776000000027</v>
      </c>
      <c r="BU6" s="463">
        <f t="shared" si="45"/>
        <v>1.0160000000000002E-4</v>
      </c>
      <c r="BV6" s="463">
        <f t="shared" si="46"/>
        <v>7.3984000000000012E-3</v>
      </c>
      <c r="BW6" s="463">
        <f t="shared" si="47"/>
        <v>0</v>
      </c>
      <c r="BX6" s="463">
        <f t="shared" si="48"/>
        <v>8.405043025815493E-3</v>
      </c>
      <c r="BY6" s="463">
        <f t="shared" si="49"/>
        <v>3.3866666666666675E-4</v>
      </c>
      <c r="BZ6" s="147">
        <f t="shared" ref="BZ6:BZ69" si="62">1000*(BX6+BY6)</f>
        <v>8.7437096924821596</v>
      </c>
      <c r="CA6" s="153">
        <f t="shared" ref="CA6:CA69" si="63">SUM(BO6,BQ6:BS6,BX6, BY6)</f>
        <v>2.4353255066619586E-2</v>
      </c>
      <c r="CB6" s="5">
        <f t="shared" ref="CB6:CB69" si="64">MIN(H6,O6)</f>
        <v>0.02</v>
      </c>
      <c r="CC6" s="153">
        <f t="shared" ref="CC6:CC69" si="65">CB6/(CB6+CA6)</f>
        <v>0.45092519072071602</v>
      </c>
      <c r="CD6" s="5">
        <f t="shared" ref="CD6:CD69" si="66">CC6*100</f>
        <v>45.092519072071603</v>
      </c>
      <c r="CG6" s="59">
        <f t="shared" si="50"/>
        <v>-50</v>
      </c>
      <c r="CH6">
        <f t="shared" si="51"/>
        <v>-50</v>
      </c>
    </row>
    <row r="7" spans="2:86" x14ac:dyDescent="0.25">
      <c r="E7" s="150">
        <v>2</v>
      </c>
      <c r="F7" s="191">
        <f t="shared" si="52"/>
        <v>2E-3</v>
      </c>
      <c r="G7" s="191"/>
      <c r="H7" s="191">
        <f t="shared" si="0"/>
        <v>0.04</v>
      </c>
      <c r="I7" s="472">
        <f t="shared" si="1"/>
        <v>20</v>
      </c>
      <c r="J7" s="152">
        <f t="shared" si="2"/>
        <v>20.32</v>
      </c>
      <c r="K7" s="386">
        <f t="shared" si="3"/>
        <v>40.32</v>
      </c>
      <c r="L7" s="386"/>
      <c r="M7" s="191">
        <f t="shared" si="4"/>
        <v>0.50396825396825395</v>
      </c>
      <c r="N7" s="152">
        <f t="shared" si="5"/>
        <v>3.4017857142857144</v>
      </c>
      <c r="O7" s="152">
        <f t="shared" si="53"/>
        <v>0.04</v>
      </c>
      <c r="P7" s="191">
        <f t="shared" si="6"/>
        <v>0.17008928571428572</v>
      </c>
      <c r="Q7" s="191">
        <f t="shared" si="7"/>
        <v>20</v>
      </c>
      <c r="R7" s="191">
        <f t="shared" si="8"/>
        <v>0.18898809523809523</v>
      </c>
      <c r="S7" s="152">
        <f t="shared" si="9"/>
        <v>3355.0019074175825</v>
      </c>
      <c r="T7" s="152">
        <f t="shared" si="10"/>
        <v>20</v>
      </c>
      <c r="U7" s="191">
        <f t="shared" si="11"/>
        <v>8.8188976377952758E-3</v>
      </c>
      <c r="V7" s="191">
        <f t="shared" si="12"/>
        <v>2.6456692913385826E-2</v>
      </c>
      <c r="W7" s="191">
        <f t="shared" si="13"/>
        <v>2.604005208010416E-2</v>
      </c>
      <c r="X7" s="175">
        <f t="shared" si="14"/>
        <v>350</v>
      </c>
      <c r="Y7" s="386">
        <f t="shared" si="54"/>
        <v>350</v>
      </c>
      <c r="AA7" s="191">
        <f t="shared" si="15"/>
        <v>0.47996976568405147</v>
      </c>
      <c r="AB7" s="153">
        <f t="shared" si="16"/>
        <v>1.4172335600907031</v>
      </c>
      <c r="AC7" s="153">
        <f t="shared" si="17"/>
        <v>0.11904012045735404</v>
      </c>
      <c r="AD7" s="153"/>
      <c r="AE7" s="153">
        <f t="shared" si="18"/>
        <v>0.44291338582677164</v>
      </c>
      <c r="AF7" s="317">
        <f t="shared" si="19"/>
        <v>60.207407407407416</v>
      </c>
      <c r="AG7" s="463">
        <f t="shared" si="20"/>
        <v>1.1626476377952754E-2</v>
      </c>
      <c r="AI7" s="153">
        <f t="shared" si="21"/>
        <v>6.5578419472636734E-2</v>
      </c>
      <c r="AJ7" s="153">
        <f t="shared" si="22"/>
        <v>0.15</v>
      </c>
      <c r="AK7" s="153">
        <f t="shared" si="23"/>
        <v>1.0344042328042329</v>
      </c>
      <c r="AM7" s="317">
        <f t="shared" si="24"/>
        <v>2</v>
      </c>
      <c r="AN7" s="147">
        <f t="shared" si="25"/>
        <v>60.207407407407416</v>
      </c>
      <c r="AP7">
        <f t="shared" si="26"/>
        <v>2</v>
      </c>
      <c r="AQ7" s="147">
        <f t="shared" si="27"/>
        <v>60.207407407407416</v>
      </c>
      <c r="AR7" s="147"/>
      <c r="AS7" s="5">
        <f t="shared" si="55"/>
        <v>16.609251968503933</v>
      </c>
      <c r="AT7" s="5">
        <f t="shared" si="28"/>
        <v>0.45</v>
      </c>
      <c r="AU7" s="5">
        <f t="shared" si="56"/>
        <v>16.159251968503934</v>
      </c>
      <c r="AV7" s="5">
        <f t="shared" si="29"/>
        <v>0.44291338582677164</v>
      </c>
      <c r="AW7" s="153">
        <f t="shared" si="57"/>
        <v>2.7093333333333341E-2</v>
      </c>
      <c r="AX7" s="153">
        <f t="shared" si="30"/>
        <v>4.0640000000000003E-2</v>
      </c>
      <c r="AY7" s="153">
        <f t="shared" si="31"/>
        <v>7.2968000000000005E-2</v>
      </c>
      <c r="AZ7" s="153">
        <f t="shared" si="58"/>
        <v>0.5569564740708256</v>
      </c>
      <c r="BA7" s="147">
        <f t="shared" si="32"/>
        <v>2.385619286777211</v>
      </c>
      <c r="BB7" s="147">
        <f t="shared" si="33"/>
        <v>1.1515814399999999E-2</v>
      </c>
      <c r="BC7" s="5">
        <f t="shared" si="34"/>
        <v>3.5909448818897634E-2</v>
      </c>
      <c r="BD7" s="147">
        <f t="shared" si="35"/>
        <v>3.5976115485564302</v>
      </c>
      <c r="BE7" s="5"/>
      <c r="BF7" s="153">
        <f t="shared" si="59"/>
        <v>1.425482374496437E-2</v>
      </c>
      <c r="BG7" s="153">
        <f t="shared" si="36"/>
        <v>8.5421308816945665E-2</v>
      </c>
      <c r="BH7" s="153"/>
      <c r="BI7" s="463">
        <f t="shared" si="37"/>
        <v>7.1119999999999997E-5</v>
      </c>
      <c r="BJ7" s="463">
        <f t="shared" si="38"/>
        <v>1.8206720000000002E-3</v>
      </c>
      <c r="BK7" s="463">
        <f t="shared" si="39"/>
        <v>7.5259259259259268E-4</v>
      </c>
      <c r="BL7" s="463">
        <f t="shared" si="40"/>
        <v>4.8939663360000017E-3</v>
      </c>
      <c r="BM7">
        <f t="shared" si="41"/>
        <v>5.7999999999999996E-3</v>
      </c>
      <c r="BN7">
        <f t="shared" si="42"/>
        <v>2.2577777777777778E-6</v>
      </c>
      <c r="BO7" s="463">
        <f t="shared" si="43"/>
        <v>1.3350385085317322E-2</v>
      </c>
      <c r="BP7" s="147">
        <f t="shared" si="60"/>
        <v>13.350385085317322</v>
      </c>
      <c r="BQ7" s="463">
        <f t="shared" si="44"/>
        <v>6.3387551999999998E-3</v>
      </c>
      <c r="BR7" s="463"/>
      <c r="BT7" s="147">
        <f t="shared" si="61"/>
        <v>6.3387551999999996</v>
      </c>
      <c r="BU7" s="463">
        <f t="shared" si="45"/>
        <v>2.0320000000000001E-4</v>
      </c>
      <c r="BV7" s="463">
        <f t="shared" si="46"/>
        <v>7.2967999999999991E-3</v>
      </c>
      <c r="BW7" s="463">
        <f t="shared" si="47"/>
        <v>0</v>
      </c>
      <c r="BX7" s="463">
        <f t="shared" si="48"/>
        <v>8.4050430258154896E-3</v>
      </c>
      <c r="BY7" s="463">
        <f t="shared" si="49"/>
        <v>6.773333333333335E-4</v>
      </c>
      <c r="BZ7" s="147">
        <f t="shared" si="62"/>
        <v>9.0823763591488227</v>
      </c>
      <c r="CA7" s="153">
        <f t="shared" si="63"/>
        <v>2.8771516644466144E-2</v>
      </c>
      <c r="CB7" s="5">
        <f t="shared" si="64"/>
        <v>0.04</v>
      </c>
      <c r="CC7" s="153">
        <f t="shared" si="65"/>
        <v>0.58163614751716675</v>
      </c>
      <c r="CD7" s="5">
        <f t="shared" si="66"/>
        <v>58.163614751716672</v>
      </c>
      <c r="CG7" s="59">
        <f t="shared" si="50"/>
        <v>-50</v>
      </c>
      <c r="CH7">
        <f t="shared" si="51"/>
        <v>-50</v>
      </c>
    </row>
    <row r="8" spans="2:86" x14ac:dyDescent="0.25">
      <c r="E8" s="150">
        <v>3</v>
      </c>
      <c r="F8" s="191">
        <f t="shared" si="52"/>
        <v>3.0000000000000001E-3</v>
      </c>
      <c r="G8" s="191"/>
      <c r="H8" s="191">
        <f t="shared" si="0"/>
        <v>0.06</v>
      </c>
      <c r="I8" s="472">
        <f t="shared" si="1"/>
        <v>20</v>
      </c>
      <c r="J8" s="152">
        <f t="shared" si="2"/>
        <v>20.32</v>
      </c>
      <c r="K8" s="386">
        <f t="shared" si="3"/>
        <v>40.32</v>
      </c>
      <c r="L8" s="386"/>
      <c r="M8" s="191">
        <f t="shared" si="4"/>
        <v>0.50396825396825395</v>
      </c>
      <c r="N8" s="152">
        <f t="shared" si="5"/>
        <v>3.4017857142857144</v>
      </c>
      <c r="O8" s="152">
        <f t="shared" si="53"/>
        <v>0.06</v>
      </c>
      <c r="P8" s="191">
        <f t="shared" si="6"/>
        <v>0.17008928571428572</v>
      </c>
      <c r="Q8" s="191">
        <f t="shared" si="7"/>
        <v>20</v>
      </c>
      <c r="R8" s="191">
        <f t="shared" si="8"/>
        <v>0.18898809523809523</v>
      </c>
      <c r="S8" s="152">
        <f t="shared" si="9"/>
        <v>2230.0028695396923</v>
      </c>
      <c r="T8" s="152">
        <f t="shared" si="10"/>
        <v>20</v>
      </c>
      <c r="U8" s="191">
        <f t="shared" si="11"/>
        <v>1.3228346456692913E-2</v>
      </c>
      <c r="V8" s="191">
        <f t="shared" si="12"/>
        <v>3.9685039370078744E-2</v>
      </c>
      <c r="W8" s="191">
        <f t="shared" si="13"/>
        <v>3.9060078120156244E-2</v>
      </c>
      <c r="X8" s="175">
        <f t="shared" si="14"/>
        <v>350</v>
      </c>
      <c r="Y8" s="386">
        <f t="shared" si="54"/>
        <v>350</v>
      </c>
      <c r="AA8" s="191">
        <f t="shared" si="15"/>
        <v>0.47996976568405147</v>
      </c>
      <c r="AB8" s="153">
        <f t="shared" si="16"/>
        <v>1.4172335600907031</v>
      </c>
      <c r="AC8" s="153">
        <f t="shared" si="17"/>
        <v>0.11904012045735404</v>
      </c>
      <c r="AD8" s="153"/>
      <c r="AE8" s="153">
        <f t="shared" si="18"/>
        <v>0.44291338582677164</v>
      </c>
      <c r="AF8" s="317">
        <f t="shared" si="19"/>
        <v>90.311111111111117</v>
      </c>
      <c r="AG8" s="463">
        <f t="shared" si="20"/>
        <v>1.1626476377952754E-2</v>
      </c>
      <c r="AI8" s="153">
        <f t="shared" si="21"/>
        <v>8.0316832923078146E-2</v>
      </c>
      <c r="AJ8" s="153">
        <f t="shared" si="22"/>
        <v>0.15</v>
      </c>
      <c r="AK8" s="153">
        <f t="shared" si="23"/>
        <v>1.0516063492063492</v>
      </c>
      <c r="AM8" s="317">
        <f t="shared" si="24"/>
        <v>3</v>
      </c>
      <c r="AN8" s="147">
        <f t="shared" si="25"/>
        <v>90.311111111111117</v>
      </c>
      <c r="AP8">
        <f t="shared" si="26"/>
        <v>3</v>
      </c>
      <c r="AQ8" s="147">
        <f t="shared" si="27"/>
        <v>90.311111111111117</v>
      </c>
      <c r="AR8" s="147"/>
      <c r="AS8" s="5">
        <f t="shared" si="55"/>
        <v>11.072834645669291</v>
      </c>
      <c r="AT8" s="5">
        <f t="shared" si="28"/>
        <v>0.45</v>
      </c>
      <c r="AU8" s="5">
        <f t="shared" si="56"/>
        <v>10.622834645669291</v>
      </c>
      <c r="AV8" s="5">
        <f t="shared" si="29"/>
        <v>0.44291338582677164</v>
      </c>
      <c r="AW8" s="153">
        <f t="shared" si="57"/>
        <v>4.0640000000000003E-2</v>
      </c>
      <c r="AX8" s="153">
        <f t="shared" si="30"/>
        <v>6.0960000000000007E-2</v>
      </c>
      <c r="AY8" s="153">
        <f t="shared" si="31"/>
        <v>7.1952000000000002E-2</v>
      </c>
      <c r="AZ8" s="153">
        <f t="shared" si="58"/>
        <v>0.84723148765843903</v>
      </c>
      <c r="BA8" s="147">
        <f t="shared" si="32"/>
        <v>2.385619286777211</v>
      </c>
      <c r="BB8" s="147">
        <f t="shared" si="33"/>
        <v>2.1410582399999999E-2</v>
      </c>
      <c r="BC8" s="5">
        <f t="shared" si="34"/>
        <v>3.5409448818897633E-2</v>
      </c>
      <c r="BD8" s="147">
        <f t="shared" si="35"/>
        <v>3.5509448818897633</v>
      </c>
      <c r="BE8" s="5"/>
      <c r="BF8" s="153">
        <f t="shared" si="59"/>
        <v>1.7458522274236155E-2</v>
      </c>
      <c r="BG8" s="153">
        <f t="shared" si="36"/>
        <v>8.4824524755521033E-2</v>
      </c>
      <c r="BH8" s="153"/>
      <c r="BI8" s="463">
        <f t="shared" si="37"/>
        <v>1.0667999999999999E-4</v>
      </c>
      <c r="BJ8" s="463">
        <f t="shared" si="38"/>
        <v>2.731008E-3</v>
      </c>
      <c r="BK8" s="463">
        <f t="shared" si="39"/>
        <v>1.1288888888888889E-3</v>
      </c>
      <c r="BL8" s="463">
        <f t="shared" si="40"/>
        <v>7.3409495040000017E-3</v>
      </c>
      <c r="BM8">
        <f t="shared" si="41"/>
        <v>5.7999999999999996E-3</v>
      </c>
      <c r="BN8">
        <f t="shared" si="42"/>
        <v>3.3866666666666667E-6</v>
      </c>
      <c r="BO8" s="463">
        <f t="shared" si="43"/>
        <v>1.7125651934514728E-2</v>
      </c>
      <c r="BP8" s="147">
        <f t="shared" si="60"/>
        <v>17.125651934514728</v>
      </c>
      <c r="BQ8" s="463">
        <f t="shared" si="44"/>
        <v>6.6431328000000006E-3</v>
      </c>
      <c r="BR8" s="463"/>
      <c r="BT8" s="147">
        <f t="shared" si="61"/>
        <v>6.6431328000000009</v>
      </c>
      <c r="BU8" s="463">
        <f t="shared" si="45"/>
        <v>3.0479999999999998E-4</v>
      </c>
      <c r="BV8" s="463">
        <f t="shared" si="46"/>
        <v>7.1952000000000006E-3</v>
      </c>
      <c r="BW8" s="463">
        <f t="shared" si="47"/>
        <v>0</v>
      </c>
      <c r="BX8" s="463">
        <f t="shared" si="48"/>
        <v>8.4050430258154913E-3</v>
      </c>
      <c r="BY8" s="463">
        <f t="shared" si="49"/>
        <v>1.0160000000000002E-3</v>
      </c>
      <c r="BZ8" s="147">
        <f t="shared" si="62"/>
        <v>9.4210430258154911</v>
      </c>
      <c r="CA8" s="153">
        <f t="shared" si="63"/>
        <v>3.3189827760330221E-2</v>
      </c>
      <c r="CB8" s="5">
        <f t="shared" si="64"/>
        <v>0.06</v>
      </c>
      <c r="CC8" s="153">
        <f t="shared" si="65"/>
        <v>0.64384709621216052</v>
      </c>
      <c r="CD8" s="5">
        <f t="shared" si="66"/>
        <v>64.384709621216047</v>
      </c>
      <c r="CG8" s="59">
        <f t="shared" si="50"/>
        <v>-50</v>
      </c>
      <c r="CH8">
        <f t="shared" si="51"/>
        <v>-50</v>
      </c>
    </row>
    <row r="9" spans="2:86" x14ac:dyDescent="0.25">
      <c r="E9" s="150">
        <v>4</v>
      </c>
      <c r="F9" s="191">
        <f t="shared" si="52"/>
        <v>4.0000000000000001E-3</v>
      </c>
      <c r="G9" s="191"/>
      <c r="H9" s="191">
        <f t="shared" si="0"/>
        <v>0.08</v>
      </c>
      <c r="I9" s="472">
        <f t="shared" si="1"/>
        <v>20</v>
      </c>
      <c r="J9" s="152">
        <f t="shared" si="2"/>
        <v>20.32</v>
      </c>
      <c r="K9" s="386">
        <f t="shared" si="3"/>
        <v>40.32</v>
      </c>
      <c r="L9" s="386"/>
      <c r="M9" s="191">
        <f t="shared" si="4"/>
        <v>0.50396825396825395</v>
      </c>
      <c r="N9" s="152">
        <f t="shared" si="5"/>
        <v>3.4017857142857144</v>
      </c>
      <c r="O9" s="152">
        <f t="shared" si="53"/>
        <v>0.08</v>
      </c>
      <c r="P9" s="191">
        <f t="shared" si="6"/>
        <v>0.17008928571428572</v>
      </c>
      <c r="Q9" s="191">
        <f t="shared" si="7"/>
        <v>20</v>
      </c>
      <c r="R9" s="191">
        <f t="shared" si="8"/>
        <v>0.18898809523809523</v>
      </c>
      <c r="S9" s="152">
        <f t="shared" si="9"/>
        <v>1667.5038373357286</v>
      </c>
      <c r="T9" s="152">
        <f t="shared" si="10"/>
        <v>20</v>
      </c>
      <c r="U9" s="191">
        <f t="shared" si="11"/>
        <v>1.7637795275590552E-2</v>
      </c>
      <c r="V9" s="191">
        <f t="shared" si="12"/>
        <v>5.2913385826771651E-2</v>
      </c>
      <c r="W9" s="191">
        <f t="shared" si="13"/>
        <v>5.2080104160208321E-2</v>
      </c>
      <c r="X9" s="175">
        <f t="shared" si="14"/>
        <v>350</v>
      </c>
      <c r="Y9" s="386">
        <f t="shared" si="54"/>
        <v>350</v>
      </c>
      <c r="AA9" s="191">
        <f t="shared" si="15"/>
        <v>0.47996976568405147</v>
      </c>
      <c r="AB9" s="153">
        <f t="shared" si="16"/>
        <v>1.4172335600907031</v>
      </c>
      <c r="AC9" s="153">
        <f t="shared" si="17"/>
        <v>0.11904012045735404</v>
      </c>
      <c r="AD9" s="153"/>
      <c r="AE9" s="153">
        <f t="shared" si="18"/>
        <v>0.44291338582677164</v>
      </c>
      <c r="AF9" s="317">
        <f t="shared" si="19"/>
        <v>120.41481481481483</v>
      </c>
      <c r="AG9" s="463">
        <f t="shared" si="20"/>
        <v>1.1626476377952754E-2</v>
      </c>
      <c r="AI9" s="153">
        <f t="shared" si="21"/>
        <v>9.2741890217194742E-2</v>
      </c>
      <c r="AJ9" s="153">
        <f t="shared" si="22"/>
        <v>0.15</v>
      </c>
      <c r="AK9" s="153">
        <f t="shared" si="23"/>
        <v>1.0688084656084655</v>
      </c>
      <c r="AM9" s="317">
        <f t="shared" si="24"/>
        <v>4</v>
      </c>
      <c r="AN9" s="147">
        <f t="shared" si="25"/>
        <v>120.41481481481483</v>
      </c>
      <c r="AP9">
        <f t="shared" si="26"/>
        <v>4</v>
      </c>
      <c r="AQ9" s="147">
        <f t="shared" si="27"/>
        <v>120.41481481481483</v>
      </c>
      <c r="AR9" s="147"/>
      <c r="AS9" s="5">
        <f t="shared" si="55"/>
        <v>8.3046259842519667</v>
      </c>
      <c r="AT9" s="5">
        <f t="shared" si="28"/>
        <v>0.45</v>
      </c>
      <c r="AU9" s="5">
        <f t="shared" si="56"/>
        <v>7.8546259842519666</v>
      </c>
      <c r="AV9" s="5">
        <f t="shared" si="29"/>
        <v>0.44291338582677164</v>
      </c>
      <c r="AW9" s="153">
        <f t="shared" si="57"/>
        <v>5.4186666666666682E-2</v>
      </c>
      <c r="AX9" s="153">
        <f t="shared" si="30"/>
        <v>8.1280000000000005E-2</v>
      </c>
      <c r="AY9" s="153">
        <f t="shared" si="31"/>
        <v>7.0935999999999999E-2</v>
      </c>
      <c r="AZ9" s="153">
        <f t="shared" si="58"/>
        <v>1.1458215856546747</v>
      </c>
      <c r="BA9" s="147">
        <f t="shared" si="32"/>
        <v>2.385619286777211</v>
      </c>
      <c r="BB9" s="147">
        <f t="shared" si="33"/>
        <v>3.4063257599999994E-2</v>
      </c>
      <c r="BC9" s="5">
        <f t="shared" si="34"/>
        <v>3.4909448818897626E-2</v>
      </c>
      <c r="BD9" s="147">
        <f t="shared" si="35"/>
        <v>3.5042782152230965</v>
      </c>
      <c r="BE9" s="5"/>
      <c r="BF9" s="153">
        <f t="shared" si="59"/>
        <v>2.0159365069366646E-2</v>
      </c>
      <c r="BG9" s="153">
        <f t="shared" si="36"/>
        <v>8.4223512156641867E-2</v>
      </c>
      <c r="BH9" s="153"/>
      <c r="BI9" s="463">
        <f t="shared" si="37"/>
        <v>1.4224000000000002E-4</v>
      </c>
      <c r="BJ9" s="463">
        <f t="shared" si="38"/>
        <v>3.6413440000000004E-3</v>
      </c>
      <c r="BK9" s="463">
        <f t="shared" si="39"/>
        <v>1.5051851851851854E-3</v>
      </c>
      <c r="BL9" s="463">
        <f t="shared" si="40"/>
        <v>9.7879326720000034E-3</v>
      </c>
      <c r="BM9">
        <f t="shared" si="41"/>
        <v>5.7999999999999996E-3</v>
      </c>
      <c r="BN9">
        <f t="shared" si="42"/>
        <v>4.5155555555555556E-6</v>
      </c>
      <c r="BO9" s="463">
        <f t="shared" si="43"/>
        <v>2.0900968322704706E-2</v>
      </c>
      <c r="BP9" s="147">
        <f t="shared" si="60"/>
        <v>20.900968322704706</v>
      </c>
      <c r="BQ9" s="463">
        <f t="shared" si="44"/>
        <v>6.9475104000000006E-3</v>
      </c>
      <c r="BR9" s="463"/>
      <c r="BT9" s="147">
        <f t="shared" si="61"/>
        <v>6.9475104000000005</v>
      </c>
      <c r="BU9" s="463">
        <f t="shared" si="45"/>
        <v>4.0640000000000007E-4</v>
      </c>
      <c r="BV9" s="463">
        <f t="shared" si="46"/>
        <v>7.0936000000000003E-3</v>
      </c>
      <c r="BW9" s="463">
        <f t="shared" si="47"/>
        <v>0</v>
      </c>
      <c r="BX9" s="463">
        <f t="shared" si="48"/>
        <v>8.4050430258154913E-3</v>
      </c>
      <c r="BY9" s="463">
        <f t="shared" si="49"/>
        <v>1.354666666666667E-3</v>
      </c>
      <c r="BZ9" s="147">
        <f t="shared" si="62"/>
        <v>9.7597096924821578</v>
      </c>
      <c r="CA9" s="153">
        <f t="shared" si="63"/>
        <v>3.7608188415186858E-2</v>
      </c>
      <c r="CB9" s="5">
        <f t="shared" si="64"/>
        <v>0.08</v>
      </c>
      <c r="CC9" s="153">
        <f t="shared" si="65"/>
        <v>0.68022474521569554</v>
      </c>
      <c r="CD9" s="5">
        <f t="shared" si="66"/>
        <v>68.022474521569549</v>
      </c>
      <c r="CG9" s="59">
        <f t="shared" si="50"/>
        <v>-50</v>
      </c>
      <c r="CH9">
        <f t="shared" si="51"/>
        <v>-50</v>
      </c>
    </row>
    <row r="10" spans="2:86" x14ac:dyDescent="0.25">
      <c r="E10" s="150">
        <v>5</v>
      </c>
      <c r="F10" s="191">
        <f t="shared" si="52"/>
        <v>5.000000000000001E-3</v>
      </c>
      <c r="G10" s="191"/>
      <c r="H10" s="191">
        <f t="shared" si="0"/>
        <v>0.10000000000000002</v>
      </c>
      <c r="I10" s="472">
        <f t="shared" si="1"/>
        <v>20</v>
      </c>
      <c r="J10" s="152">
        <f t="shared" si="2"/>
        <v>20.32</v>
      </c>
      <c r="K10" s="386">
        <f t="shared" si="3"/>
        <v>40.32</v>
      </c>
      <c r="L10" s="386"/>
      <c r="M10" s="191">
        <f t="shared" si="4"/>
        <v>0.50396825396825395</v>
      </c>
      <c r="N10" s="152">
        <f t="shared" si="5"/>
        <v>3.4017857142857144</v>
      </c>
      <c r="O10" s="152">
        <f t="shared" si="53"/>
        <v>0.10000000000000002</v>
      </c>
      <c r="P10" s="191">
        <f t="shared" si="6"/>
        <v>0.17008928571428572</v>
      </c>
      <c r="Q10" s="191">
        <f t="shared" si="7"/>
        <v>20</v>
      </c>
      <c r="R10" s="191">
        <f t="shared" si="8"/>
        <v>0.18898809523809523</v>
      </c>
      <c r="S10" s="152">
        <f t="shared" si="9"/>
        <v>1330.0048108551741</v>
      </c>
      <c r="T10" s="152">
        <f t="shared" si="10"/>
        <v>20</v>
      </c>
      <c r="U10" s="191">
        <f t="shared" si="11"/>
        <v>2.2047244094488196E-2</v>
      </c>
      <c r="V10" s="191">
        <f t="shared" si="12"/>
        <v>6.6141732283464594E-2</v>
      </c>
      <c r="W10" s="191">
        <f t="shared" si="13"/>
        <v>6.5100130200260425E-2</v>
      </c>
      <c r="X10" s="175">
        <f t="shared" si="14"/>
        <v>350</v>
      </c>
      <c r="Y10" s="386">
        <f t="shared" si="54"/>
        <v>350</v>
      </c>
      <c r="AA10" s="191">
        <f t="shared" si="15"/>
        <v>0.47996976568405147</v>
      </c>
      <c r="AB10" s="153">
        <f t="shared" si="16"/>
        <v>1.4172335600907031</v>
      </c>
      <c r="AC10" s="153">
        <f t="shared" si="17"/>
        <v>0.11904012045735404</v>
      </c>
      <c r="AD10" s="153"/>
      <c r="AE10" s="153">
        <f t="shared" si="18"/>
        <v>0.44291338582677164</v>
      </c>
      <c r="AF10" s="317">
        <f t="shared" si="19"/>
        <v>150.51851851851856</v>
      </c>
      <c r="AG10" s="463">
        <f t="shared" si="20"/>
        <v>1.1626476377952754E-2</v>
      </c>
      <c r="AI10" s="153">
        <f t="shared" si="21"/>
        <v>0.1036885854437351</v>
      </c>
      <c r="AJ10" s="153">
        <f t="shared" si="22"/>
        <v>0.15</v>
      </c>
      <c r="AK10" s="153">
        <f t="shared" si="23"/>
        <v>1.0860105820105821</v>
      </c>
      <c r="AM10" s="317">
        <f t="shared" si="24"/>
        <v>5.0000000000000009</v>
      </c>
      <c r="AN10" s="147">
        <f t="shared" si="25"/>
        <v>150.51851851851856</v>
      </c>
      <c r="AP10">
        <f t="shared" si="26"/>
        <v>5.0000000000000009</v>
      </c>
      <c r="AQ10" s="147">
        <f t="shared" si="27"/>
        <v>150.51851851851856</v>
      </c>
      <c r="AR10" s="147"/>
      <c r="AS10" s="5">
        <f t="shared" si="55"/>
        <v>6.6437007874015723</v>
      </c>
      <c r="AT10" s="5">
        <f t="shared" si="28"/>
        <v>0.45</v>
      </c>
      <c r="AU10" s="5">
        <f t="shared" si="56"/>
        <v>6.1937007874015721</v>
      </c>
      <c r="AV10" s="5">
        <f t="shared" si="29"/>
        <v>0.44291338582677164</v>
      </c>
      <c r="AW10" s="153">
        <f t="shared" si="57"/>
        <v>6.7733333333333354E-2</v>
      </c>
      <c r="AX10" s="153">
        <f t="shared" si="30"/>
        <v>0.10160000000000002</v>
      </c>
      <c r="AY10" s="153">
        <f t="shared" si="31"/>
        <v>6.9919999999999996E-2</v>
      </c>
      <c r="AZ10" s="153">
        <f t="shared" si="58"/>
        <v>1.4530892448512589</v>
      </c>
      <c r="BA10" s="147">
        <f t="shared" si="32"/>
        <v>2.385619286777211</v>
      </c>
      <c r="BB10" s="147">
        <f t="shared" si="33"/>
        <v>4.9473840000000019E-2</v>
      </c>
      <c r="BC10" s="5">
        <f t="shared" si="34"/>
        <v>3.4409448818897632E-2</v>
      </c>
      <c r="BD10" s="147">
        <f t="shared" si="35"/>
        <v>3.4576115485564296</v>
      </c>
      <c r="BE10" s="5"/>
      <c r="BF10" s="153">
        <f t="shared" si="59"/>
        <v>2.253885533916929E-2</v>
      </c>
      <c r="BG10" s="153">
        <f t="shared" si="36"/>
        <v>8.361817984146748E-2</v>
      </c>
      <c r="BH10" s="153"/>
      <c r="BI10" s="463">
        <f t="shared" si="37"/>
        <v>1.7779999999999998E-4</v>
      </c>
      <c r="BJ10" s="463">
        <f t="shared" si="38"/>
        <v>4.5516800000000015E-3</v>
      </c>
      <c r="BK10" s="463">
        <f t="shared" si="39"/>
        <v>1.8814814814814818E-3</v>
      </c>
      <c r="BL10" s="463">
        <f t="shared" si="40"/>
        <v>1.2234915840000006E-2</v>
      </c>
      <c r="BM10">
        <f t="shared" si="41"/>
        <v>5.7999999999999996E-3</v>
      </c>
      <c r="BN10">
        <f t="shared" si="42"/>
        <v>5.6444444444444462E-6</v>
      </c>
      <c r="BO10" s="463">
        <f t="shared" si="43"/>
        <v>2.4676334250862332E-2</v>
      </c>
      <c r="BP10" s="147">
        <f t="shared" si="60"/>
        <v>24.676334250862332</v>
      </c>
      <c r="BQ10" s="463">
        <f t="shared" si="44"/>
        <v>7.2518880000000006E-3</v>
      </c>
      <c r="BR10" s="463"/>
      <c r="BT10" s="147">
        <f t="shared" si="61"/>
        <v>7.251888000000001</v>
      </c>
      <c r="BU10" s="463">
        <f t="shared" si="45"/>
        <v>5.0799999999999999E-4</v>
      </c>
      <c r="BV10" s="463">
        <f t="shared" si="46"/>
        <v>6.9919999999999982E-3</v>
      </c>
      <c r="BW10" s="463">
        <f t="shared" si="47"/>
        <v>0</v>
      </c>
      <c r="BX10" s="463">
        <f t="shared" si="48"/>
        <v>8.4050430258154878E-3</v>
      </c>
      <c r="BY10" s="463">
        <f t="shared" si="49"/>
        <v>1.693333333333334E-3</v>
      </c>
      <c r="BZ10" s="147">
        <f t="shared" si="62"/>
        <v>10.098376359148821</v>
      </c>
      <c r="CA10" s="153">
        <f t="shared" si="63"/>
        <v>4.2026598610011151E-2</v>
      </c>
      <c r="CB10" s="5">
        <f t="shared" si="64"/>
        <v>0.10000000000000002</v>
      </c>
      <c r="CC10" s="153">
        <f t="shared" si="65"/>
        <v>0.7040934654401505</v>
      </c>
      <c r="CD10" s="5">
        <f t="shared" si="66"/>
        <v>70.409346544015051</v>
      </c>
      <c r="CG10" s="59">
        <f t="shared" si="50"/>
        <v>-50</v>
      </c>
      <c r="CH10">
        <f t="shared" si="51"/>
        <v>-50</v>
      </c>
    </row>
    <row r="11" spans="2:86" x14ac:dyDescent="0.25">
      <c r="E11" s="150">
        <v>6</v>
      </c>
      <c r="F11" s="191">
        <f t="shared" si="52"/>
        <v>6.0000000000000001E-3</v>
      </c>
      <c r="G11" s="191"/>
      <c r="H11" s="191">
        <f t="shared" si="0"/>
        <v>0.12</v>
      </c>
      <c r="I11" s="472">
        <f t="shared" si="1"/>
        <v>20</v>
      </c>
      <c r="J11" s="152">
        <f t="shared" si="2"/>
        <v>20.32</v>
      </c>
      <c r="K11" s="386">
        <f t="shared" si="3"/>
        <v>40.32</v>
      </c>
      <c r="L11" s="386"/>
      <c r="M11" s="191">
        <f t="shared" si="4"/>
        <v>0.50396825396825395</v>
      </c>
      <c r="N11" s="152">
        <f t="shared" si="5"/>
        <v>3.4017857142857144</v>
      </c>
      <c r="O11" s="152">
        <f t="shared" si="53"/>
        <v>0.12</v>
      </c>
      <c r="P11" s="191">
        <f t="shared" si="6"/>
        <v>0.17008928571428572</v>
      </c>
      <c r="Q11" s="191">
        <f t="shared" si="7"/>
        <v>20</v>
      </c>
      <c r="R11" s="191">
        <f t="shared" si="8"/>
        <v>0.18898809523809523</v>
      </c>
      <c r="S11" s="152">
        <f t="shared" si="9"/>
        <v>1105.0057901480786</v>
      </c>
      <c r="T11" s="152">
        <f t="shared" si="10"/>
        <v>20</v>
      </c>
      <c r="U11" s="191">
        <f t="shared" si="11"/>
        <v>2.6456692913385826E-2</v>
      </c>
      <c r="V11" s="191">
        <f t="shared" si="12"/>
        <v>7.9370078740157488E-2</v>
      </c>
      <c r="W11" s="191">
        <f t="shared" si="13"/>
        <v>7.8120156240312488E-2</v>
      </c>
      <c r="X11" s="175">
        <f t="shared" si="14"/>
        <v>350</v>
      </c>
      <c r="Y11" s="386">
        <f t="shared" si="54"/>
        <v>350</v>
      </c>
      <c r="AA11" s="191">
        <f t="shared" si="15"/>
        <v>0.47996976568405147</v>
      </c>
      <c r="AB11" s="153">
        <f t="shared" si="16"/>
        <v>1.4172335600907031</v>
      </c>
      <c r="AC11" s="153">
        <f t="shared" si="17"/>
        <v>0.11904012045735404</v>
      </c>
      <c r="AD11" s="153"/>
      <c r="AE11" s="153">
        <f t="shared" si="18"/>
        <v>0.44291338582677164</v>
      </c>
      <c r="AF11" s="317">
        <f t="shared" si="19"/>
        <v>180.62222222222223</v>
      </c>
      <c r="AG11" s="463">
        <f t="shared" si="20"/>
        <v>1.1626476377952754E-2</v>
      </c>
      <c r="AI11" s="153">
        <f t="shared" si="21"/>
        <v>0.11358515440667104</v>
      </c>
      <c r="AJ11" s="153">
        <f t="shared" si="22"/>
        <v>0.15</v>
      </c>
      <c r="AK11" s="153">
        <f t="shared" si="23"/>
        <v>1.1032126984126984</v>
      </c>
      <c r="AM11" s="317">
        <f t="shared" si="24"/>
        <v>6</v>
      </c>
      <c r="AN11" s="147">
        <f t="shared" si="25"/>
        <v>180.62222222222223</v>
      </c>
      <c r="AP11">
        <f t="shared" si="26"/>
        <v>6</v>
      </c>
      <c r="AQ11" s="147">
        <f t="shared" si="27"/>
        <v>180.62222222222223</v>
      </c>
      <c r="AR11" s="147"/>
      <c r="AS11" s="5">
        <f t="shared" si="55"/>
        <v>5.5364173228346454</v>
      </c>
      <c r="AT11" s="5">
        <f t="shared" si="28"/>
        <v>0.45</v>
      </c>
      <c r="AU11" s="5">
        <f t="shared" si="56"/>
        <v>5.0864173228346452</v>
      </c>
      <c r="AV11" s="5">
        <f t="shared" si="29"/>
        <v>0.44291338582677164</v>
      </c>
      <c r="AW11" s="153">
        <f t="shared" si="57"/>
        <v>8.1280000000000005E-2</v>
      </c>
      <c r="AX11" s="153">
        <f t="shared" si="30"/>
        <v>0.12192000000000001</v>
      </c>
      <c r="AY11" s="153">
        <f t="shared" si="31"/>
        <v>6.8903999999999993E-2</v>
      </c>
      <c r="AZ11" s="153">
        <f t="shared" si="58"/>
        <v>1.7694183211424594</v>
      </c>
      <c r="BA11" s="147">
        <f t="shared" si="32"/>
        <v>2.385619286777211</v>
      </c>
      <c r="BB11" s="147">
        <f t="shared" si="33"/>
        <v>6.7642329599999995E-2</v>
      </c>
      <c r="BC11" s="5">
        <f t="shared" si="34"/>
        <v>3.3909448818897632E-2</v>
      </c>
      <c r="BD11" s="147">
        <f t="shared" si="35"/>
        <v>3.4109448818897636</v>
      </c>
      <c r="BE11" s="5"/>
      <c r="BF11" s="153">
        <f t="shared" si="59"/>
        <v>2.4690078979217545E-2</v>
      </c>
      <c r="BG11" s="153">
        <f t="shared" si="36"/>
        <v>8.3008433306502066E-2</v>
      </c>
      <c r="BH11" s="153"/>
      <c r="BI11" s="463">
        <f t="shared" si="37"/>
        <v>2.1336E-4</v>
      </c>
      <c r="BJ11" s="463">
        <f t="shared" si="38"/>
        <v>5.4620160000000001E-3</v>
      </c>
      <c r="BK11" s="463">
        <f t="shared" si="39"/>
        <v>2.2577777777777778E-3</v>
      </c>
      <c r="BL11" s="463">
        <f t="shared" si="40"/>
        <v>1.4681899008000003E-2</v>
      </c>
      <c r="BM11">
        <f t="shared" si="41"/>
        <v>5.7999999999999996E-3</v>
      </c>
      <c r="BN11">
        <f t="shared" si="42"/>
        <v>6.7733333333333334E-6</v>
      </c>
      <c r="BO11" s="463">
        <f t="shared" si="43"/>
        <v>2.8451749719962702E-2</v>
      </c>
      <c r="BP11" s="147">
        <f t="shared" si="60"/>
        <v>28.451749719962702</v>
      </c>
      <c r="BQ11" s="463">
        <f t="shared" si="44"/>
        <v>7.5562656000000014E-3</v>
      </c>
      <c r="BR11" s="463"/>
      <c r="BT11" s="147">
        <f t="shared" si="61"/>
        <v>7.5562656000000015</v>
      </c>
      <c r="BU11" s="463">
        <f t="shared" si="45"/>
        <v>6.0960000000000007E-4</v>
      </c>
      <c r="BV11" s="463">
        <f t="shared" si="46"/>
        <v>6.8904000000000014E-3</v>
      </c>
      <c r="BW11" s="463">
        <f t="shared" si="47"/>
        <v>0</v>
      </c>
      <c r="BX11" s="463">
        <f t="shared" si="48"/>
        <v>8.405043025815493E-3</v>
      </c>
      <c r="BY11" s="463">
        <f t="shared" si="49"/>
        <v>2.0320000000000004E-3</v>
      </c>
      <c r="BZ11" s="147">
        <f t="shared" si="62"/>
        <v>10.437043025815495</v>
      </c>
      <c r="CA11" s="153">
        <f t="shared" si="63"/>
        <v>4.6445058345778202E-2</v>
      </c>
      <c r="CB11" s="5">
        <f t="shared" si="64"/>
        <v>0.12</v>
      </c>
      <c r="CC11" s="153">
        <f t="shared" si="65"/>
        <v>0.72095862257867838</v>
      </c>
      <c r="CD11" s="5">
        <f t="shared" si="66"/>
        <v>72.095862257867836</v>
      </c>
      <c r="CG11" s="59">
        <f t="shared" si="50"/>
        <v>-50</v>
      </c>
      <c r="CH11">
        <f t="shared" si="51"/>
        <v>-50</v>
      </c>
    </row>
    <row r="12" spans="2:86" x14ac:dyDescent="0.25">
      <c r="E12" s="150">
        <v>7</v>
      </c>
      <c r="F12" s="191">
        <f t="shared" si="52"/>
        <v>7.000000000000001E-3</v>
      </c>
      <c r="G12" s="191"/>
      <c r="H12" s="191">
        <f t="shared" si="0"/>
        <v>0.14000000000000001</v>
      </c>
      <c r="I12" s="472">
        <f t="shared" si="1"/>
        <v>20</v>
      </c>
      <c r="J12" s="152">
        <f t="shared" si="2"/>
        <v>20.32</v>
      </c>
      <c r="K12" s="386">
        <f t="shared" si="3"/>
        <v>40.32</v>
      </c>
      <c r="L12" s="386"/>
      <c r="M12" s="191">
        <f t="shared" si="4"/>
        <v>0.50396825396825395</v>
      </c>
      <c r="N12" s="152">
        <f t="shared" si="5"/>
        <v>3.4017857142857144</v>
      </c>
      <c r="O12" s="152">
        <f t="shared" si="53"/>
        <v>0.14000000000000001</v>
      </c>
      <c r="P12" s="191">
        <f t="shared" si="6"/>
        <v>0.17008928571428572</v>
      </c>
      <c r="Q12" s="191">
        <f t="shared" si="7"/>
        <v>20</v>
      </c>
      <c r="R12" s="191">
        <f t="shared" si="8"/>
        <v>0.18898809523809523</v>
      </c>
      <c r="S12" s="152">
        <f t="shared" si="9"/>
        <v>944.29248955077867</v>
      </c>
      <c r="T12" s="152">
        <f t="shared" si="10"/>
        <v>20</v>
      </c>
      <c r="U12" s="191">
        <f t="shared" si="11"/>
        <v>3.086614173228347E-2</v>
      </c>
      <c r="V12" s="191">
        <f t="shared" si="12"/>
        <v>9.2598425196850409E-2</v>
      </c>
      <c r="W12" s="191">
        <f t="shared" si="13"/>
        <v>9.1140182280364579E-2</v>
      </c>
      <c r="X12" s="175">
        <f t="shared" si="14"/>
        <v>350</v>
      </c>
      <c r="Y12" s="386">
        <f t="shared" si="54"/>
        <v>350</v>
      </c>
      <c r="AA12" s="191">
        <f t="shared" si="15"/>
        <v>0.47996976568405147</v>
      </c>
      <c r="AB12" s="153">
        <f t="shared" si="16"/>
        <v>1.4172335600907031</v>
      </c>
      <c r="AC12" s="153">
        <f t="shared" si="17"/>
        <v>0.11904012045735404</v>
      </c>
      <c r="AD12" s="153"/>
      <c r="AE12" s="153">
        <f t="shared" si="18"/>
        <v>0.44291338582677164</v>
      </c>
      <c r="AF12" s="317">
        <f t="shared" si="19"/>
        <v>210.72592592592599</v>
      </c>
      <c r="AG12" s="463">
        <f t="shared" si="20"/>
        <v>1.1626476377952754E-2</v>
      </c>
      <c r="AI12" s="153">
        <f t="shared" si="21"/>
        <v>0.12268598881637566</v>
      </c>
      <c r="AJ12" s="153">
        <f t="shared" si="22"/>
        <v>0.15</v>
      </c>
      <c r="AK12" s="153">
        <f t="shared" si="23"/>
        <v>1.1204148148148148</v>
      </c>
      <c r="AM12" s="317">
        <f t="shared" si="24"/>
        <v>7.0000000000000009</v>
      </c>
      <c r="AN12" s="147">
        <f t="shared" si="25"/>
        <v>210.72592592592599</v>
      </c>
      <c r="AP12">
        <f t="shared" si="26"/>
        <v>7.0000000000000009</v>
      </c>
      <c r="AQ12" s="147">
        <f t="shared" si="27"/>
        <v>210.72592592592599</v>
      </c>
      <c r="AR12" s="147"/>
      <c r="AS12" s="5">
        <f t="shared" si="55"/>
        <v>4.7455005624296946</v>
      </c>
      <c r="AT12" s="5">
        <f t="shared" si="28"/>
        <v>0.45</v>
      </c>
      <c r="AU12" s="5">
        <f t="shared" si="56"/>
        <v>4.2955005624296945</v>
      </c>
      <c r="AV12" s="5">
        <f t="shared" si="29"/>
        <v>0.44291338582677164</v>
      </c>
      <c r="AW12" s="153">
        <f t="shared" si="57"/>
        <v>9.4826666666666698E-2</v>
      </c>
      <c r="AX12" s="153">
        <f t="shared" si="30"/>
        <v>0.14224000000000006</v>
      </c>
      <c r="AY12" s="153">
        <f t="shared" si="31"/>
        <v>6.788799999999999E-2</v>
      </c>
      <c r="AZ12" s="153">
        <f t="shared" si="58"/>
        <v>2.0952156493047385</v>
      </c>
      <c r="BA12" s="147">
        <f t="shared" si="32"/>
        <v>2.385619286777211</v>
      </c>
      <c r="BB12" s="147">
        <f t="shared" si="33"/>
        <v>8.8568726400000006E-2</v>
      </c>
      <c r="BC12" s="5">
        <f t="shared" si="34"/>
        <v>3.3409448818897625E-2</v>
      </c>
      <c r="BD12" s="147">
        <f t="shared" si="35"/>
        <v>3.3642782152230959</v>
      </c>
      <c r="BE12" s="5"/>
      <c r="BF12" s="153">
        <f t="shared" si="59"/>
        <v>2.6668333281253259E-2</v>
      </c>
      <c r="BG12" s="153">
        <f t="shared" si="36"/>
        <v>8.2394174551360111E-2</v>
      </c>
      <c r="BH12" s="153"/>
      <c r="BI12" s="463">
        <f t="shared" si="37"/>
        <v>2.4892000000000008E-4</v>
      </c>
      <c r="BJ12" s="463">
        <f t="shared" si="38"/>
        <v>6.3723520000000021E-3</v>
      </c>
      <c r="BK12" s="463">
        <f t="shared" si="39"/>
        <v>2.6340740740740747E-3</v>
      </c>
      <c r="BL12" s="463">
        <f t="shared" si="40"/>
        <v>1.7128882176000008E-2</v>
      </c>
      <c r="BM12">
        <f t="shared" si="41"/>
        <v>5.7999999999999996E-3</v>
      </c>
      <c r="BN12">
        <f t="shared" si="42"/>
        <v>7.9022222222222249E-6</v>
      </c>
      <c r="BO12" s="463">
        <f t="shared" si="43"/>
        <v>3.2227214730980967E-2</v>
      </c>
      <c r="BP12" s="147">
        <f t="shared" si="60"/>
        <v>32.227214730980968</v>
      </c>
      <c r="BQ12" s="463">
        <f t="shared" si="44"/>
        <v>7.8606431999999997E-3</v>
      </c>
      <c r="BR12" s="463"/>
      <c r="BT12" s="147">
        <f t="shared" si="61"/>
        <v>7.8606431999999993</v>
      </c>
      <c r="BU12" s="463">
        <f t="shared" si="45"/>
        <v>7.1120000000000027E-4</v>
      </c>
      <c r="BV12" s="463">
        <f t="shared" si="46"/>
        <v>6.7887999999999985E-3</v>
      </c>
      <c r="BW12" s="463">
        <f t="shared" si="47"/>
        <v>0</v>
      </c>
      <c r="BX12" s="463">
        <f t="shared" si="48"/>
        <v>8.4050430258154896E-3</v>
      </c>
      <c r="BY12" s="463">
        <f t="shared" si="49"/>
        <v>2.3706666666666681E-3</v>
      </c>
      <c r="BZ12" s="147">
        <f t="shared" si="62"/>
        <v>10.775709692482158</v>
      </c>
      <c r="CA12" s="153">
        <f t="shared" si="63"/>
        <v>5.086356762346312E-2</v>
      </c>
      <c r="CB12" s="5">
        <f t="shared" si="64"/>
        <v>0.14000000000000001</v>
      </c>
      <c r="CC12" s="153">
        <f t="shared" si="65"/>
        <v>0.73350824226545375</v>
      </c>
      <c r="CD12" s="5">
        <f t="shared" si="66"/>
        <v>73.35082422654537</v>
      </c>
      <c r="CG12" s="59">
        <f t="shared" si="50"/>
        <v>-50</v>
      </c>
      <c r="CH12">
        <f t="shared" si="51"/>
        <v>-50</v>
      </c>
    </row>
    <row r="13" spans="2:86" s="59" customFormat="1" x14ac:dyDescent="0.25">
      <c r="E13" s="150">
        <v>8</v>
      </c>
      <c r="F13" s="191">
        <f t="shared" si="52"/>
        <v>8.0000000000000002E-3</v>
      </c>
      <c r="G13" s="191"/>
      <c r="H13" s="191">
        <f t="shared" si="0"/>
        <v>0.16</v>
      </c>
      <c r="I13" s="472">
        <f t="shared" si="1"/>
        <v>20</v>
      </c>
      <c r="J13" s="152">
        <f t="shared" si="2"/>
        <v>20.32</v>
      </c>
      <c r="K13" s="386">
        <f t="shared" si="3"/>
        <v>40.32</v>
      </c>
      <c r="L13" s="386"/>
      <c r="M13" s="191">
        <f t="shared" si="4"/>
        <v>0.50396825396825395</v>
      </c>
      <c r="N13" s="152">
        <f t="shared" si="5"/>
        <v>3.4017857142857144</v>
      </c>
      <c r="O13" s="152">
        <f t="shared" si="53"/>
        <v>0.16</v>
      </c>
      <c r="P13" s="191">
        <f t="shared" si="6"/>
        <v>0.17008928571428572</v>
      </c>
      <c r="Q13" s="191">
        <f t="shared" si="7"/>
        <v>20</v>
      </c>
      <c r="R13" s="191">
        <f t="shared" si="8"/>
        <v>0.18898809523809523</v>
      </c>
      <c r="S13" s="152">
        <f t="shared" si="9"/>
        <v>823.75776625733886</v>
      </c>
      <c r="T13" s="152">
        <f t="shared" si="10"/>
        <v>20</v>
      </c>
      <c r="U13" s="191">
        <f t="shared" si="11"/>
        <v>3.5275590551181103E-2</v>
      </c>
      <c r="V13" s="191">
        <f t="shared" si="12"/>
        <v>0.1058267716535433</v>
      </c>
      <c r="W13" s="191">
        <f t="shared" si="13"/>
        <v>0.10416020832041664</v>
      </c>
      <c r="X13" s="175">
        <f t="shared" si="14"/>
        <v>350</v>
      </c>
      <c r="Y13" s="386">
        <f t="shared" si="54"/>
        <v>350</v>
      </c>
      <c r="AA13" s="191">
        <f t="shared" si="15"/>
        <v>0.47996976568405147</v>
      </c>
      <c r="AB13" s="153">
        <f t="shared" si="16"/>
        <v>1.4172335600907031</v>
      </c>
      <c r="AC13" s="469">
        <f t="shared" si="17"/>
        <v>0.11904012045735404</v>
      </c>
      <c r="AD13" s="469"/>
      <c r="AE13" s="153">
        <f t="shared" si="18"/>
        <v>0.44291338582677164</v>
      </c>
      <c r="AF13" s="317">
        <f t="shared" si="19"/>
        <v>240.82962962962966</v>
      </c>
      <c r="AG13" s="463">
        <f t="shared" si="20"/>
        <v>1.1626476377952754E-2</v>
      </c>
      <c r="AH13"/>
      <c r="AI13" s="153">
        <f t="shared" si="21"/>
        <v>0.13115683894527347</v>
      </c>
      <c r="AJ13" s="153">
        <f t="shared" si="22"/>
        <v>0.15</v>
      </c>
      <c r="AK13" s="153">
        <f t="shared" si="23"/>
        <v>1.1376169312169313</v>
      </c>
      <c r="AM13" s="317">
        <f t="shared" si="24"/>
        <v>8</v>
      </c>
      <c r="AN13" s="147">
        <f t="shared" si="25"/>
        <v>240.82962962962966</v>
      </c>
      <c r="AP13">
        <f t="shared" si="26"/>
        <v>8</v>
      </c>
      <c r="AQ13" s="147">
        <f t="shared" si="27"/>
        <v>240.82962962962966</v>
      </c>
      <c r="AR13" s="147"/>
      <c r="AS13" s="5">
        <f t="shared" si="55"/>
        <v>4.1523129921259834</v>
      </c>
      <c r="AT13" s="5">
        <f t="shared" si="28"/>
        <v>0.45</v>
      </c>
      <c r="AU13" s="5">
        <f t="shared" si="56"/>
        <v>3.7023129921259832</v>
      </c>
      <c r="AV13" s="5">
        <f t="shared" si="29"/>
        <v>0.44291338582677164</v>
      </c>
      <c r="AW13" s="153">
        <f t="shared" si="57"/>
        <v>0.10837333333333336</v>
      </c>
      <c r="AX13" s="153">
        <f t="shared" si="30"/>
        <v>0.16256000000000001</v>
      </c>
      <c r="AY13" s="153">
        <f t="shared" si="31"/>
        <v>6.6872000000000001E-2</v>
      </c>
      <c r="AZ13" s="153">
        <f t="shared" si="58"/>
        <v>2.430912788611078</v>
      </c>
      <c r="BA13" s="147">
        <f t="shared" si="32"/>
        <v>2.385619286777211</v>
      </c>
      <c r="BB13" s="147">
        <f t="shared" si="33"/>
        <v>0.11225303039999998</v>
      </c>
      <c r="BC13" s="5">
        <f t="shared" si="34"/>
        <v>3.2909448818897631E-2</v>
      </c>
      <c r="BD13" s="147">
        <f t="shared" si="35"/>
        <v>3.3176115485564299</v>
      </c>
      <c r="BE13" s="5"/>
      <c r="BF13" s="153">
        <f t="shared" si="59"/>
        <v>2.8509647489928739E-2</v>
      </c>
      <c r="BG13" s="153">
        <f t="shared" si="36"/>
        <v>8.1775301894887562E-2</v>
      </c>
      <c r="BH13" s="153"/>
      <c r="BI13" s="463">
        <f t="shared" si="37"/>
        <v>2.8447999999999999E-4</v>
      </c>
      <c r="BJ13" s="463">
        <f t="shared" si="38"/>
        <v>7.2826880000000007E-3</v>
      </c>
      <c r="BK13" s="463">
        <f t="shared" si="39"/>
        <v>3.0103703703703707E-3</v>
      </c>
      <c r="BL13" s="463">
        <f t="shared" si="40"/>
        <v>1.9575865344000007E-2</v>
      </c>
      <c r="BM13">
        <f t="shared" si="41"/>
        <v>5.7999999999999996E-3</v>
      </c>
      <c r="BN13">
        <f t="shared" si="42"/>
        <v>9.0311111111111112E-6</v>
      </c>
      <c r="BO13" s="463">
        <f t="shared" si="43"/>
        <v>3.600272928489226E-2</v>
      </c>
      <c r="BP13" s="147">
        <f t="shared" si="60"/>
        <v>36.002729284892261</v>
      </c>
      <c r="BQ13" s="463">
        <f t="shared" si="44"/>
        <v>8.1650208000000005E-3</v>
      </c>
      <c r="BR13" s="463"/>
      <c r="BT13" s="147">
        <f t="shared" si="61"/>
        <v>8.1650208000000006</v>
      </c>
      <c r="BU13" s="463">
        <f t="shared" si="45"/>
        <v>8.1280000000000002E-4</v>
      </c>
      <c r="BV13" s="463">
        <f t="shared" si="46"/>
        <v>6.6872000000000008E-3</v>
      </c>
      <c r="BW13" s="463">
        <f t="shared" si="47"/>
        <v>0</v>
      </c>
      <c r="BX13" s="463">
        <f t="shared" si="48"/>
        <v>8.4050430258154913E-3</v>
      </c>
      <c r="BY13" s="463">
        <f t="shared" si="49"/>
        <v>2.709333333333334E-3</v>
      </c>
      <c r="BZ13" s="147">
        <f t="shared" si="62"/>
        <v>11.114376359148826</v>
      </c>
      <c r="CA13" s="153">
        <f t="shared" si="63"/>
        <v>5.5282126444041083E-2</v>
      </c>
      <c r="CB13" s="5">
        <f t="shared" si="64"/>
        <v>0.16</v>
      </c>
      <c r="CC13" s="153">
        <f t="shared" si="65"/>
        <v>0.7432107934031823</v>
      </c>
      <c r="CD13" s="5">
        <f t="shared" si="66"/>
        <v>74.321079340318235</v>
      </c>
      <c r="CG13" s="59">
        <f t="shared" si="50"/>
        <v>-50</v>
      </c>
      <c r="CH13">
        <f t="shared" si="51"/>
        <v>-50</v>
      </c>
    </row>
    <row r="14" spans="2:86" x14ac:dyDescent="0.25">
      <c r="E14" s="150">
        <v>9</v>
      </c>
      <c r="F14" s="191">
        <f t="shared" si="52"/>
        <v>8.9999999999999993E-3</v>
      </c>
      <c r="G14" s="191"/>
      <c r="H14" s="191">
        <f t="shared" si="0"/>
        <v>0.18</v>
      </c>
      <c r="I14" s="472">
        <f t="shared" si="1"/>
        <v>20</v>
      </c>
      <c r="J14" s="152">
        <f t="shared" si="2"/>
        <v>20.32</v>
      </c>
      <c r="K14" s="386">
        <f t="shared" si="3"/>
        <v>40.32</v>
      </c>
      <c r="L14" s="386"/>
      <c r="M14" s="191">
        <f t="shared" si="4"/>
        <v>0.50396825396825395</v>
      </c>
      <c r="N14" s="152">
        <f t="shared" si="5"/>
        <v>3.4017857142857144</v>
      </c>
      <c r="O14" s="152">
        <f t="shared" si="53"/>
        <v>0.18</v>
      </c>
      <c r="P14" s="191">
        <f t="shared" si="6"/>
        <v>0.17008928571428572</v>
      </c>
      <c r="Q14" s="191">
        <f t="shared" si="7"/>
        <v>20</v>
      </c>
      <c r="R14" s="191">
        <f t="shared" si="8"/>
        <v>0.18898809523809523</v>
      </c>
      <c r="S14" s="152">
        <f t="shared" si="9"/>
        <v>730.00876317669895</v>
      </c>
      <c r="T14" s="152">
        <f t="shared" si="10"/>
        <v>20</v>
      </c>
      <c r="U14" s="191">
        <f t="shared" si="11"/>
        <v>3.9685039370078737E-2</v>
      </c>
      <c r="V14" s="191">
        <f t="shared" si="12"/>
        <v>0.11905511811023621</v>
      </c>
      <c r="W14" s="191">
        <f t="shared" si="13"/>
        <v>0.1171802343604687</v>
      </c>
      <c r="X14" s="175">
        <f t="shared" si="14"/>
        <v>350</v>
      </c>
      <c r="Y14" s="386">
        <f t="shared" si="54"/>
        <v>350</v>
      </c>
      <c r="AA14" s="191">
        <f t="shared" si="15"/>
        <v>0.47996976568405147</v>
      </c>
      <c r="AB14" s="153">
        <f t="shared" si="16"/>
        <v>1.4172335600907031</v>
      </c>
      <c r="AC14" s="153">
        <f t="shared" si="17"/>
        <v>0.11904012045735404</v>
      </c>
      <c r="AD14" s="153"/>
      <c r="AE14" s="153">
        <f t="shared" si="18"/>
        <v>0.44291338582677164</v>
      </c>
      <c r="AF14" s="317">
        <f t="shared" si="19"/>
        <v>270.93333333333339</v>
      </c>
      <c r="AG14" s="463">
        <f t="shared" si="20"/>
        <v>1.1626476377952754E-2</v>
      </c>
      <c r="AI14" s="153">
        <f t="shared" si="21"/>
        <v>0.13911283532579211</v>
      </c>
      <c r="AJ14" s="153">
        <f t="shared" si="22"/>
        <v>0.15</v>
      </c>
      <c r="AK14" s="153">
        <f t="shared" si="23"/>
        <v>1.1548190476190476</v>
      </c>
      <c r="AM14" s="317">
        <f t="shared" si="24"/>
        <v>9</v>
      </c>
      <c r="AN14" s="147">
        <f t="shared" si="25"/>
        <v>270.93333333333339</v>
      </c>
      <c r="AP14">
        <f t="shared" si="26"/>
        <v>9</v>
      </c>
      <c r="AQ14" s="147">
        <f t="shared" si="27"/>
        <v>270.93333333333339</v>
      </c>
      <c r="AR14" s="147"/>
      <c r="AS14" s="5">
        <f t="shared" si="55"/>
        <v>3.690944881889763</v>
      </c>
      <c r="AT14" s="5">
        <f t="shared" si="28"/>
        <v>0.45</v>
      </c>
      <c r="AU14" s="5">
        <f t="shared" si="56"/>
        <v>3.2409448818897628</v>
      </c>
      <c r="AV14" s="5">
        <f t="shared" si="29"/>
        <v>0.44291338582677164</v>
      </c>
      <c r="AW14" s="153">
        <f t="shared" si="57"/>
        <v>0.12192000000000003</v>
      </c>
      <c r="AX14" s="153">
        <f t="shared" si="30"/>
        <v>0.18288000000000004</v>
      </c>
      <c r="AY14" s="153">
        <f t="shared" si="31"/>
        <v>6.5855999999999998E-2</v>
      </c>
      <c r="AZ14" s="153">
        <f t="shared" si="58"/>
        <v>2.7769679300291554</v>
      </c>
      <c r="BA14" s="147">
        <f t="shared" si="32"/>
        <v>2.385619286777211</v>
      </c>
      <c r="BB14" s="147">
        <f t="shared" si="33"/>
        <v>0.13869524159999996</v>
      </c>
      <c r="BC14" s="5">
        <f t="shared" si="34"/>
        <v>3.2409448818897624E-2</v>
      </c>
      <c r="BD14" s="147">
        <f t="shared" si="35"/>
        <v>3.2709448818897626</v>
      </c>
      <c r="BE14" s="5"/>
      <c r="BF14" s="153">
        <f t="shared" si="59"/>
        <v>3.0239047604049968E-2</v>
      </c>
      <c r="BG14" s="153">
        <f t="shared" si="36"/>
        <v>8.115170977866086E-2</v>
      </c>
      <c r="BH14" s="153"/>
      <c r="BI14" s="463">
        <f t="shared" si="37"/>
        <v>3.2004000000000001E-4</v>
      </c>
      <c r="BJ14" s="463">
        <f t="shared" si="38"/>
        <v>8.1930240000000019E-3</v>
      </c>
      <c r="BK14" s="463">
        <f t="shared" si="39"/>
        <v>3.3866666666666672E-3</v>
      </c>
      <c r="BL14" s="463">
        <f t="shared" si="40"/>
        <v>2.2022848512000009E-2</v>
      </c>
      <c r="BM14">
        <f t="shared" si="41"/>
        <v>5.7999999999999996E-3</v>
      </c>
      <c r="BN14">
        <f t="shared" si="42"/>
        <v>1.0160000000000001E-5</v>
      </c>
      <c r="BO14" s="463">
        <f t="shared" si="43"/>
        <v>3.9778293382671796E-2</v>
      </c>
      <c r="BP14" s="147">
        <f t="shared" si="60"/>
        <v>39.778293382671798</v>
      </c>
      <c r="BQ14" s="463">
        <f t="shared" si="44"/>
        <v>8.4693984000000014E-3</v>
      </c>
      <c r="BR14" s="463"/>
      <c r="BT14" s="147">
        <f t="shared" si="61"/>
        <v>8.4693984000000011</v>
      </c>
      <c r="BU14" s="463">
        <f t="shared" si="45"/>
        <v>9.1440000000000011E-4</v>
      </c>
      <c r="BV14" s="463">
        <f t="shared" si="46"/>
        <v>6.5856000000000005E-3</v>
      </c>
      <c r="BW14" s="463">
        <f t="shared" si="47"/>
        <v>0</v>
      </c>
      <c r="BX14" s="463">
        <f t="shared" si="48"/>
        <v>8.4050430258154913E-3</v>
      </c>
      <c r="BY14" s="463">
        <f t="shared" si="49"/>
        <v>3.0480000000000012E-3</v>
      </c>
      <c r="BZ14" s="147">
        <f t="shared" si="62"/>
        <v>11.453043025815491</v>
      </c>
      <c r="CA14" s="153">
        <f t="shared" si="63"/>
        <v>5.9700734808487289E-2</v>
      </c>
      <c r="CB14" s="5">
        <f t="shared" si="64"/>
        <v>0.18</v>
      </c>
      <c r="CC14" s="153">
        <f t="shared" si="65"/>
        <v>0.75093637132073821</v>
      </c>
      <c r="CD14" s="5">
        <f t="shared" si="66"/>
        <v>75.093637132073823</v>
      </c>
      <c r="CG14" s="59">
        <f t="shared" si="50"/>
        <v>-50</v>
      </c>
      <c r="CH14">
        <f t="shared" si="51"/>
        <v>-50</v>
      </c>
    </row>
    <row r="15" spans="2:86" x14ac:dyDescent="0.25">
      <c r="E15" s="150">
        <v>10</v>
      </c>
      <c r="F15" s="191">
        <f t="shared" si="52"/>
        <v>1.0000000000000002E-2</v>
      </c>
      <c r="G15" s="191"/>
      <c r="H15" s="191">
        <f t="shared" si="0"/>
        <v>0.20000000000000004</v>
      </c>
      <c r="I15" s="472">
        <f t="shared" si="1"/>
        <v>20</v>
      </c>
      <c r="J15" s="152">
        <f t="shared" si="2"/>
        <v>20.32</v>
      </c>
      <c r="K15" s="386">
        <f t="shared" si="3"/>
        <v>40.32</v>
      </c>
      <c r="L15" s="386"/>
      <c r="M15" s="191">
        <f t="shared" si="4"/>
        <v>0.50396825396825395</v>
      </c>
      <c r="N15" s="152">
        <f t="shared" si="5"/>
        <v>3.4017857142857144</v>
      </c>
      <c r="O15" s="152">
        <f t="shared" si="53"/>
        <v>0.20000000000000004</v>
      </c>
      <c r="P15" s="191">
        <f t="shared" si="6"/>
        <v>0.17008928571428572</v>
      </c>
      <c r="Q15" s="191">
        <f t="shared" si="7"/>
        <v>20</v>
      </c>
      <c r="R15" s="191">
        <f t="shared" si="8"/>
        <v>0.18898809523809523</v>
      </c>
      <c r="S15" s="152">
        <f t="shared" si="9"/>
        <v>655.00976607554128</v>
      </c>
      <c r="T15" s="152">
        <f t="shared" si="10"/>
        <v>20</v>
      </c>
      <c r="U15" s="191">
        <f t="shared" si="11"/>
        <v>4.4094488188976391E-2</v>
      </c>
      <c r="V15" s="191">
        <f t="shared" si="12"/>
        <v>0.13228346456692919</v>
      </c>
      <c r="W15" s="191">
        <f t="shared" si="13"/>
        <v>0.13020026040052085</v>
      </c>
      <c r="X15" s="175">
        <f t="shared" si="14"/>
        <v>350</v>
      </c>
      <c r="Y15" s="386">
        <f t="shared" si="54"/>
        <v>350</v>
      </c>
      <c r="AA15" s="191">
        <f t="shared" si="15"/>
        <v>0.47996976568405147</v>
      </c>
      <c r="AB15" s="153">
        <f t="shared" si="16"/>
        <v>1.4172335600907031</v>
      </c>
      <c r="AC15" s="153">
        <f t="shared" si="17"/>
        <v>0.11904012045735404</v>
      </c>
      <c r="AD15" s="153"/>
      <c r="AE15" s="153">
        <f t="shared" si="18"/>
        <v>0.44291338582677164</v>
      </c>
      <c r="AF15" s="317">
        <f t="shared" si="19"/>
        <v>301.03703703703712</v>
      </c>
      <c r="AG15" s="463">
        <f t="shared" si="20"/>
        <v>1.1626476377952754E-2</v>
      </c>
      <c r="AI15" s="153">
        <f t="shared" si="21"/>
        <v>0.14663780379781166</v>
      </c>
      <c r="AJ15" s="153">
        <f t="shared" si="22"/>
        <v>0.15</v>
      </c>
      <c r="AK15" s="153">
        <f t="shared" si="23"/>
        <v>1.1720211640211642</v>
      </c>
      <c r="AM15" s="317">
        <f t="shared" si="24"/>
        <v>10.000000000000002</v>
      </c>
      <c r="AN15" s="147">
        <f t="shared" si="25"/>
        <v>301.03703703703712</v>
      </c>
      <c r="AP15">
        <f t="shared" si="26"/>
        <v>10.000000000000002</v>
      </c>
      <c r="AQ15" s="147">
        <f t="shared" si="27"/>
        <v>301.03703703703712</v>
      </c>
      <c r="AR15" s="147"/>
      <c r="AS15" s="5">
        <f t="shared" si="55"/>
        <v>3.3218503937007862</v>
      </c>
      <c r="AT15" s="5">
        <f t="shared" si="28"/>
        <v>0.45</v>
      </c>
      <c r="AU15" s="5">
        <f t="shared" si="56"/>
        <v>2.871850393700786</v>
      </c>
      <c r="AV15" s="5">
        <f t="shared" si="29"/>
        <v>0.44291338582677164</v>
      </c>
      <c r="AW15" s="153">
        <f t="shared" si="57"/>
        <v>0.13546666666666671</v>
      </c>
      <c r="AX15" s="153">
        <f t="shared" si="30"/>
        <v>0.20320000000000005</v>
      </c>
      <c r="AY15" s="153">
        <f t="shared" si="31"/>
        <v>6.4839999999999995E-2</v>
      </c>
      <c r="AZ15" s="153">
        <f t="shared" si="58"/>
        <v>3.1338679827267129</v>
      </c>
      <c r="BA15" s="147">
        <f t="shared" si="32"/>
        <v>2.385619286777211</v>
      </c>
      <c r="BB15" s="147">
        <f t="shared" si="33"/>
        <v>0.16789536000000008</v>
      </c>
      <c r="BC15" s="5">
        <f t="shared" si="34"/>
        <v>3.190944881889763E-2</v>
      </c>
      <c r="BD15" s="147">
        <f t="shared" si="35"/>
        <v>3.2242782152230958</v>
      </c>
      <c r="BE15" s="5"/>
      <c r="BF15" s="153">
        <f t="shared" si="59"/>
        <v>3.1874754901018459E-2</v>
      </c>
      <c r="BG15" s="153">
        <f t="shared" si="36"/>
        <v>8.0523288556789571E-2</v>
      </c>
      <c r="BH15" s="153"/>
      <c r="BI15" s="463">
        <f t="shared" si="37"/>
        <v>3.5560000000000002E-4</v>
      </c>
      <c r="BJ15" s="463">
        <f t="shared" si="38"/>
        <v>9.103360000000003E-3</v>
      </c>
      <c r="BK15" s="463">
        <f t="shared" si="39"/>
        <v>3.7629629629629636E-3</v>
      </c>
      <c r="BL15" s="463">
        <f t="shared" si="40"/>
        <v>2.4469831680000012E-2</v>
      </c>
      <c r="BM15">
        <f t="shared" si="41"/>
        <v>5.7999999999999996E-3</v>
      </c>
      <c r="BN15">
        <f t="shared" si="42"/>
        <v>1.1288888888888892E-5</v>
      </c>
      <c r="BO15" s="463">
        <f t="shared" si="43"/>
        <v>4.3553907025294769E-2</v>
      </c>
      <c r="BP15" s="147">
        <f t="shared" si="60"/>
        <v>43.55390702529477</v>
      </c>
      <c r="BQ15" s="463">
        <f t="shared" si="44"/>
        <v>8.7737759999999988E-3</v>
      </c>
      <c r="BR15" s="463"/>
      <c r="BT15" s="147">
        <f t="shared" si="61"/>
        <v>8.773775999999998</v>
      </c>
      <c r="BU15" s="463">
        <f t="shared" si="45"/>
        <v>1.0160000000000002E-3</v>
      </c>
      <c r="BV15" s="463">
        <f t="shared" si="46"/>
        <v>6.4839999999999984E-3</v>
      </c>
      <c r="BW15" s="463">
        <f t="shared" si="47"/>
        <v>0</v>
      </c>
      <c r="BX15" s="463">
        <f t="shared" si="48"/>
        <v>8.4050430258154896E-3</v>
      </c>
      <c r="BY15" s="463">
        <f t="shared" si="49"/>
        <v>3.386666666666668E-3</v>
      </c>
      <c r="BZ15" s="147">
        <f t="shared" si="62"/>
        <v>11.791709692482158</v>
      </c>
      <c r="CA15" s="153">
        <f t="shared" si="63"/>
        <v>6.4119392717776919E-2</v>
      </c>
      <c r="CB15" s="5">
        <f t="shared" si="64"/>
        <v>0.20000000000000004</v>
      </c>
      <c r="CC15" s="153">
        <f t="shared" si="65"/>
        <v>0.75723330249251608</v>
      </c>
      <c r="CD15" s="5">
        <f t="shared" si="66"/>
        <v>75.723330249251603</v>
      </c>
      <c r="CG15" s="59">
        <f t="shared" si="50"/>
        <v>-50</v>
      </c>
      <c r="CH15">
        <f t="shared" si="51"/>
        <v>-50</v>
      </c>
    </row>
    <row r="16" spans="2:86" x14ac:dyDescent="0.25">
      <c r="E16" s="150">
        <v>11</v>
      </c>
      <c r="F16" s="191">
        <f t="shared" si="52"/>
        <v>1.1000000000000001E-2</v>
      </c>
      <c r="G16" s="191"/>
      <c r="H16" s="191">
        <f t="shared" si="0"/>
        <v>0.22000000000000003</v>
      </c>
      <c r="I16" s="472">
        <f t="shared" si="1"/>
        <v>20</v>
      </c>
      <c r="J16" s="152">
        <f t="shared" si="2"/>
        <v>20.32</v>
      </c>
      <c r="K16" s="386">
        <f t="shared" si="3"/>
        <v>40.32</v>
      </c>
      <c r="L16" s="386"/>
      <c r="M16" s="191">
        <f t="shared" si="4"/>
        <v>0.50396825396825395</v>
      </c>
      <c r="N16" s="152">
        <f t="shared" si="5"/>
        <v>3.4017857142857144</v>
      </c>
      <c r="O16" s="152">
        <f t="shared" si="53"/>
        <v>0.22000000000000003</v>
      </c>
      <c r="P16" s="191">
        <f t="shared" si="6"/>
        <v>0.17008928571428572</v>
      </c>
      <c r="Q16" s="191">
        <f t="shared" si="7"/>
        <v>20</v>
      </c>
      <c r="R16" s="191">
        <f t="shared" si="8"/>
        <v>0.18898809523809523</v>
      </c>
      <c r="S16" s="152">
        <f t="shared" si="9"/>
        <v>593.6471386432346</v>
      </c>
      <c r="T16" s="152">
        <f t="shared" si="10"/>
        <v>20</v>
      </c>
      <c r="U16" s="191">
        <f t="shared" si="11"/>
        <v>4.8503937007874025E-2</v>
      </c>
      <c r="V16" s="191">
        <f t="shared" si="12"/>
        <v>0.1455118110236221</v>
      </c>
      <c r="W16" s="191">
        <f t="shared" si="13"/>
        <v>0.14322028644057291</v>
      </c>
      <c r="X16" s="175">
        <f t="shared" si="14"/>
        <v>350</v>
      </c>
      <c r="Y16" s="386">
        <f t="shared" si="54"/>
        <v>350</v>
      </c>
      <c r="AA16" s="191">
        <f t="shared" si="15"/>
        <v>0.47996976568405147</v>
      </c>
      <c r="AB16" s="153">
        <f t="shared" si="16"/>
        <v>1.4172335600907031</v>
      </c>
      <c r="AC16" s="153">
        <f t="shared" si="17"/>
        <v>0.11904012045735404</v>
      </c>
      <c r="AD16" s="153"/>
      <c r="AE16" s="153">
        <f t="shared" si="18"/>
        <v>0.44291338582677164</v>
      </c>
      <c r="AF16" s="317">
        <f t="shared" si="19"/>
        <v>331.14074074074085</v>
      </c>
      <c r="AG16" s="463">
        <f t="shared" si="20"/>
        <v>1.1626476377952754E-2</v>
      </c>
      <c r="AI16" s="153">
        <f t="shared" si="21"/>
        <v>0.1537950260993835</v>
      </c>
      <c r="AJ16" s="153">
        <f t="shared" si="22"/>
        <v>0.1537950260993835</v>
      </c>
      <c r="AK16" s="153">
        <f t="shared" si="23"/>
        <v>1.1892232804232805</v>
      </c>
      <c r="AM16" s="317">
        <f t="shared" si="24"/>
        <v>11.000000000000002</v>
      </c>
      <c r="AN16" s="147">
        <f t="shared" si="25"/>
        <v>331.14074074074085</v>
      </c>
      <c r="AP16">
        <f t="shared" si="26"/>
        <v>11.000000000000002</v>
      </c>
      <c r="AQ16" s="147">
        <f t="shared" si="27"/>
        <v>331.14074074074085</v>
      </c>
      <c r="AR16" s="147"/>
      <c r="AS16" s="5">
        <f t="shared" si="55"/>
        <v>3.0198639942734422</v>
      </c>
      <c r="AT16" s="5">
        <f t="shared" si="28"/>
        <v>0.46138507829815045</v>
      </c>
      <c r="AU16" s="5">
        <f t="shared" si="56"/>
        <v>2.5584789159752916</v>
      </c>
      <c r="AV16" s="5">
        <f t="shared" si="29"/>
        <v>0.45411917155329767</v>
      </c>
      <c r="AW16" s="153">
        <f t="shared" si="57"/>
        <v>0.15278339659437426</v>
      </c>
      <c r="AX16" s="153">
        <f t="shared" si="30"/>
        <v>0.23497326466784255</v>
      </c>
      <c r="AY16" s="153">
        <f t="shared" si="31"/>
        <v>6.5148849816299634E-2</v>
      </c>
      <c r="AZ16" s="153">
        <f t="shared" si="58"/>
        <v>3.6067139378576476</v>
      </c>
      <c r="BA16" s="147">
        <f t="shared" si="32"/>
        <v>2.385619286777211</v>
      </c>
      <c r="BB16" s="147">
        <f t="shared" si="33"/>
        <v>0.19985338560000002</v>
      </c>
      <c r="BC16" s="5">
        <f t="shared" si="34"/>
        <v>3.1270297861920232E-2</v>
      </c>
      <c r="BD16" s="147">
        <f t="shared" si="35"/>
        <v>3.1636964528586899</v>
      </c>
      <c r="BE16" s="5"/>
      <c r="BF16" s="153">
        <f t="shared" si="59"/>
        <v>3.4707213165876716E-2</v>
      </c>
      <c r="BG16" s="153">
        <f t="shared" si="36"/>
        <v>8.1729509390601446E-2</v>
      </c>
      <c r="BH16" s="153"/>
      <c r="BI16" s="463">
        <f t="shared" si="37"/>
        <v>4.2160672600956208E-4</v>
      </c>
      <c r="BJ16" s="463">
        <f t="shared" si="38"/>
        <v>1.026704425114195E-2</v>
      </c>
      <c r="BK16" s="463">
        <f t="shared" si="39"/>
        <v>4.1392592592592609E-3</v>
      </c>
      <c r="BL16" s="463">
        <f t="shared" si="40"/>
        <v>2.6916814848000011E-2</v>
      </c>
      <c r="BM16">
        <f t="shared" si="41"/>
        <v>5.7999999999999996E-3</v>
      </c>
      <c r="BN16">
        <f t="shared" si="42"/>
        <v>1.2417777777777782E-5</v>
      </c>
      <c r="BO16" s="463">
        <f t="shared" si="43"/>
        <v>4.7617763786570753E-2</v>
      </c>
      <c r="BP16" s="147">
        <f t="shared" si="60"/>
        <v>47.617763786570755</v>
      </c>
      <c r="BQ16" s="463">
        <f t="shared" si="44"/>
        <v>9.3053005067945064E-3</v>
      </c>
      <c r="BR16" s="463"/>
      <c r="BT16" s="147">
        <f t="shared" si="61"/>
        <v>9.3053005067945058</v>
      </c>
      <c r="BU16" s="463">
        <f t="shared" si="45"/>
        <v>1.204590645741606E-3</v>
      </c>
      <c r="BV16" s="463">
        <f t="shared" si="46"/>
        <v>6.6797127052284095E-3</v>
      </c>
      <c r="BW16" s="463">
        <f t="shared" si="47"/>
        <v>0</v>
      </c>
      <c r="BX16" s="463">
        <f t="shared" si="48"/>
        <v>8.8359930050271127E-3</v>
      </c>
      <c r="BY16" s="463">
        <f t="shared" si="49"/>
        <v>3.9162210777973754E-3</v>
      </c>
      <c r="BZ16" s="147">
        <f t="shared" si="62"/>
        <v>12.752214082824489</v>
      </c>
      <c r="CA16" s="153">
        <f t="shared" si="63"/>
        <v>6.9675278376189753E-2</v>
      </c>
      <c r="CB16" s="5">
        <f t="shared" si="64"/>
        <v>0.22000000000000003</v>
      </c>
      <c r="CC16" s="153">
        <f t="shared" si="65"/>
        <v>0.75947109202151097</v>
      </c>
      <c r="CD16" s="5">
        <f t="shared" si="66"/>
        <v>75.947109202151097</v>
      </c>
      <c r="CG16" s="59">
        <f t="shared" si="50"/>
        <v>-50</v>
      </c>
      <c r="CH16">
        <f t="shared" si="51"/>
        <v>-50</v>
      </c>
    </row>
    <row r="17" spans="5:86" x14ac:dyDescent="0.25">
      <c r="E17" s="150">
        <v>12</v>
      </c>
      <c r="F17" s="191">
        <f t="shared" si="52"/>
        <v>1.2E-2</v>
      </c>
      <c r="G17" s="191"/>
      <c r="H17" s="191">
        <f t="shared" si="0"/>
        <v>0.24</v>
      </c>
      <c r="I17" s="472">
        <f t="shared" si="1"/>
        <v>20</v>
      </c>
      <c r="J17" s="152">
        <f t="shared" si="2"/>
        <v>20.32</v>
      </c>
      <c r="K17" s="386">
        <f t="shared" si="3"/>
        <v>40.32</v>
      </c>
      <c r="L17" s="386"/>
      <c r="M17" s="191">
        <f t="shared" si="4"/>
        <v>0.50396825396825395</v>
      </c>
      <c r="N17" s="152">
        <f t="shared" si="5"/>
        <v>3.4017857142857144</v>
      </c>
      <c r="O17" s="152">
        <f t="shared" si="53"/>
        <v>0.24</v>
      </c>
      <c r="P17" s="191">
        <f t="shared" si="6"/>
        <v>0.17008928571428572</v>
      </c>
      <c r="Q17" s="191">
        <f t="shared" si="7"/>
        <v>20</v>
      </c>
      <c r="R17" s="191">
        <f t="shared" si="8"/>
        <v>0.18898809523809523</v>
      </c>
      <c r="S17" s="152">
        <f t="shared" si="9"/>
        <v>542.51179002430877</v>
      </c>
      <c r="T17" s="152">
        <f t="shared" si="10"/>
        <v>20</v>
      </c>
      <c r="U17" s="191">
        <f t="shared" si="11"/>
        <v>5.2913385826771651E-2</v>
      </c>
      <c r="V17" s="191">
        <f t="shared" si="12"/>
        <v>0.15874015748031498</v>
      </c>
      <c r="W17" s="191">
        <f t="shared" si="13"/>
        <v>0.15624031248062498</v>
      </c>
      <c r="X17" s="175">
        <f t="shared" si="14"/>
        <v>350</v>
      </c>
      <c r="Y17" s="386">
        <f t="shared" si="54"/>
        <v>350</v>
      </c>
      <c r="AA17" s="191">
        <f t="shared" si="15"/>
        <v>0.47996976568405147</v>
      </c>
      <c r="AB17" s="153">
        <f t="shared" si="16"/>
        <v>1.4172335600907031</v>
      </c>
      <c r="AC17" s="153">
        <f t="shared" si="17"/>
        <v>0.11904012045735404</v>
      </c>
      <c r="AD17" s="153"/>
      <c r="AE17" s="153">
        <f t="shared" si="18"/>
        <v>0.44291338582677164</v>
      </c>
      <c r="AF17" s="317">
        <f t="shared" si="19"/>
        <v>361.24444444444447</v>
      </c>
      <c r="AG17" s="463">
        <f t="shared" si="20"/>
        <v>1.1626476377952754E-2</v>
      </c>
      <c r="AI17" s="153">
        <f t="shared" si="21"/>
        <v>0.16063366584615629</v>
      </c>
      <c r="AJ17" s="153">
        <f t="shared" si="22"/>
        <v>0.16063366584615629</v>
      </c>
      <c r="AK17" s="153">
        <f t="shared" si="23"/>
        <v>1.2070891105641042</v>
      </c>
      <c r="AM17" s="317">
        <f t="shared" si="24"/>
        <v>12</v>
      </c>
      <c r="AN17" s="147">
        <f t="shared" si="25"/>
        <v>350</v>
      </c>
      <c r="AP17">
        <f t="shared" si="26"/>
        <v>12</v>
      </c>
      <c r="AQ17" s="147">
        <f t="shared" si="27"/>
        <v>350</v>
      </c>
      <c r="AR17" s="147"/>
      <c r="AS17" s="5">
        <f t="shared" si="55"/>
        <v>2.8571428571428572</v>
      </c>
      <c r="AT17" s="5">
        <f t="shared" si="28"/>
        <v>0.48190099753846893</v>
      </c>
      <c r="AU17" s="5">
        <f t="shared" si="56"/>
        <v>2.3752418596043885</v>
      </c>
      <c r="AV17" s="5">
        <f t="shared" si="29"/>
        <v>0.47431200545124891</v>
      </c>
      <c r="AW17" s="153">
        <f t="shared" si="57"/>
        <v>0.16866534913846412</v>
      </c>
      <c r="AX17" s="153">
        <f t="shared" si="30"/>
        <v>0.27093333333333325</v>
      </c>
      <c r="AY17" s="153">
        <f t="shared" si="31"/>
        <v>6.6770166256411481E-2</v>
      </c>
      <c r="AZ17" s="153">
        <f t="shared" si="58"/>
        <v>4.0577004450294805</v>
      </c>
      <c r="BA17" s="147">
        <f t="shared" si="32"/>
        <v>2.385619286777211</v>
      </c>
      <c r="BB17" s="147">
        <f t="shared" si="33"/>
        <v>0.23456931839999998</v>
      </c>
      <c r="BC17" s="5">
        <f t="shared" si="34"/>
        <v>3.1669891461391847E-2</v>
      </c>
      <c r="BD17" s="147">
        <f t="shared" si="35"/>
        <v>3.2069891461391848</v>
      </c>
      <c r="BE17" s="5"/>
      <c r="BF17" s="153">
        <f t="shared" si="59"/>
        <v>3.8088062230070614E-2</v>
      </c>
      <c r="BG17" s="153">
        <f t="shared" si="36"/>
        <v>8.4559787822678867E-2</v>
      </c>
      <c r="BH17" s="153"/>
      <c r="BI17" s="463">
        <f t="shared" si="37"/>
        <v>5.0774516955460602E-4</v>
      </c>
      <c r="BJ17" s="463">
        <f t="shared" si="38"/>
        <v>1.1334311462104788E-2</v>
      </c>
      <c r="BK17" s="463">
        <f t="shared" si="39"/>
        <v>4.3749999999999995E-3</v>
      </c>
      <c r="BL17" s="463">
        <f t="shared" si="40"/>
        <v>2.8449792000000005E-2</v>
      </c>
      <c r="BM17">
        <f t="shared" si="41"/>
        <v>5.7999999999999996E-3</v>
      </c>
      <c r="BN17">
        <f t="shared" si="42"/>
        <v>1.3124999999999999E-5</v>
      </c>
      <c r="BO17" s="463">
        <f t="shared" si="43"/>
        <v>5.0553255007105252E-2</v>
      </c>
      <c r="BP17" s="147">
        <f t="shared" si="60"/>
        <v>50.55325500710525</v>
      </c>
      <c r="BQ17" s="463">
        <f t="shared" si="44"/>
        <v>1.0046873295494984E-2</v>
      </c>
      <c r="BR17" s="463"/>
      <c r="BT17" s="147">
        <f t="shared" si="61"/>
        <v>10.046873295494985</v>
      </c>
      <c r="BU17" s="463">
        <f t="shared" si="45"/>
        <v>1.4507004844417316E-3</v>
      </c>
      <c r="BV17" s="463">
        <f t="shared" si="46"/>
        <v>7.1503577166164688E-3</v>
      </c>
      <c r="BW17" s="463">
        <f t="shared" si="47"/>
        <v>0</v>
      </c>
      <c r="BX17" s="463">
        <f t="shared" si="48"/>
        <v>9.6398181961734157E-3</v>
      </c>
      <c r="BY17" s="463">
        <f t="shared" si="49"/>
        <v>4.5155555555555556E-3</v>
      </c>
      <c r="BZ17" s="147">
        <f t="shared" si="62"/>
        <v>14.155373751728971</v>
      </c>
      <c r="CA17" s="153">
        <f t="shared" si="63"/>
        <v>7.4755502054329209E-2</v>
      </c>
      <c r="CB17" s="5">
        <f t="shared" si="64"/>
        <v>0.24</v>
      </c>
      <c r="CC17" s="153">
        <f t="shared" si="65"/>
        <v>0.76249659953068638</v>
      </c>
      <c r="CD17" s="5">
        <f t="shared" si="66"/>
        <v>76.249659953068644</v>
      </c>
      <c r="CG17" s="59">
        <f t="shared" si="50"/>
        <v>-50</v>
      </c>
      <c r="CH17">
        <f t="shared" si="51"/>
        <v>-50</v>
      </c>
    </row>
    <row r="18" spans="5:86" x14ac:dyDescent="0.25">
      <c r="E18" s="150">
        <v>13</v>
      </c>
      <c r="F18" s="191">
        <f t="shared" si="52"/>
        <v>1.3000000000000001E-2</v>
      </c>
      <c r="G18" s="191"/>
      <c r="H18" s="191">
        <f t="shared" si="0"/>
        <v>0.26</v>
      </c>
      <c r="I18" s="472">
        <f t="shared" si="1"/>
        <v>20</v>
      </c>
      <c r="J18" s="152">
        <f t="shared" si="2"/>
        <v>20.32</v>
      </c>
      <c r="K18" s="386">
        <f t="shared" si="3"/>
        <v>40.32</v>
      </c>
      <c r="L18" s="386"/>
      <c r="M18" s="191">
        <f t="shared" si="4"/>
        <v>0.50396825396825395</v>
      </c>
      <c r="N18" s="152">
        <f t="shared" si="5"/>
        <v>3.4017857142857144</v>
      </c>
      <c r="O18" s="152">
        <f t="shared" si="53"/>
        <v>0.26</v>
      </c>
      <c r="P18" s="191">
        <f t="shared" si="6"/>
        <v>0.17008928571428572</v>
      </c>
      <c r="Q18" s="191">
        <f t="shared" si="7"/>
        <v>20</v>
      </c>
      <c r="R18" s="191">
        <f t="shared" si="8"/>
        <v>0.18898809523809523</v>
      </c>
      <c r="S18" s="152">
        <f t="shared" si="9"/>
        <v>499.24358041287076</v>
      </c>
      <c r="T18" s="152">
        <f t="shared" si="10"/>
        <v>20</v>
      </c>
      <c r="U18" s="191">
        <f t="shared" si="11"/>
        <v>5.7322834645669292E-2</v>
      </c>
      <c r="V18" s="191">
        <f t="shared" si="12"/>
        <v>0.17196850393700788</v>
      </c>
      <c r="W18" s="191">
        <f t="shared" si="13"/>
        <v>0.16926033852067704</v>
      </c>
      <c r="X18" s="175">
        <f t="shared" si="14"/>
        <v>350</v>
      </c>
      <c r="Y18" s="386">
        <f t="shared" si="54"/>
        <v>350</v>
      </c>
      <c r="AA18" s="191">
        <f t="shared" si="15"/>
        <v>0.47996976568405147</v>
      </c>
      <c r="AB18" s="153">
        <f t="shared" si="16"/>
        <v>1.4172335600907031</v>
      </c>
      <c r="AC18" s="153">
        <f t="shared" si="17"/>
        <v>0.11904012045735404</v>
      </c>
      <c r="AD18" s="153"/>
      <c r="AE18" s="153">
        <f t="shared" si="18"/>
        <v>0.44291338582677164</v>
      </c>
      <c r="AF18" s="317">
        <f t="shared" si="19"/>
        <v>391.34814814814825</v>
      </c>
      <c r="AG18" s="463">
        <f t="shared" si="20"/>
        <v>1.1626476377952754E-2</v>
      </c>
      <c r="AI18" s="153">
        <f t="shared" si="21"/>
        <v>0.1671928202807739</v>
      </c>
      <c r="AJ18" s="153">
        <f t="shared" si="22"/>
        <v>0.1671928202807739</v>
      </c>
      <c r="AK18" s="153">
        <f t="shared" si="23"/>
        <v>1.2114618801871826</v>
      </c>
      <c r="AM18" s="317">
        <f t="shared" si="24"/>
        <v>13.000000000000002</v>
      </c>
      <c r="AN18" s="147">
        <f t="shared" si="25"/>
        <v>350</v>
      </c>
      <c r="AP18">
        <f t="shared" si="26"/>
        <v>13.000000000000002</v>
      </c>
      <c r="AQ18" s="147">
        <f t="shared" si="27"/>
        <v>350</v>
      </c>
      <c r="AR18" s="147"/>
      <c r="AS18" s="5">
        <f t="shared" si="55"/>
        <v>2.8571428571428572</v>
      </c>
      <c r="AT18" s="5">
        <f t="shared" si="28"/>
        <v>0.50157846084232172</v>
      </c>
      <c r="AU18" s="5">
        <f t="shared" si="56"/>
        <v>2.3555643963005357</v>
      </c>
      <c r="AV18" s="5">
        <f t="shared" si="29"/>
        <v>0.49367958744322998</v>
      </c>
      <c r="AW18" s="153">
        <f t="shared" si="57"/>
        <v>0.17555246129481258</v>
      </c>
      <c r="AX18" s="153">
        <f t="shared" si="30"/>
        <v>0.29351111111111117</v>
      </c>
      <c r="AY18" s="153">
        <f t="shared" si="31"/>
        <v>6.8920854584831381E-2</v>
      </c>
      <c r="AZ18" s="153">
        <f t="shared" si="58"/>
        <v>4.258669061478952</v>
      </c>
      <c r="BA18" s="147">
        <f t="shared" si="32"/>
        <v>2.385619286777211</v>
      </c>
      <c r="BB18" s="147">
        <f t="shared" si="33"/>
        <v>0.27204315840000004</v>
      </c>
      <c r="BC18" s="5">
        <f t="shared" si="34"/>
        <v>3.4024819057674405E-2</v>
      </c>
      <c r="BD18" s="147">
        <f t="shared" si="35"/>
        <v>3.4458152391007735</v>
      </c>
      <c r="BE18" s="5"/>
      <c r="BF18" s="153">
        <f t="shared" si="59"/>
        <v>4.0444591913056507E-2</v>
      </c>
      <c r="BG18" s="153">
        <f t="shared" si="36"/>
        <v>8.7647293375966329E-2</v>
      </c>
      <c r="BH18" s="153"/>
      <c r="BI18" s="463">
        <f t="shared" si="37"/>
        <v>5.7251775525478648E-4</v>
      </c>
      <c r="BJ18" s="463">
        <f t="shared" si="38"/>
        <v>1.1797125399011406E-2</v>
      </c>
      <c r="BK18" s="463">
        <f t="shared" si="39"/>
        <v>4.3749999999999995E-3</v>
      </c>
      <c r="BL18" s="463">
        <f t="shared" si="40"/>
        <v>2.8449792000000005E-2</v>
      </c>
      <c r="BM18">
        <f t="shared" si="41"/>
        <v>5.7999999999999996E-3</v>
      </c>
      <c r="BN18">
        <f t="shared" si="42"/>
        <v>1.3124999999999999E-5</v>
      </c>
      <c r="BO18" s="463">
        <f t="shared" si="43"/>
        <v>5.1090246689758707E-2</v>
      </c>
      <c r="BP18" s="147">
        <f t="shared" si="60"/>
        <v>51.090246689758708</v>
      </c>
      <c r="BQ18" s="463">
        <f t="shared" si="44"/>
        <v>1.0835084699605393E-2</v>
      </c>
      <c r="BR18" s="463"/>
      <c r="BT18" s="147">
        <f t="shared" si="61"/>
        <v>10.835084699605392</v>
      </c>
      <c r="BU18" s="463">
        <f t="shared" si="45"/>
        <v>1.6357650150136758E-3</v>
      </c>
      <c r="BV18" s="463">
        <f t="shared" si="46"/>
        <v>7.6820480361327109E-3</v>
      </c>
      <c r="BW18" s="463">
        <f t="shared" si="47"/>
        <v>0</v>
      </c>
      <c r="BX18" s="463">
        <f t="shared" si="48"/>
        <v>1.0443735639383424E-2</v>
      </c>
      <c r="BY18" s="463">
        <f t="shared" si="49"/>
        <v>4.8918518518518538E-3</v>
      </c>
      <c r="BZ18" s="147">
        <f t="shared" si="62"/>
        <v>15.335587491235277</v>
      </c>
      <c r="CA18" s="153">
        <f t="shared" si="63"/>
        <v>7.7260918880599369E-2</v>
      </c>
      <c r="CB18" s="5">
        <f t="shared" si="64"/>
        <v>0.26</v>
      </c>
      <c r="CC18" s="153">
        <f t="shared" si="65"/>
        <v>0.77091647873985636</v>
      </c>
      <c r="CD18" s="5">
        <f t="shared" si="66"/>
        <v>77.091647873985636</v>
      </c>
      <c r="CG18" s="59">
        <f t="shared" si="50"/>
        <v>-50</v>
      </c>
      <c r="CH18">
        <f t="shared" si="51"/>
        <v>-50</v>
      </c>
    </row>
    <row r="19" spans="5:86" x14ac:dyDescent="0.25">
      <c r="E19" s="150">
        <v>14</v>
      </c>
      <c r="F19" s="191">
        <f t="shared" si="52"/>
        <v>1.4000000000000002E-2</v>
      </c>
      <c r="G19" s="191"/>
      <c r="H19" s="191">
        <f t="shared" si="0"/>
        <v>0.28000000000000003</v>
      </c>
      <c r="I19" s="472">
        <f t="shared" si="1"/>
        <v>20</v>
      </c>
      <c r="J19" s="152">
        <f t="shared" si="2"/>
        <v>20.32</v>
      </c>
      <c r="K19" s="386">
        <f t="shared" si="3"/>
        <v>40.32</v>
      </c>
      <c r="L19" s="386"/>
      <c r="M19" s="191">
        <f t="shared" si="4"/>
        <v>0.50396825396825395</v>
      </c>
      <c r="N19" s="152">
        <f t="shared" si="5"/>
        <v>3.4017857142857144</v>
      </c>
      <c r="O19" s="152">
        <f t="shared" si="53"/>
        <v>0.28000000000000003</v>
      </c>
      <c r="P19" s="191">
        <f t="shared" si="6"/>
        <v>0.17008928571428572</v>
      </c>
      <c r="Q19" s="191">
        <f t="shared" si="7"/>
        <v>20</v>
      </c>
      <c r="R19" s="191">
        <f t="shared" si="8"/>
        <v>0.18898809523809523</v>
      </c>
      <c r="S19" s="152">
        <f t="shared" si="9"/>
        <v>462.15669567798722</v>
      </c>
      <c r="T19" s="152">
        <f t="shared" si="10"/>
        <v>20</v>
      </c>
      <c r="U19" s="191">
        <f t="shared" si="11"/>
        <v>6.1732283464566939E-2</v>
      </c>
      <c r="V19" s="191">
        <f t="shared" si="12"/>
        <v>0.18519685039370082</v>
      </c>
      <c r="W19" s="191">
        <f t="shared" si="13"/>
        <v>0.18228036456072916</v>
      </c>
      <c r="X19" s="175">
        <f t="shared" si="14"/>
        <v>350</v>
      </c>
      <c r="Y19" s="386">
        <f t="shared" si="54"/>
        <v>350</v>
      </c>
      <c r="AA19" s="191">
        <f t="shared" si="15"/>
        <v>0.47996976568405147</v>
      </c>
      <c r="AB19" s="153">
        <f t="shared" si="16"/>
        <v>1.4172335600907031</v>
      </c>
      <c r="AC19" s="153">
        <f t="shared" si="17"/>
        <v>0.11904012045735404</v>
      </c>
      <c r="AD19" s="153"/>
      <c r="AE19" s="153">
        <f t="shared" si="18"/>
        <v>0.44291338582677164</v>
      </c>
      <c r="AF19" s="317">
        <f t="shared" si="19"/>
        <v>421.45185185185198</v>
      </c>
      <c r="AG19" s="463">
        <f t="shared" si="20"/>
        <v>1.1626476377952754E-2</v>
      </c>
      <c r="AI19" s="153">
        <f t="shared" si="21"/>
        <v>0.17350418929727232</v>
      </c>
      <c r="AJ19" s="153">
        <f t="shared" si="22"/>
        <v>0.17350418929727232</v>
      </c>
      <c r="AK19" s="153">
        <f t="shared" si="23"/>
        <v>1.2156694595315147</v>
      </c>
      <c r="AM19" s="317">
        <f t="shared" si="24"/>
        <v>14.000000000000002</v>
      </c>
      <c r="AN19" s="147">
        <f t="shared" si="25"/>
        <v>350</v>
      </c>
      <c r="AP19">
        <f t="shared" si="26"/>
        <v>14.000000000000002</v>
      </c>
      <c r="AQ19" s="147">
        <f t="shared" si="27"/>
        <v>350</v>
      </c>
      <c r="AR19" s="147"/>
      <c r="AS19" s="5">
        <f t="shared" si="55"/>
        <v>2.8571428571428572</v>
      </c>
      <c r="AT19" s="5">
        <f t="shared" si="28"/>
        <v>0.52051256789181699</v>
      </c>
      <c r="AU19" s="5">
        <f t="shared" si="56"/>
        <v>2.3366302892510404</v>
      </c>
      <c r="AV19" s="5">
        <f t="shared" si="29"/>
        <v>0.51231551957856003</v>
      </c>
      <c r="AW19" s="153">
        <f t="shared" si="57"/>
        <v>0.18217939876213593</v>
      </c>
      <c r="AX19" s="153">
        <f t="shared" si="30"/>
        <v>0.31608888888888892</v>
      </c>
      <c r="AY19" s="153">
        <f t="shared" si="31"/>
        <v>7.0947650204191706E-2</v>
      </c>
      <c r="AZ19" s="153">
        <f t="shared" si="58"/>
        <v>4.4552411246766539</v>
      </c>
      <c r="BA19" s="147">
        <f t="shared" si="32"/>
        <v>2.385619286777211</v>
      </c>
      <c r="BB19" s="147">
        <f t="shared" si="33"/>
        <v>0.31227490560000004</v>
      </c>
      <c r="BC19" s="5">
        <f t="shared" si="34"/>
        <v>3.6347582277238409E-2</v>
      </c>
      <c r="BD19" s="147">
        <f t="shared" si="35"/>
        <v>3.6814248943905072</v>
      </c>
      <c r="BE19" s="5"/>
      <c r="BF19" s="153">
        <f t="shared" si="59"/>
        <v>4.2756187237460053E-2</v>
      </c>
      <c r="BG19" s="153">
        <f t="shared" si="36"/>
        <v>9.0589604007026245E-2</v>
      </c>
      <c r="BH19" s="153"/>
      <c r="BI19" s="463">
        <f t="shared" si="37"/>
        <v>6.3983204147965967E-4</v>
      </c>
      <c r="BJ19" s="463">
        <f t="shared" si="38"/>
        <v>1.2242455596815537E-2</v>
      </c>
      <c r="BK19" s="463">
        <f t="shared" si="39"/>
        <v>4.3749999999999995E-3</v>
      </c>
      <c r="BL19" s="463">
        <f t="shared" si="40"/>
        <v>2.8449792000000005E-2</v>
      </c>
      <c r="BM19">
        <f t="shared" si="41"/>
        <v>5.7999999999999996E-3</v>
      </c>
      <c r="BN19">
        <f t="shared" si="42"/>
        <v>1.3124999999999999E-5</v>
      </c>
      <c r="BO19" s="463">
        <f t="shared" si="43"/>
        <v>5.1612674789142589E-2</v>
      </c>
      <c r="BP19" s="147">
        <f t="shared" si="60"/>
        <v>51.612674789142588</v>
      </c>
      <c r="BQ19" s="463">
        <f t="shared" si="44"/>
        <v>1.1617747934570467E-2</v>
      </c>
      <c r="BR19" s="463"/>
      <c r="BT19" s="147">
        <f t="shared" si="61"/>
        <v>11.617747934570467</v>
      </c>
      <c r="BU19" s="463">
        <f t="shared" si="45"/>
        <v>1.8280915470847419E-3</v>
      </c>
      <c r="BV19" s="463">
        <f t="shared" si="46"/>
        <v>8.2064763541498248E-3</v>
      </c>
      <c r="BW19" s="463">
        <f t="shared" si="47"/>
        <v>0</v>
      </c>
      <c r="BX19" s="463">
        <f t="shared" si="48"/>
        <v>1.1247745350539179E-2</v>
      </c>
      <c r="BY19" s="463">
        <f t="shared" si="49"/>
        <v>5.2681481481481494E-3</v>
      </c>
      <c r="BZ19" s="147">
        <f t="shared" si="62"/>
        <v>16.515893498687326</v>
      </c>
      <c r="CA19" s="153">
        <f t="shared" si="63"/>
        <v>7.9746316222400387E-2</v>
      </c>
      <c r="CB19" s="5">
        <f t="shared" si="64"/>
        <v>0.28000000000000003</v>
      </c>
      <c r="CC19" s="153">
        <f t="shared" si="65"/>
        <v>0.77832624650671878</v>
      </c>
      <c r="CD19" s="5">
        <f t="shared" si="66"/>
        <v>77.832624650671875</v>
      </c>
      <c r="CG19" s="59">
        <f t="shared" si="50"/>
        <v>-50</v>
      </c>
      <c r="CH19">
        <f t="shared" si="51"/>
        <v>-50</v>
      </c>
    </row>
    <row r="20" spans="5:86" x14ac:dyDescent="0.25">
      <c r="E20" s="150">
        <v>15</v>
      </c>
      <c r="F20" s="191">
        <f t="shared" si="52"/>
        <v>1.4999999999999999E-2</v>
      </c>
      <c r="G20" s="191"/>
      <c r="H20" s="191">
        <f t="shared" si="0"/>
        <v>0.3</v>
      </c>
      <c r="I20" s="472">
        <f t="shared" si="1"/>
        <v>20</v>
      </c>
      <c r="J20" s="152">
        <f t="shared" si="2"/>
        <v>20.32</v>
      </c>
      <c r="K20" s="386">
        <f t="shared" si="3"/>
        <v>40.32</v>
      </c>
      <c r="L20" s="386"/>
      <c r="M20" s="191">
        <f t="shared" si="4"/>
        <v>0.50396825396825395</v>
      </c>
      <c r="N20" s="152">
        <f t="shared" si="5"/>
        <v>3.4017857142857144</v>
      </c>
      <c r="O20" s="152">
        <f t="shared" si="53"/>
        <v>0.3</v>
      </c>
      <c r="P20" s="191">
        <f t="shared" si="6"/>
        <v>0.17008928571428572</v>
      </c>
      <c r="Q20" s="191">
        <f t="shared" si="7"/>
        <v>20</v>
      </c>
      <c r="R20" s="191">
        <f t="shared" si="8"/>
        <v>0.18898809523809523</v>
      </c>
      <c r="S20" s="152">
        <f t="shared" si="9"/>
        <v>430.01487213891869</v>
      </c>
      <c r="T20" s="152">
        <f t="shared" si="10"/>
        <v>20</v>
      </c>
      <c r="U20" s="191">
        <f t="shared" si="11"/>
        <v>6.6141732283464566E-2</v>
      </c>
      <c r="V20" s="191">
        <f t="shared" si="12"/>
        <v>0.1984251968503937</v>
      </c>
      <c r="W20" s="191">
        <f t="shared" si="13"/>
        <v>0.19530039060078122</v>
      </c>
      <c r="X20" s="175">
        <f t="shared" si="14"/>
        <v>350</v>
      </c>
      <c r="Y20" s="386">
        <f t="shared" si="54"/>
        <v>350</v>
      </c>
      <c r="AA20" s="191">
        <f t="shared" si="15"/>
        <v>0.47996976568405147</v>
      </c>
      <c r="AB20" s="153">
        <f t="shared" si="16"/>
        <v>1.4172335600907031</v>
      </c>
      <c r="AC20" s="153">
        <f t="shared" si="17"/>
        <v>0.11904012045735404</v>
      </c>
      <c r="AD20" s="153"/>
      <c r="AE20" s="153">
        <f t="shared" si="18"/>
        <v>0.44291338582677164</v>
      </c>
      <c r="AF20" s="317">
        <f t="shared" si="19"/>
        <v>451.5555555555556</v>
      </c>
      <c r="AG20" s="463">
        <f t="shared" si="20"/>
        <v>1.1626476377952754E-2</v>
      </c>
      <c r="AI20" s="153">
        <f t="shared" si="21"/>
        <v>0.17959389815349588</v>
      </c>
      <c r="AJ20" s="153">
        <f t="shared" si="22"/>
        <v>0.17959389815349588</v>
      </c>
      <c r="AK20" s="153">
        <f t="shared" si="23"/>
        <v>1.219729265435664</v>
      </c>
      <c r="AM20" s="317">
        <f t="shared" si="24"/>
        <v>15</v>
      </c>
      <c r="AN20" s="147">
        <f t="shared" si="25"/>
        <v>350</v>
      </c>
      <c r="AP20">
        <f t="shared" si="26"/>
        <v>15</v>
      </c>
      <c r="AQ20" s="147">
        <f t="shared" si="27"/>
        <v>350</v>
      </c>
      <c r="AR20" s="147"/>
      <c r="AS20" s="5">
        <f t="shared" si="55"/>
        <v>2.8571428571428572</v>
      </c>
      <c r="AT20" s="5">
        <f t="shared" si="28"/>
        <v>0.53878169446048763</v>
      </c>
      <c r="AU20" s="5">
        <f t="shared" si="56"/>
        <v>2.3183611626823697</v>
      </c>
      <c r="AV20" s="5">
        <f t="shared" si="29"/>
        <v>0.5302969433666217</v>
      </c>
      <c r="AW20" s="153">
        <f t="shared" si="57"/>
        <v>0.18857359306117066</v>
      </c>
      <c r="AX20" s="153">
        <f t="shared" si="30"/>
        <v>0.33866666666666662</v>
      </c>
      <c r="AY20" s="153">
        <f t="shared" si="31"/>
        <v>7.28636157434146E-2</v>
      </c>
      <c r="AZ20" s="153">
        <f t="shared" si="58"/>
        <v>4.6479530724808322</v>
      </c>
      <c r="BA20" s="147">
        <f t="shared" si="32"/>
        <v>2.385619286777211</v>
      </c>
      <c r="BB20" s="147">
        <f t="shared" si="33"/>
        <v>0.35526456000000001</v>
      </c>
      <c r="BC20" s="5">
        <f t="shared" si="34"/>
        <v>3.8639352711372831E-2</v>
      </c>
      <c r="BD20" s="147">
        <f t="shared" si="35"/>
        <v>3.9139352711372832</v>
      </c>
      <c r="BE20" s="5"/>
      <c r="BF20" s="153">
        <f t="shared" si="59"/>
        <v>4.5026831571600076E-2</v>
      </c>
      <c r="BG20" s="153">
        <f t="shared" si="36"/>
        <v>9.3401858600059492E-2</v>
      </c>
      <c r="BH20" s="153"/>
      <c r="BI20" s="463">
        <f t="shared" si="37"/>
        <v>7.0959544648203443E-4</v>
      </c>
      <c r="BJ20" s="463">
        <f t="shared" si="38"/>
        <v>1.2672145453710671E-2</v>
      </c>
      <c r="BK20" s="463">
        <f t="shared" si="39"/>
        <v>4.3749999999999995E-3</v>
      </c>
      <c r="BL20" s="463">
        <f t="shared" si="40"/>
        <v>2.8449792000000005E-2</v>
      </c>
      <c r="BM20">
        <f t="shared" si="41"/>
        <v>5.7999999999999996E-3</v>
      </c>
      <c r="BN20">
        <f t="shared" si="42"/>
        <v>1.3124999999999999E-5</v>
      </c>
      <c r="BO20" s="463">
        <f t="shared" si="43"/>
        <v>5.2122277152750182E-2</v>
      </c>
      <c r="BP20" s="147">
        <f t="shared" si="60"/>
        <v>52.122277152750179</v>
      </c>
      <c r="BQ20" s="463">
        <f t="shared" si="44"/>
        <v>1.2395065093118369E-2</v>
      </c>
      <c r="BR20" s="463"/>
      <c r="BT20" s="147">
        <f t="shared" si="61"/>
        <v>12.395065093118369</v>
      </c>
      <c r="BU20" s="463">
        <f t="shared" si="45"/>
        <v>2.0274155613772414E-3</v>
      </c>
      <c r="BV20" s="463">
        <f t="shared" si="46"/>
        <v>8.7239071899455067E-3</v>
      </c>
      <c r="BW20" s="463">
        <f t="shared" si="47"/>
        <v>0</v>
      </c>
      <c r="BX20" s="463">
        <f t="shared" si="48"/>
        <v>1.2051847345526395E-2</v>
      </c>
      <c r="BY20" s="463">
        <f t="shared" si="49"/>
        <v>5.6444444444444441E-3</v>
      </c>
      <c r="BZ20" s="147">
        <f t="shared" si="62"/>
        <v>17.696291789970839</v>
      </c>
      <c r="CA20" s="153">
        <f t="shared" si="63"/>
        <v>8.2213634035839381E-2</v>
      </c>
      <c r="CB20" s="5">
        <f t="shared" si="64"/>
        <v>0.3</v>
      </c>
      <c r="CC20" s="153">
        <f t="shared" si="65"/>
        <v>0.78490135695125318</v>
      </c>
      <c r="CD20" s="5">
        <f t="shared" si="66"/>
        <v>78.490135695125318</v>
      </c>
      <c r="CG20" s="59">
        <f t="shared" si="50"/>
        <v>-50</v>
      </c>
      <c r="CH20">
        <f t="shared" si="51"/>
        <v>-50</v>
      </c>
    </row>
    <row r="21" spans="5:86" s="59" customFormat="1" x14ac:dyDescent="0.25">
      <c r="E21" s="150">
        <v>16</v>
      </c>
      <c r="F21" s="191">
        <f t="shared" si="52"/>
        <v>1.6E-2</v>
      </c>
      <c r="G21" s="191"/>
      <c r="H21" s="191">
        <f t="shared" si="0"/>
        <v>0.32</v>
      </c>
      <c r="I21" s="472">
        <f t="shared" si="1"/>
        <v>20</v>
      </c>
      <c r="J21" s="152">
        <f t="shared" si="2"/>
        <v>20.32</v>
      </c>
      <c r="K21" s="386">
        <f t="shared" si="3"/>
        <v>40.32</v>
      </c>
      <c r="L21" s="386"/>
      <c r="M21" s="191">
        <f t="shared" si="4"/>
        <v>0.50396825396825395</v>
      </c>
      <c r="N21" s="152">
        <f t="shared" si="5"/>
        <v>3.4017857142857144</v>
      </c>
      <c r="O21" s="152">
        <f t="shared" si="53"/>
        <v>0.32</v>
      </c>
      <c r="P21" s="191">
        <f t="shared" si="6"/>
        <v>0.17008928571428572</v>
      </c>
      <c r="Q21" s="191">
        <f t="shared" si="7"/>
        <v>20</v>
      </c>
      <c r="R21" s="191">
        <f t="shared" si="8"/>
        <v>0.18898809523809523</v>
      </c>
      <c r="S21" s="152">
        <f t="shared" si="9"/>
        <v>401.89091204964427</v>
      </c>
      <c r="T21" s="152">
        <f t="shared" si="10"/>
        <v>20</v>
      </c>
      <c r="U21" s="191">
        <f t="shared" si="11"/>
        <v>7.0551181102362207E-2</v>
      </c>
      <c r="V21" s="191">
        <f t="shared" si="12"/>
        <v>0.21165354330708661</v>
      </c>
      <c r="W21" s="191">
        <f t="shared" si="13"/>
        <v>0.20832041664083328</v>
      </c>
      <c r="X21" s="175">
        <f t="shared" si="14"/>
        <v>350</v>
      </c>
      <c r="Y21" s="386">
        <f t="shared" si="54"/>
        <v>350</v>
      </c>
      <c r="AA21" s="191">
        <f t="shared" si="15"/>
        <v>0.47996976568405147</v>
      </c>
      <c r="AB21" s="153">
        <f t="shared" si="16"/>
        <v>1.4172335600907031</v>
      </c>
      <c r="AC21" s="469">
        <f t="shared" si="17"/>
        <v>0.11904012045735404</v>
      </c>
      <c r="AD21" s="469"/>
      <c r="AE21" s="153">
        <f t="shared" si="18"/>
        <v>0.44291338582677164</v>
      </c>
      <c r="AF21" s="317">
        <f t="shared" si="19"/>
        <v>481.65925925925933</v>
      </c>
      <c r="AG21" s="463">
        <f t="shared" si="20"/>
        <v>1.1626476377952754E-2</v>
      </c>
      <c r="AH21"/>
      <c r="AI21" s="153">
        <f t="shared" si="21"/>
        <v>0.18548378043438948</v>
      </c>
      <c r="AJ21" s="153">
        <f t="shared" si="22"/>
        <v>0.18548378043438948</v>
      </c>
      <c r="AK21" s="153">
        <f t="shared" si="23"/>
        <v>1.2236558536229263</v>
      </c>
      <c r="AM21" s="317">
        <f t="shared" si="24"/>
        <v>16</v>
      </c>
      <c r="AN21" s="147">
        <f t="shared" si="25"/>
        <v>350</v>
      </c>
      <c r="AP21">
        <f t="shared" si="26"/>
        <v>16</v>
      </c>
      <c r="AQ21" s="147">
        <f t="shared" si="27"/>
        <v>350</v>
      </c>
      <c r="AR21" s="147"/>
      <c r="AS21" s="5">
        <f t="shared" si="55"/>
        <v>2.8571428571428572</v>
      </c>
      <c r="AT21" s="5">
        <f t="shared" si="28"/>
        <v>0.55645134130316853</v>
      </c>
      <c r="AU21" s="5">
        <f t="shared" si="56"/>
        <v>2.3006915158396888</v>
      </c>
      <c r="AV21" s="5">
        <f t="shared" si="29"/>
        <v>0.54768832805429968</v>
      </c>
      <c r="AW21" s="153">
        <f t="shared" si="57"/>
        <v>0.19475796945610899</v>
      </c>
      <c r="AX21" s="153">
        <f t="shared" si="30"/>
        <v>0.36124444444444442</v>
      </c>
      <c r="AY21" s="153">
        <f t="shared" si="31"/>
        <v>7.4679667994972512E-2</v>
      </c>
      <c r="AZ21" s="153">
        <f t="shared" si="58"/>
        <v>4.8372529517507186</v>
      </c>
      <c r="BA21" s="147">
        <f t="shared" si="32"/>
        <v>2.385619286777211</v>
      </c>
      <c r="BB21" s="147">
        <f t="shared" si="33"/>
        <v>0.40101212159999994</v>
      </c>
      <c r="BC21" s="5">
        <f t="shared" si="34"/>
        <v>4.0901182503816691E-2</v>
      </c>
      <c r="BD21" s="147">
        <f t="shared" si="35"/>
        <v>4.1434515837150023</v>
      </c>
      <c r="BE21" s="5"/>
      <c r="BF21" s="153">
        <f t="shared" si="59"/>
        <v>4.7259914380115821E-2</v>
      </c>
      <c r="BG21" s="153">
        <f t="shared" si="36"/>
        <v>9.6096712192431738E-2</v>
      </c>
      <c r="BH21" s="153"/>
      <c r="BI21" s="463">
        <f t="shared" si="37"/>
        <v>7.8172482752555733E-4</v>
      </c>
      <c r="BJ21" s="463">
        <f t="shared" si="38"/>
        <v>1.3087735547450522E-2</v>
      </c>
      <c r="BK21" s="463">
        <f t="shared" si="39"/>
        <v>4.3749999999999995E-3</v>
      </c>
      <c r="BL21" s="463">
        <f t="shared" si="40"/>
        <v>2.8449792000000005E-2</v>
      </c>
      <c r="BM21">
        <f t="shared" si="41"/>
        <v>5.7999999999999996E-3</v>
      </c>
      <c r="BN21">
        <f t="shared" si="42"/>
        <v>1.3124999999999999E-5</v>
      </c>
      <c r="BO21" s="463">
        <f t="shared" si="43"/>
        <v>5.2620499588245065E-2</v>
      </c>
      <c r="BP21" s="147">
        <f t="shared" si="60"/>
        <v>52.620499588245067</v>
      </c>
      <c r="BQ21" s="463">
        <f t="shared" si="44"/>
        <v>1.3167217663965025E-2</v>
      </c>
      <c r="BR21" s="463"/>
      <c r="BT21" s="147">
        <f t="shared" si="61"/>
        <v>13.167217663965026</v>
      </c>
      <c r="BU21" s="463">
        <f t="shared" si="45"/>
        <v>2.2334995072158781E-3</v>
      </c>
      <c r="BV21" s="463">
        <f t="shared" si="46"/>
        <v>9.2345780941950582E-3</v>
      </c>
      <c r="BW21" s="463">
        <f t="shared" si="47"/>
        <v>0</v>
      </c>
      <c r="BX21" s="463">
        <f t="shared" si="48"/>
        <v>1.2856041640234423E-2</v>
      </c>
      <c r="BY21" s="463">
        <f t="shared" si="49"/>
        <v>6.0207407407407423E-3</v>
      </c>
      <c r="BZ21" s="147">
        <f t="shared" si="62"/>
        <v>18.876782380975165</v>
      </c>
      <c r="CA21" s="153">
        <f t="shared" si="63"/>
        <v>8.4664499633185258E-2</v>
      </c>
      <c r="CB21" s="5">
        <f t="shared" si="64"/>
        <v>0.32</v>
      </c>
      <c r="CC21" s="153">
        <f t="shared" si="65"/>
        <v>0.79077853453927682</v>
      </c>
      <c r="CD21" s="5">
        <f t="shared" si="66"/>
        <v>79.077853453927688</v>
      </c>
      <c r="CG21" s="59">
        <f t="shared" si="50"/>
        <v>-50</v>
      </c>
      <c r="CH21">
        <f t="shared" si="51"/>
        <v>-50</v>
      </c>
    </row>
    <row r="22" spans="5:86" x14ac:dyDescent="0.25">
      <c r="E22" s="150">
        <v>17</v>
      </c>
      <c r="F22" s="191">
        <f t="shared" si="52"/>
        <v>1.7000000000000001E-2</v>
      </c>
      <c r="G22" s="191"/>
      <c r="H22" s="191">
        <f t="shared" si="0"/>
        <v>0.34</v>
      </c>
      <c r="I22" s="472">
        <f t="shared" si="1"/>
        <v>20</v>
      </c>
      <c r="J22" s="152">
        <f t="shared" si="2"/>
        <v>20.32</v>
      </c>
      <c r="K22" s="386">
        <f t="shared" si="3"/>
        <v>40.32</v>
      </c>
      <c r="L22" s="386"/>
      <c r="M22" s="191">
        <f t="shared" si="4"/>
        <v>0.50396825396825395</v>
      </c>
      <c r="N22" s="152">
        <f t="shared" si="5"/>
        <v>3.4017857142857144</v>
      </c>
      <c r="O22" s="152">
        <f t="shared" si="53"/>
        <v>0.34</v>
      </c>
      <c r="P22" s="191">
        <f t="shared" si="6"/>
        <v>0.17008928571428572</v>
      </c>
      <c r="Q22" s="191">
        <f t="shared" si="7"/>
        <v>20</v>
      </c>
      <c r="R22" s="191">
        <f t="shared" si="8"/>
        <v>0.18898809523809523</v>
      </c>
      <c r="S22" s="152">
        <f t="shared" si="9"/>
        <v>377.07578185355771</v>
      </c>
      <c r="T22" s="152">
        <f t="shared" si="10"/>
        <v>20</v>
      </c>
      <c r="U22" s="191">
        <f t="shared" si="11"/>
        <v>7.4960629921259847E-2</v>
      </c>
      <c r="V22" s="191">
        <f t="shared" si="12"/>
        <v>0.22488188976377951</v>
      </c>
      <c r="W22" s="191">
        <f t="shared" si="13"/>
        <v>0.22134044268088535</v>
      </c>
      <c r="X22" s="175">
        <f t="shared" si="14"/>
        <v>350</v>
      </c>
      <c r="Y22" s="386">
        <f t="shared" si="54"/>
        <v>350</v>
      </c>
      <c r="AA22" s="191">
        <f t="shared" si="15"/>
        <v>0.47996976568405147</v>
      </c>
      <c r="AB22" s="153">
        <f t="shared" si="16"/>
        <v>1.4172335600907031</v>
      </c>
      <c r="AC22" s="153">
        <f t="shared" si="17"/>
        <v>0.11904012045735404</v>
      </c>
      <c r="AD22" s="153"/>
      <c r="AE22" s="153">
        <f t="shared" si="18"/>
        <v>0.44291338582677164</v>
      </c>
      <c r="AF22" s="317">
        <f t="shared" si="19"/>
        <v>511.76296296296312</v>
      </c>
      <c r="AG22" s="463">
        <f t="shared" si="20"/>
        <v>1.1626476377952754E-2</v>
      </c>
      <c r="AI22" s="153">
        <f t="shared" si="21"/>
        <v>0.19119230464246556</v>
      </c>
      <c r="AJ22" s="153">
        <f t="shared" si="22"/>
        <v>0.19119230464246556</v>
      </c>
      <c r="AK22" s="153">
        <f t="shared" si="23"/>
        <v>1.2274615364283104</v>
      </c>
      <c r="AM22" s="317">
        <f t="shared" si="24"/>
        <v>17</v>
      </c>
      <c r="AN22" s="147">
        <f t="shared" si="25"/>
        <v>350</v>
      </c>
      <c r="AP22">
        <f t="shared" si="26"/>
        <v>17</v>
      </c>
      <c r="AQ22" s="147">
        <f t="shared" si="27"/>
        <v>350</v>
      </c>
      <c r="AR22" s="147"/>
      <c r="AS22" s="5">
        <f t="shared" si="55"/>
        <v>2.8571428571428572</v>
      </c>
      <c r="AT22" s="5">
        <f t="shared" si="28"/>
        <v>0.57357691392739674</v>
      </c>
      <c r="AU22" s="5">
        <f t="shared" si="56"/>
        <v>2.2835659432154607</v>
      </c>
      <c r="AV22" s="5">
        <f t="shared" si="29"/>
        <v>0.56454420662145344</v>
      </c>
      <c r="AW22" s="153">
        <f t="shared" si="57"/>
        <v>0.20075191987458885</v>
      </c>
      <c r="AX22" s="153">
        <f t="shared" si="30"/>
        <v>0.38382222222222229</v>
      </c>
      <c r="AY22" s="153">
        <f t="shared" si="31"/>
        <v>7.6405041210121663E-2</v>
      </c>
      <c r="AZ22" s="153">
        <f t="shared" si="58"/>
        <v>5.0235196021512767</v>
      </c>
      <c r="BA22" s="147">
        <f t="shared" si="32"/>
        <v>2.385619286777211</v>
      </c>
      <c r="BB22" s="147">
        <f t="shared" si="33"/>
        <v>0.4495175904</v>
      </c>
      <c r="BC22" s="5">
        <f t="shared" si="34"/>
        <v>4.3134023371847588E-2</v>
      </c>
      <c r="BD22" s="147">
        <f t="shared" si="35"/>
        <v>4.3700690038514249</v>
      </c>
      <c r="BE22" s="5"/>
      <c r="BF22" s="153">
        <f t="shared" si="59"/>
        <v>4.9458351246161061E-2</v>
      </c>
      <c r="BG22" s="153">
        <f t="shared" si="36"/>
        <v>9.8684871908061356E-2</v>
      </c>
      <c r="BH22" s="153"/>
      <c r="BI22" s="463">
        <f t="shared" si="37"/>
        <v>8.5614497779602436E-4</v>
      </c>
      <c r="BJ22" s="463">
        <f t="shared" si="38"/>
        <v>1.3490529015572369E-2</v>
      </c>
      <c r="BK22" s="463">
        <f t="shared" si="39"/>
        <v>4.3749999999999995E-3</v>
      </c>
      <c r="BL22" s="463">
        <f t="shared" si="40"/>
        <v>2.8449792000000005E-2</v>
      </c>
      <c r="BM22">
        <f t="shared" si="41"/>
        <v>5.7999999999999996E-3</v>
      </c>
      <c r="BN22">
        <f t="shared" si="42"/>
        <v>1.3124999999999999E-5</v>
      </c>
      <c r="BO22" s="463">
        <f t="shared" si="43"/>
        <v>5.3108559526963244E-2</v>
      </c>
      <c r="BP22" s="147">
        <f t="shared" si="60"/>
        <v>53.108559526963241</v>
      </c>
      <c r="BQ22" s="463">
        <f t="shared" si="44"/>
        <v>1.3934369812842006E-2</v>
      </c>
      <c r="BR22" s="463"/>
      <c r="BT22" s="147">
        <f t="shared" si="61"/>
        <v>13.934369812842005</v>
      </c>
      <c r="BU22" s="463">
        <f t="shared" si="45"/>
        <v>2.4461285079886413E-3</v>
      </c>
      <c r="BV22" s="463">
        <f t="shared" si="46"/>
        <v>9.7387039435104777E-3</v>
      </c>
      <c r="BW22" s="463">
        <f t="shared" si="47"/>
        <v>0</v>
      </c>
      <c r="BX22" s="463">
        <f t="shared" si="48"/>
        <v>1.3660328250556256E-2</v>
      </c>
      <c r="BY22" s="463">
        <f t="shared" si="49"/>
        <v>6.3970370370370387E-3</v>
      </c>
      <c r="BZ22" s="147">
        <f t="shared" si="62"/>
        <v>20.057365287593292</v>
      </c>
      <c r="CA22" s="153">
        <f t="shared" si="63"/>
        <v>8.7100294627398545E-2</v>
      </c>
      <c r="CB22" s="5">
        <f t="shared" si="64"/>
        <v>0.34</v>
      </c>
      <c r="CC22" s="153">
        <f t="shared" si="65"/>
        <v>0.79606594581400447</v>
      </c>
      <c r="CD22" s="5">
        <f t="shared" si="66"/>
        <v>79.606594581400444</v>
      </c>
      <c r="CG22" s="59">
        <f t="shared" si="50"/>
        <v>-50</v>
      </c>
      <c r="CH22">
        <f t="shared" si="51"/>
        <v>-50</v>
      </c>
    </row>
    <row r="23" spans="5:86" x14ac:dyDescent="0.25">
      <c r="E23" s="150">
        <v>18</v>
      </c>
      <c r="F23" s="191">
        <f t="shared" si="52"/>
        <v>1.7999999999999999E-2</v>
      </c>
      <c r="G23" s="191"/>
      <c r="H23" s="191">
        <f t="shared" si="0"/>
        <v>0.36</v>
      </c>
      <c r="I23" s="472">
        <f t="shared" si="1"/>
        <v>20</v>
      </c>
      <c r="J23" s="152">
        <f t="shared" si="2"/>
        <v>20.32</v>
      </c>
      <c r="K23" s="386">
        <f t="shared" si="3"/>
        <v>40.32</v>
      </c>
      <c r="L23" s="386"/>
      <c r="M23" s="191">
        <f t="shared" si="4"/>
        <v>0.50396825396825395</v>
      </c>
      <c r="N23" s="152">
        <f t="shared" si="5"/>
        <v>3.4017857142857144</v>
      </c>
      <c r="O23" s="152">
        <f t="shared" si="53"/>
        <v>0.36</v>
      </c>
      <c r="P23" s="191">
        <f t="shared" si="6"/>
        <v>0.17008928571428572</v>
      </c>
      <c r="Q23" s="191">
        <f t="shared" si="7"/>
        <v>20</v>
      </c>
      <c r="R23" s="191">
        <f t="shared" si="8"/>
        <v>0.18898809523809523</v>
      </c>
      <c r="S23" s="152">
        <f t="shared" si="9"/>
        <v>355.01801101993465</v>
      </c>
      <c r="T23" s="152">
        <f t="shared" si="10"/>
        <v>20</v>
      </c>
      <c r="U23" s="191">
        <f t="shared" si="11"/>
        <v>7.9370078740157474E-2</v>
      </c>
      <c r="V23" s="191">
        <f t="shared" si="12"/>
        <v>0.23811023622047242</v>
      </c>
      <c r="W23" s="191">
        <f t="shared" si="13"/>
        <v>0.23436046872093741</v>
      </c>
      <c r="X23" s="175">
        <f t="shared" si="14"/>
        <v>350</v>
      </c>
      <c r="Y23" s="386">
        <f t="shared" si="54"/>
        <v>350</v>
      </c>
      <c r="AA23" s="191">
        <f t="shared" si="15"/>
        <v>0.47996976568405147</v>
      </c>
      <c r="AB23" s="153">
        <f t="shared" si="16"/>
        <v>1.4172335600907031</v>
      </c>
      <c r="AC23" s="153">
        <f t="shared" si="17"/>
        <v>0.11904012045735404</v>
      </c>
      <c r="AD23" s="153"/>
      <c r="AE23" s="153">
        <f t="shared" si="18"/>
        <v>0.44291338582677164</v>
      </c>
      <c r="AF23" s="317">
        <f t="shared" si="19"/>
        <v>541.86666666666679</v>
      </c>
      <c r="AG23" s="463">
        <f t="shared" si="20"/>
        <v>1.1626476377952754E-2</v>
      </c>
      <c r="AI23" s="153">
        <f t="shared" si="21"/>
        <v>0.19673525841791017</v>
      </c>
      <c r="AJ23" s="153">
        <f t="shared" si="22"/>
        <v>0.19673525841791017</v>
      </c>
      <c r="AK23" s="153">
        <f t="shared" si="23"/>
        <v>1.2311568389452734</v>
      </c>
      <c r="AM23" s="317">
        <f t="shared" si="24"/>
        <v>18</v>
      </c>
      <c r="AN23" s="147">
        <f t="shared" si="25"/>
        <v>350</v>
      </c>
      <c r="AP23">
        <f t="shared" si="26"/>
        <v>18</v>
      </c>
      <c r="AQ23" s="147">
        <f t="shared" si="27"/>
        <v>350</v>
      </c>
      <c r="AR23" s="147"/>
      <c r="AS23" s="5">
        <f t="shared" si="55"/>
        <v>2.8571428571428572</v>
      </c>
      <c r="AT23" s="5">
        <f t="shared" si="28"/>
        <v>0.59020577525373052</v>
      </c>
      <c r="AU23" s="5">
        <f t="shared" si="56"/>
        <v>2.2669370818891266</v>
      </c>
      <c r="AV23" s="5">
        <f t="shared" si="29"/>
        <v>0.58091119611587649</v>
      </c>
      <c r="AW23" s="153">
        <f t="shared" si="57"/>
        <v>0.20657202133880567</v>
      </c>
      <c r="AX23" s="153">
        <f t="shared" si="30"/>
        <v>0.40639999999999993</v>
      </c>
      <c r="AY23" s="153">
        <f t="shared" si="31"/>
        <v>7.8047629208955097E-2</v>
      </c>
      <c r="AZ23" s="153">
        <f t="shared" si="58"/>
        <v>5.207076808341669</v>
      </c>
      <c r="BA23" s="147">
        <f t="shared" si="32"/>
        <v>2.385619286777211</v>
      </c>
      <c r="BB23" s="147">
        <f t="shared" si="33"/>
        <v>0.50078096639999981</v>
      </c>
      <c r="BC23" s="5">
        <f t="shared" si="34"/>
        <v>4.5338741637782523E-2</v>
      </c>
      <c r="BD23" s="147">
        <f t="shared" si="35"/>
        <v>4.5938741637782528</v>
      </c>
      <c r="BE23" s="5"/>
      <c r="BF23" s="153">
        <f t="shared" si="59"/>
        <v>5.1624674017062382E-2</v>
      </c>
      <c r="BG23" s="153">
        <f t="shared" si="36"/>
        <v>0.10117549275501128</v>
      </c>
      <c r="BH23" s="153"/>
      <c r="BI23" s="463">
        <f t="shared" si="37"/>
        <v>9.3278743857878443E-4</v>
      </c>
      <c r="BJ23" s="463">
        <f t="shared" si="38"/>
        <v>1.3881639833967742E-2</v>
      </c>
      <c r="BK23" s="463">
        <f t="shared" si="39"/>
        <v>4.3749999999999995E-3</v>
      </c>
      <c r="BL23" s="463">
        <f t="shared" si="40"/>
        <v>2.8449792000000005E-2</v>
      </c>
      <c r="BM23">
        <f t="shared" si="41"/>
        <v>5.7999999999999996E-3</v>
      </c>
      <c r="BN23">
        <f t="shared" si="42"/>
        <v>1.3124999999999999E-5</v>
      </c>
      <c r="BO23" s="463">
        <f t="shared" si="43"/>
        <v>5.3587492945837215E-2</v>
      </c>
      <c r="BP23" s="147">
        <f t="shared" si="60"/>
        <v>53.587492945837212</v>
      </c>
      <c r="BQ23" s="463">
        <f t="shared" si="44"/>
        <v>1.4696670975343577E-2</v>
      </c>
      <c r="BR23" s="463"/>
      <c r="BT23" s="147">
        <f t="shared" si="61"/>
        <v>14.696670975343578</v>
      </c>
      <c r="BU23" s="463">
        <f t="shared" si="45"/>
        <v>2.6651069673679557E-3</v>
      </c>
      <c r="BV23" s="463">
        <f t="shared" si="46"/>
        <v>1.0236480334219341E-2</v>
      </c>
      <c r="BW23" s="463">
        <f t="shared" si="47"/>
        <v>0</v>
      </c>
      <c r="BX23" s="463">
        <f t="shared" si="48"/>
        <v>1.4464707192388534E-2</v>
      </c>
      <c r="BY23" s="463">
        <f t="shared" si="49"/>
        <v>6.7733333333333335E-3</v>
      </c>
      <c r="BZ23" s="147">
        <f t="shared" si="62"/>
        <v>21.238040525721868</v>
      </c>
      <c r="CA23" s="153">
        <f t="shared" si="63"/>
        <v>8.9522204446902662E-2</v>
      </c>
      <c r="CB23" s="5">
        <f t="shared" si="64"/>
        <v>0.36</v>
      </c>
      <c r="CC23" s="153">
        <f t="shared" si="65"/>
        <v>0.80085031715607502</v>
      </c>
      <c r="CD23" s="5">
        <f t="shared" si="66"/>
        <v>80.085031715607499</v>
      </c>
      <c r="CG23" s="59">
        <f t="shared" si="50"/>
        <v>-50</v>
      </c>
      <c r="CH23">
        <f t="shared" si="51"/>
        <v>-50</v>
      </c>
    </row>
    <row r="24" spans="5:86" x14ac:dyDescent="0.25">
      <c r="E24" s="150">
        <v>19</v>
      </c>
      <c r="F24" s="191">
        <f t="shared" si="52"/>
        <v>1.9000000000000003E-2</v>
      </c>
      <c r="G24" s="191"/>
      <c r="H24" s="191">
        <f t="shared" si="0"/>
        <v>0.38000000000000006</v>
      </c>
      <c r="I24" s="472">
        <f t="shared" si="1"/>
        <v>20</v>
      </c>
      <c r="J24" s="152">
        <f t="shared" si="2"/>
        <v>20.32</v>
      </c>
      <c r="K24" s="386">
        <f t="shared" si="3"/>
        <v>40.32</v>
      </c>
      <c r="L24" s="386"/>
      <c r="M24" s="191">
        <f t="shared" si="4"/>
        <v>0.50396825396825395</v>
      </c>
      <c r="N24" s="152">
        <f t="shared" si="5"/>
        <v>3.4017857142857144</v>
      </c>
      <c r="O24" s="152">
        <f t="shared" si="53"/>
        <v>0.38000000000000006</v>
      </c>
      <c r="P24" s="191">
        <f t="shared" si="6"/>
        <v>0.17008928571428572</v>
      </c>
      <c r="Q24" s="191">
        <f t="shared" si="7"/>
        <v>20</v>
      </c>
      <c r="R24" s="191">
        <f t="shared" si="8"/>
        <v>0.18898809523809523</v>
      </c>
      <c r="S24" s="152">
        <f t="shared" si="9"/>
        <v>335.28222808993911</v>
      </c>
      <c r="T24" s="152">
        <f t="shared" si="10"/>
        <v>20</v>
      </c>
      <c r="U24" s="191">
        <f t="shared" si="11"/>
        <v>8.3779527559055128E-2</v>
      </c>
      <c r="V24" s="191">
        <f t="shared" si="12"/>
        <v>0.25133858267716536</v>
      </c>
      <c r="W24" s="191">
        <f t="shared" si="13"/>
        <v>0.24738049476098953</v>
      </c>
      <c r="X24" s="175">
        <f t="shared" si="14"/>
        <v>350</v>
      </c>
      <c r="Y24" s="386">
        <f t="shared" si="54"/>
        <v>350</v>
      </c>
      <c r="AA24" s="191">
        <f t="shared" si="15"/>
        <v>0.47996976568405147</v>
      </c>
      <c r="AB24" s="153">
        <f t="shared" si="16"/>
        <v>1.4172335600907031</v>
      </c>
      <c r="AC24" s="153">
        <f t="shared" si="17"/>
        <v>0.11904012045735404</v>
      </c>
      <c r="AD24" s="153"/>
      <c r="AE24" s="153">
        <f t="shared" si="18"/>
        <v>0.44291338582677164</v>
      </c>
      <c r="AF24" s="317">
        <f t="shared" si="19"/>
        <v>571.97037037037057</v>
      </c>
      <c r="AG24" s="463">
        <f t="shared" si="20"/>
        <v>1.1626476377952754E-2</v>
      </c>
      <c r="AI24" s="153">
        <f t="shared" si="21"/>
        <v>0.20212626364484765</v>
      </c>
      <c r="AJ24" s="153">
        <f t="shared" si="22"/>
        <v>0.20212626364484765</v>
      </c>
      <c r="AK24" s="153">
        <f t="shared" si="23"/>
        <v>1.2347508424298983</v>
      </c>
      <c r="AM24" s="317">
        <f t="shared" si="24"/>
        <v>19.000000000000004</v>
      </c>
      <c r="AN24" s="147">
        <f t="shared" si="25"/>
        <v>350</v>
      </c>
      <c r="AP24">
        <f t="shared" si="26"/>
        <v>19.000000000000004</v>
      </c>
      <c r="AQ24" s="147">
        <f t="shared" si="27"/>
        <v>350</v>
      </c>
      <c r="AR24" s="147"/>
      <c r="AS24" s="5">
        <f t="shared" si="55"/>
        <v>2.8571428571428572</v>
      </c>
      <c r="AT24" s="5">
        <f t="shared" si="28"/>
        <v>0.60637879093454294</v>
      </c>
      <c r="AU24" s="5">
        <f t="shared" si="56"/>
        <v>2.2507640662083142</v>
      </c>
      <c r="AV24" s="5">
        <f t="shared" si="29"/>
        <v>0.59682951863636124</v>
      </c>
      <c r="AW24" s="153">
        <f t="shared" si="57"/>
        <v>0.21223257682709001</v>
      </c>
      <c r="AX24" s="153">
        <f t="shared" si="30"/>
        <v>0.42897777777777785</v>
      </c>
      <c r="AY24" s="153">
        <f t="shared" si="31"/>
        <v>7.9614242933534932E-2</v>
      </c>
      <c r="AZ24" s="153">
        <f t="shared" si="58"/>
        <v>5.3882039440594216</v>
      </c>
      <c r="BA24" s="147">
        <f t="shared" si="32"/>
        <v>2.385619286777211</v>
      </c>
      <c r="BB24" s="147">
        <f t="shared" si="33"/>
        <v>0.55480224960000013</v>
      </c>
      <c r="BC24" s="5">
        <f t="shared" si="34"/>
        <v>4.7516130286619974E-2</v>
      </c>
      <c r="BD24" s="147">
        <f t="shared" si="35"/>
        <v>4.8149463619953305</v>
      </c>
      <c r="BE24" s="5"/>
      <c r="BF24" s="153">
        <f t="shared" si="59"/>
        <v>5.376109975589289E-2</v>
      </c>
      <c r="BG24" s="153">
        <f t="shared" si="36"/>
        <v>0.10357647563376743</v>
      </c>
      <c r="BH24" s="153"/>
      <c r="BI24" s="463">
        <f t="shared" si="37"/>
        <v>1.0115895464370731E-3</v>
      </c>
      <c r="BJ24" s="463">
        <f t="shared" si="38"/>
        <v>1.4262029162780451E-2</v>
      </c>
      <c r="BK24" s="463">
        <f t="shared" si="39"/>
        <v>4.3749999999999995E-3</v>
      </c>
      <c r="BL24" s="463">
        <f t="shared" si="40"/>
        <v>2.8449792000000005E-2</v>
      </c>
      <c r="BM24">
        <f t="shared" si="41"/>
        <v>5.7999999999999996E-3</v>
      </c>
      <c r="BN24">
        <f t="shared" si="42"/>
        <v>1.3124999999999999E-5</v>
      </c>
      <c r="BO24" s="463">
        <f t="shared" si="43"/>
        <v>5.4058189625048721E-2</v>
      </c>
      <c r="BP24" s="147">
        <f t="shared" si="60"/>
        <v>54.058189625048719</v>
      </c>
      <c r="BQ24" s="463">
        <f t="shared" si="44"/>
        <v>1.5454257936800289E-2</v>
      </c>
      <c r="BR24" s="463"/>
      <c r="BT24" s="147">
        <f t="shared" si="61"/>
        <v>15.454257936800289</v>
      </c>
      <c r="BU24" s="463">
        <f t="shared" si="45"/>
        <v>2.8902558469630665E-3</v>
      </c>
      <c r="BV24" s="463">
        <f t="shared" si="46"/>
        <v>1.0728086304712418E-2</v>
      </c>
      <c r="BW24" s="463">
        <f t="shared" si="47"/>
        <v>0</v>
      </c>
      <c r="BX24" s="463">
        <f t="shared" si="48"/>
        <v>1.5269178481631573E-2</v>
      </c>
      <c r="BY24" s="463">
        <f t="shared" si="49"/>
        <v>7.1496296296296308E-3</v>
      </c>
      <c r="BZ24" s="147">
        <f t="shared" si="62"/>
        <v>22.418808111261203</v>
      </c>
      <c r="CA24" s="153">
        <f t="shared" si="63"/>
        <v>9.1931255673110224E-2</v>
      </c>
      <c r="CB24" s="5">
        <f t="shared" si="64"/>
        <v>0.38000000000000006</v>
      </c>
      <c r="CC24" s="153">
        <f t="shared" si="65"/>
        <v>0.80520201921784207</v>
      </c>
      <c r="CD24" s="5">
        <f t="shared" si="66"/>
        <v>80.520201921784206</v>
      </c>
      <c r="CG24" s="59">
        <f t="shared" si="50"/>
        <v>-50</v>
      </c>
      <c r="CH24">
        <f t="shared" si="51"/>
        <v>-50</v>
      </c>
    </row>
    <row r="25" spans="5:86" x14ac:dyDescent="0.25">
      <c r="E25" s="150">
        <v>20</v>
      </c>
      <c r="F25" s="191">
        <f t="shared" si="52"/>
        <v>2.0000000000000004E-2</v>
      </c>
      <c r="G25" s="191"/>
      <c r="H25" s="191">
        <f t="shared" si="0"/>
        <v>0.40000000000000008</v>
      </c>
      <c r="I25" s="472">
        <f t="shared" si="1"/>
        <v>20</v>
      </c>
      <c r="J25" s="152">
        <f t="shared" si="2"/>
        <v>20.32</v>
      </c>
      <c r="K25" s="386">
        <f t="shared" si="3"/>
        <v>40.32</v>
      </c>
      <c r="L25" s="386"/>
      <c r="M25" s="191">
        <f t="shared" si="4"/>
        <v>0.50396825396825395</v>
      </c>
      <c r="N25" s="152">
        <f t="shared" si="5"/>
        <v>3.4017857142857144</v>
      </c>
      <c r="O25" s="152">
        <f t="shared" si="53"/>
        <v>0.40000000000000008</v>
      </c>
      <c r="P25" s="191">
        <f t="shared" si="6"/>
        <v>0.17008928571428572</v>
      </c>
      <c r="Q25" s="191">
        <f t="shared" si="7"/>
        <v>20</v>
      </c>
      <c r="R25" s="191">
        <f t="shared" si="8"/>
        <v>0.18898809523809523</v>
      </c>
      <c r="S25" s="152">
        <f t="shared" si="9"/>
        <v>317.52013590883251</v>
      </c>
      <c r="T25" s="152">
        <f t="shared" si="10"/>
        <v>20</v>
      </c>
      <c r="U25" s="191">
        <f t="shared" si="11"/>
        <v>8.8188976377952782E-2</v>
      </c>
      <c r="V25" s="191">
        <f t="shared" si="12"/>
        <v>0.26456692913385838</v>
      </c>
      <c r="W25" s="191">
        <f t="shared" si="13"/>
        <v>0.2604005208010417</v>
      </c>
      <c r="X25" s="175">
        <f t="shared" si="14"/>
        <v>350</v>
      </c>
      <c r="Y25" s="386">
        <f t="shared" si="54"/>
        <v>350</v>
      </c>
      <c r="AA25" s="191">
        <f t="shared" si="15"/>
        <v>0.47996976568405147</v>
      </c>
      <c r="AB25" s="153">
        <f t="shared" si="16"/>
        <v>1.4172335600907031</v>
      </c>
      <c r="AC25" s="153">
        <f t="shared" si="17"/>
        <v>0.11904012045735404</v>
      </c>
      <c r="AD25" s="153"/>
      <c r="AE25" s="153">
        <f t="shared" si="18"/>
        <v>0.44291338582677164</v>
      </c>
      <c r="AF25" s="317">
        <f t="shared" si="19"/>
        <v>602.07407407407425</v>
      </c>
      <c r="AG25" s="463">
        <f t="shared" si="20"/>
        <v>1.1626476377952754E-2</v>
      </c>
      <c r="AI25" s="153">
        <f t="shared" si="21"/>
        <v>0.20737717088747021</v>
      </c>
      <c r="AJ25" s="153">
        <f t="shared" si="22"/>
        <v>0.20737717088747021</v>
      </c>
      <c r="AK25" s="153">
        <f t="shared" si="23"/>
        <v>1.2382514472583135</v>
      </c>
      <c r="AM25" s="317">
        <f t="shared" si="24"/>
        <v>20.000000000000004</v>
      </c>
      <c r="AN25" s="147">
        <f t="shared" si="25"/>
        <v>350</v>
      </c>
      <c r="AP25">
        <f t="shared" si="26"/>
        <v>20.000000000000004</v>
      </c>
      <c r="AQ25" s="147">
        <f t="shared" si="27"/>
        <v>350</v>
      </c>
      <c r="AR25" s="147"/>
      <c r="AS25" s="5">
        <f t="shared" si="55"/>
        <v>2.8571428571428572</v>
      </c>
      <c r="AT25" s="5">
        <f t="shared" si="28"/>
        <v>0.62213151266241074</v>
      </c>
      <c r="AU25" s="5">
        <f t="shared" si="56"/>
        <v>2.2350113444804465</v>
      </c>
      <c r="AV25" s="5">
        <f t="shared" si="29"/>
        <v>0.61233416600630963</v>
      </c>
      <c r="AW25" s="153">
        <f t="shared" si="57"/>
        <v>0.21774602943184376</v>
      </c>
      <c r="AX25" s="153">
        <f t="shared" si="30"/>
        <v>0.45155555555555571</v>
      </c>
      <c r="AY25" s="153">
        <f t="shared" si="31"/>
        <v>8.111080766595731E-2</v>
      </c>
      <c r="AZ25" s="153">
        <f t="shared" si="58"/>
        <v>5.5671441149398921</v>
      </c>
      <c r="BA25" s="147">
        <f t="shared" si="32"/>
        <v>2.385619286777211</v>
      </c>
      <c r="BB25" s="147">
        <f t="shared" si="33"/>
        <v>0.61158144000000036</v>
      </c>
      <c r="BC25" s="5">
        <f t="shared" si="34"/>
        <v>4.9666918766232152E-2</v>
      </c>
      <c r="BD25" s="147">
        <f t="shared" si="35"/>
        <v>5.0333585432898822</v>
      </c>
      <c r="BE25" s="5"/>
      <c r="BF25" s="153">
        <f t="shared" si="59"/>
        <v>5.5869584334003852E-2</v>
      </c>
      <c r="BG25" s="153">
        <f t="shared" si="36"/>
        <v>0.10589469556171972</v>
      </c>
      <c r="BH25" s="153"/>
      <c r="BI25" s="463">
        <f t="shared" si="37"/>
        <v>1.0924936587790289E-3</v>
      </c>
      <c r="BJ25" s="463">
        <f t="shared" si="38"/>
        <v>1.4632533177819899E-2</v>
      </c>
      <c r="BK25" s="463">
        <f t="shared" si="39"/>
        <v>4.3749999999999995E-3</v>
      </c>
      <c r="BL25" s="463">
        <f t="shared" si="40"/>
        <v>2.8449792000000005E-2</v>
      </c>
      <c r="BM25">
        <f t="shared" si="41"/>
        <v>5.7999999999999996E-3</v>
      </c>
      <c r="BN25">
        <f t="shared" si="42"/>
        <v>1.3124999999999999E-5</v>
      </c>
      <c r="BO25" s="463">
        <f t="shared" si="43"/>
        <v>5.4521420094939696E-2</v>
      </c>
      <c r="BP25" s="147">
        <f t="shared" si="60"/>
        <v>54.521420094939693</v>
      </c>
      <c r="BQ25" s="463">
        <f t="shared" si="44"/>
        <v>1.6207256522755509E-2</v>
      </c>
      <c r="BR25" s="463"/>
      <c r="BT25" s="147">
        <f t="shared" si="61"/>
        <v>16.207256522755507</v>
      </c>
      <c r="BU25" s="463">
        <f t="shared" si="45"/>
        <v>3.1214104536543687E-3</v>
      </c>
      <c r="BV25" s="463">
        <f t="shared" si="46"/>
        <v>1.1213686548109303E-2</v>
      </c>
      <c r="BW25" s="463">
        <f t="shared" si="47"/>
        <v>0</v>
      </c>
      <c r="BX25" s="463">
        <f t="shared" si="48"/>
        <v>1.6073742134189307E-2</v>
      </c>
      <c r="BY25" s="463">
        <f t="shared" si="49"/>
        <v>7.5259259259259298E-3</v>
      </c>
      <c r="BZ25" s="147">
        <f t="shared" si="62"/>
        <v>23.599668060115235</v>
      </c>
      <c r="CA25" s="153">
        <f t="shared" si="63"/>
        <v>9.4328344677810455E-2</v>
      </c>
      <c r="CB25" s="5">
        <f t="shared" si="64"/>
        <v>0.40000000000000008</v>
      </c>
      <c r="CC25" s="153">
        <f t="shared" si="65"/>
        <v>0.80917876611083062</v>
      </c>
      <c r="CD25" s="5">
        <f t="shared" si="66"/>
        <v>80.917876611083059</v>
      </c>
      <c r="CG25" s="59">
        <f t="shared" si="50"/>
        <v>-50</v>
      </c>
      <c r="CH25">
        <f t="shared" si="51"/>
        <v>-50</v>
      </c>
    </row>
    <row r="26" spans="5:86" x14ac:dyDescent="0.25">
      <c r="E26" s="150">
        <v>21</v>
      </c>
      <c r="F26" s="191">
        <f t="shared" si="52"/>
        <v>2.1000000000000001E-2</v>
      </c>
      <c r="G26" s="191"/>
      <c r="H26" s="191">
        <f t="shared" si="0"/>
        <v>0.42000000000000004</v>
      </c>
      <c r="I26" s="472">
        <f t="shared" si="1"/>
        <v>20</v>
      </c>
      <c r="J26" s="152">
        <f t="shared" si="2"/>
        <v>20.32</v>
      </c>
      <c r="K26" s="386">
        <f t="shared" si="3"/>
        <v>40.32</v>
      </c>
      <c r="L26" s="386"/>
      <c r="M26" s="191">
        <f t="shared" si="4"/>
        <v>0.50396825396825395</v>
      </c>
      <c r="N26" s="152">
        <f t="shared" si="5"/>
        <v>3.4017857142857144</v>
      </c>
      <c r="O26" s="152">
        <f t="shared" si="53"/>
        <v>0.42000000000000004</v>
      </c>
      <c r="P26" s="191">
        <f t="shared" si="6"/>
        <v>0.17008928571428572</v>
      </c>
      <c r="Q26" s="191">
        <f t="shared" si="7"/>
        <v>20</v>
      </c>
      <c r="R26" s="191">
        <f t="shared" si="8"/>
        <v>0.18898809523809523</v>
      </c>
      <c r="S26" s="152">
        <f t="shared" si="9"/>
        <v>301.4497796489818</v>
      </c>
      <c r="T26" s="152">
        <f t="shared" si="10"/>
        <v>20</v>
      </c>
      <c r="U26" s="191">
        <f t="shared" si="11"/>
        <v>9.2598425196850409E-2</v>
      </c>
      <c r="V26" s="191">
        <f t="shared" si="12"/>
        <v>0.27779527559055123</v>
      </c>
      <c r="W26" s="191">
        <f t="shared" si="13"/>
        <v>0.27342054684109368</v>
      </c>
      <c r="X26" s="175">
        <f t="shared" si="14"/>
        <v>350</v>
      </c>
      <c r="Y26" s="386">
        <f t="shared" si="54"/>
        <v>350</v>
      </c>
      <c r="AA26" s="191">
        <f t="shared" si="15"/>
        <v>0.47996976568405147</v>
      </c>
      <c r="AB26" s="153">
        <f t="shared" si="16"/>
        <v>1.4172335600907031</v>
      </c>
      <c r="AC26" s="153">
        <f t="shared" si="17"/>
        <v>0.11904012045735404</v>
      </c>
      <c r="AD26" s="153"/>
      <c r="AE26" s="153">
        <f t="shared" si="18"/>
        <v>0.44291338582677164</v>
      </c>
      <c r="AF26" s="317">
        <f t="shared" si="19"/>
        <v>632.17777777777792</v>
      </c>
      <c r="AG26" s="463">
        <f t="shared" si="20"/>
        <v>1.1626476377952754E-2</v>
      </c>
      <c r="AI26" s="153">
        <f t="shared" si="21"/>
        <v>0.2124983660067897</v>
      </c>
      <c r="AJ26" s="153">
        <f t="shared" si="22"/>
        <v>0.2124983660067897</v>
      </c>
      <c r="AK26" s="153">
        <f t="shared" si="23"/>
        <v>1.2416655773378598</v>
      </c>
      <c r="AM26" s="317">
        <f t="shared" si="24"/>
        <v>21</v>
      </c>
      <c r="AN26" s="147">
        <f t="shared" si="25"/>
        <v>350</v>
      </c>
      <c r="AP26">
        <f t="shared" si="26"/>
        <v>21</v>
      </c>
      <c r="AQ26" s="147">
        <f t="shared" si="27"/>
        <v>350</v>
      </c>
      <c r="AR26" s="147"/>
      <c r="AS26" s="5">
        <f t="shared" si="55"/>
        <v>2.8571428571428572</v>
      </c>
      <c r="AT26" s="5">
        <f t="shared" si="28"/>
        <v>0.63749509802036919</v>
      </c>
      <c r="AU26" s="5">
        <f t="shared" si="56"/>
        <v>2.2196477591224881</v>
      </c>
      <c r="AV26" s="5">
        <f t="shared" si="29"/>
        <v>0.62745580513815857</v>
      </c>
      <c r="AW26" s="153">
        <f t="shared" si="57"/>
        <v>0.22312328430712922</v>
      </c>
      <c r="AX26" s="153">
        <f t="shared" si="30"/>
        <v>0.47413333333333335</v>
      </c>
      <c r="AY26" s="153">
        <f t="shared" si="31"/>
        <v>8.2542516336728183E-2</v>
      </c>
      <c r="AZ26" s="153">
        <f t="shared" si="58"/>
        <v>5.7441104823983009</v>
      </c>
      <c r="BA26" s="147">
        <f t="shared" si="32"/>
        <v>2.385619286777211</v>
      </c>
      <c r="BB26" s="147">
        <f t="shared" si="33"/>
        <v>0.67111853760000018</v>
      </c>
      <c r="BC26" s="5">
        <f t="shared" si="34"/>
        <v>5.1791781046191393E-2</v>
      </c>
      <c r="BD26" s="147">
        <f t="shared" si="35"/>
        <v>5.2491781046191388</v>
      </c>
      <c r="BE26" s="5"/>
      <c r="BF26" s="153">
        <f t="shared" si="59"/>
        <v>5.7951864681729873E-2</v>
      </c>
      <c r="BG26" s="153">
        <f t="shared" si="36"/>
        <v>0.10813617910654288</v>
      </c>
      <c r="BH26" s="153"/>
      <c r="BI26" s="463">
        <f t="shared" si="37"/>
        <v>1.1754465170313354E-3</v>
      </c>
      <c r="BJ26" s="463">
        <f t="shared" si="38"/>
        <v>1.4993884705439083E-2</v>
      </c>
      <c r="BK26" s="463">
        <f t="shared" si="39"/>
        <v>4.3749999999999995E-3</v>
      </c>
      <c r="BL26" s="463">
        <f t="shared" si="40"/>
        <v>2.8449792000000005E-2</v>
      </c>
      <c r="BM26">
        <f t="shared" si="41"/>
        <v>5.7999999999999996E-3</v>
      </c>
      <c r="BN26">
        <f t="shared" si="42"/>
        <v>1.3124999999999999E-5</v>
      </c>
      <c r="BO26" s="463">
        <f t="shared" si="43"/>
        <v>5.4977856543552431E-2</v>
      </c>
      <c r="BP26" s="147">
        <f t="shared" si="60"/>
        <v>54.977856543552434</v>
      </c>
      <c r="BQ26" s="463">
        <f t="shared" si="44"/>
        <v>1.6955782989066418E-2</v>
      </c>
      <c r="BR26" s="463"/>
      <c r="BT26" s="147">
        <f t="shared" si="61"/>
        <v>16.955782989066417</v>
      </c>
      <c r="BU26" s="463">
        <f t="shared" si="45"/>
        <v>3.3584186200895302E-3</v>
      </c>
      <c r="BV26" s="463">
        <f t="shared" si="46"/>
        <v>1.1693433231762322E-2</v>
      </c>
      <c r="BW26" s="463">
        <f t="shared" si="47"/>
        <v>0</v>
      </c>
      <c r="BX26" s="463">
        <f t="shared" si="48"/>
        <v>1.6878398165969338E-2</v>
      </c>
      <c r="BY26" s="463">
        <f t="shared" si="49"/>
        <v>7.9022222222222254E-3</v>
      </c>
      <c r="BZ26" s="147">
        <f t="shared" si="62"/>
        <v>24.780620388191565</v>
      </c>
      <c r="CA26" s="153">
        <f t="shared" si="63"/>
        <v>9.6714259920810411E-2</v>
      </c>
      <c r="CB26" s="5">
        <f t="shared" si="64"/>
        <v>0.42000000000000004</v>
      </c>
      <c r="CC26" s="153">
        <f t="shared" si="65"/>
        <v>0.81282835132974185</v>
      </c>
      <c r="CD26" s="5">
        <f t="shared" si="66"/>
        <v>81.282835132974185</v>
      </c>
      <c r="CG26" s="59">
        <f t="shared" si="50"/>
        <v>-50</v>
      </c>
      <c r="CH26">
        <f t="shared" si="51"/>
        <v>-50</v>
      </c>
    </row>
    <row r="27" spans="5:86" x14ac:dyDescent="0.25">
      <c r="E27" s="150">
        <v>22</v>
      </c>
      <c r="F27" s="191">
        <f t="shared" si="52"/>
        <v>2.2000000000000002E-2</v>
      </c>
      <c r="G27" s="191"/>
      <c r="H27" s="191">
        <f t="shared" si="0"/>
        <v>0.44000000000000006</v>
      </c>
      <c r="I27" s="472">
        <f t="shared" si="1"/>
        <v>20</v>
      </c>
      <c r="J27" s="152">
        <f t="shared" si="2"/>
        <v>20.32</v>
      </c>
      <c r="K27" s="386">
        <f t="shared" si="3"/>
        <v>40.32</v>
      </c>
      <c r="L27" s="386"/>
      <c r="M27" s="191">
        <f t="shared" si="4"/>
        <v>0.50396825396825395</v>
      </c>
      <c r="N27" s="152">
        <f t="shared" si="5"/>
        <v>3.4017857142857144</v>
      </c>
      <c r="O27" s="152">
        <f t="shared" si="53"/>
        <v>0.44000000000000006</v>
      </c>
      <c r="P27" s="191">
        <f t="shared" si="6"/>
        <v>0.17008928571428572</v>
      </c>
      <c r="Q27" s="191">
        <f t="shared" si="7"/>
        <v>20</v>
      </c>
      <c r="R27" s="191">
        <f t="shared" si="8"/>
        <v>0.18898809523809523</v>
      </c>
      <c r="S27" s="152">
        <f t="shared" si="9"/>
        <v>286.84046900841417</v>
      </c>
      <c r="T27" s="152">
        <f t="shared" si="10"/>
        <v>20</v>
      </c>
      <c r="U27" s="191">
        <f t="shared" si="11"/>
        <v>9.700787401574805E-2</v>
      </c>
      <c r="V27" s="191">
        <f t="shared" si="12"/>
        <v>0.29102362204724419</v>
      </c>
      <c r="W27" s="191">
        <f t="shared" si="13"/>
        <v>0.28644057288114583</v>
      </c>
      <c r="X27" s="175">
        <f t="shared" si="14"/>
        <v>350</v>
      </c>
      <c r="Y27" s="386">
        <f t="shared" si="54"/>
        <v>350</v>
      </c>
      <c r="AA27" s="191">
        <f t="shared" si="15"/>
        <v>0.47996976568405147</v>
      </c>
      <c r="AB27" s="153">
        <f t="shared" si="16"/>
        <v>1.4172335600907031</v>
      </c>
      <c r="AC27" s="153">
        <f t="shared" si="17"/>
        <v>0.11904012045735404</v>
      </c>
      <c r="AD27" s="153"/>
      <c r="AE27" s="153">
        <f t="shared" si="18"/>
        <v>0.44291338582677164</v>
      </c>
      <c r="AF27" s="317">
        <f t="shared" si="19"/>
        <v>662.28148148148171</v>
      </c>
      <c r="AG27" s="463">
        <f t="shared" si="20"/>
        <v>1.1626476377952754E-2</v>
      </c>
      <c r="AI27" s="153">
        <f t="shared" si="21"/>
        <v>0.21749901173527228</v>
      </c>
      <c r="AJ27" s="153">
        <f t="shared" si="22"/>
        <v>0.21749901173527228</v>
      </c>
      <c r="AK27" s="153">
        <f t="shared" si="23"/>
        <v>1.2449993411568481</v>
      </c>
      <c r="AM27" s="317">
        <f t="shared" si="24"/>
        <v>22.000000000000004</v>
      </c>
      <c r="AN27" s="147">
        <f t="shared" si="25"/>
        <v>350</v>
      </c>
      <c r="AP27">
        <f t="shared" si="26"/>
        <v>22.000000000000004</v>
      </c>
      <c r="AQ27" s="147">
        <f t="shared" si="27"/>
        <v>350</v>
      </c>
      <c r="AR27" s="147"/>
      <c r="AS27" s="5">
        <f t="shared" si="55"/>
        <v>2.8571428571428572</v>
      </c>
      <c r="AT27" s="5">
        <f t="shared" si="28"/>
        <v>0.65249703520581692</v>
      </c>
      <c r="AU27" s="5">
        <f t="shared" si="56"/>
        <v>2.2046458219370404</v>
      </c>
      <c r="AV27" s="5">
        <f t="shared" si="29"/>
        <v>0.64222149134430784</v>
      </c>
      <c r="AW27" s="153">
        <f t="shared" si="57"/>
        <v>0.22837396232203591</v>
      </c>
      <c r="AX27" s="153">
        <f t="shared" si="30"/>
        <v>0.49671111111111116</v>
      </c>
      <c r="AY27" s="153">
        <f t="shared" si="31"/>
        <v>8.3913950312080585E-2</v>
      </c>
      <c r="AZ27" s="153">
        <f t="shared" si="58"/>
        <v>5.9192912413706571</v>
      </c>
      <c r="BA27" s="147">
        <f t="shared" si="32"/>
        <v>2.385619286777211</v>
      </c>
      <c r="BB27" s="147">
        <f t="shared" si="33"/>
        <v>0.73341354240000012</v>
      </c>
      <c r="BC27" s="5">
        <f t="shared" si="34"/>
        <v>5.3891342314016544E-2</v>
      </c>
      <c r="BD27" s="147">
        <f t="shared" si="35"/>
        <v>5.4624675647349878</v>
      </c>
      <c r="BE27" s="5"/>
      <c r="BF27" s="153">
        <f t="shared" si="59"/>
        <v>6.0009492522598934E-2</v>
      </c>
      <c r="BG27" s="153">
        <f t="shared" si="36"/>
        <v>0.11030624419823287</v>
      </c>
      <c r="BH27" s="153"/>
      <c r="BI27" s="463">
        <f t="shared" si="37"/>
        <v>1.2603987174869501E-3</v>
      </c>
      <c r="BJ27" s="463">
        <f t="shared" si="38"/>
        <v>1.5346730268040811E-2</v>
      </c>
      <c r="BK27" s="463">
        <f t="shared" si="39"/>
        <v>4.3749999999999995E-3</v>
      </c>
      <c r="BL27" s="463">
        <f t="shared" si="40"/>
        <v>2.8449792000000005E-2</v>
      </c>
      <c r="BM27">
        <f t="shared" si="41"/>
        <v>5.7999999999999996E-3</v>
      </c>
      <c r="BN27">
        <f t="shared" si="42"/>
        <v>1.3124999999999999E-5</v>
      </c>
      <c r="BO27" s="463">
        <f t="shared" si="43"/>
        <v>5.5428089257775655E-2</v>
      </c>
      <c r="BP27" s="147">
        <f t="shared" si="60"/>
        <v>55.428089257775653</v>
      </c>
      <c r="BQ27" s="463">
        <f t="shared" si="44"/>
        <v>1.7699945176967821E-2</v>
      </c>
      <c r="BR27" s="463"/>
      <c r="BT27" s="147">
        <f t="shared" si="61"/>
        <v>17.69994517696782</v>
      </c>
      <c r="BU27" s="463">
        <f t="shared" si="45"/>
        <v>3.6011391928198575E-3</v>
      </c>
      <c r="BV27" s="463">
        <f t="shared" si="46"/>
        <v>1.2167467509120183E-2</v>
      </c>
      <c r="BW27" s="463">
        <f t="shared" si="47"/>
        <v>0</v>
      </c>
      <c r="BX27" s="463">
        <f t="shared" si="48"/>
        <v>1.768314659288292E-2</v>
      </c>
      <c r="BY27" s="463">
        <f t="shared" si="49"/>
        <v>8.2785185185185201E-3</v>
      </c>
      <c r="BZ27" s="147">
        <f t="shared" si="62"/>
        <v>25.961665111401437</v>
      </c>
      <c r="CA27" s="153">
        <f t="shared" si="63"/>
        <v>9.908969954614491E-2</v>
      </c>
      <c r="CB27" s="5">
        <f t="shared" si="64"/>
        <v>0.44000000000000006</v>
      </c>
      <c r="CC27" s="153">
        <f t="shared" si="65"/>
        <v>0.81619070141839534</v>
      </c>
      <c r="CD27" s="5">
        <f t="shared" si="66"/>
        <v>81.619070141839529</v>
      </c>
      <c r="CG27" s="59">
        <f t="shared" si="50"/>
        <v>-50</v>
      </c>
      <c r="CH27">
        <f t="shared" si="51"/>
        <v>-50</v>
      </c>
    </row>
    <row r="28" spans="5:86" x14ac:dyDescent="0.25">
      <c r="E28" s="150">
        <v>23</v>
      </c>
      <c r="F28" s="191">
        <f t="shared" si="52"/>
        <v>2.3000000000000003E-2</v>
      </c>
      <c r="G28" s="191"/>
      <c r="H28" s="191">
        <f t="shared" si="0"/>
        <v>0.46000000000000008</v>
      </c>
      <c r="I28" s="472">
        <f t="shared" si="1"/>
        <v>20</v>
      </c>
      <c r="J28" s="152">
        <f t="shared" si="2"/>
        <v>20.32</v>
      </c>
      <c r="K28" s="386">
        <f t="shared" si="3"/>
        <v>40.32</v>
      </c>
      <c r="L28" s="386"/>
      <c r="M28" s="191">
        <f t="shared" si="4"/>
        <v>0.50396825396825395</v>
      </c>
      <c r="N28" s="152">
        <f t="shared" si="5"/>
        <v>3.4017857142857144</v>
      </c>
      <c r="O28" s="152">
        <f t="shared" si="53"/>
        <v>0.46000000000000008</v>
      </c>
      <c r="P28" s="191">
        <f t="shared" si="6"/>
        <v>0.17008928571428572</v>
      </c>
      <c r="Q28" s="191">
        <f t="shared" si="7"/>
        <v>20</v>
      </c>
      <c r="R28" s="191">
        <f t="shared" si="8"/>
        <v>0.18898809523809523</v>
      </c>
      <c r="S28" s="152">
        <f t="shared" si="9"/>
        <v>273.50163374888217</v>
      </c>
      <c r="T28" s="152">
        <f t="shared" si="10"/>
        <v>20</v>
      </c>
      <c r="U28" s="191">
        <f t="shared" si="11"/>
        <v>0.10141732283464569</v>
      </c>
      <c r="V28" s="191">
        <f t="shared" si="12"/>
        <v>0.3042519685039371</v>
      </c>
      <c r="W28" s="191">
        <f t="shared" si="13"/>
        <v>0.29946059892119786</v>
      </c>
      <c r="X28" s="175">
        <f t="shared" si="14"/>
        <v>350</v>
      </c>
      <c r="Y28" s="386">
        <f t="shared" si="54"/>
        <v>350</v>
      </c>
      <c r="AA28" s="191">
        <f t="shared" si="15"/>
        <v>0.47996976568405147</v>
      </c>
      <c r="AB28" s="153">
        <f t="shared" si="16"/>
        <v>1.4172335600907031</v>
      </c>
      <c r="AC28" s="153">
        <f t="shared" si="17"/>
        <v>0.11904012045735404</v>
      </c>
      <c r="AD28" s="153"/>
      <c r="AE28" s="153">
        <f t="shared" si="18"/>
        <v>0.44291338582677164</v>
      </c>
      <c r="AF28" s="317">
        <f t="shared" si="19"/>
        <v>692.38518518518538</v>
      </c>
      <c r="AG28" s="463">
        <f t="shared" si="20"/>
        <v>1.1626476377952754E-2</v>
      </c>
      <c r="AI28" s="153">
        <f t="shared" si="21"/>
        <v>0.22238724031761503</v>
      </c>
      <c r="AJ28" s="153">
        <f t="shared" si="22"/>
        <v>0.22238724031761503</v>
      </c>
      <c r="AK28" s="153">
        <f t="shared" si="23"/>
        <v>1.2482581602117433</v>
      </c>
      <c r="AM28" s="317">
        <f t="shared" si="24"/>
        <v>23.000000000000004</v>
      </c>
      <c r="AN28" s="147">
        <f t="shared" si="25"/>
        <v>350</v>
      </c>
      <c r="AP28">
        <f t="shared" si="26"/>
        <v>23.000000000000004</v>
      </c>
      <c r="AQ28" s="147">
        <f t="shared" si="27"/>
        <v>350</v>
      </c>
      <c r="AR28" s="147"/>
      <c r="AS28" s="5">
        <f t="shared" si="55"/>
        <v>2.8571428571428572</v>
      </c>
      <c r="AT28" s="5">
        <f t="shared" si="28"/>
        <v>0.66716172095284509</v>
      </c>
      <c r="AU28" s="5">
        <f t="shared" si="56"/>
        <v>2.1899811361900121</v>
      </c>
      <c r="AV28" s="5">
        <f t="shared" si="29"/>
        <v>0.65665523715831209</v>
      </c>
      <c r="AW28" s="153">
        <f t="shared" si="57"/>
        <v>0.23350660233349577</v>
      </c>
      <c r="AX28" s="153">
        <f t="shared" si="30"/>
        <v>0.51928888888888891</v>
      </c>
      <c r="AY28" s="153">
        <f t="shared" si="31"/>
        <v>8.5229175714363073E-2</v>
      </c>
      <c r="AZ28" s="153">
        <f t="shared" si="58"/>
        <v>6.0928535860681423</v>
      </c>
      <c r="BA28" s="147">
        <f t="shared" si="32"/>
        <v>2.385619286777211</v>
      </c>
      <c r="BB28" s="147">
        <f t="shared" si="33"/>
        <v>0.79846645440000019</v>
      </c>
      <c r="BC28" s="5">
        <f t="shared" si="34"/>
        <v>5.5966184591522541E-2</v>
      </c>
      <c r="BD28" s="147">
        <f t="shared" si="35"/>
        <v>5.6732851258189205</v>
      </c>
      <c r="BE28" s="5"/>
      <c r="BF28" s="153">
        <f t="shared" si="59"/>
        <v>6.2043861616225611E-2</v>
      </c>
      <c r="BG28" s="153">
        <f t="shared" si="36"/>
        <v>0.11240961163430317</v>
      </c>
      <c r="BH28" s="153"/>
      <c r="BI28" s="463">
        <f t="shared" si="37"/>
        <v>1.3473042674886737E-3</v>
      </c>
      <c r="BJ28" s="463">
        <f t="shared" si="38"/>
        <v>1.5691643676810918E-2</v>
      </c>
      <c r="BK28" s="463">
        <f t="shared" si="39"/>
        <v>4.3749999999999995E-3</v>
      </c>
      <c r="BL28" s="463">
        <f t="shared" si="40"/>
        <v>2.8449792000000005E-2</v>
      </c>
      <c r="BM28">
        <f t="shared" si="41"/>
        <v>5.7999999999999996E-3</v>
      </c>
      <c r="BN28">
        <f t="shared" si="42"/>
        <v>1.3124999999999999E-5</v>
      </c>
      <c r="BO28" s="463">
        <f t="shared" si="43"/>
        <v>5.5872639709182076E-2</v>
      </c>
      <c r="BP28" s="147">
        <f t="shared" si="60"/>
        <v>55.872639709182074</v>
      </c>
      <c r="BQ28" s="463">
        <f t="shared" si="44"/>
        <v>1.8439843481860001E-2</v>
      </c>
      <c r="BR28" s="463"/>
      <c r="BT28" s="147">
        <f t="shared" si="61"/>
        <v>18.439843481860002</v>
      </c>
      <c r="BU28" s="463">
        <f t="shared" si="45"/>
        <v>3.8494407642533537E-3</v>
      </c>
      <c r="BV28" s="463">
        <f t="shared" si="46"/>
        <v>1.2635920787774866E-2</v>
      </c>
      <c r="BW28" s="463">
        <f t="shared" si="47"/>
        <v>0</v>
      </c>
      <c r="BX28" s="463">
        <f t="shared" si="48"/>
        <v>1.8487987430844954E-2</v>
      </c>
      <c r="BY28" s="463">
        <f t="shared" si="49"/>
        <v>8.6548148148148183E-3</v>
      </c>
      <c r="BZ28" s="147">
        <f t="shared" si="62"/>
        <v>27.14280224565977</v>
      </c>
      <c r="CA28" s="153">
        <f t="shared" si="63"/>
        <v>0.10145528543670186</v>
      </c>
      <c r="CB28" s="5">
        <f t="shared" si="64"/>
        <v>0.46000000000000008</v>
      </c>
      <c r="CC28" s="153">
        <f t="shared" si="65"/>
        <v>0.81929943831984842</v>
      </c>
      <c r="CD28" s="5">
        <f t="shared" si="66"/>
        <v>81.929943831984843</v>
      </c>
      <c r="CG28" s="59">
        <f t="shared" si="50"/>
        <v>-50</v>
      </c>
      <c r="CH28">
        <f t="shared" si="51"/>
        <v>-50</v>
      </c>
    </row>
    <row r="29" spans="5:86" x14ac:dyDescent="0.25">
      <c r="E29" s="150">
        <v>24</v>
      </c>
      <c r="F29" s="191">
        <f t="shared" si="52"/>
        <v>2.4E-2</v>
      </c>
      <c r="G29" s="191"/>
      <c r="H29" s="191">
        <f t="shared" si="0"/>
        <v>0.48</v>
      </c>
      <c r="I29" s="472">
        <f t="shared" si="1"/>
        <v>20</v>
      </c>
      <c r="J29" s="152">
        <f t="shared" si="2"/>
        <v>20.32</v>
      </c>
      <c r="K29" s="386">
        <f t="shared" si="3"/>
        <v>40.32</v>
      </c>
      <c r="L29" s="386"/>
      <c r="M29" s="191">
        <f t="shared" si="4"/>
        <v>0.50396825396825395</v>
      </c>
      <c r="N29" s="152">
        <f t="shared" si="5"/>
        <v>3.4017857142857144</v>
      </c>
      <c r="O29" s="152">
        <f t="shared" si="53"/>
        <v>0.48</v>
      </c>
      <c r="P29" s="191">
        <f t="shared" si="6"/>
        <v>0.17008928571428572</v>
      </c>
      <c r="Q29" s="191">
        <f t="shared" si="7"/>
        <v>20</v>
      </c>
      <c r="R29" s="191">
        <f t="shared" si="8"/>
        <v>0.18898809523809523</v>
      </c>
      <c r="S29" s="152">
        <f t="shared" si="9"/>
        <v>261.27446534941578</v>
      </c>
      <c r="T29" s="152">
        <f t="shared" si="10"/>
        <v>20</v>
      </c>
      <c r="U29" s="191">
        <f t="shared" si="11"/>
        <v>0.1058267716535433</v>
      </c>
      <c r="V29" s="191">
        <f t="shared" si="12"/>
        <v>0.31748031496062995</v>
      </c>
      <c r="W29" s="191">
        <f t="shared" si="13"/>
        <v>0.31248062496124995</v>
      </c>
      <c r="X29" s="175">
        <f t="shared" si="14"/>
        <v>350</v>
      </c>
      <c r="Y29" s="386">
        <f t="shared" si="54"/>
        <v>350</v>
      </c>
      <c r="AA29" s="191">
        <f t="shared" si="15"/>
        <v>0.47996976568405147</v>
      </c>
      <c r="AB29" s="153">
        <f t="shared" si="16"/>
        <v>1.4172335600907031</v>
      </c>
      <c r="AC29" s="153">
        <f t="shared" si="17"/>
        <v>0.11904012045735404</v>
      </c>
      <c r="AD29" s="153"/>
      <c r="AE29" s="153">
        <f t="shared" si="18"/>
        <v>0.44291338582677164</v>
      </c>
      <c r="AF29" s="317">
        <f t="shared" si="19"/>
        <v>722.48888888888894</v>
      </c>
      <c r="AG29" s="463">
        <f t="shared" si="20"/>
        <v>1.1626476377952754E-2</v>
      </c>
      <c r="AI29" s="153">
        <f t="shared" si="21"/>
        <v>0.22717030881334208</v>
      </c>
      <c r="AJ29" s="153">
        <f t="shared" si="22"/>
        <v>0.22717030881334208</v>
      </c>
      <c r="AK29" s="153">
        <f t="shared" si="23"/>
        <v>1.2514468725422281</v>
      </c>
      <c r="AM29" s="317">
        <f t="shared" si="24"/>
        <v>24</v>
      </c>
      <c r="AN29" s="147">
        <f t="shared" si="25"/>
        <v>350</v>
      </c>
      <c r="AP29">
        <f t="shared" si="26"/>
        <v>24</v>
      </c>
      <c r="AQ29" s="147">
        <f t="shared" si="27"/>
        <v>350</v>
      </c>
      <c r="AR29" s="147"/>
      <c r="AS29" s="5">
        <f t="shared" si="55"/>
        <v>2.8571428571428572</v>
      </c>
      <c r="AT29" s="5">
        <f t="shared" si="28"/>
        <v>0.68151092644002631</v>
      </c>
      <c r="AU29" s="5">
        <f t="shared" si="56"/>
        <v>2.1756319307028309</v>
      </c>
      <c r="AV29" s="5">
        <f t="shared" si="29"/>
        <v>0.67077847090553766</v>
      </c>
      <c r="AW29" s="153">
        <f t="shared" si="57"/>
        <v>0.2385288242540092</v>
      </c>
      <c r="AX29" s="153">
        <f t="shared" si="30"/>
        <v>0.54186666666666661</v>
      </c>
      <c r="AY29" s="153">
        <f t="shared" si="31"/>
        <v>8.6491821073337694E-2</v>
      </c>
      <c r="AZ29" s="153">
        <f t="shared" si="58"/>
        <v>6.2649469041380206</v>
      </c>
      <c r="BA29" s="147">
        <f t="shared" si="32"/>
        <v>2.385619286777211</v>
      </c>
      <c r="BB29" s="147">
        <f t="shared" si="33"/>
        <v>0.86627727359999995</v>
      </c>
      <c r="BC29" s="5">
        <f t="shared" si="34"/>
        <v>5.8016851485408819E-2</v>
      </c>
      <c r="BD29" s="147">
        <f t="shared" si="35"/>
        <v>5.8816851485408819</v>
      </c>
      <c r="BE29" s="5"/>
      <c r="BF29" s="153">
        <f t="shared" si="59"/>
        <v>6.4056229986453564E-2</v>
      </c>
      <c r="BG29" s="153">
        <f t="shared" si="36"/>
        <v>0.11445049498380935</v>
      </c>
      <c r="BH29" s="153"/>
      <c r="BI29" s="463">
        <f t="shared" si="37"/>
        <v>1.4361202100271013E-3</v>
      </c>
      <c r="BJ29" s="463">
        <f t="shared" si="38"/>
        <v>1.6029136989869418E-2</v>
      </c>
      <c r="BK29" s="463">
        <f t="shared" si="39"/>
        <v>4.3749999999999995E-3</v>
      </c>
      <c r="BL29" s="463">
        <f t="shared" si="40"/>
        <v>2.8449792000000005E-2</v>
      </c>
      <c r="BM29">
        <f t="shared" si="41"/>
        <v>5.7999999999999996E-3</v>
      </c>
      <c r="BN29">
        <f t="shared" si="42"/>
        <v>1.3124999999999999E-5</v>
      </c>
      <c r="BO29" s="463">
        <f t="shared" si="43"/>
        <v>5.6311971083422098E-2</v>
      </c>
      <c r="BP29" s="147">
        <f t="shared" si="60"/>
        <v>56.311971083422101</v>
      </c>
      <c r="BQ29" s="463">
        <f t="shared" si="44"/>
        <v>1.9175571672757775E-2</v>
      </c>
      <c r="BR29" s="463"/>
      <c r="BT29" s="147">
        <f t="shared" si="61"/>
        <v>19.175571672757776</v>
      </c>
      <c r="BU29" s="463">
        <f t="shared" si="45"/>
        <v>4.1032006000774326E-3</v>
      </c>
      <c r="BV29" s="463">
        <f t="shared" si="46"/>
        <v>1.3098915802038969E-2</v>
      </c>
      <c r="BW29" s="463">
        <f t="shared" si="47"/>
        <v>0</v>
      </c>
      <c r="BX29" s="463">
        <f t="shared" si="48"/>
        <v>1.9292920695774013E-2</v>
      </c>
      <c r="BY29" s="463">
        <f t="shared" si="49"/>
        <v>9.0311111111111113E-3</v>
      </c>
      <c r="BZ29" s="147">
        <f t="shared" si="62"/>
        <v>28.324031806885124</v>
      </c>
      <c r="CA29" s="153">
        <f t="shared" si="63"/>
        <v>0.103811574563065</v>
      </c>
      <c r="CB29" s="5">
        <f t="shared" si="64"/>
        <v>0.48</v>
      </c>
      <c r="CC29" s="153">
        <f t="shared" si="65"/>
        <v>0.82218308254549521</v>
      </c>
      <c r="CD29" s="5">
        <f t="shared" si="66"/>
        <v>82.218308254549527</v>
      </c>
      <c r="CG29" s="59">
        <f t="shared" si="50"/>
        <v>-50</v>
      </c>
      <c r="CH29">
        <f t="shared" si="51"/>
        <v>-50</v>
      </c>
    </row>
    <row r="30" spans="5:86" x14ac:dyDescent="0.25">
      <c r="E30" s="150">
        <v>25</v>
      </c>
      <c r="F30" s="191">
        <f t="shared" si="52"/>
        <v>2.5000000000000001E-2</v>
      </c>
      <c r="G30" s="191"/>
      <c r="H30" s="191">
        <f t="shared" si="0"/>
        <v>0.5</v>
      </c>
      <c r="I30" s="472">
        <f t="shared" si="1"/>
        <v>20</v>
      </c>
      <c r="J30" s="152">
        <f t="shared" si="2"/>
        <v>20.32</v>
      </c>
      <c r="K30" s="386">
        <f t="shared" si="3"/>
        <v>40.32</v>
      </c>
      <c r="L30" s="386"/>
      <c r="M30" s="191">
        <f t="shared" si="4"/>
        <v>0.50396825396825395</v>
      </c>
      <c r="N30" s="152">
        <f t="shared" si="5"/>
        <v>3.4017857142857144</v>
      </c>
      <c r="O30" s="152">
        <f t="shared" si="53"/>
        <v>0.5</v>
      </c>
      <c r="P30" s="191">
        <f t="shared" si="6"/>
        <v>0.17008928571428572</v>
      </c>
      <c r="Q30" s="191">
        <f t="shared" si="7"/>
        <v>20</v>
      </c>
      <c r="R30" s="191">
        <f t="shared" si="8"/>
        <v>0.18898809523809523</v>
      </c>
      <c r="S30" s="152">
        <f t="shared" si="9"/>
        <v>250.02556466302335</v>
      </c>
      <c r="T30" s="152">
        <f t="shared" si="10"/>
        <v>20</v>
      </c>
      <c r="U30" s="191">
        <f t="shared" si="11"/>
        <v>0.11023622047244094</v>
      </c>
      <c r="V30" s="191">
        <f t="shared" si="12"/>
        <v>0.33070866141732286</v>
      </c>
      <c r="W30" s="191">
        <f t="shared" si="13"/>
        <v>0.32550065100130204</v>
      </c>
      <c r="X30" s="175">
        <f t="shared" si="14"/>
        <v>350</v>
      </c>
      <c r="Y30" s="386">
        <f t="shared" si="54"/>
        <v>350</v>
      </c>
      <c r="AA30" s="191">
        <f t="shared" si="15"/>
        <v>0.47996976568405147</v>
      </c>
      <c r="AB30" s="153">
        <f t="shared" si="16"/>
        <v>1.4172335600907031</v>
      </c>
      <c r="AC30" s="153">
        <f t="shared" si="17"/>
        <v>0.11904012045735404</v>
      </c>
      <c r="AD30" s="153"/>
      <c r="AE30" s="153">
        <f t="shared" si="18"/>
        <v>0.44291338582677164</v>
      </c>
      <c r="AF30" s="317">
        <f t="shared" si="19"/>
        <v>752.59259259259272</v>
      </c>
      <c r="AG30" s="463">
        <f t="shared" si="20"/>
        <v>1.1626476377952754E-2</v>
      </c>
      <c r="AI30" s="153">
        <f t="shared" si="21"/>
        <v>0.23185472554298686</v>
      </c>
      <c r="AJ30" s="153">
        <f t="shared" si="22"/>
        <v>0.23185472554298686</v>
      </c>
      <c r="AK30" s="153">
        <f t="shared" si="23"/>
        <v>1.2545698170286579</v>
      </c>
      <c r="AM30" s="317">
        <f t="shared" si="24"/>
        <v>25</v>
      </c>
      <c r="AN30" s="147">
        <f t="shared" si="25"/>
        <v>350</v>
      </c>
      <c r="AP30">
        <f t="shared" si="26"/>
        <v>25</v>
      </c>
      <c r="AQ30" s="147">
        <f t="shared" si="27"/>
        <v>350</v>
      </c>
      <c r="AR30" s="147"/>
      <c r="AS30" s="5">
        <f t="shared" si="55"/>
        <v>2.8571428571428572</v>
      </c>
      <c r="AT30" s="5">
        <f t="shared" si="28"/>
        <v>0.69556417662896053</v>
      </c>
      <c r="AU30" s="5">
        <f t="shared" si="56"/>
        <v>2.1615786805138968</v>
      </c>
      <c r="AV30" s="5">
        <f t="shared" si="29"/>
        <v>0.6846104100678746</v>
      </c>
      <c r="AW30" s="153">
        <f t="shared" si="57"/>
        <v>0.24344746182013619</v>
      </c>
      <c r="AX30" s="153">
        <f t="shared" si="30"/>
        <v>0.56444444444444453</v>
      </c>
      <c r="AY30" s="153">
        <f t="shared" si="31"/>
        <v>8.7705140549271199E-2</v>
      </c>
      <c r="AZ30" s="153">
        <f t="shared" si="58"/>
        <v>6.4357053749586051</v>
      </c>
      <c r="BA30" s="147">
        <f t="shared" si="32"/>
        <v>2.385619286777211</v>
      </c>
      <c r="BB30" s="147">
        <f t="shared" si="33"/>
        <v>0.93684600000000029</v>
      </c>
      <c r="BC30" s="5">
        <f t="shared" si="34"/>
        <v>6.0043852236497136E-2</v>
      </c>
      <c r="BD30" s="147">
        <f t="shared" si="35"/>
        <v>6.087718556983047</v>
      </c>
      <c r="BE30" s="5"/>
      <c r="BF30" s="153">
        <f t="shared" si="59"/>
        <v>6.6047738227974259E-2</v>
      </c>
      <c r="BG30" s="153">
        <f t="shared" si="36"/>
        <v>0.11643267379551829</v>
      </c>
      <c r="BH30" s="153"/>
      <c r="BI30" s="463">
        <f t="shared" si="37"/>
        <v>1.5268063037608543E-3</v>
      </c>
      <c r="BJ30" s="463">
        <f t="shared" si="38"/>
        <v>1.6359669434313155E-2</v>
      </c>
      <c r="BK30" s="463">
        <f t="shared" si="39"/>
        <v>4.3749999999999995E-3</v>
      </c>
      <c r="BL30" s="463">
        <f t="shared" si="40"/>
        <v>2.8449792000000005E-2</v>
      </c>
      <c r="BM30">
        <f t="shared" si="41"/>
        <v>5.7999999999999996E-3</v>
      </c>
      <c r="BN30">
        <f t="shared" si="42"/>
        <v>1.3124999999999999E-5</v>
      </c>
      <c r="BO30" s="463">
        <f t="shared" si="43"/>
        <v>5.6746496836808248E-2</v>
      </c>
      <c r="BP30" s="147">
        <f t="shared" si="60"/>
        <v>56.746496836808248</v>
      </c>
      <c r="BQ30" s="463">
        <f t="shared" si="44"/>
        <v>1.9907217590760612E-2</v>
      </c>
      <c r="BR30" s="463"/>
      <c r="BT30" s="147">
        <f t="shared" si="61"/>
        <v>19.907217590760613</v>
      </c>
      <c r="BU30" s="463">
        <f t="shared" si="45"/>
        <v>4.3623037250310123E-3</v>
      </c>
      <c r="BV30" s="463">
        <f t="shared" si="46"/>
        <v>1.3556567527173572E-2</v>
      </c>
      <c r="BW30" s="463">
        <f t="shared" si="47"/>
        <v>0</v>
      </c>
      <c r="BX30" s="463">
        <f t="shared" si="48"/>
        <v>2.0097946403592314E-2</v>
      </c>
      <c r="BY30" s="463">
        <f t="shared" si="49"/>
        <v>9.4074074074074112E-3</v>
      </c>
      <c r="BZ30" s="147">
        <f t="shared" si="62"/>
        <v>29.505353810999722</v>
      </c>
      <c r="CA30" s="153">
        <f t="shared" si="63"/>
        <v>0.10615906823856858</v>
      </c>
      <c r="CB30" s="5">
        <f t="shared" si="64"/>
        <v>0.5</v>
      </c>
      <c r="CC30" s="153">
        <f t="shared" si="65"/>
        <v>0.82486599013183926</v>
      </c>
      <c r="CD30" s="5">
        <f t="shared" si="66"/>
        <v>82.48659901318392</v>
      </c>
      <c r="CG30" s="59">
        <f t="shared" si="50"/>
        <v>-50</v>
      </c>
      <c r="CH30">
        <f t="shared" si="51"/>
        <v>-50</v>
      </c>
    </row>
    <row r="31" spans="5:86" x14ac:dyDescent="0.25">
      <c r="E31" s="150">
        <v>26</v>
      </c>
      <c r="F31" s="191">
        <f t="shared" si="52"/>
        <v>2.6000000000000002E-2</v>
      </c>
      <c r="G31" s="191"/>
      <c r="H31" s="191">
        <f t="shared" si="0"/>
        <v>0.52</v>
      </c>
      <c r="I31" s="472">
        <f t="shared" si="1"/>
        <v>20</v>
      </c>
      <c r="J31" s="152">
        <f t="shared" si="2"/>
        <v>20.32</v>
      </c>
      <c r="K31" s="386">
        <f t="shared" si="3"/>
        <v>40.32</v>
      </c>
      <c r="L31" s="386"/>
      <c r="M31" s="191">
        <f t="shared" si="4"/>
        <v>0.50396825396825395</v>
      </c>
      <c r="N31" s="152">
        <f t="shared" si="5"/>
        <v>3.4017857142857144</v>
      </c>
      <c r="O31" s="152">
        <f t="shared" si="53"/>
        <v>0.52</v>
      </c>
      <c r="P31" s="191">
        <f t="shared" si="6"/>
        <v>0.17008928571428572</v>
      </c>
      <c r="Q31" s="191">
        <f t="shared" si="7"/>
        <v>20</v>
      </c>
      <c r="R31" s="191">
        <f t="shared" si="8"/>
        <v>0.18898809523809523</v>
      </c>
      <c r="S31" s="152">
        <f t="shared" si="9"/>
        <v>239.64205549877363</v>
      </c>
      <c r="T31" s="152">
        <f t="shared" si="10"/>
        <v>20</v>
      </c>
      <c r="U31" s="191">
        <f t="shared" si="11"/>
        <v>0.11464566929133858</v>
      </c>
      <c r="V31" s="191">
        <f t="shared" si="12"/>
        <v>0.34393700787401577</v>
      </c>
      <c r="W31" s="191">
        <f t="shared" si="13"/>
        <v>0.33852067704135408</v>
      </c>
      <c r="X31" s="175">
        <f t="shared" si="14"/>
        <v>350</v>
      </c>
      <c r="Y31" s="386">
        <f t="shared" si="54"/>
        <v>350</v>
      </c>
      <c r="AA31" s="191">
        <f t="shared" si="15"/>
        <v>0.47996976568405147</v>
      </c>
      <c r="AB31" s="153">
        <f t="shared" si="16"/>
        <v>1.4172335600907031</v>
      </c>
      <c r="AC31" s="153">
        <f t="shared" si="17"/>
        <v>0.11904012045735404</v>
      </c>
      <c r="AD31" s="153"/>
      <c r="AE31" s="153">
        <f t="shared" si="18"/>
        <v>0.44291338582677164</v>
      </c>
      <c r="AF31" s="317">
        <f t="shared" si="19"/>
        <v>782.69629629629651</v>
      </c>
      <c r="AG31" s="463">
        <f t="shared" si="20"/>
        <v>1.1626476377952754E-2</v>
      </c>
      <c r="AI31" s="153">
        <f t="shared" si="21"/>
        <v>0.2364463539724779</v>
      </c>
      <c r="AJ31" s="153">
        <f t="shared" si="22"/>
        <v>0.2364463539724779</v>
      </c>
      <c r="AK31" s="153">
        <f t="shared" si="23"/>
        <v>1.2576309026483186</v>
      </c>
      <c r="AM31" s="317">
        <f t="shared" si="24"/>
        <v>26.000000000000004</v>
      </c>
      <c r="AN31" s="147">
        <f t="shared" si="25"/>
        <v>350</v>
      </c>
      <c r="AP31">
        <f t="shared" si="26"/>
        <v>26.000000000000004</v>
      </c>
      <c r="AQ31" s="147">
        <f t="shared" si="27"/>
        <v>350</v>
      </c>
      <c r="AR31" s="147"/>
      <c r="AS31" s="5">
        <f t="shared" si="55"/>
        <v>2.8571428571428572</v>
      </c>
      <c r="AT31" s="5">
        <f t="shared" si="28"/>
        <v>0.70933906191743368</v>
      </c>
      <c r="AU31" s="5">
        <f t="shared" si="56"/>
        <v>2.1478037952254234</v>
      </c>
      <c r="AV31" s="5">
        <f t="shared" si="29"/>
        <v>0.6981683680289702</v>
      </c>
      <c r="AW31" s="153">
        <f t="shared" si="57"/>
        <v>0.24826867167110178</v>
      </c>
      <c r="AX31" s="153">
        <f t="shared" si="30"/>
        <v>0.58702222222222233</v>
      </c>
      <c r="AY31" s="153">
        <f t="shared" si="31"/>
        <v>8.8872065875127831E-2</v>
      </c>
      <c r="AZ31" s="153">
        <f t="shared" si="58"/>
        <v>6.6052501024003902</v>
      </c>
      <c r="BA31" s="147">
        <f t="shared" si="32"/>
        <v>2.385619286777211</v>
      </c>
      <c r="BB31" s="147">
        <f t="shared" si="33"/>
        <v>1.0101726336000003</v>
      </c>
      <c r="BC31" s="5">
        <f t="shared" si="34"/>
        <v>6.2047665195401128E-2</v>
      </c>
      <c r="BD31" s="147">
        <f t="shared" si="35"/>
        <v>6.2914331862067794</v>
      </c>
      <c r="BE31" s="5"/>
      <c r="BF31" s="153">
        <f t="shared" si="59"/>
        <v>6.8019424712177173E-2</v>
      </c>
      <c r="BG31" s="153">
        <f t="shared" si="36"/>
        <v>0.11835955375092132</v>
      </c>
      <c r="BH31" s="153"/>
      <c r="BI31" s="463">
        <f t="shared" si="37"/>
        <v>1.6193247483614385E-3</v>
      </c>
      <c r="BJ31" s="463">
        <f t="shared" si="38"/>
        <v>1.6683654736298043E-2</v>
      </c>
      <c r="BK31" s="463">
        <f t="shared" si="39"/>
        <v>4.3749999999999995E-3</v>
      </c>
      <c r="BL31" s="463">
        <f t="shared" si="40"/>
        <v>2.8449792000000005E-2</v>
      </c>
      <c r="BM31">
        <f t="shared" si="41"/>
        <v>5.7999999999999996E-3</v>
      </c>
      <c r="BN31">
        <f t="shared" si="42"/>
        <v>1.3124999999999999E-5</v>
      </c>
      <c r="BO31" s="463">
        <f t="shared" si="43"/>
        <v>5.7176587712705881E-2</v>
      </c>
      <c r="BP31" s="147">
        <f t="shared" si="60"/>
        <v>57.176587712705881</v>
      </c>
      <c r="BQ31" s="463">
        <f t="shared" si="44"/>
        <v>2.0634863748585572E-2</v>
      </c>
      <c r="BR31" s="463"/>
      <c r="BT31" s="147">
        <f t="shared" si="61"/>
        <v>20.634863748585573</v>
      </c>
      <c r="BU31" s="463">
        <f t="shared" si="45"/>
        <v>4.626642138175539E-3</v>
      </c>
      <c r="BV31" s="463">
        <f t="shared" si="46"/>
        <v>1.4008983964117233E-2</v>
      </c>
      <c r="BW31" s="463">
        <f t="shared" si="47"/>
        <v>0</v>
      </c>
      <c r="BX31" s="463">
        <f t="shared" si="48"/>
        <v>2.0903064570225734E-2</v>
      </c>
      <c r="BY31" s="463">
        <f t="shared" si="49"/>
        <v>9.7837037037037059E-3</v>
      </c>
      <c r="BZ31" s="147">
        <f t="shared" si="62"/>
        <v>30.686768273929438</v>
      </c>
      <c r="CA31" s="153">
        <f t="shared" si="63"/>
        <v>0.10849821973522089</v>
      </c>
      <c r="CB31" s="5">
        <f t="shared" si="64"/>
        <v>0.52</v>
      </c>
      <c r="CC31" s="153">
        <f t="shared" si="65"/>
        <v>0.82736908979482882</v>
      </c>
      <c r="CD31" s="5">
        <f t="shared" si="66"/>
        <v>82.736908979482877</v>
      </c>
      <c r="CG31" s="59">
        <f t="shared" si="50"/>
        <v>-50</v>
      </c>
      <c r="CH31">
        <f t="shared" si="51"/>
        <v>-50</v>
      </c>
    </row>
    <row r="32" spans="5:86" x14ac:dyDescent="0.25">
      <c r="E32" s="150">
        <v>27</v>
      </c>
      <c r="F32" s="191">
        <f t="shared" si="52"/>
        <v>2.7000000000000003E-2</v>
      </c>
      <c r="G32" s="191"/>
      <c r="H32" s="191">
        <f t="shared" si="0"/>
        <v>0.54</v>
      </c>
      <c r="I32" s="472">
        <f t="shared" si="1"/>
        <v>20</v>
      </c>
      <c r="J32" s="152">
        <f t="shared" si="2"/>
        <v>20.32</v>
      </c>
      <c r="K32" s="386">
        <f t="shared" si="3"/>
        <v>40.32</v>
      </c>
      <c r="L32" s="386"/>
      <c r="M32" s="191">
        <f t="shared" si="4"/>
        <v>0.50396825396825395</v>
      </c>
      <c r="N32" s="152">
        <f t="shared" si="5"/>
        <v>3.4017857142857144</v>
      </c>
      <c r="O32" s="152">
        <f t="shared" si="53"/>
        <v>0.54</v>
      </c>
      <c r="P32" s="191">
        <f t="shared" si="6"/>
        <v>0.17008928571428572</v>
      </c>
      <c r="Q32" s="191">
        <f t="shared" si="7"/>
        <v>20</v>
      </c>
      <c r="R32" s="191">
        <f t="shared" si="8"/>
        <v>0.18898809523809523</v>
      </c>
      <c r="S32" s="152">
        <f t="shared" si="9"/>
        <v>230.0277840745276</v>
      </c>
      <c r="T32" s="152">
        <f t="shared" si="10"/>
        <v>20</v>
      </c>
      <c r="U32" s="191">
        <f t="shared" si="11"/>
        <v>0.11905511811023624</v>
      </c>
      <c r="V32" s="191">
        <f t="shared" si="12"/>
        <v>0.35716535433070873</v>
      </c>
      <c r="W32" s="191">
        <f t="shared" si="13"/>
        <v>0.35154070308140623</v>
      </c>
      <c r="X32" s="175">
        <f t="shared" si="14"/>
        <v>350</v>
      </c>
      <c r="Y32" s="386">
        <f t="shared" si="54"/>
        <v>350</v>
      </c>
      <c r="AA32" s="191">
        <f t="shared" si="15"/>
        <v>0.47996976568405147</v>
      </c>
      <c r="AB32" s="153">
        <f t="shared" si="16"/>
        <v>1.4172335600907031</v>
      </c>
      <c r="AC32" s="153">
        <f t="shared" si="17"/>
        <v>0.11904012045735404</v>
      </c>
      <c r="AD32" s="153"/>
      <c r="AE32" s="153">
        <f t="shared" si="18"/>
        <v>0.44291338582677164</v>
      </c>
      <c r="AF32" s="317">
        <f t="shared" si="19"/>
        <v>812.80000000000018</v>
      </c>
      <c r="AG32" s="463">
        <f t="shared" si="20"/>
        <v>1.1626476377952754E-2</v>
      </c>
      <c r="AI32" s="153">
        <f t="shared" si="21"/>
        <v>0.24095049876923447</v>
      </c>
      <c r="AJ32" s="153">
        <f t="shared" si="22"/>
        <v>0.24095049876923447</v>
      </c>
      <c r="AK32" s="153">
        <f t="shared" si="23"/>
        <v>1.2606336658461563</v>
      </c>
      <c r="AM32" s="317">
        <f t="shared" si="24"/>
        <v>27.000000000000004</v>
      </c>
      <c r="AN32" s="147">
        <f t="shared" si="25"/>
        <v>350</v>
      </c>
      <c r="AP32">
        <f t="shared" si="26"/>
        <v>27.000000000000004</v>
      </c>
      <c r="AQ32" s="147">
        <f t="shared" si="27"/>
        <v>350</v>
      </c>
      <c r="AR32" s="147"/>
      <c r="AS32" s="5">
        <f t="shared" si="55"/>
        <v>2.8571428571428572</v>
      </c>
      <c r="AT32" s="5">
        <f t="shared" si="28"/>
        <v>0.7228514963077034</v>
      </c>
      <c r="AU32" s="5">
        <f t="shared" si="56"/>
        <v>2.1342913608351539</v>
      </c>
      <c r="AV32" s="5">
        <f t="shared" si="29"/>
        <v>0.71146800817687339</v>
      </c>
      <c r="AW32" s="153">
        <f t="shared" si="57"/>
        <v>0.2529980237076962</v>
      </c>
      <c r="AX32" s="153">
        <f t="shared" si="30"/>
        <v>0.60960000000000003</v>
      </c>
      <c r="AY32" s="153">
        <f t="shared" si="31"/>
        <v>8.9995249384617226E-2</v>
      </c>
      <c r="AZ32" s="153">
        <f t="shared" si="58"/>
        <v>6.7736908800010305</v>
      </c>
      <c r="BA32" s="147">
        <f t="shared" si="32"/>
        <v>2.385619286777211</v>
      </c>
      <c r="BB32" s="147">
        <f t="shared" si="33"/>
        <v>1.0862571744000002</v>
      </c>
      <c r="BC32" s="5">
        <f t="shared" si="34"/>
        <v>6.4028740825054609E-2</v>
      </c>
      <c r="BD32" s="147">
        <f t="shared" si="35"/>
        <v>6.4928740825054616</v>
      </c>
      <c r="BE32" s="5"/>
      <c r="BF32" s="153">
        <f t="shared" si="59"/>
        <v>6.9972238316284005E-2</v>
      </c>
      <c r="BG32" s="153">
        <f t="shared" si="36"/>
        <v>0.12023421650008831</v>
      </c>
      <c r="BH32" s="153"/>
      <c r="BI32" s="463">
        <f t="shared" si="37"/>
        <v>1.713639947246795E-3</v>
      </c>
      <c r="BJ32" s="463">
        <f t="shared" si="38"/>
        <v>1.7001467193157184E-2</v>
      </c>
      <c r="BK32" s="463">
        <f t="shared" si="39"/>
        <v>4.3749999999999995E-3</v>
      </c>
      <c r="BL32" s="463">
        <f t="shared" si="40"/>
        <v>2.8449792000000005E-2</v>
      </c>
      <c r="BM32">
        <f t="shared" si="41"/>
        <v>5.7999999999999996E-3</v>
      </c>
      <c r="BN32">
        <f t="shared" si="42"/>
        <v>1.3124999999999999E-5</v>
      </c>
      <c r="BO32" s="463">
        <f t="shared" si="43"/>
        <v>5.7602577542662507E-2</v>
      </c>
      <c r="BP32" s="147">
        <f t="shared" si="60"/>
        <v>57.602577542662509</v>
      </c>
      <c r="BQ32" s="463">
        <f t="shared" si="44"/>
        <v>2.1358587848486047E-2</v>
      </c>
      <c r="BR32" s="463"/>
      <c r="BT32" s="147">
        <f t="shared" si="61"/>
        <v>21.358587848486046</v>
      </c>
      <c r="BU32" s="463">
        <f t="shared" si="45"/>
        <v>4.8961141349908432E-3</v>
      </c>
      <c r="BV32" s="463">
        <f t="shared" si="46"/>
        <v>1.4456266817390108E-2</v>
      </c>
      <c r="BW32" s="463">
        <f t="shared" si="47"/>
        <v>0</v>
      </c>
      <c r="BX32" s="463">
        <f t="shared" si="48"/>
        <v>2.1708275211603796E-2</v>
      </c>
      <c r="BY32" s="463">
        <f t="shared" si="49"/>
        <v>1.0160000000000002E-2</v>
      </c>
      <c r="BZ32" s="147">
        <f t="shared" si="62"/>
        <v>31.868275211603798</v>
      </c>
      <c r="CA32" s="153">
        <f t="shared" si="63"/>
        <v>0.11082944060275235</v>
      </c>
      <c r="CB32" s="5">
        <f t="shared" si="64"/>
        <v>0.54</v>
      </c>
      <c r="CC32" s="153">
        <f t="shared" si="65"/>
        <v>0.82971046838306839</v>
      </c>
      <c r="CD32" s="5">
        <f t="shared" si="66"/>
        <v>82.971046838306833</v>
      </c>
      <c r="CG32" s="59">
        <f t="shared" si="50"/>
        <v>-50</v>
      </c>
      <c r="CH32">
        <f t="shared" si="51"/>
        <v>-50</v>
      </c>
    </row>
    <row r="33" spans="5:86" x14ac:dyDescent="0.25">
      <c r="E33" s="150">
        <v>28</v>
      </c>
      <c r="F33" s="191">
        <f t="shared" si="52"/>
        <v>2.8000000000000004E-2</v>
      </c>
      <c r="G33" s="191"/>
      <c r="H33" s="191">
        <f t="shared" si="0"/>
        <v>0.56000000000000005</v>
      </c>
      <c r="I33" s="472">
        <f t="shared" si="1"/>
        <v>20</v>
      </c>
      <c r="J33" s="152">
        <f t="shared" si="2"/>
        <v>20.32</v>
      </c>
      <c r="K33" s="386">
        <f t="shared" si="3"/>
        <v>40.32</v>
      </c>
      <c r="L33" s="386"/>
      <c r="M33" s="191">
        <f t="shared" si="4"/>
        <v>0.50396825396825395</v>
      </c>
      <c r="N33" s="152">
        <f t="shared" si="5"/>
        <v>3.4017857142857144</v>
      </c>
      <c r="O33" s="152">
        <f t="shared" si="53"/>
        <v>0.56000000000000005</v>
      </c>
      <c r="P33" s="191">
        <f t="shared" si="6"/>
        <v>0.17008928571428572</v>
      </c>
      <c r="Q33" s="191">
        <f t="shared" si="7"/>
        <v>20</v>
      </c>
      <c r="R33" s="191">
        <f t="shared" si="8"/>
        <v>0.18898809523809523</v>
      </c>
      <c r="S33" s="152">
        <f t="shared" si="9"/>
        <v>221.10033287265944</v>
      </c>
      <c r="T33" s="152">
        <f t="shared" si="10"/>
        <v>20</v>
      </c>
      <c r="U33" s="191">
        <f t="shared" si="11"/>
        <v>0.12346456692913388</v>
      </c>
      <c r="V33" s="191">
        <f t="shared" si="12"/>
        <v>0.37039370078740164</v>
      </c>
      <c r="W33" s="191">
        <f t="shared" si="13"/>
        <v>0.36456072912145832</v>
      </c>
      <c r="X33" s="175">
        <f t="shared" si="14"/>
        <v>350</v>
      </c>
      <c r="Y33" s="386">
        <f t="shared" si="54"/>
        <v>350</v>
      </c>
      <c r="AA33" s="191">
        <f t="shared" si="15"/>
        <v>0.47996976568405147</v>
      </c>
      <c r="AB33" s="153">
        <f t="shared" si="16"/>
        <v>1.4172335600907031</v>
      </c>
      <c r="AC33" s="153">
        <f t="shared" si="17"/>
        <v>0.11904012045735404</v>
      </c>
      <c r="AD33" s="153"/>
      <c r="AE33" s="153">
        <f t="shared" si="18"/>
        <v>0.44291338582677164</v>
      </c>
      <c r="AF33" s="317">
        <f t="shared" si="19"/>
        <v>842.90370370370397</v>
      </c>
      <c r="AG33" s="463">
        <f t="shared" si="20"/>
        <v>1.1626476377952754E-2</v>
      </c>
      <c r="AI33" s="153">
        <f t="shared" si="21"/>
        <v>0.24537197763275131</v>
      </c>
      <c r="AJ33" s="153">
        <f t="shared" si="22"/>
        <v>0.24537197763275131</v>
      </c>
      <c r="AK33" s="153">
        <f t="shared" si="23"/>
        <v>1.2635813184218341</v>
      </c>
      <c r="AM33" s="317">
        <f t="shared" si="24"/>
        <v>28.000000000000004</v>
      </c>
      <c r="AN33" s="147">
        <f t="shared" si="25"/>
        <v>350</v>
      </c>
      <c r="AP33">
        <f t="shared" si="26"/>
        <v>28.000000000000004</v>
      </c>
      <c r="AQ33" s="147">
        <f t="shared" si="27"/>
        <v>350</v>
      </c>
      <c r="AR33" s="147"/>
      <c r="AS33" s="5">
        <f t="shared" si="55"/>
        <v>2.8571428571428572</v>
      </c>
      <c r="AT33" s="5">
        <f t="shared" si="28"/>
        <v>0.73611593289825394</v>
      </c>
      <c r="AU33" s="5">
        <f t="shared" si="56"/>
        <v>2.1210269242446032</v>
      </c>
      <c r="AV33" s="5">
        <f t="shared" si="29"/>
        <v>0.72452355600221841</v>
      </c>
      <c r="AW33" s="153">
        <f t="shared" si="57"/>
        <v>0.25764057651438887</v>
      </c>
      <c r="AX33" s="153">
        <f t="shared" si="30"/>
        <v>0.63217777777777784</v>
      </c>
      <c r="AY33" s="153">
        <f t="shared" si="31"/>
        <v>9.1077099927486763E-2</v>
      </c>
      <c r="AZ33" s="153">
        <f t="shared" si="58"/>
        <v>6.941127663058019</v>
      </c>
      <c r="BA33" s="147">
        <f t="shared" si="32"/>
        <v>2.385619286777211</v>
      </c>
      <c r="BB33" s="147">
        <f t="shared" si="33"/>
        <v>1.1650996224000001</v>
      </c>
      <c r="BC33" s="5">
        <f t="shared" si="34"/>
        <v>6.5987504309832093E-2</v>
      </c>
      <c r="BD33" s="147">
        <f t="shared" si="35"/>
        <v>6.6920837643165436</v>
      </c>
      <c r="BE33" s="5"/>
      <c r="BF33" s="153">
        <f t="shared" si="59"/>
        <v>7.1907049155793559E-2</v>
      </c>
      <c r="BG33" s="153">
        <f t="shared" si="36"/>
        <v>0.12205946126448136</v>
      </c>
      <c r="BH33" s="153"/>
      <c r="BI33" s="463">
        <f t="shared" si="37"/>
        <v>1.8097183014027986E-3</v>
      </c>
      <c r="BJ33" s="463">
        <f t="shared" si="38"/>
        <v>1.7313446741766932E-2</v>
      </c>
      <c r="BK33" s="463">
        <f t="shared" si="39"/>
        <v>4.3749999999999995E-3</v>
      </c>
      <c r="BL33" s="463">
        <f t="shared" si="40"/>
        <v>2.8449792000000005E-2</v>
      </c>
      <c r="BM33">
        <f t="shared" si="41"/>
        <v>5.7999999999999996E-3</v>
      </c>
      <c r="BN33">
        <f t="shared" si="42"/>
        <v>1.3124999999999999E-5</v>
      </c>
      <c r="BO33" s="463">
        <f t="shared" si="43"/>
        <v>5.8024768079291383E-2</v>
      </c>
      <c r="BP33" s="147">
        <f t="shared" si="60"/>
        <v>58.024768079291384</v>
      </c>
      <c r="BQ33" s="463">
        <f t="shared" si="44"/>
        <v>2.2078463232310032E-2</v>
      </c>
      <c r="BR33" s="463"/>
      <c r="BT33" s="147">
        <f t="shared" si="61"/>
        <v>22.078463232310032</v>
      </c>
      <c r="BU33" s="463">
        <f t="shared" si="45"/>
        <v>5.170623718293711E-3</v>
      </c>
      <c r="BV33" s="463">
        <f t="shared" si="46"/>
        <v>1.4898512084175426E-2</v>
      </c>
      <c r="BW33" s="463">
        <f t="shared" si="47"/>
        <v>0</v>
      </c>
      <c r="BX33" s="463">
        <f t="shared" si="48"/>
        <v>2.2513578343659711E-2</v>
      </c>
      <c r="BY33" s="463">
        <f t="shared" si="49"/>
        <v>1.0536296296296299E-2</v>
      </c>
      <c r="BZ33" s="147">
        <f t="shared" si="62"/>
        <v>33.049874639956009</v>
      </c>
      <c r="CA33" s="153">
        <f t="shared" si="63"/>
        <v>0.11315310595155742</v>
      </c>
      <c r="CB33" s="5">
        <f t="shared" si="64"/>
        <v>0.56000000000000005</v>
      </c>
      <c r="CC33" s="153">
        <f t="shared" si="65"/>
        <v>0.83190583991793943</v>
      </c>
      <c r="CD33" s="5">
        <f t="shared" si="66"/>
        <v>83.190583991793943</v>
      </c>
      <c r="CG33" s="59">
        <f t="shared" si="50"/>
        <v>-50</v>
      </c>
      <c r="CH33">
        <f t="shared" si="51"/>
        <v>-50</v>
      </c>
    </row>
    <row r="34" spans="5:86" x14ac:dyDescent="0.25">
      <c r="E34" s="150">
        <v>29</v>
      </c>
      <c r="F34" s="191">
        <f t="shared" si="52"/>
        <v>2.8999999999999998E-2</v>
      </c>
      <c r="G34" s="191"/>
      <c r="H34" s="191">
        <f t="shared" si="0"/>
        <v>0.57999999999999996</v>
      </c>
      <c r="I34" s="472">
        <f t="shared" si="1"/>
        <v>20</v>
      </c>
      <c r="J34" s="152">
        <f t="shared" si="2"/>
        <v>20.32</v>
      </c>
      <c r="K34" s="386">
        <f t="shared" si="3"/>
        <v>40.32</v>
      </c>
      <c r="L34" s="386"/>
      <c r="M34" s="191">
        <f t="shared" si="4"/>
        <v>0.50396825396825395</v>
      </c>
      <c r="N34" s="152">
        <f t="shared" si="5"/>
        <v>3.4017857142857144</v>
      </c>
      <c r="O34" s="152">
        <f t="shared" si="53"/>
        <v>0.57999999999999996</v>
      </c>
      <c r="P34" s="191">
        <f t="shared" si="6"/>
        <v>0.17008928571428572</v>
      </c>
      <c r="Q34" s="191">
        <f t="shared" si="7"/>
        <v>20</v>
      </c>
      <c r="R34" s="191">
        <f t="shared" si="8"/>
        <v>0.18898809523809523</v>
      </c>
      <c r="S34" s="152">
        <f t="shared" si="9"/>
        <v>212.78865231873436</v>
      </c>
      <c r="T34" s="152">
        <f t="shared" si="10"/>
        <v>20</v>
      </c>
      <c r="U34" s="191">
        <f t="shared" si="11"/>
        <v>0.12787401574803148</v>
      </c>
      <c r="V34" s="191">
        <f t="shared" si="12"/>
        <v>0.38362204724409449</v>
      </c>
      <c r="W34" s="191">
        <f t="shared" si="13"/>
        <v>0.3775807551615103</v>
      </c>
      <c r="X34" s="175">
        <f t="shared" si="14"/>
        <v>350</v>
      </c>
      <c r="Y34" s="386">
        <f t="shared" si="54"/>
        <v>350</v>
      </c>
      <c r="AA34" s="191">
        <f t="shared" si="15"/>
        <v>0.47996976568405147</v>
      </c>
      <c r="AB34" s="153">
        <f t="shared" si="16"/>
        <v>1.4172335600907031</v>
      </c>
      <c r="AC34" s="153">
        <f t="shared" si="17"/>
        <v>0.11904012045735404</v>
      </c>
      <c r="AD34" s="153"/>
      <c r="AE34" s="153">
        <f t="shared" si="18"/>
        <v>0.44291338582677164</v>
      </c>
      <c r="AF34" s="317">
        <f t="shared" si="19"/>
        <v>873.00740740740753</v>
      </c>
      <c r="AG34" s="463">
        <f t="shared" si="20"/>
        <v>1.1626476377952754E-2</v>
      </c>
      <c r="AI34" s="153">
        <f t="shared" si="21"/>
        <v>0.24971518167238443</v>
      </c>
      <c r="AJ34" s="153">
        <f t="shared" si="22"/>
        <v>0.24971518167238443</v>
      </c>
      <c r="AK34" s="153">
        <f t="shared" si="23"/>
        <v>1.2664767877815897</v>
      </c>
      <c r="AM34" s="317">
        <f t="shared" si="24"/>
        <v>28.999999999999996</v>
      </c>
      <c r="AN34" s="147">
        <f t="shared" si="25"/>
        <v>350</v>
      </c>
      <c r="AP34">
        <f t="shared" si="26"/>
        <v>28.999999999999996</v>
      </c>
      <c r="AQ34" s="147">
        <f t="shared" si="27"/>
        <v>350</v>
      </c>
      <c r="AR34" s="147"/>
      <c r="AS34" s="5">
        <f t="shared" si="55"/>
        <v>2.8571428571428572</v>
      </c>
      <c r="AT34" s="5">
        <f t="shared" si="28"/>
        <v>0.74914554501715325</v>
      </c>
      <c r="AU34" s="5">
        <f t="shared" si="56"/>
        <v>2.1079973121257041</v>
      </c>
      <c r="AV34" s="5">
        <f t="shared" si="29"/>
        <v>0.73734797737908786</v>
      </c>
      <c r="AW34" s="153">
        <f t="shared" si="57"/>
        <v>0.26220094075600364</v>
      </c>
      <c r="AX34" s="153">
        <f t="shared" si="30"/>
        <v>0.65475555555555565</v>
      </c>
      <c r="AY34" s="153">
        <f t="shared" si="31"/>
        <v>9.2119813058414435E-2</v>
      </c>
      <c r="AZ34" s="153">
        <f t="shared" si="58"/>
        <v>7.1076518049419635</v>
      </c>
      <c r="BA34" s="147">
        <f t="shared" si="32"/>
        <v>2.385619286777211</v>
      </c>
      <c r="BB34" s="147">
        <f t="shared" si="33"/>
        <v>1.2466999775999998</v>
      </c>
      <c r="BC34" s="5">
        <f t="shared" si="34"/>
        <v>6.792435783516157E-2</v>
      </c>
      <c r="BD34" s="147">
        <f t="shared" si="35"/>
        <v>6.8891024501828237</v>
      </c>
      <c r="BE34" s="5"/>
      <c r="BF34" s="153">
        <f t="shared" si="59"/>
        <v>7.3824657693428913E-2</v>
      </c>
      <c r="BG34" s="153">
        <f t="shared" si="36"/>
        <v>0.12383783981080003</v>
      </c>
      <c r="BH34" s="153"/>
      <c r="BI34" s="463">
        <f t="shared" si="37"/>
        <v>1.9075280292431835E-3</v>
      </c>
      <c r="BJ34" s="463">
        <f t="shared" si="38"/>
        <v>1.7619903218803447E-2</v>
      </c>
      <c r="BK34" s="463">
        <f t="shared" si="39"/>
        <v>4.3749999999999995E-3</v>
      </c>
      <c r="BL34" s="463">
        <f t="shared" si="40"/>
        <v>2.8449792000000005E-2</v>
      </c>
      <c r="BM34">
        <f t="shared" si="41"/>
        <v>5.7999999999999996E-3</v>
      </c>
      <c r="BN34">
        <f t="shared" si="42"/>
        <v>1.3124999999999999E-5</v>
      </c>
      <c r="BO34" s="463">
        <f t="shared" si="43"/>
        <v>5.8443433050785004E-2</v>
      </c>
      <c r="BP34" s="147">
        <f t="shared" si="60"/>
        <v>58.443433050785004</v>
      </c>
      <c r="BQ34" s="463">
        <f t="shared" si="44"/>
        <v>2.2794559274720103E-2</v>
      </c>
      <c r="BR34" s="463"/>
      <c r="BT34" s="147">
        <f t="shared" si="61"/>
        <v>22.794559274720104</v>
      </c>
      <c r="BU34" s="463">
        <f t="shared" si="45"/>
        <v>5.4500800835519531E-3</v>
      </c>
      <c r="BV34" s="463">
        <f t="shared" si="46"/>
        <v>1.5335810569005369E-2</v>
      </c>
      <c r="BW34" s="463">
        <f t="shared" si="47"/>
        <v>0</v>
      </c>
      <c r="BX34" s="463">
        <f t="shared" si="48"/>
        <v>2.3318973982330325E-2</v>
      </c>
      <c r="BY34" s="463">
        <f t="shared" si="49"/>
        <v>1.0912592592592595E-2</v>
      </c>
      <c r="BZ34" s="147">
        <f t="shared" si="62"/>
        <v>34.231566574922923</v>
      </c>
      <c r="CA34" s="153">
        <f t="shared" si="63"/>
        <v>0.11546955890042802</v>
      </c>
      <c r="CB34" s="5">
        <f t="shared" si="64"/>
        <v>0.57999999999999996</v>
      </c>
      <c r="CC34" s="153">
        <f t="shared" si="65"/>
        <v>0.83396892441562631</v>
      </c>
      <c r="CD34" s="5">
        <f t="shared" si="66"/>
        <v>83.396892441562628</v>
      </c>
      <c r="CG34" s="59">
        <f t="shared" si="50"/>
        <v>-50</v>
      </c>
      <c r="CH34">
        <f t="shared" si="51"/>
        <v>-50</v>
      </c>
    </row>
    <row r="35" spans="5:86" x14ac:dyDescent="0.25">
      <c r="E35" s="150">
        <v>30</v>
      </c>
      <c r="F35" s="191">
        <f t="shared" si="52"/>
        <v>0.03</v>
      </c>
      <c r="G35" s="191"/>
      <c r="H35" s="191">
        <f t="shared" si="0"/>
        <v>0.6</v>
      </c>
      <c r="I35" s="472">
        <f t="shared" si="1"/>
        <v>20</v>
      </c>
      <c r="J35" s="152">
        <f t="shared" si="2"/>
        <v>20.32</v>
      </c>
      <c r="K35" s="386">
        <f t="shared" si="3"/>
        <v>40.32</v>
      </c>
      <c r="L35" s="386"/>
      <c r="M35" s="191">
        <f t="shared" si="4"/>
        <v>0.50396825396825395</v>
      </c>
      <c r="N35" s="152">
        <f t="shared" si="5"/>
        <v>3.4017857142857144</v>
      </c>
      <c r="O35" s="152">
        <f t="shared" si="53"/>
        <v>0.6</v>
      </c>
      <c r="P35" s="191">
        <f t="shared" si="6"/>
        <v>0.17008928571428572</v>
      </c>
      <c r="Q35" s="191">
        <f t="shared" si="7"/>
        <v>20</v>
      </c>
      <c r="R35" s="191">
        <f t="shared" si="8"/>
        <v>0.18898809523809523</v>
      </c>
      <c r="S35" s="152">
        <f t="shared" si="9"/>
        <v>205.03116612445297</v>
      </c>
      <c r="T35" s="152">
        <f t="shared" si="10"/>
        <v>20</v>
      </c>
      <c r="U35" s="191">
        <f t="shared" si="11"/>
        <v>0.13228346456692913</v>
      </c>
      <c r="V35" s="191">
        <f t="shared" si="12"/>
        <v>0.3968503937007874</v>
      </c>
      <c r="W35" s="191">
        <f t="shared" si="13"/>
        <v>0.39060078120156244</v>
      </c>
      <c r="X35" s="175">
        <f t="shared" si="14"/>
        <v>350</v>
      </c>
      <c r="Y35" s="386">
        <f t="shared" si="54"/>
        <v>350</v>
      </c>
      <c r="AA35" s="191">
        <f t="shared" si="15"/>
        <v>0.47996976568405147</v>
      </c>
      <c r="AB35" s="153">
        <f t="shared" si="16"/>
        <v>1.4172335600907031</v>
      </c>
      <c r="AC35" s="153">
        <f t="shared" si="17"/>
        <v>0.11904012045735404</v>
      </c>
      <c r="AD35" s="153"/>
      <c r="AE35" s="153">
        <f t="shared" si="18"/>
        <v>0.44291338582677164</v>
      </c>
      <c r="AF35" s="317">
        <f t="shared" si="19"/>
        <v>903.1111111111112</v>
      </c>
      <c r="AG35" s="463">
        <f t="shared" si="20"/>
        <v>1.1626476377952754E-2</v>
      </c>
      <c r="AI35" s="153">
        <f t="shared" si="21"/>
        <v>0.25398412648812624</v>
      </c>
      <c r="AJ35" s="153">
        <f t="shared" si="22"/>
        <v>0.25398412648812624</v>
      </c>
      <c r="AK35" s="153">
        <f t="shared" si="23"/>
        <v>1.2693227509920841</v>
      </c>
      <c r="AM35" s="317">
        <f t="shared" si="24"/>
        <v>30</v>
      </c>
      <c r="AN35" s="147">
        <f t="shared" si="25"/>
        <v>350</v>
      </c>
      <c r="AP35">
        <f t="shared" si="26"/>
        <v>30</v>
      </c>
      <c r="AQ35" s="147">
        <f t="shared" si="27"/>
        <v>350</v>
      </c>
      <c r="AR35" s="147"/>
      <c r="AS35" s="5">
        <f t="shared" si="55"/>
        <v>2.8571428571428572</v>
      </c>
      <c r="AT35" s="5">
        <f t="shared" si="28"/>
        <v>0.76195237946437877</v>
      </c>
      <c r="AU35" s="5">
        <f t="shared" si="56"/>
        <v>2.0951904776784787</v>
      </c>
      <c r="AV35" s="5">
        <f t="shared" si="29"/>
        <v>0.74995312939407355</v>
      </c>
      <c r="AW35" s="153">
        <f t="shared" si="57"/>
        <v>0.26668333281253254</v>
      </c>
      <c r="AX35" s="153">
        <f t="shared" si="30"/>
        <v>0.67733333333333334</v>
      </c>
      <c r="AY35" s="153">
        <f t="shared" si="31"/>
        <v>9.3125396577396449E-2</v>
      </c>
      <c r="AZ35" s="153">
        <f t="shared" si="58"/>
        <v>7.2733471021559852</v>
      </c>
      <c r="BA35" s="147">
        <f t="shared" si="32"/>
        <v>2.385619286777211</v>
      </c>
      <c r="BB35" s="147">
        <f t="shared" si="33"/>
        <v>1.3310582400000002</v>
      </c>
      <c r="BC35" s="5">
        <f t="shared" si="34"/>
        <v>6.9839682589282623E-2</v>
      </c>
      <c r="BD35" s="147">
        <f t="shared" si="35"/>
        <v>7.0839682589282633</v>
      </c>
      <c r="BE35" s="5"/>
      <c r="BF35" s="153">
        <f t="shared" si="59"/>
        <v>7.5725802517582583E-2</v>
      </c>
      <c r="BG35" s="153">
        <f t="shared" si="36"/>
        <v>0.12557168604312671</v>
      </c>
      <c r="BH35" s="153"/>
      <c r="BI35" s="463">
        <f t="shared" si="37"/>
        <v>2.0070390084261707E-3</v>
      </c>
      <c r="BJ35" s="463">
        <f t="shared" si="38"/>
        <v>1.7921119965002189E-2</v>
      </c>
      <c r="BK35" s="463">
        <f t="shared" si="39"/>
        <v>4.3749999999999995E-3</v>
      </c>
      <c r="BL35" s="463">
        <f t="shared" si="40"/>
        <v>2.8449792000000005E-2</v>
      </c>
      <c r="BM35">
        <f t="shared" si="41"/>
        <v>5.7999999999999996E-3</v>
      </c>
      <c r="BN35">
        <f t="shared" si="42"/>
        <v>1.3124999999999999E-5</v>
      </c>
      <c r="BO35" s="463">
        <f t="shared" si="43"/>
        <v>5.8858821584508815E-2</v>
      </c>
      <c r="BP35" s="147">
        <f t="shared" si="60"/>
        <v>58.858821584508817</v>
      </c>
      <c r="BQ35" s="463">
        <f t="shared" si="44"/>
        <v>2.3506941728485178E-2</v>
      </c>
      <c r="BR35" s="463"/>
      <c r="BT35" s="147">
        <f t="shared" si="61"/>
        <v>23.506941728485177</v>
      </c>
      <c r="BU35" s="463">
        <f t="shared" si="45"/>
        <v>5.7343971669319167E-3</v>
      </c>
      <c r="BV35" s="463">
        <f t="shared" si="46"/>
        <v>1.5768248335713584E-2</v>
      </c>
      <c r="BW35" s="463">
        <f t="shared" si="47"/>
        <v>0</v>
      </c>
      <c r="BX35" s="463">
        <f t="shared" si="48"/>
        <v>2.4124462143556156E-2</v>
      </c>
      <c r="BY35" s="463">
        <f t="shared" si="49"/>
        <v>1.128888888888889E-2</v>
      </c>
      <c r="BZ35" s="147">
        <f t="shared" si="62"/>
        <v>35.413351032445043</v>
      </c>
      <c r="CA35" s="153">
        <f t="shared" si="63"/>
        <v>0.11777911434543904</v>
      </c>
      <c r="CB35" s="5">
        <f t="shared" si="64"/>
        <v>0.6</v>
      </c>
      <c r="CC35" s="153">
        <f t="shared" si="65"/>
        <v>0.83591175614959923</v>
      </c>
      <c r="CD35" s="5">
        <f t="shared" si="66"/>
        <v>83.591175614959923</v>
      </c>
      <c r="CG35" s="59">
        <f t="shared" si="50"/>
        <v>-50</v>
      </c>
      <c r="CH35">
        <f t="shared" si="51"/>
        <v>-50</v>
      </c>
    </row>
    <row r="36" spans="5:86" x14ac:dyDescent="0.25">
      <c r="E36" s="150">
        <v>31</v>
      </c>
      <c r="F36" s="191">
        <f t="shared" si="52"/>
        <v>3.1E-2</v>
      </c>
      <c r="G36" s="191"/>
      <c r="H36" s="191">
        <f t="shared" si="0"/>
        <v>0.62</v>
      </c>
      <c r="I36" s="472">
        <f t="shared" si="1"/>
        <v>20</v>
      </c>
      <c r="J36" s="152">
        <f t="shared" si="2"/>
        <v>20.32</v>
      </c>
      <c r="K36" s="386">
        <f t="shared" si="3"/>
        <v>40.32</v>
      </c>
      <c r="L36" s="386"/>
      <c r="M36" s="191">
        <f t="shared" si="4"/>
        <v>0.50396825396825395</v>
      </c>
      <c r="N36" s="152">
        <f t="shared" si="5"/>
        <v>3.4017857142857144</v>
      </c>
      <c r="O36" s="152">
        <f t="shared" si="53"/>
        <v>0.62</v>
      </c>
      <c r="P36" s="191">
        <f t="shared" si="6"/>
        <v>0.17008928571428572</v>
      </c>
      <c r="Q36" s="191">
        <f t="shared" si="7"/>
        <v>20</v>
      </c>
      <c r="R36" s="191">
        <f t="shared" si="8"/>
        <v>0.18898809523809523</v>
      </c>
      <c r="S36" s="152">
        <f t="shared" si="9"/>
        <v>197.77424333841606</v>
      </c>
      <c r="T36" s="152">
        <f t="shared" si="10"/>
        <v>20</v>
      </c>
      <c r="U36" s="191">
        <f t="shared" si="11"/>
        <v>0.13669291338582679</v>
      </c>
      <c r="V36" s="191">
        <f t="shared" si="12"/>
        <v>0.4100787401574803</v>
      </c>
      <c r="W36" s="191">
        <f t="shared" si="13"/>
        <v>0.40362080724161453</v>
      </c>
      <c r="X36" s="175">
        <f t="shared" si="14"/>
        <v>350</v>
      </c>
      <c r="Y36" s="386">
        <f t="shared" si="54"/>
        <v>350</v>
      </c>
      <c r="AA36" s="191">
        <f t="shared" si="15"/>
        <v>0.47996976568405147</v>
      </c>
      <c r="AB36" s="153">
        <f t="shared" si="16"/>
        <v>1.4172335600907031</v>
      </c>
      <c r="AC36" s="153">
        <f t="shared" si="17"/>
        <v>0.11904012045735404</v>
      </c>
      <c r="AD36" s="153"/>
      <c r="AE36" s="153">
        <f t="shared" si="18"/>
        <v>0.44291338582677164</v>
      </c>
      <c r="AF36" s="317">
        <f t="shared" si="19"/>
        <v>933.21481481481499</v>
      </c>
      <c r="AG36" s="463">
        <f t="shared" si="20"/>
        <v>1.1626476377952754E-2</v>
      </c>
      <c r="AI36" s="153">
        <f t="shared" si="21"/>
        <v>0.25818249564639556</v>
      </c>
      <c r="AJ36" s="153">
        <f t="shared" si="22"/>
        <v>0.25818249564639556</v>
      </c>
      <c r="AK36" s="153">
        <f t="shared" si="23"/>
        <v>1.2721216637642636</v>
      </c>
      <c r="AM36" s="317">
        <f t="shared" si="24"/>
        <v>31</v>
      </c>
      <c r="AN36" s="147">
        <f t="shared" si="25"/>
        <v>350</v>
      </c>
      <c r="AP36">
        <f t="shared" si="26"/>
        <v>31</v>
      </c>
      <c r="AQ36" s="147">
        <f t="shared" si="27"/>
        <v>350</v>
      </c>
      <c r="AR36" s="147"/>
      <c r="AS36" s="5">
        <f t="shared" si="55"/>
        <v>2.8571428571428572</v>
      </c>
      <c r="AT36" s="5">
        <f t="shared" si="28"/>
        <v>0.77454748693918674</v>
      </c>
      <c r="AU36" s="5">
        <f t="shared" si="56"/>
        <v>2.0825953702036704</v>
      </c>
      <c r="AV36" s="5">
        <f t="shared" si="29"/>
        <v>0.76234988871967191</v>
      </c>
      <c r="AW36" s="153">
        <f t="shared" si="57"/>
        <v>0.27109162042871537</v>
      </c>
      <c r="AX36" s="153">
        <f t="shared" si="30"/>
        <v>0.69991111111111126</v>
      </c>
      <c r="AY36" s="153">
        <f t="shared" si="31"/>
        <v>9.4095692267642222E-2</v>
      </c>
      <c r="AZ36" s="153">
        <f t="shared" si="58"/>
        <v>7.4382906830666657</v>
      </c>
      <c r="BA36" s="147">
        <f t="shared" si="32"/>
        <v>2.385619286777211</v>
      </c>
      <c r="BB36" s="147">
        <f t="shared" si="33"/>
        <v>1.4181744096</v>
      </c>
      <c r="BC36" s="5">
        <f t="shared" si="34"/>
        <v>7.1733840529237536E-2</v>
      </c>
      <c r="BD36" s="147">
        <f t="shared" si="35"/>
        <v>7.2767173862570873</v>
      </c>
      <c r="BE36" s="5"/>
      <c r="BF36" s="153">
        <f t="shared" si="59"/>
        <v>7.76111670223876E-2</v>
      </c>
      <c r="BG36" s="153">
        <f t="shared" si="36"/>
        <v>0.12726314119240001</v>
      </c>
      <c r="BH36" s="153"/>
      <c r="BI36" s="463">
        <f t="shared" si="37"/>
        <v>2.1082226363019303E-3</v>
      </c>
      <c r="BJ36" s="463">
        <f t="shared" si="38"/>
        <v>1.821735689280967E-2</v>
      </c>
      <c r="BK36" s="463">
        <f t="shared" si="39"/>
        <v>4.3749999999999995E-3</v>
      </c>
      <c r="BL36" s="463">
        <f t="shared" si="40"/>
        <v>2.8449792000000005E-2</v>
      </c>
      <c r="BM36">
        <f t="shared" si="41"/>
        <v>5.7999999999999996E-3</v>
      </c>
      <c r="BN36">
        <f t="shared" si="42"/>
        <v>1.3124999999999999E-5</v>
      </c>
      <c r="BO36" s="463">
        <f t="shared" si="43"/>
        <v>5.927116111526607E-2</v>
      </c>
      <c r="BP36" s="147">
        <f t="shared" si="60"/>
        <v>59.271161115266068</v>
      </c>
      <c r="BQ36" s="463">
        <f t="shared" si="44"/>
        <v>2.4215673029103751E-2</v>
      </c>
      <c r="BR36" s="463"/>
      <c r="BT36" s="147">
        <f t="shared" si="61"/>
        <v>24.215673029103751</v>
      </c>
      <c r="BU36" s="463">
        <f t="shared" si="45"/>
        <v>6.0234932465769442E-3</v>
      </c>
      <c r="BV36" s="463">
        <f t="shared" si="46"/>
        <v>1.6195907106156739E-2</v>
      </c>
      <c r="BW36" s="463">
        <f t="shared" si="47"/>
        <v>0</v>
      </c>
      <c r="BX36" s="463">
        <f t="shared" si="48"/>
        <v>2.4930042843281382E-2</v>
      </c>
      <c r="BY36" s="463">
        <f t="shared" si="49"/>
        <v>1.1665185185185188E-2</v>
      </c>
      <c r="BZ36" s="147">
        <f t="shared" si="62"/>
        <v>36.595228028466572</v>
      </c>
      <c r="CA36" s="153">
        <f t="shared" si="63"/>
        <v>0.1200820621728364</v>
      </c>
      <c r="CB36" s="5">
        <f t="shared" si="64"/>
        <v>0.62</v>
      </c>
      <c r="CC36" s="153">
        <f t="shared" si="65"/>
        <v>0.83774493625709201</v>
      </c>
      <c r="CD36" s="5">
        <f t="shared" si="66"/>
        <v>83.774493625709198</v>
      </c>
      <c r="CG36" s="59">
        <f t="shared" si="50"/>
        <v>-50</v>
      </c>
      <c r="CH36">
        <f t="shared" si="51"/>
        <v>-50</v>
      </c>
    </row>
    <row r="37" spans="5:86" x14ac:dyDescent="0.25">
      <c r="E37" s="150">
        <v>32</v>
      </c>
      <c r="F37" s="191">
        <f t="shared" si="52"/>
        <v>3.2000000000000001E-2</v>
      </c>
      <c r="G37" s="191"/>
      <c r="H37" s="191">
        <f t="shared" ref="H37:H68" si="67">F37*Vout</f>
        <v>0.64</v>
      </c>
      <c r="I37" s="472">
        <f t="shared" ref="I37:I68" si="68">Vin</f>
        <v>20</v>
      </c>
      <c r="J37" s="152">
        <f t="shared" ref="J37:J68" si="69">(T37+Vfwd1)*Nps</f>
        <v>20.32</v>
      </c>
      <c r="K37" s="386">
        <f t="shared" ref="K37:K68" si="70">(Vout+Vfwd1)*Nps+I37</f>
        <v>40.32</v>
      </c>
      <c r="L37" s="386"/>
      <c r="M37" s="191">
        <f t="shared" ref="M37:M68" si="71">(Vout+Vfwd1)*Nps/((Vout+Vfwd1)*Nps+I37)</f>
        <v>0.50396825396825395</v>
      </c>
      <c r="N37" s="152">
        <f t="shared" ref="N37:N68" si="72">M37*I37*Isw_max*0.5*Efficiency</f>
        <v>3.4017857142857144</v>
      </c>
      <c r="O37" s="152">
        <f t="shared" si="53"/>
        <v>0.64</v>
      </c>
      <c r="P37" s="191">
        <f t="shared" ref="P37:P68" si="73">N37/Vout</f>
        <v>0.17008928571428572</v>
      </c>
      <c r="Q37" s="191">
        <f t="shared" ref="Q37:Q68" si="74">MIN(Vout,N37/F37)</f>
        <v>20</v>
      </c>
      <c r="R37" s="191">
        <f t="shared" ref="R37:R68" si="75">Isw_max/2*I37*Nps*(Q37+Vfwd1)/Q37/(I37+Nps*(Q37+Vfwd1))</f>
        <v>0.18898809523809523</v>
      </c>
      <c r="S37" s="152">
        <f t="shared" ref="S37:S68" si="76">(SQRT(Isw_max^2*Nps^2*I37^2+4*Isw_max*F37/Efficiency*(Nps^2*Vfwd1*I37-Nps*I37^2)+4*(F37/Efficiency)^2*Nps^2*Vfwd1^2+8*(F37/Efficiency)^2*Nps*Vfwd1*I37+4*(F37/Efficiency)^2*I37^2)-2*F37/Efficiency*I37-2*F37/Efficiency*Nps*Vfwd1+Isw_max*Nps*I37)/(4*F37/Efficiency*Nps)</f>
        <v>190.97095688737272</v>
      </c>
      <c r="T37" s="152">
        <f t="shared" ref="T37:T68" si="77">MIN(Vout, S37)</f>
        <v>20</v>
      </c>
      <c r="U37" s="191">
        <f t="shared" ref="U37:U68" si="78">MIN(2*Vout*F37/(Efficiency*I37*M37), Isw_max)</f>
        <v>0.14110236220472441</v>
      </c>
      <c r="V37" s="191">
        <f t="shared" ref="V37:V68" si="79">L*U37/I37*1000000</f>
        <v>0.42330708661417321</v>
      </c>
      <c r="W37" s="191">
        <f t="shared" ref="W37:W68" si="80">L*U37/J37*1000000</f>
        <v>0.41664083328166657</v>
      </c>
      <c r="X37" s="175">
        <f t="shared" ref="X37:X68" si="81">IF(1/((350000*L)*(1/I37+1/J37))&gt;Isw_min, 350, 0.001/((Isw_min*L)*(1/I37+1/J37)))</f>
        <v>350</v>
      </c>
      <c r="Y37" s="386">
        <f t="shared" si="54"/>
        <v>350</v>
      </c>
      <c r="AA37" s="191">
        <f t="shared" ref="AA37:AA68" si="82">1/((X37*1000*L)*(1/I37+1/J37))</f>
        <v>0.47996976568405147</v>
      </c>
      <c r="AB37" s="153">
        <f t="shared" ref="AB37:AB68" si="83">L*AA37/J37*1000000</f>
        <v>1.4172335600907031</v>
      </c>
      <c r="AC37" s="153">
        <f t="shared" ref="AC37:AC68" si="84">0.5*AB37*AA37*Nps*X37/1000</f>
        <v>0.11904012045735404</v>
      </c>
      <c r="AD37" s="153"/>
      <c r="AE37" s="153">
        <f t="shared" ref="AE37:AE68" si="85">L*Isw_min/J37*1000000</f>
        <v>0.44291338582677164</v>
      </c>
      <c r="AF37" s="317">
        <f t="shared" ref="AF37:AF68" si="86">MAX(12, F37/(0.5*AE37/1000000*Isw_min*Nps)/1000)</f>
        <v>963.31851851851866</v>
      </c>
      <c r="AG37" s="463">
        <f t="shared" ref="AG37:AG68" si="87">0.5*AE37/1000000*Isw_min*Nps*X37*1000</f>
        <v>1.1626476377952754E-2</v>
      </c>
      <c r="AI37" s="153">
        <f t="shared" ref="AI37:AI68" si="88">SQRT(F37/Efficiency/(0.5*L/J37*Fsw_DCM*Nps))</f>
        <v>0.26231367789054694</v>
      </c>
      <c r="AJ37" s="153">
        <f t="shared" ref="AJ37:AJ71" si="89">MAX(IF(F37&gt;AC37,U37,AI37),Isw_min)</f>
        <v>0.26231367789054694</v>
      </c>
      <c r="AK37" s="153">
        <f t="shared" ref="AK37:AK68" si="90">IF(F37&gt;AG37, (AJ37-Isw_min)/1.2*0.8+1.2, AF37*0.2/350+1)</f>
        <v>1.2748757852603645</v>
      </c>
      <c r="AM37" s="317">
        <f t="shared" ref="AM37:AM68" si="91">F37*1000</f>
        <v>32</v>
      </c>
      <c r="AN37" s="147">
        <f t="shared" ref="AN37:AN68" si="92">IF(F37&gt;AG37, Y37, AF37)</f>
        <v>350</v>
      </c>
      <c r="AP37">
        <f t="shared" ref="AP37:AP68" si="93">IF(H37&gt;N37, "",AM37)</f>
        <v>32</v>
      </c>
      <c r="AQ37" s="147">
        <f t="shared" ref="AQ37:AQ68" si="94">IF(H37&gt;N37, "",AN37)</f>
        <v>350</v>
      </c>
      <c r="AR37" s="147"/>
      <c r="AS37" s="5">
        <f t="shared" si="55"/>
        <v>2.8571428571428572</v>
      </c>
      <c r="AT37" s="5">
        <f t="shared" ref="AT37:AT68" si="95">L*AJ37/I37*1000000</f>
        <v>0.78694103367164081</v>
      </c>
      <c r="AU37" s="5">
        <f t="shared" si="56"/>
        <v>2.0702018234712165</v>
      </c>
      <c r="AV37" s="5">
        <f t="shared" ref="AV37:AV68" si="96">L*AJ37/J37*1000000</f>
        <v>0.77454826148783551</v>
      </c>
      <c r="AW37" s="153">
        <f t="shared" si="57"/>
        <v>0.27542936178507427</v>
      </c>
      <c r="AX37" s="153">
        <f t="shared" ref="AX37:AX68" si="97">0.5*L*AJ37^2*AN37*1000</f>
        <v>0.72248888888888885</v>
      </c>
      <c r="AY37" s="153">
        <f t="shared" ref="AY37:AY68" si="98">AJ37*Nps/2*(1-AW37)</f>
        <v>9.5032394500829023E-2</v>
      </c>
      <c r="AZ37" s="153">
        <f t="shared" si="58"/>
        <v>7.6025537679426369</v>
      </c>
      <c r="BA37" s="147">
        <f t="shared" ref="BA37:BA68" si="99">L*Isw_max^2/(2*Vout_ripple*Vout)*1000000000*((1+M37)/2)^2</f>
        <v>2.385619286777211</v>
      </c>
      <c r="BB37" s="147">
        <f t="shared" ref="BB37:BB68" si="100">L*F37^2/(2*Cout*Vout*Nps^2)*1000000000*((1+M37)/(1-M37))^2+F37*RCoutEsr</f>
        <v>1.5080484863999999</v>
      </c>
      <c r="BC37" s="5">
        <f t="shared" ref="BC37:BC68" si="101">H37/Efficiency/I37*AU37/Vinripple1</f>
        <v>7.3607175945643255E-2</v>
      </c>
      <c r="BD37" s="147">
        <f t="shared" ref="BD37:BD68" si="102">((CB37/I37/Efficiency)*AU37/Cin+(CB37/I37/Efficiency)*RCinEsr)*1000</f>
        <v>7.4673842612309924</v>
      </c>
      <c r="BE37" s="5"/>
      <c r="BF37" s="153">
        <f t="shared" si="59"/>
        <v>7.9481385174873728E-2</v>
      </c>
      <c r="BG37" s="153">
        <f t="shared" ref="BG37:BG68" si="103">AJ37*Nps*SQRT((1-AW37)/3)</f>
        <v>0.12891417537844793</v>
      </c>
      <c r="BH37" s="153"/>
      <c r="BI37" s="463">
        <f t="shared" ref="BI37:BI68" si="104">Rdson*BF37^2</f>
        <v>2.2110517062608227E-3</v>
      </c>
      <c r="BJ37" s="463">
        <f t="shared" ref="BJ37:BJ68" si="105">0.5*K37*AJ37*AN37*1000*Trise</f>
        <v>1.8508853111956994E-2</v>
      </c>
      <c r="BK37" s="463">
        <f t="shared" ref="BK37:BK68" si="106">Qg*Vdd*AN37*1000</f>
        <v>4.3749999999999995E-3</v>
      </c>
      <c r="BL37" s="463">
        <f t="shared" ref="BL37:BL68" si="107">0.5*(Coss+Csw)*K37^2*AN37*1000</f>
        <v>2.8449792000000005E-2</v>
      </c>
      <c r="BM37">
        <f t="shared" ref="BM37:BM68" si="108">I37*IQ</f>
        <v>5.7999999999999996E-3</v>
      </c>
      <c r="BN37">
        <f t="shared" ref="BN37:BN68" si="109">(I37-Vdd)*Qg*AN37</f>
        <v>1.3124999999999999E-5</v>
      </c>
      <c r="BO37" s="463">
        <f t="shared" ref="BO37:BO68" si="110">(BJ37+BK37+BL37+BM37+BN37+BI37*(1+RdsonTC*(Ta-25)))/(1-BI37*RdsonTC*ThetaJA)</f>
        <v>5.9680659869645186E-2</v>
      </c>
      <c r="BP37" s="147">
        <f t="shared" si="60"/>
        <v>59.680659869645183</v>
      </c>
      <c r="BQ37" s="463">
        <f t="shared" ref="BQ37:BQ68" si="111">(Vfwd2*F37+BG37^2*Rdiode)*(1+Diode_TC/1000*(Ta-25))</f>
        <v>2.4920812564717995E-2</v>
      </c>
      <c r="BR37" s="463"/>
      <c r="BT37" s="147">
        <f t="shared" si="61"/>
        <v>24.920812564717995</v>
      </c>
      <c r="BU37" s="463">
        <f t="shared" ref="BU37:BU68" si="112">Rdcr_pri*BF37^2</f>
        <v>6.3172905893166369E-3</v>
      </c>
      <c r="BV37" s="463">
        <f t="shared" ref="BV37:BV68" si="113">Rdcr_sec*BG37^2</f>
        <v>1.661886461350523E-2</v>
      </c>
      <c r="BW37" s="463">
        <f t="shared" ref="BW37:BW68" si="114">AJ37^2.5*AN37^2.5*k_core</f>
        <v>0</v>
      </c>
      <c r="BX37" s="463">
        <f t="shared" ref="BX37:BX68" si="115">(BW37+(BU37+BV37)*(1+Ltc*(Ta-25)))/(1-(BU37+BV37)*Ltc*ThetaCa)</f>
        <v>2.5735716097453849E-2</v>
      </c>
      <c r="BY37" s="463">
        <f t="shared" ref="BY37:BY68" si="116">0.5*Lleak*0.000000001*AJ37^2*AN37*1000</f>
        <v>1.2041481481481485E-2</v>
      </c>
      <c r="BZ37" s="147">
        <f t="shared" si="62"/>
        <v>37.777197578935336</v>
      </c>
      <c r="CA37" s="153">
        <f t="shared" si="63"/>
        <v>0.12237867001329852</v>
      </c>
      <c r="CB37" s="5">
        <f t="shared" si="64"/>
        <v>0.64</v>
      </c>
      <c r="CC37" s="153">
        <f t="shared" si="65"/>
        <v>0.83947784109547063</v>
      </c>
      <c r="CD37" s="5">
        <f t="shared" si="66"/>
        <v>83.947784109547058</v>
      </c>
      <c r="CG37" s="59">
        <f t="shared" ref="CG37:CG68" si="117">IF(ABS(F37-Ioutmax_Vinnom)&lt;Iout/200, AN37, -50)</f>
        <v>-50</v>
      </c>
      <c r="CH37">
        <f t="shared" ref="CH37:CH68" si="118">IF(ABS(F37-Ioutmax_Vinnom)&lt;Iout/200, N37*CC37, -50)</f>
        <v>-50</v>
      </c>
    </row>
    <row r="38" spans="5:86" x14ac:dyDescent="0.25">
      <c r="E38" s="150">
        <v>33</v>
      </c>
      <c r="F38" s="191">
        <f t="shared" ref="F38:F69" si="119">IF(PLOT_TYPE=1, E38/100*Iout_max, min_I*EXP(N38*rr/100))</f>
        <v>3.3000000000000002E-2</v>
      </c>
      <c r="G38" s="191"/>
      <c r="H38" s="191">
        <f t="shared" si="67"/>
        <v>0.66</v>
      </c>
      <c r="I38" s="472">
        <f t="shared" si="68"/>
        <v>20</v>
      </c>
      <c r="J38" s="152">
        <f t="shared" si="69"/>
        <v>20.32</v>
      </c>
      <c r="K38" s="386">
        <f t="shared" si="70"/>
        <v>40.32</v>
      </c>
      <c r="L38" s="386"/>
      <c r="M38" s="191">
        <f t="shared" si="71"/>
        <v>0.50396825396825395</v>
      </c>
      <c r="N38" s="152">
        <f t="shared" si="72"/>
        <v>3.4017857142857144</v>
      </c>
      <c r="O38" s="152">
        <f t="shared" si="53"/>
        <v>0.66</v>
      </c>
      <c r="P38" s="191">
        <f t="shared" si="73"/>
        <v>0.17008928571428572</v>
      </c>
      <c r="Q38" s="191">
        <f t="shared" si="74"/>
        <v>20</v>
      </c>
      <c r="R38" s="191">
        <f t="shared" si="75"/>
        <v>0.18898809523809523</v>
      </c>
      <c r="S38" s="152">
        <f t="shared" si="76"/>
        <v>184.58006783724434</v>
      </c>
      <c r="T38" s="152">
        <f t="shared" si="77"/>
        <v>20</v>
      </c>
      <c r="U38" s="191">
        <f t="shared" si="78"/>
        <v>0.14551181102362207</v>
      </c>
      <c r="V38" s="191">
        <f t="shared" si="79"/>
        <v>0.43653543307086623</v>
      </c>
      <c r="W38" s="191">
        <f t="shared" si="80"/>
        <v>0.42966085932171871</v>
      </c>
      <c r="X38" s="175">
        <f t="shared" si="81"/>
        <v>350</v>
      </c>
      <c r="Y38" s="386">
        <f t="shared" si="54"/>
        <v>350</v>
      </c>
      <c r="AA38" s="191">
        <f t="shared" si="82"/>
        <v>0.47996976568405147</v>
      </c>
      <c r="AB38" s="153">
        <f t="shared" si="83"/>
        <v>1.4172335600907031</v>
      </c>
      <c r="AC38" s="153">
        <f t="shared" si="84"/>
        <v>0.11904012045735404</v>
      </c>
      <c r="AD38" s="153"/>
      <c r="AE38" s="153">
        <f t="shared" si="85"/>
        <v>0.44291338582677164</v>
      </c>
      <c r="AF38" s="317">
        <f t="shared" si="86"/>
        <v>993.42222222222233</v>
      </c>
      <c r="AG38" s="463">
        <f t="shared" si="87"/>
        <v>1.1626476377952754E-2</v>
      </c>
      <c r="AI38" s="153">
        <f t="shared" si="88"/>
        <v>0.26638079915551377</v>
      </c>
      <c r="AJ38" s="153">
        <f t="shared" si="89"/>
        <v>0.26638079915551377</v>
      </c>
      <c r="AK38" s="153">
        <f t="shared" si="90"/>
        <v>1.2775871994370092</v>
      </c>
      <c r="AM38" s="317">
        <f t="shared" si="91"/>
        <v>33</v>
      </c>
      <c r="AN38" s="147">
        <f t="shared" si="92"/>
        <v>350</v>
      </c>
      <c r="AP38">
        <f t="shared" si="93"/>
        <v>33</v>
      </c>
      <c r="AQ38" s="147">
        <f t="shared" si="94"/>
        <v>350</v>
      </c>
      <c r="AR38" s="147"/>
      <c r="AS38" s="5">
        <f t="shared" si="55"/>
        <v>2.8571428571428572</v>
      </c>
      <c r="AT38" s="5">
        <f t="shared" si="95"/>
        <v>0.79914239746654137</v>
      </c>
      <c r="AU38" s="5">
        <f t="shared" si="56"/>
        <v>2.058000459676316</v>
      </c>
      <c r="AV38" s="5">
        <f t="shared" si="96"/>
        <v>0.78655747782139895</v>
      </c>
      <c r="AW38" s="153">
        <f t="shared" si="57"/>
        <v>0.27969983911328949</v>
      </c>
      <c r="AX38" s="153">
        <f t="shared" si="97"/>
        <v>0.74506666666666665</v>
      </c>
      <c r="AY38" s="153">
        <f t="shared" si="98"/>
        <v>9.5937066244423552E-2</v>
      </c>
      <c r="AZ38" s="153">
        <f t="shared" si="58"/>
        <v>7.7662023223476933</v>
      </c>
      <c r="BA38" s="147">
        <f t="shared" si="99"/>
        <v>2.385619286777211</v>
      </c>
      <c r="BB38" s="147">
        <f t="shared" si="100"/>
        <v>1.6006804704000002</v>
      </c>
      <c r="BC38" s="5">
        <f t="shared" si="101"/>
        <v>7.5460016854798251E-2</v>
      </c>
      <c r="BD38" s="147">
        <f t="shared" si="102"/>
        <v>7.6560016854798247</v>
      </c>
      <c r="BE38" s="5"/>
      <c r="BF38" s="153">
        <f t="shared" si="59"/>
        <v>8.1337046518545605E-2</v>
      </c>
      <c r="BG38" s="153">
        <f t="shared" si="103"/>
        <v>0.13052660616345621</v>
      </c>
      <c r="BH38" s="153"/>
      <c r="BI38" s="463">
        <f t="shared" si="104"/>
        <v>2.3155002977260182E-3</v>
      </c>
      <c r="BJ38" s="463">
        <f t="shared" si="105"/>
        <v>1.8795829188413053E-2</v>
      </c>
      <c r="BK38" s="463">
        <f t="shared" si="106"/>
        <v>4.3749999999999995E-3</v>
      </c>
      <c r="BL38" s="463">
        <f t="shared" si="107"/>
        <v>2.8449792000000005E-2</v>
      </c>
      <c r="BM38">
        <f t="shared" si="108"/>
        <v>5.7999999999999996E-3</v>
      </c>
      <c r="BN38">
        <f t="shared" si="109"/>
        <v>1.3124999999999999E-5</v>
      </c>
      <c r="BO38" s="463">
        <f t="shared" si="110"/>
        <v>6.008750899933045E-2</v>
      </c>
      <c r="BP38" s="147">
        <f t="shared" si="60"/>
        <v>60.087508999330453</v>
      </c>
      <c r="BQ38" s="463">
        <f t="shared" si="111"/>
        <v>2.5622416916244208E-2</v>
      </c>
      <c r="BR38" s="463"/>
      <c r="BT38" s="147">
        <f t="shared" si="61"/>
        <v>25.622416916244209</v>
      </c>
      <c r="BU38" s="463">
        <f t="shared" si="112"/>
        <v>6.615715136360052E-3</v>
      </c>
      <c r="BV38" s="463">
        <f t="shared" si="113"/>
        <v>1.7037194916550005E-2</v>
      </c>
      <c r="BW38" s="463">
        <f t="shared" si="114"/>
        <v>0</v>
      </c>
      <c r="BX38" s="463">
        <f t="shared" si="115"/>
        <v>2.6541481922025073E-2</v>
      </c>
      <c r="BY38" s="463">
        <f t="shared" si="116"/>
        <v>1.2417777777777783E-2</v>
      </c>
      <c r="BZ38" s="147">
        <f t="shared" si="62"/>
        <v>38.959259699802857</v>
      </c>
      <c r="CA38" s="153">
        <f t="shared" si="63"/>
        <v>0.12466918561537751</v>
      </c>
      <c r="CB38" s="5">
        <f t="shared" si="64"/>
        <v>0.66</v>
      </c>
      <c r="CC38" s="153">
        <f t="shared" si="65"/>
        <v>0.84111879515492172</v>
      </c>
      <c r="CD38" s="5">
        <f t="shared" si="66"/>
        <v>84.111879515492177</v>
      </c>
      <c r="CG38" s="59">
        <f t="shared" si="117"/>
        <v>-50</v>
      </c>
      <c r="CH38">
        <f t="shared" si="118"/>
        <v>-50</v>
      </c>
    </row>
    <row r="39" spans="5:86" x14ac:dyDescent="0.25">
      <c r="E39" s="150">
        <v>34</v>
      </c>
      <c r="F39" s="191">
        <f t="shared" si="119"/>
        <v>3.4000000000000002E-2</v>
      </c>
      <c r="G39" s="191"/>
      <c r="H39" s="191">
        <f t="shared" si="67"/>
        <v>0.68</v>
      </c>
      <c r="I39" s="472">
        <f t="shared" si="68"/>
        <v>20</v>
      </c>
      <c r="J39" s="152">
        <f t="shared" si="69"/>
        <v>20.32</v>
      </c>
      <c r="K39" s="386">
        <f t="shared" si="70"/>
        <v>40.32</v>
      </c>
      <c r="L39" s="386"/>
      <c r="M39" s="191">
        <f t="shared" si="71"/>
        <v>0.50396825396825395</v>
      </c>
      <c r="N39" s="152">
        <f t="shared" si="72"/>
        <v>3.4017857142857144</v>
      </c>
      <c r="O39" s="152">
        <f t="shared" si="53"/>
        <v>0.68</v>
      </c>
      <c r="P39" s="191">
        <f t="shared" si="73"/>
        <v>0.17008928571428572</v>
      </c>
      <c r="Q39" s="191">
        <f t="shared" si="74"/>
        <v>20</v>
      </c>
      <c r="R39" s="191">
        <f t="shared" si="75"/>
        <v>0.18898809523809523</v>
      </c>
      <c r="S39" s="152">
        <f t="shared" si="76"/>
        <v>178.56518890220551</v>
      </c>
      <c r="T39" s="152">
        <f t="shared" si="77"/>
        <v>20</v>
      </c>
      <c r="U39" s="191">
        <f t="shared" si="78"/>
        <v>0.14992125984251969</v>
      </c>
      <c r="V39" s="191">
        <f t="shared" si="79"/>
        <v>0.44976377952755903</v>
      </c>
      <c r="W39" s="191">
        <f t="shared" si="80"/>
        <v>0.44268088536177069</v>
      </c>
      <c r="X39" s="175">
        <f t="shared" si="81"/>
        <v>350</v>
      </c>
      <c r="Y39" s="386">
        <f t="shared" si="54"/>
        <v>350</v>
      </c>
      <c r="AA39" s="191">
        <f t="shared" si="82"/>
        <v>0.47996976568405147</v>
      </c>
      <c r="AB39" s="153">
        <f t="shared" si="83"/>
        <v>1.4172335600907031</v>
      </c>
      <c r="AC39" s="153">
        <f t="shared" si="84"/>
        <v>0.11904012045735404</v>
      </c>
      <c r="AD39" s="153"/>
      <c r="AE39" s="153">
        <f t="shared" si="85"/>
        <v>0.44291338582677164</v>
      </c>
      <c r="AF39" s="317">
        <f t="shared" si="86"/>
        <v>1023.5259259259262</v>
      </c>
      <c r="AG39" s="463">
        <f t="shared" si="87"/>
        <v>1.1626476377952754E-2</v>
      </c>
      <c r="AI39" s="153">
        <f t="shared" si="88"/>
        <v>0.27038675024674325</v>
      </c>
      <c r="AJ39" s="153">
        <f t="shared" si="89"/>
        <v>0.27038675024674325</v>
      </c>
      <c r="AK39" s="153">
        <f t="shared" si="90"/>
        <v>1.2802578334978287</v>
      </c>
      <c r="AM39" s="317">
        <f t="shared" si="91"/>
        <v>34</v>
      </c>
      <c r="AN39" s="147">
        <f t="shared" si="92"/>
        <v>350</v>
      </c>
      <c r="AP39">
        <f t="shared" si="93"/>
        <v>34</v>
      </c>
      <c r="AQ39" s="147">
        <f t="shared" si="94"/>
        <v>350</v>
      </c>
      <c r="AR39" s="147"/>
      <c r="AS39" s="5">
        <f t="shared" si="55"/>
        <v>2.8571428571428572</v>
      </c>
      <c r="AT39" s="5">
        <f t="shared" si="95"/>
        <v>0.81116025074022979</v>
      </c>
      <c r="AU39" s="5">
        <f t="shared" si="56"/>
        <v>2.0459826064026272</v>
      </c>
      <c r="AV39" s="5">
        <f t="shared" si="96"/>
        <v>0.79838607356321833</v>
      </c>
      <c r="AW39" s="153">
        <f t="shared" si="57"/>
        <v>0.28390608775908044</v>
      </c>
      <c r="AX39" s="153">
        <f t="shared" si="97"/>
        <v>0.76764444444444446</v>
      </c>
      <c r="AY39" s="153">
        <f t="shared" si="98"/>
        <v>9.6811152901149403E-2</v>
      </c>
      <c r="AZ39" s="153">
        <f t="shared" si="58"/>
        <v>7.929297621610397</v>
      </c>
      <c r="BA39" s="147">
        <f t="shared" si="99"/>
        <v>2.385619286777211</v>
      </c>
      <c r="BB39" s="147">
        <f t="shared" si="100"/>
        <v>1.6960703616000001</v>
      </c>
      <c r="BC39" s="5">
        <f t="shared" si="101"/>
        <v>7.7292676241877023E-2</v>
      </c>
      <c r="BD39" s="147">
        <f t="shared" si="102"/>
        <v>7.8426009575210367</v>
      </c>
      <c r="BE39" s="5"/>
      <c r="BF39" s="153">
        <f t="shared" si="59"/>
        <v>8.3178700534511832E-2</v>
      </c>
      <c r="BG39" s="153">
        <f t="shared" si="103"/>
        <v>0.1321021145946886</v>
      </c>
      <c r="BH39" s="153"/>
      <c r="BI39" s="463">
        <f t="shared" si="104"/>
        <v>2.4215436779134996E-3</v>
      </c>
      <c r="BJ39" s="463">
        <f t="shared" si="105"/>
        <v>1.9078489097410202E-2</v>
      </c>
      <c r="BK39" s="463">
        <f t="shared" si="106"/>
        <v>4.3749999999999995E-3</v>
      </c>
      <c r="BL39" s="463">
        <f t="shared" si="107"/>
        <v>2.8449792000000005E-2</v>
      </c>
      <c r="BM39">
        <f t="shared" si="108"/>
        <v>5.7999999999999996E-3</v>
      </c>
      <c r="BN39">
        <f t="shared" si="109"/>
        <v>1.3124999999999999E-5</v>
      </c>
      <c r="BO39" s="463">
        <f t="shared" si="110"/>
        <v>6.0491884421924977E-2</v>
      </c>
      <c r="BP39" s="147">
        <f t="shared" si="60"/>
        <v>60.491884421924979</v>
      </c>
      <c r="BQ39" s="463">
        <f t="shared" si="111"/>
        <v>2.6320540071816619E-2</v>
      </c>
      <c r="BR39" s="463"/>
      <c r="BT39" s="147">
        <f t="shared" si="61"/>
        <v>26.32054007181662</v>
      </c>
      <c r="BU39" s="463">
        <f t="shared" si="112"/>
        <v>6.9186962226099992E-3</v>
      </c>
      <c r="BV39" s="463">
        <f t="shared" si="113"/>
        <v>1.745096868038824E-2</v>
      </c>
      <c r="BW39" s="463">
        <f t="shared" si="114"/>
        <v>0</v>
      </c>
      <c r="BX39" s="463">
        <f t="shared" si="115"/>
        <v>2.734734033295021E-2</v>
      </c>
      <c r="BY39" s="463">
        <f t="shared" si="116"/>
        <v>1.2794074074074076E-2</v>
      </c>
      <c r="BZ39" s="147">
        <f t="shared" si="62"/>
        <v>40.141414407024293</v>
      </c>
      <c r="CA39" s="153">
        <f t="shared" si="63"/>
        <v>0.12695383890076589</v>
      </c>
      <c r="CB39" s="5">
        <f t="shared" si="64"/>
        <v>0.68</v>
      </c>
      <c r="CC39" s="153">
        <f t="shared" si="65"/>
        <v>0.84267521538319623</v>
      </c>
      <c r="CD39" s="5">
        <f t="shared" si="66"/>
        <v>84.267521538319627</v>
      </c>
      <c r="CG39" s="59">
        <f t="shared" si="117"/>
        <v>-50</v>
      </c>
      <c r="CH39">
        <f t="shared" si="118"/>
        <v>-50</v>
      </c>
    </row>
    <row r="40" spans="5:86" x14ac:dyDescent="0.25">
      <c r="E40" s="150">
        <v>35</v>
      </c>
      <c r="F40" s="191">
        <f t="shared" si="119"/>
        <v>3.4999999999999996E-2</v>
      </c>
      <c r="G40" s="191"/>
      <c r="H40" s="191">
        <f t="shared" si="67"/>
        <v>0.7</v>
      </c>
      <c r="I40" s="472">
        <f t="shared" si="68"/>
        <v>20</v>
      </c>
      <c r="J40" s="152">
        <f t="shared" si="69"/>
        <v>20.32</v>
      </c>
      <c r="K40" s="386">
        <f t="shared" si="70"/>
        <v>40.32</v>
      </c>
      <c r="L40" s="386"/>
      <c r="M40" s="191">
        <f t="shared" si="71"/>
        <v>0.50396825396825395</v>
      </c>
      <c r="N40" s="152">
        <f t="shared" si="72"/>
        <v>3.4017857142857144</v>
      </c>
      <c r="O40" s="152">
        <f t="shared" si="53"/>
        <v>0.7</v>
      </c>
      <c r="P40" s="191">
        <f t="shared" si="73"/>
        <v>0.17008928571428572</v>
      </c>
      <c r="Q40" s="191">
        <f t="shared" si="74"/>
        <v>20</v>
      </c>
      <c r="R40" s="191">
        <f t="shared" si="75"/>
        <v>0.18898809523809523</v>
      </c>
      <c r="S40" s="152">
        <f t="shared" si="76"/>
        <v>172.89409135221069</v>
      </c>
      <c r="T40" s="152">
        <f t="shared" si="77"/>
        <v>20</v>
      </c>
      <c r="U40" s="191">
        <f t="shared" si="78"/>
        <v>0.15433070866141732</v>
      </c>
      <c r="V40" s="191">
        <f t="shared" si="79"/>
        <v>0.46299212598425193</v>
      </c>
      <c r="W40" s="191">
        <f t="shared" si="80"/>
        <v>0.45570091140182278</v>
      </c>
      <c r="X40" s="175">
        <f t="shared" si="81"/>
        <v>350</v>
      </c>
      <c r="Y40" s="386">
        <f t="shared" si="54"/>
        <v>350</v>
      </c>
      <c r="AA40" s="191">
        <f t="shared" si="82"/>
        <v>0.47996976568405147</v>
      </c>
      <c r="AB40" s="153">
        <f t="shared" si="83"/>
        <v>1.4172335600907031</v>
      </c>
      <c r="AC40" s="153">
        <f t="shared" si="84"/>
        <v>0.11904012045735404</v>
      </c>
      <c r="AD40" s="153"/>
      <c r="AE40" s="153">
        <f t="shared" si="85"/>
        <v>0.44291338582677164</v>
      </c>
      <c r="AF40" s="317">
        <f t="shared" si="86"/>
        <v>1053.6296296296296</v>
      </c>
      <c r="AG40" s="463">
        <f t="shared" si="87"/>
        <v>1.1626476377952754E-2</v>
      </c>
      <c r="AI40" s="153">
        <f t="shared" si="88"/>
        <v>0.27433421088019488</v>
      </c>
      <c r="AJ40" s="153">
        <f t="shared" si="89"/>
        <v>0.27433421088019488</v>
      </c>
      <c r="AK40" s="153">
        <f t="shared" si="90"/>
        <v>1.28288947392013</v>
      </c>
      <c r="AM40" s="317">
        <f t="shared" si="91"/>
        <v>34.999999999999993</v>
      </c>
      <c r="AN40" s="147">
        <f t="shared" si="92"/>
        <v>350</v>
      </c>
      <c r="AP40">
        <f t="shared" si="93"/>
        <v>34.999999999999993</v>
      </c>
      <c r="AQ40" s="147">
        <f t="shared" si="94"/>
        <v>350</v>
      </c>
      <c r="AR40" s="147"/>
      <c r="AS40" s="5">
        <f t="shared" si="55"/>
        <v>2.8571428571428572</v>
      </c>
      <c r="AT40" s="5">
        <f t="shared" si="95"/>
        <v>0.82300263264058482</v>
      </c>
      <c r="AU40" s="5">
        <f t="shared" si="56"/>
        <v>2.0341402245022726</v>
      </c>
      <c r="AV40" s="5">
        <f t="shared" si="96"/>
        <v>0.81004196126041794</v>
      </c>
      <c r="AW40" s="153">
        <f t="shared" si="57"/>
        <v>0.28805092142420469</v>
      </c>
      <c r="AX40" s="153">
        <f t="shared" si="97"/>
        <v>0.79022222222222194</v>
      </c>
      <c r="AY40" s="153">
        <f t="shared" si="98"/>
        <v>9.7655994328986348E-2</v>
      </c>
      <c r="AZ40" s="153">
        <f t="shared" si="58"/>
        <v>8.0918967407171998</v>
      </c>
      <c r="BA40" s="147">
        <f t="shared" si="99"/>
        <v>2.385619286777211</v>
      </c>
      <c r="BB40" s="147">
        <f t="shared" si="100"/>
        <v>1.7942181599999998</v>
      </c>
      <c r="BC40" s="5">
        <f t="shared" si="101"/>
        <v>7.9105453175088367E-2</v>
      </c>
      <c r="BD40" s="147">
        <f t="shared" si="102"/>
        <v>8.0272119841755032</v>
      </c>
      <c r="BE40" s="5"/>
      <c r="BF40" s="153">
        <f t="shared" si="59"/>
        <v>8.5006860459088313E-2</v>
      </c>
      <c r="BG40" s="153">
        <f t="shared" si="103"/>
        <v>0.13364225913974781</v>
      </c>
      <c r="BH40" s="153"/>
      <c r="BI40" s="463">
        <f t="shared" si="104"/>
        <v>2.5291582137888192E-3</v>
      </c>
      <c r="BJ40" s="463">
        <f t="shared" si="105"/>
        <v>1.9357021919706553E-2</v>
      </c>
      <c r="BK40" s="463">
        <f t="shared" si="106"/>
        <v>4.3749999999999995E-3</v>
      </c>
      <c r="BL40" s="463">
        <f t="shared" si="107"/>
        <v>2.8449792000000005E-2</v>
      </c>
      <c r="BM40">
        <f t="shared" si="108"/>
        <v>5.7999999999999996E-3</v>
      </c>
      <c r="BN40">
        <f t="shared" si="109"/>
        <v>1.3124999999999999E-5</v>
      </c>
      <c r="BO40" s="463">
        <f t="shared" si="110"/>
        <v>6.0893948416656449E-2</v>
      </c>
      <c r="BP40" s="147">
        <f t="shared" si="60"/>
        <v>60.89394841665645</v>
      </c>
      <c r="BQ40" s="463">
        <f t="shared" si="111"/>
        <v>2.7015233618973289E-2</v>
      </c>
      <c r="BR40" s="463"/>
      <c r="BT40" s="147">
        <f t="shared" si="61"/>
        <v>27.015233618973291</v>
      </c>
      <c r="BU40" s="463">
        <f t="shared" si="112"/>
        <v>7.2261663251109122E-3</v>
      </c>
      <c r="BV40" s="463">
        <f t="shared" si="113"/>
        <v>1.7860253427975509E-2</v>
      </c>
      <c r="BW40" s="463">
        <f t="shared" si="114"/>
        <v>0</v>
      </c>
      <c r="BX40" s="463">
        <f t="shared" si="115"/>
        <v>2.8153291346188106E-2</v>
      </c>
      <c r="BY40" s="463">
        <f t="shared" si="116"/>
        <v>1.3170370370370369E-2</v>
      </c>
      <c r="BZ40" s="147">
        <f t="shared" si="62"/>
        <v>41.323661716558476</v>
      </c>
      <c r="CA40" s="153">
        <f t="shared" si="63"/>
        <v>0.12923284375218821</v>
      </c>
      <c r="CB40" s="5">
        <f t="shared" si="64"/>
        <v>0.7</v>
      </c>
      <c r="CC40" s="153">
        <f t="shared" si="65"/>
        <v>0.84415373230102209</v>
      </c>
      <c r="CD40" s="5">
        <f t="shared" si="66"/>
        <v>84.415373230102205</v>
      </c>
      <c r="CG40" s="59">
        <f t="shared" si="117"/>
        <v>-50</v>
      </c>
      <c r="CH40">
        <f t="shared" si="118"/>
        <v>-50</v>
      </c>
    </row>
    <row r="41" spans="5:86" x14ac:dyDescent="0.25">
      <c r="E41" s="150">
        <v>36</v>
      </c>
      <c r="F41" s="191">
        <f t="shared" si="119"/>
        <v>3.5999999999999997E-2</v>
      </c>
      <c r="G41" s="191"/>
      <c r="H41" s="191">
        <f t="shared" si="67"/>
        <v>0.72</v>
      </c>
      <c r="I41" s="472">
        <f t="shared" si="68"/>
        <v>20</v>
      </c>
      <c r="J41" s="152">
        <f t="shared" si="69"/>
        <v>20.32</v>
      </c>
      <c r="K41" s="386">
        <f t="shared" si="70"/>
        <v>40.32</v>
      </c>
      <c r="L41" s="386"/>
      <c r="M41" s="191">
        <f t="shared" si="71"/>
        <v>0.50396825396825395</v>
      </c>
      <c r="N41" s="152">
        <f t="shared" si="72"/>
        <v>3.4017857142857144</v>
      </c>
      <c r="O41" s="152">
        <f t="shared" si="53"/>
        <v>0.72</v>
      </c>
      <c r="P41" s="191">
        <f t="shared" si="73"/>
        <v>0.17008928571428572</v>
      </c>
      <c r="Q41" s="191">
        <f t="shared" si="74"/>
        <v>20</v>
      </c>
      <c r="R41" s="191">
        <f t="shared" si="75"/>
        <v>0.18898809523809523</v>
      </c>
      <c r="S41" s="152">
        <f t="shared" si="76"/>
        <v>167.53812743593514</v>
      </c>
      <c r="T41" s="152">
        <f t="shared" si="77"/>
        <v>20</v>
      </c>
      <c r="U41" s="191">
        <f t="shared" si="78"/>
        <v>0.15874015748031495</v>
      </c>
      <c r="V41" s="191">
        <f t="shared" si="79"/>
        <v>0.47622047244094484</v>
      </c>
      <c r="W41" s="191">
        <f t="shared" si="80"/>
        <v>0.46872093744187482</v>
      </c>
      <c r="X41" s="175">
        <f t="shared" si="81"/>
        <v>350</v>
      </c>
      <c r="Y41" s="386">
        <f t="shared" si="54"/>
        <v>350</v>
      </c>
      <c r="AA41" s="191">
        <f t="shared" si="82"/>
        <v>0.47996976568405147</v>
      </c>
      <c r="AB41" s="153">
        <f t="shared" si="83"/>
        <v>1.4172335600907031</v>
      </c>
      <c r="AC41" s="153">
        <f t="shared" si="84"/>
        <v>0.11904012045735404</v>
      </c>
      <c r="AD41" s="153"/>
      <c r="AE41" s="153">
        <f t="shared" si="85"/>
        <v>0.44291338582677164</v>
      </c>
      <c r="AF41" s="317">
        <f t="shared" si="86"/>
        <v>1083.7333333333336</v>
      </c>
      <c r="AG41" s="463">
        <f t="shared" si="87"/>
        <v>1.1626476377952754E-2</v>
      </c>
      <c r="AI41" s="153">
        <f t="shared" si="88"/>
        <v>0.27822567065158421</v>
      </c>
      <c r="AJ41" s="153">
        <f t="shared" si="89"/>
        <v>0.27822567065158421</v>
      </c>
      <c r="AK41" s="153">
        <f t="shared" si="90"/>
        <v>1.2854837804343895</v>
      </c>
      <c r="AM41" s="317">
        <f t="shared" si="91"/>
        <v>36</v>
      </c>
      <c r="AN41" s="147">
        <f t="shared" si="92"/>
        <v>350</v>
      </c>
      <c r="AP41">
        <f t="shared" si="93"/>
        <v>36</v>
      </c>
      <c r="AQ41" s="147">
        <f t="shared" si="94"/>
        <v>350</v>
      </c>
      <c r="AR41" s="147"/>
      <c r="AS41" s="5">
        <f t="shared" si="55"/>
        <v>2.8571428571428572</v>
      </c>
      <c r="AT41" s="5">
        <f t="shared" si="95"/>
        <v>0.83467701195475275</v>
      </c>
      <c r="AU41" s="5">
        <f t="shared" si="56"/>
        <v>2.0224658451881043</v>
      </c>
      <c r="AV41" s="5">
        <f t="shared" si="96"/>
        <v>0.82153249208144952</v>
      </c>
      <c r="AW41" s="153">
        <f t="shared" si="57"/>
        <v>0.29213695418416347</v>
      </c>
      <c r="AX41" s="153">
        <f t="shared" si="97"/>
        <v>0.81280000000000008</v>
      </c>
      <c r="AY41" s="153">
        <f t="shared" si="98"/>
        <v>9.847283532579211E-2</v>
      </c>
      <c r="AZ41" s="153">
        <f t="shared" si="58"/>
        <v>8.2540529813211396</v>
      </c>
      <c r="BA41" s="147">
        <f t="shared" si="99"/>
        <v>2.385619286777211</v>
      </c>
      <c r="BB41" s="147">
        <f t="shared" si="100"/>
        <v>1.8951238655999996</v>
      </c>
      <c r="BC41" s="5">
        <f t="shared" si="101"/>
        <v>8.0898633807524156E-2</v>
      </c>
      <c r="BD41" s="147">
        <f t="shared" si="102"/>
        <v>8.2098633807524148</v>
      </c>
      <c r="BE41" s="5"/>
      <c r="BF41" s="153">
        <f t="shared" si="59"/>
        <v>8.6822006639178703E-2</v>
      </c>
      <c r="BG41" s="153">
        <f t="shared" si="103"/>
        <v>0.1351484878432645</v>
      </c>
      <c r="BH41" s="153"/>
      <c r="BI41" s="463">
        <f t="shared" si="104"/>
        <v>2.6383212928987568E-3</v>
      </c>
      <c r="BJ41" s="463">
        <f t="shared" si="105"/>
        <v>1.9631603321175781E-2</v>
      </c>
      <c r="BK41" s="463">
        <f t="shared" si="106"/>
        <v>4.3749999999999995E-3</v>
      </c>
      <c r="BL41" s="463">
        <f t="shared" si="107"/>
        <v>2.8449792000000005E-2</v>
      </c>
      <c r="BM41">
        <f t="shared" si="108"/>
        <v>5.7999999999999996E-3</v>
      </c>
      <c r="BN41">
        <f t="shared" si="109"/>
        <v>1.3124999999999999E-5</v>
      </c>
      <c r="BO41" s="463">
        <f t="shared" si="110"/>
        <v>6.1293851013546521E-2</v>
      </c>
      <c r="BP41" s="147">
        <f t="shared" si="60"/>
        <v>61.293851013546522</v>
      </c>
      <c r="BQ41" s="463">
        <f t="shared" si="111"/>
        <v>2.7706546917469255E-2</v>
      </c>
      <c r="BR41" s="463"/>
      <c r="BT41" s="147">
        <f t="shared" si="61"/>
        <v>27.706546917469254</v>
      </c>
      <c r="BU41" s="463">
        <f t="shared" si="112"/>
        <v>7.5380608368535908E-3</v>
      </c>
      <c r="BV41" s="463">
        <f t="shared" si="113"/>
        <v>1.8265113766321013E-2</v>
      </c>
      <c r="BW41" s="463">
        <f t="shared" si="114"/>
        <v>0</v>
      </c>
      <c r="BX41" s="463">
        <f t="shared" si="115"/>
        <v>2.8959334977701274E-2</v>
      </c>
      <c r="BY41" s="463">
        <f t="shared" si="116"/>
        <v>1.3546666666666669E-2</v>
      </c>
      <c r="BZ41" s="147">
        <f t="shared" si="62"/>
        <v>42.506001644367942</v>
      </c>
      <c r="CA41" s="153">
        <f t="shared" si="63"/>
        <v>0.13150639957538371</v>
      </c>
      <c r="CB41" s="5">
        <f t="shared" si="64"/>
        <v>0.72</v>
      </c>
      <c r="CC41" s="153">
        <f t="shared" si="65"/>
        <v>0.84556029215874207</v>
      </c>
      <c r="CD41" s="5">
        <f t="shared" si="66"/>
        <v>84.556029215874204</v>
      </c>
      <c r="CG41" s="59">
        <f t="shared" si="117"/>
        <v>-50</v>
      </c>
      <c r="CH41">
        <f t="shared" si="118"/>
        <v>-50</v>
      </c>
    </row>
    <row r="42" spans="5:86" x14ac:dyDescent="0.25">
      <c r="E42" s="150">
        <v>37</v>
      </c>
      <c r="F42" s="191">
        <f t="shared" si="119"/>
        <v>3.6999999999999998E-2</v>
      </c>
      <c r="G42" s="191"/>
      <c r="H42" s="191">
        <f t="shared" si="67"/>
        <v>0.74</v>
      </c>
      <c r="I42" s="472">
        <f t="shared" si="68"/>
        <v>20</v>
      </c>
      <c r="J42" s="152">
        <f t="shared" si="69"/>
        <v>20.32</v>
      </c>
      <c r="K42" s="386">
        <f t="shared" si="70"/>
        <v>40.32</v>
      </c>
      <c r="L42" s="386"/>
      <c r="M42" s="191">
        <f t="shared" si="71"/>
        <v>0.50396825396825395</v>
      </c>
      <c r="N42" s="152">
        <f t="shared" si="72"/>
        <v>3.4017857142857144</v>
      </c>
      <c r="O42" s="152">
        <f t="shared" si="53"/>
        <v>0.74</v>
      </c>
      <c r="P42" s="191">
        <f t="shared" si="73"/>
        <v>0.17008928571428572</v>
      </c>
      <c r="Q42" s="191">
        <f t="shared" si="74"/>
        <v>20</v>
      </c>
      <c r="R42" s="191">
        <f t="shared" si="75"/>
        <v>0.18898809523809523</v>
      </c>
      <c r="S42" s="152">
        <f t="shared" si="76"/>
        <v>162.47174646486334</v>
      </c>
      <c r="T42" s="152">
        <f t="shared" si="77"/>
        <v>20</v>
      </c>
      <c r="U42" s="191">
        <f t="shared" si="78"/>
        <v>0.1631496062992126</v>
      </c>
      <c r="V42" s="191">
        <f t="shared" si="79"/>
        <v>0.48944881889763786</v>
      </c>
      <c r="W42" s="191">
        <f t="shared" si="80"/>
        <v>0.48174096348192702</v>
      </c>
      <c r="X42" s="175">
        <f t="shared" si="81"/>
        <v>350</v>
      </c>
      <c r="Y42" s="386">
        <f t="shared" si="54"/>
        <v>350</v>
      </c>
      <c r="AA42" s="191">
        <f t="shared" si="82"/>
        <v>0.47996976568405147</v>
      </c>
      <c r="AB42" s="153">
        <f t="shared" si="83"/>
        <v>1.4172335600907031</v>
      </c>
      <c r="AC42" s="153">
        <f t="shared" si="84"/>
        <v>0.11904012045735404</v>
      </c>
      <c r="AD42" s="153"/>
      <c r="AE42" s="153">
        <f t="shared" si="85"/>
        <v>0.44291338582677164</v>
      </c>
      <c r="AF42" s="317">
        <f t="shared" si="86"/>
        <v>1113.8370370370371</v>
      </c>
      <c r="AG42" s="463">
        <f t="shared" si="87"/>
        <v>1.1626476377952754E-2</v>
      </c>
      <c r="AI42" s="153">
        <f t="shared" si="88"/>
        <v>0.28206344740109157</v>
      </c>
      <c r="AJ42" s="153">
        <f t="shared" si="89"/>
        <v>0.28206344740109157</v>
      </c>
      <c r="AK42" s="153">
        <f t="shared" si="90"/>
        <v>1.2880422982673942</v>
      </c>
      <c r="AM42" s="317">
        <f t="shared" si="91"/>
        <v>37</v>
      </c>
      <c r="AN42" s="147">
        <f t="shared" si="92"/>
        <v>350</v>
      </c>
      <c r="AP42">
        <f t="shared" si="93"/>
        <v>37</v>
      </c>
      <c r="AQ42" s="147">
        <f t="shared" si="94"/>
        <v>350</v>
      </c>
      <c r="AR42" s="147"/>
      <c r="AS42" s="5">
        <f t="shared" si="55"/>
        <v>2.8571428571428572</v>
      </c>
      <c r="AT42" s="5">
        <f t="shared" si="95"/>
        <v>0.84619034220327471</v>
      </c>
      <c r="AU42" s="5">
        <f t="shared" si="56"/>
        <v>2.0109525149395826</v>
      </c>
      <c r="AV42" s="5">
        <f t="shared" si="96"/>
        <v>0.83286451004259332</v>
      </c>
      <c r="AW42" s="153">
        <f t="shared" si="57"/>
        <v>0.29616661977114617</v>
      </c>
      <c r="AX42" s="153">
        <f t="shared" si="97"/>
        <v>0.83537777777777777</v>
      </c>
      <c r="AY42" s="153">
        <f t="shared" si="98"/>
        <v>9.9262834811656903E-2</v>
      </c>
      <c r="AZ42" s="153">
        <f t="shared" si="58"/>
        <v>8.4158162454541898</v>
      </c>
      <c r="BA42" s="147">
        <f t="shared" si="99"/>
        <v>2.385619286777211</v>
      </c>
      <c r="BB42" s="147">
        <f t="shared" si="100"/>
        <v>1.9987874783999999</v>
      </c>
      <c r="BC42" s="5">
        <f t="shared" si="101"/>
        <v>8.2672492280849511E-2</v>
      </c>
      <c r="BD42" s="147">
        <f t="shared" si="102"/>
        <v>8.3905825614182827</v>
      </c>
      <c r="BE42" s="5"/>
      <c r="BF42" s="153">
        <f t="shared" si="59"/>
        <v>8.8624589492657738E-2</v>
      </c>
      <c r="BG42" s="153">
        <f t="shared" si="103"/>
        <v>0.13662214897490335</v>
      </c>
      <c r="BH42" s="153"/>
      <c r="BI42" s="463">
        <f t="shared" si="104"/>
        <v>2.7490112519597347E-3</v>
      </c>
      <c r="BJ42" s="463">
        <f t="shared" si="105"/>
        <v>1.990239684862102E-2</v>
      </c>
      <c r="BK42" s="463">
        <f t="shared" si="106"/>
        <v>4.3749999999999995E-3</v>
      </c>
      <c r="BL42" s="463">
        <f t="shared" si="107"/>
        <v>2.8449792000000005E-2</v>
      </c>
      <c r="BM42">
        <f t="shared" si="108"/>
        <v>5.7999999999999996E-3</v>
      </c>
      <c r="BN42">
        <f t="shared" si="109"/>
        <v>1.3124999999999999E-5</v>
      </c>
      <c r="BO42" s="463">
        <f t="shared" si="110"/>
        <v>6.1691731207663615E-2</v>
      </c>
      <c r="BP42" s="147">
        <f t="shared" si="60"/>
        <v>61.691731207663615</v>
      </c>
      <c r="BQ42" s="463">
        <f t="shared" si="111"/>
        <v>2.8394527255157807E-2</v>
      </c>
      <c r="BR42" s="463"/>
      <c r="BT42" s="147">
        <f t="shared" si="61"/>
        <v>28.394527255157808</v>
      </c>
      <c r="BU42" s="463">
        <f t="shared" si="112"/>
        <v>7.8543178627420995E-3</v>
      </c>
      <c r="BV42" s="463">
        <f t="shared" si="113"/>
        <v>1.8665611590520687E-2</v>
      </c>
      <c r="BW42" s="463">
        <f t="shared" si="114"/>
        <v>0</v>
      </c>
      <c r="BX42" s="463">
        <f t="shared" si="115"/>
        <v>2.9765471243455889E-2</v>
      </c>
      <c r="BY42" s="463">
        <f t="shared" si="116"/>
        <v>1.3922962962962963E-2</v>
      </c>
      <c r="BZ42" s="147">
        <f t="shared" si="62"/>
        <v>43.688434206418854</v>
      </c>
      <c r="CA42" s="153">
        <f t="shared" si="63"/>
        <v>0.13377469266924027</v>
      </c>
      <c r="CB42" s="5">
        <f t="shared" si="64"/>
        <v>0.74</v>
      </c>
      <c r="CC42" s="153">
        <f t="shared" si="65"/>
        <v>0.84690024351634607</v>
      </c>
      <c r="CD42" s="5">
        <f t="shared" si="66"/>
        <v>84.690024351634605</v>
      </c>
      <c r="CG42" s="59">
        <f t="shared" si="117"/>
        <v>-50</v>
      </c>
      <c r="CH42">
        <f t="shared" si="118"/>
        <v>-50</v>
      </c>
    </row>
    <row r="43" spans="5:86" x14ac:dyDescent="0.25">
      <c r="E43" s="150">
        <v>38</v>
      </c>
      <c r="F43" s="191">
        <f t="shared" si="119"/>
        <v>3.8000000000000006E-2</v>
      </c>
      <c r="G43" s="191"/>
      <c r="H43" s="191">
        <f t="shared" si="67"/>
        <v>0.76000000000000012</v>
      </c>
      <c r="I43" s="472">
        <f t="shared" si="68"/>
        <v>20</v>
      </c>
      <c r="J43" s="152">
        <f t="shared" si="69"/>
        <v>20.32</v>
      </c>
      <c r="K43" s="386">
        <f t="shared" si="70"/>
        <v>40.32</v>
      </c>
      <c r="L43" s="386"/>
      <c r="M43" s="191">
        <f t="shared" si="71"/>
        <v>0.50396825396825395</v>
      </c>
      <c r="N43" s="152">
        <f t="shared" si="72"/>
        <v>3.4017857142857144</v>
      </c>
      <c r="O43" s="152">
        <f t="shared" si="53"/>
        <v>0.76000000000000012</v>
      </c>
      <c r="P43" s="191">
        <f t="shared" si="73"/>
        <v>0.17008928571428572</v>
      </c>
      <c r="Q43" s="191">
        <f t="shared" si="74"/>
        <v>20</v>
      </c>
      <c r="R43" s="191">
        <f t="shared" si="75"/>
        <v>0.18898809523809523</v>
      </c>
      <c r="S43" s="152">
        <f t="shared" si="76"/>
        <v>157.67208730515495</v>
      </c>
      <c r="T43" s="152">
        <f t="shared" si="77"/>
        <v>20</v>
      </c>
      <c r="U43" s="191">
        <f t="shared" si="78"/>
        <v>0.16755905511811026</v>
      </c>
      <c r="V43" s="191">
        <f t="shared" si="79"/>
        <v>0.50267716535433071</v>
      </c>
      <c r="W43" s="191">
        <f t="shared" si="80"/>
        <v>0.49476098952197906</v>
      </c>
      <c r="X43" s="175">
        <f t="shared" si="81"/>
        <v>350</v>
      </c>
      <c r="Y43" s="386">
        <f t="shared" si="54"/>
        <v>350</v>
      </c>
      <c r="AA43" s="191">
        <f t="shared" si="82"/>
        <v>0.47996976568405147</v>
      </c>
      <c r="AB43" s="153">
        <f t="shared" si="83"/>
        <v>1.4172335600907031</v>
      </c>
      <c r="AC43" s="153">
        <f t="shared" si="84"/>
        <v>0.11904012045735404</v>
      </c>
      <c r="AD43" s="153"/>
      <c r="AE43" s="153">
        <f t="shared" si="85"/>
        <v>0.44291338582677164</v>
      </c>
      <c r="AF43" s="317">
        <f t="shared" si="86"/>
        <v>1143.9407407407411</v>
      </c>
      <c r="AG43" s="463">
        <f t="shared" si="87"/>
        <v>1.1626476377952754E-2</v>
      </c>
      <c r="AI43" s="153">
        <f t="shared" si="88"/>
        <v>0.28584970335834342</v>
      </c>
      <c r="AJ43" s="153">
        <f t="shared" si="89"/>
        <v>0.28584970335834342</v>
      </c>
      <c r="AK43" s="153">
        <f t="shared" si="90"/>
        <v>1.2905664689055623</v>
      </c>
      <c r="AM43" s="317">
        <f t="shared" si="91"/>
        <v>38.000000000000007</v>
      </c>
      <c r="AN43" s="147">
        <f t="shared" si="92"/>
        <v>350</v>
      </c>
      <c r="AP43">
        <f t="shared" si="93"/>
        <v>38.000000000000007</v>
      </c>
      <c r="AQ43" s="147">
        <f t="shared" si="94"/>
        <v>350</v>
      </c>
      <c r="AR43" s="147"/>
      <c r="AS43" s="5">
        <f t="shared" si="55"/>
        <v>2.8571428571428572</v>
      </c>
      <c r="AT43" s="5">
        <f t="shared" si="95"/>
        <v>0.85754911007503032</v>
      </c>
      <c r="AU43" s="5">
        <f t="shared" si="56"/>
        <v>1.9995937470678269</v>
      </c>
      <c r="AV43" s="5">
        <f t="shared" si="96"/>
        <v>0.84404439968014799</v>
      </c>
      <c r="AW43" s="153">
        <f t="shared" si="57"/>
        <v>0.30014218852626062</v>
      </c>
      <c r="AX43" s="153">
        <f t="shared" si="97"/>
        <v>0.8579555555555558</v>
      </c>
      <c r="AY43" s="153">
        <f t="shared" si="98"/>
        <v>0.10002707390139391</v>
      </c>
      <c r="AZ43" s="153">
        <f t="shared" si="58"/>
        <v>8.5772333638523026</v>
      </c>
      <c r="BA43" s="147">
        <f t="shared" si="99"/>
        <v>2.385619286777211</v>
      </c>
      <c r="BB43" s="147">
        <f t="shared" si="100"/>
        <v>2.1052089984000006</v>
      </c>
      <c r="BC43" s="5">
        <f t="shared" si="101"/>
        <v>8.4427291542863825E-2</v>
      </c>
      <c r="BD43" s="147">
        <f t="shared" si="102"/>
        <v>8.5693958209530496</v>
      </c>
      <c r="BE43" s="5"/>
      <c r="BF43" s="153">
        <f t="shared" si="59"/>
        <v>9.0415032129655362E-2</v>
      </c>
      <c r="BG43" s="153">
        <f t="shared" si="103"/>
        <v>0.13806450039146329</v>
      </c>
      <c r="BH43" s="153"/>
      <c r="BI43" s="463">
        <f t="shared" si="104"/>
        <v>2.861207312252314E-3</v>
      </c>
      <c r="BJ43" s="463">
        <f t="shared" si="105"/>
        <v>2.0169555068964711E-2</v>
      </c>
      <c r="BK43" s="463">
        <f t="shared" si="106"/>
        <v>4.3749999999999995E-3</v>
      </c>
      <c r="BL43" s="463">
        <f t="shared" si="107"/>
        <v>2.8449792000000005E-2</v>
      </c>
      <c r="BM43">
        <f t="shared" si="108"/>
        <v>5.7999999999999996E-3</v>
      </c>
      <c r="BN43">
        <f t="shared" si="109"/>
        <v>1.3124999999999999E-5</v>
      </c>
      <c r="BO43" s="463">
        <f t="shared" si="110"/>
        <v>6.208771802452507E-2</v>
      </c>
      <c r="BP43" s="147">
        <f t="shared" si="60"/>
        <v>62.087718024525067</v>
      </c>
      <c r="BQ43" s="463">
        <f t="shared" si="111"/>
        <v>2.9079219989015099E-2</v>
      </c>
      <c r="BR43" s="463"/>
      <c r="BT43" s="147">
        <f t="shared" si="61"/>
        <v>29.079219989015098</v>
      </c>
      <c r="BU43" s="463">
        <f t="shared" si="112"/>
        <v>8.1748780350066122E-3</v>
      </c>
      <c r="BV43" s="463">
        <f t="shared" si="113"/>
        <v>1.9061806268344365E-2</v>
      </c>
      <c r="BW43" s="463">
        <f t="shared" si="114"/>
        <v>0</v>
      </c>
      <c r="BX43" s="463">
        <f t="shared" si="115"/>
        <v>3.0571700159421809E-2</v>
      </c>
      <c r="BY43" s="463">
        <f t="shared" si="116"/>
        <v>1.4299259259259263E-2</v>
      </c>
      <c r="BZ43" s="147">
        <f t="shared" si="62"/>
        <v>44.870959418681068</v>
      </c>
      <c r="CA43" s="153">
        <f t="shared" si="63"/>
        <v>0.13603789743222125</v>
      </c>
      <c r="CB43" s="5">
        <f t="shared" si="64"/>
        <v>0.76000000000000012</v>
      </c>
      <c r="CC43" s="153">
        <f t="shared" si="65"/>
        <v>0.84817841095553492</v>
      </c>
      <c r="CD43" s="5">
        <f t="shared" si="66"/>
        <v>84.81784109555349</v>
      </c>
      <c r="CG43" s="59">
        <f t="shared" si="117"/>
        <v>-50</v>
      </c>
      <c r="CH43">
        <f t="shared" si="118"/>
        <v>-50</v>
      </c>
    </row>
    <row r="44" spans="5:86" x14ac:dyDescent="0.25">
      <c r="E44" s="150">
        <v>39</v>
      </c>
      <c r="F44" s="191">
        <f t="shared" si="119"/>
        <v>3.9000000000000007E-2</v>
      </c>
      <c r="G44" s="191"/>
      <c r="H44" s="191">
        <f t="shared" si="67"/>
        <v>0.78000000000000014</v>
      </c>
      <c r="I44" s="472">
        <f t="shared" si="68"/>
        <v>20</v>
      </c>
      <c r="J44" s="152">
        <f t="shared" si="69"/>
        <v>20.32</v>
      </c>
      <c r="K44" s="386">
        <f t="shared" si="70"/>
        <v>40.32</v>
      </c>
      <c r="L44" s="386"/>
      <c r="M44" s="191">
        <f t="shared" si="71"/>
        <v>0.50396825396825395</v>
      </c>
      <c r="N44" s="152">
        <f t="shared" si="72"/>
        <v>3.4017857142857144</v>
      </c>
      <c r="O44" s="152">
        <f t="shared" si="53"/>
        <v>0.78000000000000014</v>
      </c>
      <c r="P44" s="191">
        <f t="shared" si="73"/>
        <v>0.17008928571428572</v>
      </c>
      <c r="Q44" s="191">
        <f t="shared" si="74"/>
        <v>20</v>
      </c>
      <c r="R44" s="191">
        <f t="shared" si="75"/>
        <v>0.18898809523809523</v>
      </c>
      <c r="S44" s="152">
        <f t="shared" si="76"/>
        <v>153.11863356307234</v>
      </c>
      <c r="T44" s="152">
        <f t="shared" si="77"/>
        <v>20</v>
      </c>
      <c r="U44" s="191">
        <f t="shared" si="78"/>
        <v>0.17196850393700791</v>
      </c>
      <c r="V44" s="191">
        <f t="shared" si="79"/>
        <v>0.51590551181102373</v>
      </c>
      <c r="W44" s="191">
        <f t="shared" si="80"/>
        <v>0.50778101556203126</v>
      </c>
      <c r="X44" s="175">
        <f t="shared" si="81"/>
        <v>350</v>
      </c>
      <c r="Y44" s="386">
        <f t="shared" si="54"/>
        <v>350</v>
      </c>
      <c r="AA44" s="191">
        <f t="shared" si="82"/>
        <v>0.47996976568405147</v>
      </c>
      <c r="AB44" s="153">
        <f t="shared" si="83"/>
        <v>1.4172335600907031</v>
      </c>
      <c r="AC44" s="153">
        <f t="shared" si="84"/>
        <v>0.11904012045735404</v>
      </c>
      <c r="AD44" s="153"/>
      <c r="AE44" s="153">
        <f t="shared" si="85"/>
        <v>0.44291338582677164</v>
      </c>
      <c r="AF44" s="317">
        <f t="shared" si="86"/>
        <v>1174.0444444444447</v>
      </c>
      <c r="AG44" s="463">
        <f t="shared" si="87"/>
        <v>1.1626476377952754E-2</v>
      </c>
      <c r="AI44" s="153">
        <f t="shared" si="88"/>
        <v>0.28958645938703259</v>
      </c>
      <c r="AJ44" s="153">
        <f t="shared" si="89"/>
        <v>0.28958645938703259</v>
      </c>
      <c r="AK44" s="153">
        <f t="shared" si="90"/>
        <v>1.2930576395913551</v>
      </c>
      <c r="AM44" s="317">
        <f t="shared" si="91"/>
        <v>39.000000000000007</v>
      </c>
      <c r="AN44" s="147">
        <f t="shared" si="92"/>
        <v>350</v>
      </c>
      <c r="AP44">
        <f t="shared" si="93"/>
        <v>39.000000000000007</v>
      </c>
      <c r="AQ44" s="147">
        <f t="shared" si="94"/>
        <v>350</v>
      </c>
      <c r="AR44" s="147"/>
      <c r="AS44" s="5">
        <f t="shared" si="55"/>
        <v>2.8571428571428572</v>
      </c>
      <c r="AT44" s="5">
        <f t="shared" si="95"/>
        <v>0.86875937816109772</v>
      </c>
      <c r="AU44" s="5">
        <f t="shared" si="56"/>
        <v>1.9883834789817594</v>
      </c>
      <c r="AV44" s="5">
        <f t="shared" si="96"/>
        <v>0.85507812811131667</v>
      </c>
      <c r="AW44" s="153">
        <f t="shared" si="57"/>
        <v>0.30406578235638421</v>
      </c>
      <c r="AX44" s="153">
        <f t="shared" si="97"/>
        <v>0.88053333333333361</v>
      </c>
      <c r="AY44" s="153">
        <f t="shared" si="98"/>
        <v>0.10076656302684964</v>
      </c>
      <c r="AZ44" s="153">
        <f t="shared" si="58"/>
        <v>8.7383483854531399</v>
      </c>
      <c r="BA44" s="147">
        <f t="shared" si="99"/>
        <v>2.385619286777211</v>
      </c>
      <c r="BB44" s="147">
        <f t="shared" si="100"/>
        <v>2.2143884256000002</v>
      </c>
      <c r="BC44" s="5">
        <f t="shared" si="101"/>
        <v>8.6163284089209591E-2</v>
      </c>
      <c r="BD44" s="147">
        <f t="shared" si="102"/>
        <v>8.7463284089209594</v>
      </c>
      <c r="BE44" s="5"/>
      <c r="BF44" s="153">
        <f t="shared" si="59"/>
        <v>9.2193732681468424E-2</v>
      </c>
      <c r="BG44" s="153">
        <f t="shared" si="103"/>
        <v>0.1394767177979791</v>
      </c>
      <c r="BH44" s="153"/>
      <c r="BI44" s="463">
        <f t="shared" si="104"/>
        <v>2.9748895210097203E-3</v>
      </c>
      <c r="BJ44" s="463">
        <f t="shared" si="105"/>
        <v>2.0433220574349022E-2</v>
      </c>
      <c r="BK44" s="463">
        <f t="shared" si="106"/>
        <v>4.3749999999999995E-3</v>
      </c>
      <c r="BL44" s="463">
        <f t="shared" si="107"/>
        <v>2.8449792000000005E-2</v>
      </c>
      <c r="BM44">
        <f t="shared" si="108"/>
        <v>5.7999999999999996E-3</v>
      </c>
      <c r="BN44">
        <f t="shared" si="109"/>
        <v>1.3124999999999999E-5</v>
      </c>
      <c r="BO44" s="463">
        <f t="shared" si="110"/>
        <v>6.2481931458255799E-2</v>
      </c>
      <c r="BP44" s="147">
        <f t="shared" si="60"/>
        <v>62.481931458255801</v>
      </c>
      <c r="BQ44" s="463">
        <f t="shared" si="111"/>
        <v>2.9760668673080588E-2</v>
      </c>
      <c r="BR44" s="463"/>
      <c r="BT44" s="147">
        <f t="shared" si="61"/>
        <v>29.760668673080588</v>
      </c>
      <c r="BU44" s="463">
        <f t="shared" si="112"/>
        <v>8.4996843457420587E-3</v>
      </c>
      <c r="BV44" s="463">
        <f t="shared" si="113"/>
        <v>1.94537548076971E-2</v>
      </c>
      <c r="BW44" s="463">
        <f t="shared" si="114"/>
        <v>0</v>
      </c>
      <c r="BX44" s="463">
        <f t="shared" si="115"/>
        <v>3.1378021741572532E-2</v>
      </c>
      <c r="BY44" s="463">
        <f t="shared" si="116"/>
        <v>1.4675555555555561E-2</v>
      </c>
      <c r="BZ44" s="147">
        <f t="shared" si="62"/>
        <v>46.053577297128093</v>
      </c>
      <c r="CA44" s="153">
        <f t="shared" si="63"/>
        <v>0.13829617742846448</v>
      </c>
      <c r="CB44" s="5">
        <f t="shared" si="64"/>
        <v>0.78000000000000014</v>
      </c>
      <c r="CC44" s="153">
        <f t="shared" si="65"/>
        <v>0.84939915810633138</v>
      </c>
      <c r="CD44" s="5">
        <f t="shared" si="66"/>
        <v>84.939915810633138</v>
      </c>
      <c r="CG44" s="59">
        <f t="shared" si="117"/>
        <v>-50</v>
      </c>
      <c r="CH44">
        <f t="shared" si="118"/>
        <v>-50</v>
      </c>
    </row>
    <row r="45" spans="5:86" x14ac:dyDescent="0.25">
      <c r="E45" s="150">
        <v>40</v>
      </c>
      <c r="F45" s="191">
        <f t="shared" si="119"/>
        <v>4.0000000000000008E-2</v>
      </c>
      <c r="G45" s="191"/>
      <c r="H45" s="191">
        <f t="shared" si="67"/>
        <v>0.80000000000000016</v>
      </c>
      <c r="I45" s="472">
        <f t="shared" si="68"/>
        <v>20</v>
      </c>
      <c r="J45" s="152">
        <f t="shared" si="69"/>
        <v>20.32</v>
      </c>
      <c r="K45" s="386">
        <f t="shared" si="70"/>
        <v>40.32</v>
      </c>
      <c r="L45" s="386"/>
      <c r="M45" s="191">
        <f t="shared" si="71"/>
        <v>0.50396825396825395</v>
      </c>
      <c r="N45" s="152">
        <f t="shared" si="72"/>
        <v>3.4017857142857144</v>
      </c>
      <c r="O45" s="152">
        <f t="shared" si="53"/>
        <v>0.80000000000000016</v>
      </c>
      <c r="P45" s="191">
        <f t="shared" si="73"/>
        <v>0.17008928571428572</v>
      </c>
      <c r="Q45" s="191">
        <f t="shared" si="74"/>
        <v>20</v>
      </c>
      <c r="R45" s="191">
        <f t="shared" si="75"/>
        <v>0.18898809523809523</v>
      </c>
      <c r="S45" s="152">
        <f t="shared" si="76"/>
        <v>148.79292049259618</v>
      </c>
      <c r="T45" s="152">
        <f t="shared" si="77"/>
        <v>20</v>
      </c>
      <c r="U45" s="191">
        <f t="shared" si="78"/>
        <v>0.17637795275590556</v>
      </c>
      <c r="V45" s="191">
        <f t="shared" si="79"/>
        <v>0.52913385826771675</v>
      </c>
      <c r="W45" s="191">
        <f t="shared" si="80"/>
        <v>0.5208010416020834</v>
      </c>
      <c r="X45" s="175">
        <f t="shared" si="81"/>
        <v>350</v>
      </c>
      <c r="Y45" s="386">
        <f t="shared" si="54"/>
        <v>350</v>
      </c>
      <c r="AA45" s="191">
        <f t="shared" si="82"/>
        <v>0.47996976568405147</v>
      </c>
      <c r="AB45" s="153">
        <f t="shared" si="83"/>
        <v>1.4172335600907031</v>
      </c>
      <c r="AC45" s="153">
        <f t="shared" si="84"/>
        <v>0.11904012045735404</v>
      </c>
      <c r="AD45" s="153"/>
      <c r="AE45" s="153">
        <f t="shared" si="85"/>
        <v>0.44291338582677164</v>
      </c>
      <c r="AF45" s="317">
        <f t="shared" si="86"/>
        <v>1204.1481481481485</v>
      </c>
      <c r="AG45" s="463">
        <f t="shared" si="87"/>
        <v>1.1626476377952754E-2</v>
      </c>
      <c r="AI45" s="153">
        <f t="shared" si="88"/>
        <v>0.29327560759562332</v>
      </c>
      <c r="AJ45" s="153">
        <f t="shared" si="89"/>
        <v>0.29327560759562332</v>
      </c>
      <c r="AK45" s="153">
        <f t="shared" si="90"/>
        <v>1.2955170717304156</v>
      </c>
      <c r="AM45" s="317">
        <f t="shared" si="91"/>
        <v>40.000000000000007</v>
      </c>
      <c r="AN45" s="147">
        <f t="shared" si="92"/>
        <v>350</v>
      </c>
      <c r="AP45">
        <f t="shared" si="93"/>
        <v>40.000000000000007</v>
      </c>
      <c r="AQ45" s="147">
        <f t="shared" si="94"/>
        <v>350</v>
      </c>
      <c r="AR45" s="147"/>
      <c r="AS45" s="5">
        <f t="shared" si="55"/>
        <v>2.8571428571428572</v>
      </c>
      <c r="AT45" s="5">
        <f t="shared" si="95"/>
        <v>0.87982682278686997</v>
      </c>
      <c r="AU45" s="5">
        <f t="shared" si="56"/>
        <v>1.9773160343559872</v>
      </c>
      <c r="AV45" s="5">
        <f t="shared" si="96"/>
        <v>0.86597128227054121</v>
      </c>
      <c r="AW45" s="153">
        <f t="shared" si="57"/>
        <v>0.30793938797540449</v>
      </c>
      <c r="AX45" s="153">
        <f t="shared" si="97"/>
        <v>0.90311111111111142</v>
      </c>
      <c r="AY45" s="153">
        <f t="shared" si="98"/>
        <v>0.1014822482422561</v>
      </c>
      <c r="AZ45" s="153">
        <f t="shared" si="58"/>
        <v>8.8992028335362185</v>
      </c>
      <c r="BA45" s="147">
        <f t="shared" si="99"/>
        <v>2.385619286777211</v>
      </c>
      <c r="BB45" s="147">
        <f t="shared" si="100"/>
        <v>2.3263257600000014</v>
      </c>
      <c r="BC45" s="5">
        <f t="shared" si="101"/>
        <v>8.7880712638043895E-2</v>
      </c>
      <c r="BD45" s="147">
        <f t="shared" si="102"/>
        <v>8.9214045971377214</v>
      </c>
      <c r="BE45" s="5"/>
      <c r="BF45" s="153">
        <f t="shared" si="59"/>
        <v>9.396106637635783E-2</v>
      </c>
      <c r="BG45" s="153">
        <f t="shared" si="103"/>
        <v>0.14085990206210219</v>
      </c>
      <c r="BH45" s="153"/>
      <c r="BI45" s="463">
        <f t="shared" si="104"/>
        <v>3.0900386981038129E-3</v>
      </c>
      <c r="BJ45" s="463">
        <f t="shared" si="105"/>
        <v>2.0693526871947178E-2</v>
      </c>
      <c r="BK45" s="463">
        <f t="shared" si="106"/>
        <v>4.3749999999999995E-3</v>
      </c>
      <c r="BL45" s="463">
        <f t="shared" si="107"/>
        <v>2.8449792000000005E-2</v>
      </c>
      <c r="BM45">
        <f t="shared" si="108"/>
        <v>5.7999999999999996E-3</v>
      </c>
      <c r="BN45">
        <f t="shared" si="109"/>
        <v>1.3124999999999999E-5</v>
      </c>
      <c r="BO45" s="463">
        <f t="shared" si="110"/>
        <v>6.2874483300508294E-2</v>
      </c>
      <c r="BP45" s="147">
        <f t="shared" si="60"/>
        <v>62.874483300508295</v>
      </c>
      <c r="BQ45" s="463">
        <f t="shared" si="111"/>
        <v>3.0438915174833998E-2</v>
      </c>
      <c r="BR45" s="463"/>
      <c r="BT45" s="147">
        <f t="shared" si="61"/>
        <v>30.438915174833998</v>
      </c>
      <c r="BU45" s="463">
        <f t="shared" si="112"/>
        <v>8.8286819945823224E-3</v>
      </c>
      <c r="BV45" s="463">
        <f t="shared" si="113"/>
        <v>1.984151200894502E-2</v>
      </c>
      <c r="BW45" s="463">
        <f t="shared" si="114"/>
        <v>0</v>
      </c>
      <c r="BX45" s="463">
        <f t="shared" si="115"/>
        <v>3.2184436005885254E-2</v>
      </c>
      <c r="BY45" s="463">
        <f t="shared" si="116"/>
        <v>1.505185185185186E-2</v>
      </c>
      <c r="BZ45" s="147">
        <f t="shared" si="62"/>
        <v>47.236287857737111</v>
      </c>
      <c r="CA45" s="153">
        <f t="shared" si="63"/>
        <v>0.1405496863330794</v>
      </c>
      <c r="CB45" s="5">
        <f t="shared" si="64"/>
        <v>0.80000000000000016</v>
      </c>
      <c r="CC45" s="153">
        <f t="shared" si="65"/>
        <v>0.8505664417570109</v>
      </c>
      <c r="CD45" s="5">
        <f t="shared" si="66"/>
        <v>85.056644175701095</v>
      </c>
      <c r="CG45" s="59">
        <f t="shared" si="117"/>
        <v>-50</v>
      </c>
      <c r="CH45">
        <f t="shared" si="118"/>
        <v>-50</v>
      </c>
    </row>
    <row r="46" spans="5:86" x14ac:dyDescent="0.25">
      <c r="E46" s="150">
        <v>41</v>
      </c>
      <c r="F46" s="191">
        <f t="shared" si="119"/>
        <v>4.1000000000000002E-2</v>
      </c>
      <c r="G46" s="191"/>
      <c r="H46" s="191">
        <f t="shared" si="67"/>
        <v>0.82000000000000006</v>
      </c>
      <c r="I46" s="472">
        <f t="shared" si="68"/>
        <v>20</v>
      </c>
      <c r="J46" s="152">
        <f t="shared" si="69"/>
        <v>20.32</v>
      </c>
      <c r="K46" s="386">
        <f t="shared" si="70"/>
        <v>40.32</v>
      </c>
      <c r="L46" s="386"/>
      <c r="M46" s="191">
        <f t="shared" si="71"/>
        <v>0.50396825396825395</v>
      </c>
      <c r="N46" s="152">
        <f t="shared" si="72"/>
        <v>3.4017857142857144</v>
      </c>
      <c r="O46" s="152">
        <f t="shared" si="53"/>
        <v>0.82000000000000006</v>
      </c>
      <c r="P46" s="191">
        <f t="shared" si="73"/>
        <v>0.17008928571428572</v>
      </c>
      <c r="Q46" s="191">
        <f t="shared" si="74"/>
        <v>20</v>
      </c>
      <c r="R46" s="191">
        <f t="shared" si="75"/>
        <v>0.18898809523809523</v>
      </c>
      <c r="S46" s="152">
        <f t="shared" si="76"/>
        <v>144.67828479461178</v>
      </c>
      <c r="T46" s="152">
        <f t="shared" si="77"/>
        <v>20</v>
      </c>
      <c r="U46" s="191">
        <f t="shared" si="78"/>
        <v>0.18078740157480316</v>
      </c>
      <c r="V46" s="191">
        <f t="shared" si="79"/>
        <v>0.54236220472440944</v>
      </c>
      <c r="W46" s="191">
        <f t="shared" si="80"/>
        <v>0.53382106764213533</v>
      </c>
      <c r="X46" s="175">
        <f t="shared" si="81"/>
        <v>350</v>
      </c>
      <c r="Y46" s="386">
        <f t="shared" si="54"/>
        <v>350</v>
      </c>
      <c r="AA46" s="191">
        <f t="shared" si="82"/>
        <v>0.47996976568405147</v>
      </c>
      <c r="AB46" s="153">
        <f t="shared" si="83"/>
        <v>1.4172335600907031</v>
      </c>
      <c r="AC46" s="153">
        <f t="shared" si="84"/>
        <v>0.11904012045735404</v>
      </c>
      <c r="AD46" s="153"/>
      <c r="AE46" s="153">
        <f t="shared" si="85"/>
        <v>0.44291338582677164</v>
      </c>
      <c r="AF46" s="317">
        <f t="shared" si="86"/>
        <v>1234.2518518518521</v>
      </c>
      <c r="AG46" s="463">
        <f t="shared" si="87"/>
        <v>1.1626476377952754E-2</v>
      </c>
      <c r="AI46" s="153">
        <f t="shared" si="88"/>
        <v>0.296918922537528</v>
      </c>
      <c r="AJ46" s="153">
        <f t="shared" si="89"/>
        <v>0.296918922537528</v>
      </c>
      <c r="AK46" s="153">
        <f t="shared" si="90"/>
        <v>1.297945948358352</v>
      </c>
      <c r="AM46" s="317">
        <f t="shared" si="91"/>
        <v>41</v>
      </c>
      <c r="AN46" s="147">
        <f t="shared" si="92"/>
        <v>350</v>
      </c>
      <c r="AP46">
        <f t="shared" si="93"/>
        <v>41</v>
      </c>
      <c r="AQ46" s="147">
        <f t="shared" si="94"/>
        <v>350</v>
      </c>
      <c r="AR46" s="147"/>
      <c r="AS46" s="5">
        <f t="shared" si="55"/>
        <v>2.8571428571428572</v>
      </c>
      <c r="AT46" s="5">
        <f t="shared" si="95"/>
        <v>0.89075676761258393</v>
      </c>
      <c r="AU46" s="5">
        <f t="shared" si="56"/>
        <v>1.9663860895302734</v>
      </c>
      <c r="AV46" s="5">
        <f t="shared" si="96"/>
        <v>0.87672910198088971</v>
      </c>
      <c r="AW46" s="153">
        <f t="shared" si="57"/>
        <v>0.31176486866440439</v>
      </c>
      <c r="AX46" s="153">
        <f t="shared" si="97"/>
        <v>0.92568888888888889</v>
      </c>
      <c r="AY46" s="153">
        <f t="shared" si="98"/>
        <v>0.10217501682431956</v>
      </c>
      <c r="AZ46" s="153">
        <f t="shared" si="58"/>
        <v>9.0598359330884648</v>
      </c>
      <c r="BA46" s="147">
        <f t="shared" si="99"/>
        <v>2.385619286777211</v>
      </c>
      <c r="BB46" s="147">
        <f t="shared" si="100"/>
        <v>2.4410210016000002</v>
      </c>
      <c r="BC46" s="5">
        <f t="shared" si="101"/>
        <v>8.957981074526801E-2</v>
      </c>
      <c r="BD46" s="147">
        <f t="shared" si="102"/>
        <v>9.0946477411934694</v>
      </c>
      <c r="BE46" s="5"/>
      <c r="BF46" s="153">
        <f t="shared" si="59"/>
        <v>9.5717387395368309E-2</v>
      </c>
      <c r="BG46" s="153">
        <f t="shared" si="103"/>
        <v>0.14221508571111754</v>
      </c>
      <c r="BH46" s="153"/>
      <c r="BI46" s="463">
        <f t="shared" si="104"/>
        <v>3.2066363874282537E-3</v>
      </c>
      <c r="BJ46" s="463">
        <f t="shared" si="105"/>
        <v>2.0950599174247977E-2</v>
      </c>
      <c r="BK46" s="463">
        <f t="shared" si="106"/>
        <v>4.3749999999999995E-3</v>
      </c>
      <c r="BL46" s="463">
        <f t="shared" si="107"/>
        <v>2.8449792000000005E-2</v>
      </c>
      <c r="BM46">
        <f t="shared" si="108"/>
        <v>5.7999999999999996E-3</v>
      </c>
      <c r="BN46">
        <f t="shared" si="109"/>
        <v>1.3124999999999999E-5</v>
      </c>
      <c r="BO46" s="463">
        <f t="shared" si="110"/>
        <v>6.3265477875220549E-2</v>
      </c>
      <c r="BP46" s="147">
        <f t="shared" si="60"/>
        <v>63.265477875220547</v>
      </c>
      <c r="BQ46" s="463">
        <f t="shared" si="111"/>
        <v>3.1113999781318874E-2</v>
      </c>
      <c r="BR46" s="463"/>
      <c r="BT46" s="147">
        <f t="shared" si="61"/>
        <v>31.113999781318874</v>
      </c>
      <c r="BU46" s="463">
        <f t="shared" si="112"/>
        <v>9.1618182497950115E-3</v>
      </c>
      <c r="BV46" s="463">
        <f t="shared" si="113"/>
        <v>2.0225130603820508E-2</v>
      </c>
      <c r="BW46" s="463">
        <f t="shared" si="114"/>
        <v>0</v>
      </c>
      <c r="BX46" s="463">
        <f t="shared" si="115"/>
        <v>3.299094296834084E-2</v>
      </c>
      <c r="BY46" s="463">
        <f t="shared" si="116"/>
        <v>1.5428148148148149E-2</v>
      </c>
      <c r="BZ46" s="147">
        <f t="shared" si="62"/>
        <v>48.419091116488993</v>
      </c>
      <c r="CA46" s="153">
        <f t="shared" si="63"/>
        <v>0.14279856877302843</v>
      </c>
      <c r="CB46" s="5">
        <f t="shared" si="64"/>
        <v>0.82000000000000006</v>
      </c>
      <c r="CC46" s="153">
        <f t="shared" si="65"/>
        <v>0.85168385848868877</v>
      </c>
      <c r="CD46" s="5">
        <f t="shared" si="66"/>
        <v>85.16838584886888</v>
      </c>
      <c r="CG46" s="59">
        <f t="shared" si="117"/>
        <v>-50</v>
      </c>
      <c r="CH46">
        <f t="shared" si="118"/>
        <v>-50</v>
      </c>
    </row>
    <row r="47" spans="5:86" x14ac:dyDescent="0.25">
      <c r="E47" s="150">
        <v>42</v>
      </c>
      <c r="F47" s="191">
        <f t="shared" si="119"/>
        <v>4.2000000000000003E-2</v>
      </c>
      <c r="G47" s="191"/>
      <c r="H47" s="191">
        <f t="shared" si="67"/>
        <v>0.84000000000000008</v>
      </c>
      <c r="I47" s="472">
        <f t="shared" si="68"/>
        <v>20</v>
      </c>
      <c r="J47" s="152">
        <f t="shared" si="69"/>
        <v>20.32</v>
      </c>
      <c r="K47" s="386">
        <f t="shared" si="70"/>
        <v>40.32</v>
      </c>
      <c r="L47" s="386"/>
      <c r="M47" s="191">
        <f t="shared" si="71"/>
        <v>0.50396825396825395</v>
      </c>
      <c r="N47" s="152">
        <f t="shared" si="72"/>
        <v>3.4017857142857144</v>
      </c>
      <c r="O47" s="152">
        <f t="shared" si="53"/>
        <v>0.84000000000000008</v>
      </c>
      <c r="P47" s="191">
        <f t="shared" si="73"/>
        <v>0.17008928571428572</v>
      </c>
      <c r="Q47" s="191">
        <f t="shared" si="74"/>
        <v>20</v>
      </c>
      <c r="R47" s="191">
        <f t="shared" si="75"/>
        <v>0.18898809523809523</v>
      </c>
      <c r="S47" s="152">
        <f t="shared" si="76"/>
        <v>140.75965015907121</v>
      </c>
      <c r="T47" s="152">
        <f t="shared" si="77"/>
        <v>20</v>
      </c>
      <c r="U47" s="191">
        <f t="shared" si="78"/>
        <v>0.18519685039370082</v>
      </c>
      <c r="V47" s="191">
        <f t="shared" si="79"/>
        <v>0.55559055118110245</v>
      </c>
      <c r="W47" s="191">
        <f t="shared" si="80"/>
        <v>0.54684109368218736</v>
      </c>
      <c r="X47" s="175">
        <f t="shared" si="81"/>
        <v>350</v>
      </c>
      <c r="Y47" s="386">
        <f t="shared" si="54"/>
        <v>350</v>
      </c>
      <c r="AA47" s="191">
        <f t="shared" si="82"/>
        <v>0.47996976568405147</v>
      </c>
      <c r="AB47" s="153">
        <f t="shared" si="83"/>
        <v>1.4172335600907031</v>
      </c>
      <c r="AC47" s="153">
        <f t="shared" si="84"/>
        <v>0.11904012045735404</v>
      </c>
      <c r="AD47" s="153"/>
      <c r="AE47" s="153">
        <f t="shared" si="85"/>
        <v>0.44291338582677164</v>
      </c>
      <c r="AF47" s="317">
        <f t="shared" si="86"/>
        <v>1264.3555555555558</v>
      </c>
      <c r="AG47" s="463">
        <f t="shared" si="87"/>
        <v>1.1626476377952754E-2</v>
      </c>
      <c r="AI47" s="153">
        <f t="shared" si="88"/>
        <v>0.30051807118892387</v>
      </c>
      <c r="AJ47" s="153">
        <f t="shared" si="89"/>
        <v>0.30051807118892387</v>
      </c>
      <c r="AK47" s="153">
        <f t="shared" si="90"/>
        <v>1.300345380792616</v>
      </c>
      <c r="AM47" s="317">
        <f t="shared" si="91"/>
        <v>42</v>
      </c>
      <c r="AN47" s="147">
        <f t="shared" si="92"/>
        <v>350</v>
      </c>
      <c r="AP47">
        <f t="shared" si="93"/>
        <v>42</v>
      </c>
      <c r="AQ47" s="147">
        <f t="shared" si="94"/>
        <v>350</v>
      </c>
      <c r="AR47" s="147"/>
      <c r="AS47" s="5">
        <f t="shared" si="55"/>
        <v>2.8571428571428572</v>
      </c>
      <c r="AT47" s="5">
        <f t="shared" si="95"/>
        <v>0.90155421356677157</v>
      </c>
      <c r="AU47" s="5">
        <f t="shared" si="56"/>
        <v>1.9555886435760856</v>
      </c>
      <c r="AV47" s="5">
        <f t="shared" si="96"/>
        <v>0.88735650941611366</v>
      </c>
      <c r="AW47" s="153">
        <f t="shared" si="57"/>
        <v>0.31554397474837004</v>
      </c>
      <c r="AX47" s="153">
        <f t="shared" si="97"/>
        <v>0.9482666666666667</v>
      </c>
      <c r="AY47" s="153">
        <f t="shared" si="98"/>
        <v>0.1028457022611286</v>
      </c>
      <c r="AZ47" s="153">
        <f t="shared" si="58"/>
        <v>9.2202848132534179</v>
      </c>
      <c r="BA47" s="147">
        <f t="shared" si="99"/>
        <v>2.385619286777211</v>
      </c>
      <c r="BB47" s="147">
        <f t="shared" si="100"/>
        <v>2.5584741504000004</v>
      </c>
      <c r="BC47" s="5">
        <f t="shared" si="101"/>
        <v>9.1260803366883997E-2</v>
      </c>
      <c r="BD47" s="147">
        <f t="shared" si="102"/>
        <v>9.2660803366883986</v>
      </c>
      <c r="BE47" s="5"/>
      <c r="BF47" s="153">
        <f t="shared" si="59"/>
        <v>9.7463030536269979E-2</v>
      </c>
      <c r="BG47" s="153">
        <f t="shared" si="103"/>
        <v>0.14354323872056743</v>
      </c>
      <c r="BH47" s="153"/>
      <c r="BI47" s="463">
        <f t="shared" si="104"/>
        <v>3.324664812459863E-3</v>
      </c>
      <c r="BJ47" s="463">
        <f t="shared" si="105"/>
        <v>2.120455510309047E-2</v>
      </c>
      <c r="BK47" s="463">
        <f t="shared" si="106"/>
        <v>4.3749999999999995E-3</v>
      </c>
      <c r="BL47" s="463">
        <f t="shared" si="107"/>
        <v>2.8449792000000005E-2</v>
      </c>
      <c r="BM47">
        <f t="shared" si="108"/>
        <v>5.7999999999999996E-3</v>
      </c>
      <c r="BN47">
        <f t="shared" si="109"/>
        <v>1.3124999999999999E-5</v>
      </c>
      <c r="BO47" s="463">
        <f t="shared" si="110"/>
        <v>6.365501269189619E-2</v>
      </c>
      <c r="BP47" s="147">
        <f t="shared" si="60"/>
        <v>63.655012691896189</v>
      </c>
      <c r="BQ47" s="463">
        <f t="shared" si="111"/>
        <v>3.1785961296145811E-2</v>
      </c>
      <c r="BR47" s="463"/>
      <c r="BT47" s="147">
        <f t="shared" si="61"/>
        <v>31.78596129614581</v>
      </c>
      <c r="BU47" s="463">
        <f t="shared" si="112"/>
        <v>9.4990423213138948E-3</v>
      </c>
      <c r="BV47" s="463">
        <f t="shared" si="113"/>
        <v>2.0604661382389807E-2</v>
      </c>
      <c r="BW47" s="463">
        <f t="shared" si="114"/>
        <v>0</v>
      </c>
      <c r="BX47" s="463">
        <f t="shared" si="115"/>
        <v>3.3797542644923829E-2</v>
      </c>
      <c r="BY47" s="463">
        <f t="shared" si="116"/>
        <v>1.5804444444444451E-2</v>
      </c>
      <c r="BZ47" s="147">
        <f t="shared" si="62"/>
        <v>49.601987089368279</v>
      </c>
      <c r="CA47" s="153">
        <f t="shared" si="63"/>
        <v>0.14504296107741027</v>
      </c>
      <c r="CB47" s="5">
        <f t="shared" si="64"/>
        <v>0.84000000000000008</v>
      </c>
      <c r="CC47" s="153">
        <f t="shared" si="65"/>
        <v>0.85275468501519303</v>
      </c>
      <c r="CD47" s="5">
        <f t="shared" si="66"/>
        <v>85.275468501519299</v>
      </c>
      <c r="CG47" s="59">
        <f t="shared" si="117"/>
        <v>-50</v>
      </c>
      <c r="CH47">
        <f t="shared" si="118"/>
        <v>-50</v>
      </c>
    </row>
    <row r="48" spans="5:86" x14ac:dyDescent="0.25">
      <c r="E48" s="150">
        <v>43</v>
      </c>
      <c r="F48" s="191">
        <f t="shared" si="119"/>
        <v>4.3000000000000003E-2</v>
      </c>
      <c r="G48" s="191"/>
      <c r="H48" s="191">
        <f t="shared" si="67"/>
        <v>0.8600000000000001</v>
      </c>
      <c r="I48" s="472">
        <f t="shared" si="68"/>
        <v>20</v>
      </c>
      <c r="J48" s="152">
        <f t="shared" si="69"/>
        <v>20.32</v>
      </c>
      <c r="K48" s="386">
        <f t="shared" si="70"/>
        <v>40.32</v>
      </c>
      <c r="L48" s="386"/>
      <c r="M48" s="191">
        <f t="shared" si="71"/>
        <v>0.50396825396825395</v>
      </c>
      <c r="N48" s="152">
        <f t="shared" si="72"/>
        <v>3.4017857142857144</v>
      </c>
      <c r="O48" s="152">
        <f t="shared" si="53"/>
        <v>0.8600000000000001</v>
      </c>
      <c r="P48" s="191">
        <f t="shared" si="73"/>
        <v>0.17008928571428572</v>
      </c>
      <c r="Q48" s="191">
        <f t="shared" si="74"/>
        <v>20</v>
      </c>
      <c r="R48" s="191">
        <f t="shared" si="75"/>
        <v>0.18898809523809523</v>
      </c>
      <c r="S48" s="152">
        <f t="shared" si="76"/>
        <v>137.02334273150723</v>
      </c>
      <c r="T48" s="152">
        <f t="shared" si="77"/>
        <v>20</v>
      </c>
      <c r="U48" s="191">
        <f t="shared" si="78"/>
        <v>0.18960629921259844</v>
      </c>
      <c r="V48" s="191">
        <f t="shared" si="79"/>
        <v>0.56881889763779536</v>
      </c>
      <c r="W48" s="191">
        <f t="shared" si="80"/>
        <v>0.55986111972223951</v>
      </c>
      <c r="X48" s="175">
        <f t="shared" si="81"/>
        <v>350</v>
      </c>
      <c r="Y48" s="386">
        <f t="shared" si="54"/>
        <v>350</v>
      </c>
      <c r="AA48" s="191">
        <f t="shared" si="82"/>
        <v>0.47996976568405147</v>
      </c>
      <c r="AB48" s="153">
        <f t="shared" si="83"/>
        <v>1.4172335600907031</v>
      </c>
      <c r="AC48" s="153">
        <f t="shared" si="84"/>
        <v>0.11904012045735404</v>
      </c>
      <c r="AD48" s="153"/>
      <c r="AE48" s="153">
        <f t="shared" si="85"/>
        <v>0.44291338582677164</v>
      </c>
      <c r="AF48" s="317">
        <f t="shared" si="86"/>
        <v>1294.4592592592596</v>
      </c>
      <c r="AG48" s="463">
        <f t="shared" si="87"/>
        <v>1.1626476377952754E-2</v>
      </c>
      <c r="AI48" s="153">
        <f t="shared" si="88"/>
        <v>0.30407462186340983</v>
      </c>
      <c r="AJ48" s="153">
        <f t="shared" si="89"/>
        <v>0.30407462186340983</v>
      </c>
      <c r="AK48" s="153">
        <f t="shared" si="90"/>
        <v>1.3027164145756065</v>
      </c>
      <c r="AM48" s="317">
        <f t="shared" si="91"/>
        <v>43</v>
      </c>
      <c r="AN48" s="147">
        <f t="shared" si="92"/>
        <v>350</v>
      </c>
      <c r="AP48">
        <f t="shared" si="93"/>
        <v>43</v>
      </c>
      <c r="AQ48" s="147">
        <f t="shared" si="94"/>
        <v>350</v>
      </c>
      <c r="AR48" s="147"/>
      <c r="AS48" s="5">
        <f t="shared" si="55"/>
        <v>2.8571428571428572</v>
      </c>
      <c r="AT48" s="5">
        <f t="shared" si="95"/>
        <v>0.9122238655902295</v>
      </c>
      <c r="AU48" s="5">
        <f t="shared" si="56"/>
        <v>1.9449189915526277</v>
      </c>
      <c r="AV48" s="5">
        <f t="shared" si="96"/>
        <v>0.89785813542345416</v>
      </c>
      <c r="AW48" s="153">
        <f t="shared" si="57"/>
        <v>0.3192783529565803</v>
      </c>
      <c r="AX48" s="153">
        <f t="shared" si="97"/>
        <v>0.97084444444444462</v>
      </c>
      <c r="AY48" s="153">
        <f t="shared" si="98"/>
        <v>0.10349508870948268</v>
      </c>
      <c r="AZ48" s="153">
        <f t="shared" si="58"/>
        <v>9.3805846881262838</v>
      </c>
      <c r="BA48" s="147">
        <f t="shared" si="99"/>
        <v>2.385619286777211</v>
      </c>
      <c r="BB48" s="147">
        <f t="shared" si="100"/>
        <v>2.6786852064000009</v>
      </c>
      <c r="BC48" s="5">
        <f t="shared" si="101"/>
        <v>9.2923907374181103E-2</v>
      </c>
      <c r="BD48" s="147">
        <f t="shared" si="102"/>
        <v>9.4357240707514443</v>
      </c>
      <c r="BE48" s="5"/>
      <c r="BF48" s="153">
        <f t="shared" si="59"/>
        <v>9.9198312709547751E-2</v>
      </c>
      <c r="BG48" s="153">
        <f t="shared" si="103"/>
        <v>0.14484527368668496</v>
      </c>
      <c r="BH48" s="153"/>
      <c r="BI48" s="463">
        <f t="shared" si="104"/>
        <v>3.4441068355474279E-3</v>
      </c>
      <c r="BJ48" s="463">
        <f t="shared" si="105"/>
        <v>2.1455505318682198E-2</v>
      </c>
      <c r="BK48" s="463">
        <f t="shared" si="106"/>
        <v>4.3749999999999995E-3</v>
      </c>
      <c r="BL48" s="463">
        <f t="shared" si="107"/>
        <v>2.8449792000000005E-2</v>
      </c>
      <c r="BM48">
        <f t="shared" si="108"/>
        <v>5.7999999999999996E-3</v>
      </c>
      <c r="BN48">
        <f t="shared" si="109"/>
        <v>1.3124999999999999E-5</v>
      </c>
      <c r="BO48" s="463">
        <f t="shared" si="110"/>
        <v>6.404317902812548E-2</v>
      </c>
      <c r="BP48" s="147">
        <f t="shared" si="60"/>
        <v>64.043179028125479</v>
      </c>
      <c r="BQ48" s="463">
        <f t="shared" si="111"/>
        <v>3.2454837128359199E-2</v>
      </c>
      <c r="BR48" s="463"/>
      <c r="BT48" s="147">
        <f t="shared" si="61"/>
        <v>32.454837128359202</v>
      </c>
      <c r="BU48" s="463">
        <f t="shared" si="112"/>
        <v>9.8403052444212234E-3</v>
      </c>
      <c r="BV48" s="463">
        <f t="shared" si="113"/>
        <v>2.0980153309370669E-2</v>
      </c>
      <c r="BW48" s="463">
        <f t="shared" si="114"/>
        <v>0</v>
      </c>
      <c r="BX48" s="463">
        <f t="shared" si="115"/>
        <v>3.460423505162246E-2</v>
      </c>
      <c r="BY48" s="463">
        <f t="shared" si="116"/>
        <v>1.6180740740740746E-2</v>
      </c>
      <c r="BZ48" s="147">
        <f t="shared" si="62"/>
        <v>50.784975792363205</v>
      </c>
      <c r="CA48" s="153">
        <f t="shared" si="63"/>
        <v>0.14728299194884789</v>
      </c>
      <c r="CB48" s="5">
        <f t="shared" si="64"/>
        <v>0.8600000000000001</v>
      </c>
      <c r="CC48" s="153">
        <f t="shared" si="65"/>
        <v>0.85378191320009178</v>
      </c>
      <c r="CD48" s="5">
        <f t="shared" si="66"/>
        <v>85.378191320009179</v>
      </c>
      <c r="CG48" s="59">
        <f t="shared" si="117"/>
        <v>-50</v>
      </c>
      <c r="CH48">
        <f t="shared" si="118"/>
        <v>-50</v>
      </c>
    </row>
    <row r="49" spans="5:86" x14ac:dyDescent="0.25">
      <c r="E49" s="150">
        <v>44</v>
      </c>
      <c r="F49" s="191">
        <f t="shared" si="119"/>
        <v>4.4000000000000004E-2</v>
      </c>
      <c r="G49" s="191"/>
      <c r="H49" s="191">
        <f t="shared" si="67"/>
        <v>0.88000000000000012</v>
      </c>
      <c r="I49" s="472">
        <f t="shared" si="68"/>
        <v>20</v>
      </c>
      <c r="J49" s="152">
        <f t="shared" si="69"/>
        <v>20.32</v>
      </c>
      <c r="K49" s="386">
        <f t="shared" si="70"/>
        <v>40.32</v>
      </c>
      <c r="L49" s="386"/>
      <c r="M49" s="191">
        <f t="shared" si="71"/>
        <v>0.50396825396825395</v>
      </c>
      <c r="N49" s="152">
        <f t="shared" si="72"/>
        <v>3.4017857142857144</v>
      </c>
      <c r="O49" s="152">
        <f t="shared" si="53"/>
        <v>0.88000000000000012</v>
      </c>
      <c r="P49" s="191">
        <f t="shared" si="73"/>
        <v>0.17008928571428572</v>
      </c>
      <c r="Q49" s="191">
        <f t="shared" si="74"/>
        <v>20</v>
      </c>
      <c r="R49" s="191">
        <f t="shared" si="75"/>
        <v>0.18898809523809523</v>
      </c>
      <c r="S49" s="152">
        <f t="shared" si="76"/>
        <v>133.45693174320635</v>
      </c>
      <c r="T49" s="152">
        <f t="shared" si="77"/>
        <v>20</v>
      </c>
      <c r="U49" s="191">
        <f t="shared" si="78"/>
        <v>0.1940157480314961</v>
      </c>
      <c r="V49" s="191">
        <f t="shared" si="79"/>
        <v>0.58204724409448838</v>
      </c>
      <c r="W49" s="191">
        <f t="shared" si="80"/>
        <v>0.57288114576229165</v>
      </c>
      <c r="X49" s="175">
        <f t="shared" si="81"/>
        <v>350</v>
      </c>
      <c r="Y49" s="386">
        <f t="shared" si="54"/>
        <v>350</v>
      </c>
      <c r="AA49" s="191">
        <f t="shared" si="82"/>
        <v>0.47996976568405147</v>
      </c>
      <c r="AB49" s="153">
        <f t="shared" si="83"/>
        <v>1.4172335600907031</v>
      </c>
      <c r="AC49" s="153">
        <f t="shared" si="84"/>
        <v>0.11904012045735404</v>
      </c>
      <c r="AD49" s="153"/>
      <c r="AE49" s="153">
        <f t="shared" si="85"/>
        <v>0.44291338582677164</v>
      </c>
      <c r="AF49" s="317">
        <f t="shared" si="86"/>
        <v>1324.5629629629634</v>
      </c>
      <c r="AG49" s="463">
        <f t="shared" si="87"/>
        <v>1.1626476377952754E-2</v>
      </c>
      <c r="AI49" s="153">
        <f t="shared" si="88"/>
        <v>0.30759005219876701</v>
      </c>
      <c r="AJ49" s="153">
        <f t="shared" si="89"/>
        <v>0.30759005219876701</v>
      </c>
      <c r="AK49" s="153">
        <f t="shared" si="90"/>
        <v>1.3050600347991779</v>
      </c>
      <c r="AM49" s="317">
        <f t="shared" si="91"/>
        <v>44.000000000000007</v>
      </c>
      <c r="AN49" s="147">
        <f t="shared" si="92"/>
        <v>350</v>
      </c>
      <c r="AP49">
        <f t="shared" si="93"/>
        <v>44.000000000000007</v>
      </c>
      <c r="AQ49" s="147">
        <f t="shared" si="94"/>
        <v>350</v>
      </c>
      <c r="AR49" s="147"/>
      <c r="AS49" s="5">
        <f t="shared" si="55"/>
        <v>2.8571428571428572</v>
      </c>
      <c r="AT49" s="5">
        <f t="shared" si="95"/>
        <v>0.92277015659630091</v>
      </c>
      <c r="AU49" s="5">
        <f t="shared" si="56"/>
        <v>1.9343727005465563</v>
      </c>
      <c r="AV49" s="5">
        <f t="shared" si="96"/>
        <v>0.90823834310659535</v>
      </c>
      <c r="AW49" s="153">
        <f t="shared" si="57"/>
        <v>0.32296955480870532</v>
      </c>
      <c r="AX49" s="153">
        <f t="shared" si="97"/>
        <v>0.99342222222222232</v>
      </c>
      <c r="AY49" s="153">
        <f t="shared" si="98"/>
        <v>0.10412391498827241</v>
      </c>
      <c r="AZ49" s="153">
        <f t="shared" si="58"/>
        <v>9.5407690186650456</v>
      </c>
      <c r="BA49" s="147">
        <f t="shared" si="99"/>
        <v>2.385619286777211</v>
      </c>
      <c r="BB49" s="147">
        <f t="shared" si="100"/>
        <v>2.8016541696000004</v>
      </c>
      <c r="BC49" s="5">
        <f t="shared" si="101"/>
        <v>9.4569332026720535E-2</v>
      </c>
      <c r="BD49" s="147">
        <f t="shared" si="102"/>
        <v>9.6035998693387192</v>
      </c>
      <c r="BE49" s="5"/>
      <c r="BF49" s="153">
        <f t="shared" si="59"/>
        <v>0.10092353428689603</v>
      </c>
      <c r="BG49" s="153">
        <f t="shared" si="103"/>
        <v>0.14612205046098209</v>
      </c>
      <c r="BH49" s="153"/>
      <c r="BI49" s="463">
        <f t="shared" si="104"/>
        <v>3.5649459205353974E-3</v>
      </c>
      <c r="BJ49" s="463">
        <f t="shared" si="105"/>
        <v>2.1703554083145001E-2</v>
      </c>
      <c r="BK49" s="463">
        <f t="shared" si="106"/>
        <v>4.3749999999999995E-3</v>
      </c>
      <c r="BL49" s="463">
        <f t="shared" si="107"/>
        <v>2.8449792000000005E-2</v>
      </c>
      <c r="BM49">
        <f t="shared" si="108"/>
        <v>5.7999999999999996E-3</v>
      </c>
      <c r="BN49">
        <f t="shared" si="109"/>
        <v>1.3124999999999999E-5</v>
      </c>
      <c r="BO49" s="463">
        <f t="shared" si="110"/>
        <v>6.4430062450442666E-2</v>
      </c>
      <c r="BP49" s="147">
        <f t="shared" si="60"/>
        <v>64.430062450442662</v>
      </c>
      <c r="BQ49" s="463">
        <f t="shared" si="111"/>
        <v>3.3120663374024251E-2</v>
      </c>
      <c r="BR49" s="463"/>
      <c r="BT49" s="147">
        <f t="shared" si="61"/>
        <v>33.120663374024254</v>
      </c>
      <c r="BU49" s="463">
        <f t="shared" si="112"/>
        <v>1.0185559772958279E-2</v>
      </c>
      <c r="BV49" s="463">
        <f t="shared" si="113"/>
        <v>2.1351653630921796E-2</v>
      </c>
      <c r="BW49" s="463">
        <f t="shared" si="114"/>
        <v>0</v>
      </c>
      <c r="BX49" s="463">
        <f t="shared" si="115"/>
        <v>3.541102020442858E-2</v>
      </c>
      <c r="BY49" s="463">
        <f t="shared" si="116"/>
        <v>1.655703703703704E-2</v>
      </c>
      <c r="BZ49" s="147">
        <f t="shared" si="62"/>
        <v>51.968057241465623</v>
      </c>
      <c r="CA49" s="153">
        <f t="shared" si="63"/>
        <v>0.14951878306593253</v>
      </c>
      <c r="CB49" s="5">
        <f t="shared" si="64"/>
        <v>0.88000000000000012</v>
      </c>
      <c r="CC49" s="153">
        <f t="shared" si="65"/>
        <v>0.85476828055466658</v>
      </c>
      <c r="CD49" s="5">
        <f t="shared" si="66"/>
        <v>85.476828055466655</v>
      </c>
      <c r="CG49" s="59">
        <f t="shared" si="117"/>
        <v>-50</v>
      </c>
      <c r="CH49">
        <f t="shared" si="118"/>
        <v>-50</v>
      </c>
    </row>
    <row r="50" spans="5:86" x14ac:dyDescent="0.25">
      <c r="E50" s="150">
        <v>45</v>
      </c>
      <c r="F50" s="191">
        <f t="shared" si="119"/>
        <v>4.5000000000000005E-2</v>
      </c>
      <c r="G50" s="191"/>
      <c r="H50" s="191">
        <f t="shared" si="67"/>
        <v>0.90000000000000013</v>
      </c>
      <c r="I50" s="472">
        <f t="shared" si="68"/>
        <v>20</v>
      </c>
      <c r="J50" s="152">
        <f t="shared" si="69"/>
        <v>20.32</v>
      </c>
      <c r="K50" s="386">
        <f t="shared" si="70"/>
        <v>40.32</v>
      </c>
      <c r="L50" s="386"/>
      <c r="M50" s="191">
        <f t="shared" si="71"/>
        <v>0.50396825396825395</v>
      </c>
      <c r="N50" s="152">
        <f t="shared" si="72"/>
        <v>3.4017857142857144</v>
      </c>
      <c r="O50" s="152">
        <f t="shared" si="53"/>
        <v>0.90000000000000013</v>
      </c>
      <c r="P50" s="191">
        <f t="shared" si="73"/>
        <v>0.17008928571428572</v>
      </c>
      <c r="Q50" s="191">
        <f t="shared" si="74"/>
        <v>20</v>
      </c>
      <c r="R50" s="191">
        <f t="shared" si="75"/>
        <v>0.18898809523809523</v>
      </c>
      <c r="S50" s="152">
        <f t="shared" si="76"/>
        <v>130.04909139069488</v>
      </c>
      <c r="T50" s="152">
        <f t="shared" si="77"/>
        <v>20</v>
      </c>
      <c r="U50" s="191">
        <f t="shared" si="78"/>
        <v>0.19842519685039373</v>
      </c>
      <c r="V50" s="191">
        <f t="shared" si="79"/>
        <v>0.59527559055118118</v>
      </c>
      <c r="W50" s="191">
        <f t="shared" si="80"/>
        <v>0.58590117180234369</v>
      </c>
      <c r="X50" s="175">
        <f t="shared" si="81"/>
        <v>350</v>
      </c>
      <c r="Y50" s="386">
        <f t="shared" si="54"/>
        <v>350</v>
      </c>
      <c r="AA50" s="191">
        <f t="shared" si="82"/>
        <v>0.47996976568405147</v>
      </c>
      <c r="AB50" s="153">
        <f t="shared" si="83"/>
        <v>1.4172335600907031</v>
      </c>
      <c r="AC50" s="153">
        <f t="shared" si="84"/>
        <v>0.11904012045735404</v>
      </c>
      <c r="AD50" s="153"/>
      <c r="AE50" s="153">
        <f t="shared" si="85"/>
        <v>0.44291338582677164</v>
      </c>
      <c r="AF50" s="317">
        <f t="shared" si="86"/>
        <v>1354.666666666667</v>
      </c>
      <c r="AG50" s="463">
        <f t="shared" si="87"/>
        <v>1.1626476377952754E-2</v>
      </c>
      <c r="AI50" s="153">
        <f t="shared" si="88"/>
        <v>0.31106575633120526</v>
      </c>
      <c r="AJ50" s="153">
        <f t="shared" si="89"/>
        <v>0.31106575633120526</v>
      </c>
      <c r="AK50" s="153">
        <f t="shared" si="90"/>
        <v>1.3073771708874702</v>
      </c>
      <c r="AM50" s="317">
        <f t="shared" si="91"/>
        <v>45.000000000000007</v>
      </c>
      <c r="AN50" s="147">
        <f t="shared" si="92"/>
        <v>350</v>
      </c>
      <c r="AP50">
        <f t="shared" si="93"/>
        <v>45.000000000000007</v>
      </c>
      <c r="AQ50" s="147">
        <f t="shared" si="94"/>
        <v>350</v>
      </c>
      <c r="AR50" s="147"/>
      <c r="AS50" s="5">
        <f t="shared" si="55"/>
        <v>2.8571428571428572</v>
      </c>
      <c r="AT50" s="5">
        <f t="shared" si="95"/>
        <v>0.93319726899361588</v>
      </c>
      <c r="AU50" s="5">
        <f t="shared" si="56"/>
        <v>1.9239455881492413</v>
      </c>
      <c r="AV50" s="5">
        <f t="shared" si="96"/>
        <v>0.91850124900946439</v>
      </c>
      <c r="AW50" s="153">
        <f t="shared" si="57"/>
        <v>0.32661904414776555</v>
      </c>
      <c r="AX50" s="153">
        <f t="shared" si="97"/>
        <v>1.016</v>
      </c>
      <c r="AY50" s="153">
        <f t="shared" si="98"/>
        <v>0.10473287816560262</v>
      </c>
      <c r="AZ50" s="153">
        <f t="shared" si="58"/>
        <v>9.7008696580792009</v>
      </c>
      <c r="BA50" s="147">
        <f t="shared" si="99"/>
        <v>2.385619286777211</v>
      </c>
      <c r="BB50" s="147">
        <f t="shared" si="100"/>
        <v>2.9273810400000002</v>
      </c>
      <c r="BC50" s="5">
        <f t="shared" si="101"/>
        <v>9.6197279407462088E-2</v>
      </c>
      <c r="BD50" s="147">
        <f t="shared" si="102"/>
        <v>9.7697279407462094</v>
      </c>
      <c r="BE50" s="5"/>
      <c r="BF50" s="153">
        <f t="shared" si="59"/>
        <v>0.10263898031977658</v>
      </c>
      <c r="BG50" s="153">
        <f t="shared" si="103"/>
        <v>0.14737438031382785</v>
      </c>
      <c r="BH50" s="153"/>
      <c r="BI50" s="463">
        <f t="shared" si="104"/>
        <v>3.6871660983792197E-3</v>
      </c>
      <c r="BJ50" s="463">
        <f t="shared" si="105"/>
        <v>2.1948799766729841E-2</v>
      </c>
      <c r="BK50" s="463">
        <f t="shared" si="106"/>
        <v>4.3749999999999995E-3</v>
      </c>
      <c r="BL50" s="463">
        <f t="shared" si="107"/>
        <v>2.8449792000000005E-2</v>
      </c>
      <c r="BM50">
        <f t="shared" si="108"/>
        <v>5.7999999999999996E-3</v>
      </c>
      <c r="BN50">
        <f t="shared" si="109"/>
        <v>1.3124999999999999E-5</v>
      </c>
      <c r="BO50" s="463">
        <f t="shared" si="110"/>
        <v>6.4815743281269184E-2</v>
      </c>
      <c r="BP50" s="147">
        <f t="shared" si="60"/>
        <v>64.815743281269178</v>
      </c>
      <c r="BQ50" s="463">
        <f t="shared" si="111"/>
        <v>3.3783474891283964E-2</v>
      </c>
      <c r="BR50" s="463"/>
      <c r="BT50" s="147">
        <f t="shared" si="61"/>
        <v>33.783474891283966</v>
      </c>
      <c r="BU50" s="463">
        <f t="shared" si="112"/>
        <v>1.0534760281083485E-2</v>
      </c>
      <c r="BV50" s="463">
        <f t="shared" si="113"/>
        <v>2.171920797288477E-2</v>
      </c>
      <c r="BW50" s="463">
        <f t="shared" si="114"/>
        <v>0</v>
      </c>
      <c r="BX50" s="463">
        <f t="shared" si="115"/>
        <v>3.6217898119337781E-2</v>
      </c>
      <c r="BY50" s="463">
        <f t="shared" si="116"/>
        <v>1.6933333333333335E-2</v>
      </c>
      <c r="BZ50" s="147">
        <f t="shared" si="62"/>
        <v>53.151231452671119</v>
      </c>
      <c r="CA50" s="153">
        <f t="shared" si="63"/>
        <v>0.15175044962522427</v>
      </c>
      <c r="CB50" s="5">
        <f t="shared" si="64"/>
        <v>0.90000000000000013</v>
      </c>
      <c r="CC50" s="153">
        <f t="shared" si="65"/>
        <v>0.85571629688459061</v>
      </c>
      <c r="CD50" s="5">
        <f t="shared" si="66"/>
        <v>85.571629688459055</v>
      </c>
      <c r="CG50" s="59">
        <f t="shared" si="117"/>
        <v>-50</v>
      </c>
      <c r="CH50">
        <f t="shared" si="118"/>
        <v>-50</v>
      </c>
    </row>
    <row r="51" spans="5:86" x14ac:dyDescent="0.25">
      <c r="E51" s="150">
        <v>46</v>
      </c>
      <c r="F51" s="191">
        <f t="shared" si="119"/>
        <v>4.6000000000000006E-2</v>
      </c>
      <c r="G51" s="191"/>
      <c r="H51" s="191">
        <f t="shared" si="67"/>
        <v>0.92000000000000015</v>
      </c>
      <c r="I51" s="472">
        <f t="shared" si="68"/>
        <v>20</v>
      </c>
      <c r="J51" s="152">
        <f t="shared" si="69"/>
        <v>20.32</v>
      </c>
      <c r="K51" s="386">
        <f t="shared" si="70"/>
        <v>40.32</v>
      </c>
      <c r="L51" s="386"/>
      <c r="M51" s="191">
        <f t="shared" si="71"/>
        <v>0.50396825396825395</v>
      </c>
      <c r="N51" s="152">
        <f t="shared" si="72"/>
        <v>3.4017857142857144</v>
      </c>
      <c r="O51" s="152">
        <f t="shared" si="53"/>
        <v>0.92000000000000015</v>
      </c>
      <c r="P51" s="191">
        <f t="shared" si="73"/>
        <v>0.17008928571428572</v>
      </c>
      <c r="Q51" s="191">
        <f t="shared" si="74"/>
        <v>20</v>
      </c>
      <c r="R51" s="191">
        <f t="shared" si="75"/>
        <v>0.18898809523809523</v>
      </c>
      <c r="S51" s="152">
        <f t="shared" si="76"/>
        <v>126.78948073094617</v>
      </c>
      <c r="T51" s="152">
        <f t="shared" si="77"/>
        <v>20</v>
      </c>
      <c r="U51" s="191">
        <f t="shared" si="78"/>
        <v>0.20283464566929138</v>
      </c>
      <c r="V51" s="191">
        <f t="shared" si="79"/>
        <v>0.6085039370078742</v>
      </c>
      <c r="W51" s="191">
        <f t="shared" si="80"/>
        <v>0.59892119784239572</v>
      </c>
      <c r="X51" s="175">
        <f t="shared" si="81"/>
        <v>350</v>
      </c>
      <c r="Y51" s="386">
        <f t="shared" si="54"/>
        <v>350</v>
      </c>
      <c r="AA51" s="191">
        <f t="shared" si="82"/>
        <v>0.47996976568405147</v>
      </c>
      <c r="AB51" s="153">
        <f t="shared" si="83"/>
        <v>1.4172335600907031</v>
      </c>
      <c r="AC51" s="153">
        <f t="shared" si="84"/>
        <v>0.11904012045735404</v>
      </c>
      <c r="AD51" s="153"/>
      <c r="AE51" s="153">
        <f t="shared" si="85"/>
        <v>0.44291338582677164</v>
      </c>
      <c r="AF51" s="317">
        <f t="shared" si="86"/>
        <v>1384.7703703703708</v>
      </c>
      <c r="AG51" s="463">
        <f t="shared" si="87"/>
        <v>1.1626476377952754E-2</v>
      </c>
      <c r="AI51" s="153">
        <f t="shared" si="88"/>
        <v>0.31450305135589596</v>
      </c>
      <c r="AJ51" s="153">
        <f t="shared" si="89"/>
        <v>0.31450305135589596</v>
      </c>
      <c r="AK51" s="153">
        <f t="shared" si="90"/>
        <v>1.3096687009039305</v>
      </c>
      <c r="AM51" s="317">
        <f t="shared" si="91"/>
        <v>46.000000000000007</v>
      </c>
      <c r="AN51" s="147">
        <f t="shared" si="92"/>
        <v>350</v>
      </c>
      <c r="AP51">
        <f t="shared" si="93"/>
        <v>46.000000000000007</v>
      </c>
      <c r="AQ51" s="147">
        <f t="shared" si="94"/>
        <v>350</v>
      </c>
      <c r="AR51" s="147"/>
      <c r="AS51" s="5">
        <f t="shared" si="55"/>
        <v>2.8571428571428572</v>
      </c>
      <c r="AT51" s="5">
        <f t="shared" si="95"/>
        <v>0.94350915406768787</v>
      </c>
      <c r="AU51" s="5">
        <f t="shared" si="56"/>
        <v>1.9136337030751693</v>
      </c>
      <c r="AV51" s="5">
        <f t="shared" si="96"/>
        <v>0.92865074219260624</v>
      </c>
      <c r="AW51" s="153">
        <f t="shared" si="57"/>
        <v>0.33022820392369073</v>
      </c>
      <c r="AX51" s="153">
        <f t="shared" si="97"/>
        <v>1.0385777777777778</v>
      </c>
      <c r="AY51" s="153">
        <f t="shared" si="98"/>
        <v>0.10532263678905908</v>
      </c>
      <c r="AZ51" s="153">
        <f t="shared" si="58"/>
        <v>9.8609169827171037</v>
      </c>
      <c r="BA51" s="147">
        <f t="shared" si="99"/>
        <v>2.385619286777211</v>
      </c>
      <c r="BB51" s="147">
        <f t="shared" si="100"/>
        <v>3.0558658176000009</v>
      </c>
      <c r="BC51" s="5">
        <f t="shared" si="101"/>
        <v>9.7807944823842002E-2</v>
      </c>
      <c r="BD51" s="147">
        <f t="shared" si="102"/>
        <v>9.9341278157175328</v>
      </c>
      <c r="BE51" s="5"/>
      <c r="BF51" s="153">
        <f t="shared" si="59"/>
        <v>0.10434492164316332</v>
      </c>
      <c r="BG51" s="153">
        <f t="shared" si="103"/>
        <v>0.14860302968425154</v>
      </c>
      <c r="BH51" s="153"/>
      <c r="BI51" s="463">
        <f t="shared" si="104"/>
        <v>3.8107519354512623E-3</v>
      </c>
      <c r="BJ51" s="463">
        <f t="shared" si="105"/>
        <v>2.2191335303672018E-2</v>
      </c>
      <c r="BK51" s="463">
        <f t="shared" si="106"/>
        <v>4.3749999999999995E-3</v>
      </c>
      <c r="BL51" s="463">
        <f t="shared" si="107"/>
        <v>2.8449792000000005E-2</v>
      </c>
      <c r="BM51">
        <f t="shared" si="108"/>
        <v>5.7999999999999996E-3</v>
      </c>
      <c r="BN51">
        <f t="shared" si="109"/>
        <v>1.3124999999999999E-5</v>
      </c>
      <c r="BO51" s="463">
        <f t="shared" si="110"/>
        <v>6.5200297018570441E-2</v>
      </c>
      <c r="BP51" s="147">
        <f t="shared" si="60"/>
        <v>65.200297018570438</v>
      </c>
      <c r="BQ51" s="463">
        <f t="shared" si="111"/>
        <v>3.4443305369542654E-2</v>
      </c>
      <c r="BR51" s="463"/>
      <c r="BT51" s="147">
        <f t="shared" si="61"/>
        <v>34.443305369542657</v>
      </c>
      <c r="BU51" s="463">
        <f t="shared" si="112"/>
        <v>1.0887862672717893E-2</v>
      </c>
      <c r="BV51" s="463">
        <f t="shared" si="113"/>
        <v>2.2082860431338544E-2</v>
      </c>
      <c r="BW51" s="463">
        <f t="shared" si="114"/>
        <v>0</v>
      </c>
      <c r="BX51" s="463">
        <f t="shared" si="115"/>
        <v>3.7024868812349294E-2</v>
      </c>
      <c r="BY51" s="463">
        <f t="shared" si="116"/>
        <v>1.7309629629629637E-2</v>
      </c>
      <c r="BZ51" s="147">
        <f t="shared" si="62"/>
        <v>54.334498441978937</v>
      </c>
      <c r="CA51" s="153">
        <f t="shared" si="63"/>
        <v>0.15397810083009203</v>
      </c>
      <c r="CB51" s="5">
        <f t="shared" si="64"/>
        <v>0.92000000000000015</v>
      </c>
      <c r="CC51" s="153">
        <f t="shared" si="65"/>
        <v>0.85662826764244049</v>
      </c>
      <c r="CD51" s="5">
        <f t="shared" si="66"/>
        <v>85.662826764244045</v>
      </c>
      <c r="CG51" s="59">
        <f t="shared" si="117"/>
        <v>-50</v>
      </c>
      <c r="CH51">
        <f t="shared" si="118"/>
        <v>-50</v>
      </c>
    </row>
    <row r="52" spans="5:86" x14ac:dyDescent="0.25">
      <c r="E52" s="150">
        <v>47</v>
      </c>
      <c r="F52" s="191">
        <f t="shared" si="119"/>
        <v>4.7E-2</v>
      </c>
      <c r="G52" s="191"/>
      <c r="H52" s="191">
        <f t="shared" si="67"/>
        <v>0.94</v>
      </c>
      <c r="I52" s="472">
        <f t="shared" si="68"/>
        <v>20</v>
      </c>
      <c r="J52" s="152">
        <f t="shared" si="69"/>
        <v>20.32</v>
      </c>
      <c r="K52" s="386">
        <f t="shared" si="70"/>
        <v>40.32</v>
      </c>
      <c r="L52" s="386"/>
      <c r="M52" s="191">
        <f t="shared" si="71"/>
        <v>0.50396825396825395</v>
      </c>
      <c r="N52" s="152">
        <f t="shared" si="72"/>
        <v>3.4017857142857144</v>
      </c>
      <c r="O52" s="152">
        <f t="shared" si="53"/>
        <v>0.94</v>
      </c>
      <c r="P52" s="191">
        <f t="shared" si="73"/>
        <v>0.17008928571428572</v>
      </c>
      <c r="Q52" s="191">
        <f t="shared" si="74"/>
        <v>20</v>
      </c>
      <c r="R52" s="191">
        <f t="shared" si="75"/>
        <v>0.18898809523809523</v>
      </c>
      <c r="S52" s="152">
        <f t="shared" si="76"/>
        <v>123.66863890911684</v>
      </c>
      <c r="T52" s="152">
        <f t="shared" si="77"/>
        <v>20</v>
      </c>
      <c r="U52" s="191">
        <f t="shared" si="78"/>
        <v>0.20724409448818898</v>
      </c>
      <c r="V52" s="191">
        <f t="shared" si="79"/>
        <v>0.62173228346456699</v>
      </c>
      <c r="W52" s="191">
        <f t="shared" si="80"/>
        <v>0.61194122388244776</v>
      </c>
      <c r="X52" s="175">
        <f t="shared" si="81"/>
        <v>350</v>
      </c>
      <c r="Y52" s="386">
        <f t="shared" si="54"/>
        <v>350</v>
      </c>
      <c r="AA52" s="191">
        <f t="shared" si="82"/>
        <v>0.47996976568405147</v>
      </c>
      <c r="AB52" s="153">
        <f t="shared" si="83"/>
        <v>1.4172335600907031</v>
      </c>
      <c r="AC52" s="153">
        <f t="shared" si="84"/>
        <v>0.11904012045735404</v>
      </c>
      <c r="AD52" s="153"/>
      <c r="AE52" s="153">
        <f t="shared" si="85"/>
        <v>0.44291338582677164</v>
      </c>
      <c r="AF52" s="317">
        <f t="shared" si="86"/>
        <v>1414.8740740740743</v>
      </c>
      <c r="AG52" s="463">
        <f t="shared" si="87"/>
        <v>1.1626476377952754E-2</v>
      </c>
      <c r="AI52" s="153">
        <f t="shared" si="88"/>
        <v>0.31790318315869986</v>
      </c>
      <c r="AJ52" s="153">
        <f t="shared" si="89"/>
        <v>0.31790318315869986</v>
      </c>
      <c r="AK52" s="153">
        <f t="shared" si="90"/>
        <v>1.3119354554391331</v>
      </c>
      <c r="AM52" s="317">
        <f t="shared" si="91"/>
        <v>47</v>
      </c>
      <c r="AN52" s="147">
        <f t="shared" si="92"/>
        <v>350</v>
      </c>
      <c r="AP52">
        <f t="shared" si="93"/>
        <v>47</v>
      </c>
      <c r="AQ52" s="147">
        <f t="shared" si="94"/>
        <v>350</v>
      </c>
      <c r="AR52" s="147"/>
      <c r="AS52" s="5">
        <f t="shared" si="55"/>
        <v>2.8571428571428572</v>
      </c>
      <c r="AT52" s="5">
        <f t="shared" si="95"/>
        <v>0.95370954947609954</v>
      </c>
      <c r="AU52" s="5">
        <f t="shared" si="56"/>
        <v>1.9034333076667576</v>
      </c>
      <c r="AV52" s="5">
        <f t="shared" si="96"/>
        <v>0.93869050145285393</v>
      </c>
      <c r="AW52" s="153">
        <f t="shared" si="57"/>
        <v>0.33379834231663486</v>
      </c>
      <c r="AX52" s="153">
        <f t="shared" si="97"/>
        <v>1.0611555555555559</v>
      </c>
      <c r="AY52" s="153">
        <f t="shared" si="98"/>
        <v>0.10589381380157215</v>
      </c>
      <c r="AZ52" s="153">
        <f t="shared" si="58"/>
        <v>10.020940010187843</v>
      </c>
      <c r="BA52" s="147">
        <f t="shared" si="99"/>
        <v>2.385619286777211</v>
      </c>
      <c r="BB52" s="147">
        <f t="shared" si="100"/>
        <v>3.1871085023999997</v>
      </c>
      <c r="BC52" s="5">
        <f t="shared" si="101"/>
        <v>9.9401517178152876E-2</v>
      </c>
      <c r="BD52" s="147">
        <f t="shared" si="102"/>
        <v>10.096818384481955</v>
      </c>
      <c r="BE52" s="5"/>
      <c r="BF52" s="153">
        <f t="shared" si="59"/>
        <v>0.10604161587754901</v>
      </c>
      <c r="BG52" s="153">
        <f t="shared" si="103"/>
        <v>0.14980872356516148</v>
      </c>
      <c r="BH52" s="153"/>
      <c r="BI52" s="463">
        <f t="shared" si="104"/>
        <v>3.9356885042725791E-3</v>
      </c>
      <c r="BJ52" s="463">
        <f t="shared" si="105"/>
        <v>2.2431248603677862E-2</v>
      </c>
      <c r="BK52" s="463">
        <f t="shared" si="106"/>
        <v>4.3749999999999995E-3</v>
      </c>
      <c r="BL52" s="463">
        <f t="shared" si="107"/>
        <v>2.8449792000000005E-2</v>
      </c>
      <c r="BM52">
        <f t="shared" si="108"/>
        <v>5.7999999999999996E-3</v>
      </c>
      <c r="BN52">
        <f t="shared" si="109"/>
        <v>1.3124999999999999E-5</v>
      </c>
      <c r="BO52" s="463">
        <f t="shared" si="110"/>
        <v>6.5583794713914373E-2</v>
      </c>
      <c r="BP52" s="147">
        <f t="shared" si="60"/>
        <v>65.583794713914372</v>
      </c>
      <c r="BQ52" s="463">
        <f t="shared" si="111"/>
        <v>3.5100187393354347E-2</v>
      </c>
      <c r="BR52" s="463"/>
      <c r="BT52" s="147">
        <f t="shared" si="61"/>
        <v>35.100187393354346</v>
      </c>
      <c r="BU52" s="463">
        <f t="shared" si="112"/>
        <v>1.1244824297921655E-2</v>
      </c>
      <c r="BV52" s="463">
        <f t="shared" si="113"/>
        <v>2.2442653656222968E-2</v>
      </c>
      <c r="BW52" s="463">
        <f t="shared" si="114"/>
        <v>0</v>
      </c>
      <c r="BX52" s="463">
        <f t="shared" si="115"/>
        <v>3.7831932299466062E-2</v>
      </c>
      <c r="BY52" s="463">
        <f t="shared" si="116"/>
        <v>1.7685925925925928E-2</v>
      </c>
      <c r="BZ52" s="147">
        <f t="shared" si="62"/>
        <v>55.517858225391983</v>
      </c>
      <c r="CA52" s="153">
        <f t="shared" si="63"/>
        <v>0.15620184033266071</v>
      </c>
      <c r="CB52" s="5">
        <f t="shared" si="64"/>
        <v>0.94</v>
      </c>
      <c r="CC52" s="153">
        <f t="shared" si="65"/>
        <v>0.8575063144527667</v>
      </c>
      <c r="CD52" s="5">
        <f t="shared" si="66"/>
        <v>85.750631445276667</v>
      </c>
      <c r="CG52" s="59">
        <f t="shared" si="117"/>
        <v>-50</v>
      </c>
      <c r="CH52">
        <f t="shared" si="118"/>
        <v>-50</v>
      </c>
    </row>
    <row r="53" spans="5:86" x14ac:dyDescent="0.25">
      <c r="E53" s="150">
        <v>48</v>
      </c>
      <c r="F53" s="191">
        <f t="shared" si="119"/>
        <v>4.8000000000000001E-2</v>
      </c>
      <c r="G53" s="191"/>
      <c r="H53" s="191">
        <f t="shared" si="67"/>
        <v>0.96</v>
      </c>
      <c r="I53" s="472">
        <f t="shared" si="68"/>
        <v>20</v>
      </c>
      <c r="J53" s="152">
        <f t="shared" si="69"/>
        <v>20.32</v>
      </c>
      <c r="K53" s="386">
        <f t="shared" si="70"/>
        <v>40.32</v>
      </c>
      <c r="L53" s="386"/>
      <c r="M53" s="191">
        <f t="shared" si="71"/>
        <v>0.50396825396825395</v>
      </c>
      <c r="N53" s="152">
        <f t="shared" si="72"/>
        <v>3.4017857142857144</v>
      </c>
      <c r="O53" s="152">
        <f t="shared" si="53"/>
        <v>0.96</v>
      </c>
      <c r="P53" s="191">
        <f t="shared" si="73"/>
        <v>0.17008928571428572</v>
      </c>
      <c r="Q53" s="191">
        <f t="shared" si="74"/>
        <v>20</v>
      </c>
      <c r="R53" s="191">
        <f t="shared" si="75"/>
        <v>0.18898809523809523</v>
      </c>
      <c r="S53" s="152">
        <f t="shared" si="76"/>
        <v>120.67789348281845</v>
      </c>
      <c r="T53" s="152">
        <f t="shared" si="77"/>
        <v>20</v>
      </c>
      <c r="U53" s="191">
        <f t="shared" si="78"/>
        <v>0.21165354330708661</v>
      </c>
      <c r="V53" s="191">
        <f t="shared" si="79"/>
        <v>0.6349606299212599</v>
      </c>
      <c r="W53" s="191">
        <f t="shared" si="80"/>
        <v>0.62496124992249991</v>
      </c>
      <c r="X53" s="175">
        <f t="shared" si="81"/>
        <v>350</v>
      </c>
      <c r="Y53" s="386">
        <f t="shared" si="54"/>
        <v>350</v>
      </c>
      <c r="AA53" s="191">
        <f t="shared" si="82"/>
        <v>0.47996976568405147</v>
      </c>
      <c r="AB53" s="153">
        <f t="shared" si="83"/>
        <v>1.4172335600907031</v>
      </c>
      <c r="AC53" s="153">
        <f t="shared" si="84"/>
        <v>0.11904012045735404</v>
      </c>
      <c r="AD53" s="153"/>
      <c r="AE53" s="153">
        <f t="shared" si="85"/>
        <v>0.44291338582677164</v>
      </c>
      <c r="AF53" s="317">
        <f t="shared" si="86"/>
        <v>1444.9777777777779</v>
      </c>
      <c r="AG53" s="463">
        <f t="shared" si="87"/>
        <v>1.1626476377952754E-2</v>
      </c>
      <c r="AI53" s="153">
        <f t="shared" si="88"/>
        <v>0.32126733169231259</v>
      </c>
      <c r="AJ53" s="153">
        <f t="shared" si="89"/>
        <v>0.32126733169231259</v>
      </c>
      <c r="AK53" s="153">
        <f t="shared" si="90"/>
        <v>1.3141782211282083</v>
      </c>
      <c r="AM53" s="317">
        <f t="shared" si="91"/>
        <v>48</v>
      </c>
      <c r="AN53" s="147">
        <f t="shared" si="92"/>
        <v>350</v>
      </c>
      <c r="AP53">
        <f t="shared" si="93"/>
        <v>48</v>
      </c>
      <c r="AQ53" s="147">
        <f t="shared" si="94"/>
        <v>350</v>
      </c>
      <c r="AR53" s="147"/>
      <c r="AS53" s="5">
        <f t="shared" si="55"/>
        <v>2.8571428571428572</v>
      </c>
      <c r="AT53" s="5">
        <f t="shared" si="95"/>
        <v>0.96380199507693787</v>
      </c>
      <c r="AU53" s="5">
        <f t="shared" si="56"/>
        <v>1.8933408620659193</v>
      </c>
      <c r="AV53" s="5">
        <f t="shared" si="96"/>
        <v>0.94862401090249782</v>
      </c>
      <c r="AW53" s="153">
        <f t="shared" si="57"/>
        <v>0.33733069827692824</v>
      </c>
      <c r="AX53" s="153">
        <f t="shared" si="97"/>
        <v>1.083733333333333</v>
      </c>
      <c r="AY53" s="153">
        <f t="shared" si="98"/>
        <v>0.10644699917948965</v>
      </c>
      <c r="AZ53" s="153">
        <f t="shared" si="58"/>
        <v>10.180966506213622</v>
      </c>
      <c r="BA53" s="147">
        <f t="shared" si="99"/>
        <v>2.385619286777211</v>
      </c>
      <c r="BB53" s="147">
        <f t="shared" si="100"/>
        <v>3.3211090943999997</v>
      </c>
      <c r="BC53" s="5">
        <f t="shared" si="101"/>
        <v>0.10097817931018235</v>
      </c>
      <c r="BD53" s="147">
        <f t="shared" si="102"/>
        <v>10.257817931018236</v>
      </c>
      <c r="BE53" s="5"/>
      <c r="BF53" s="153">
        <f t="shared" si="59"/>
        <v>0.10772930834055258</v>
      </c>
      <c r="BG53" s="153">
        <f t="shared" si="103"/>
        <v>0.15099214856640378</v>
      </c>
      <c r="BH53" s="153"/>
      <c r="BI53" s="463">
        <f t="shared" si="104"/>
        <v>4.0619613564368481E-3</v>
      </c>
      <c r="BJ53" s="463">
        <f t="shared" si="105"/>
        <v>2.2668622924209576E-2</v>
      </c>
      <c r="BK53" s="463">
        <f t="shared" si="106"/>
        <v>4.3749999999999995E-3</v>
      </c>
      <c r="BL53" s="463">
        <f t="shared" si="107"/>
        <v>2.8449792000000005E-2</v>
      </c>
      <c r="BM53">
        <f t="shared" si="108"/>
        <v>5.7999999999999996E-3</v>
      </c>
      <c r="BN53">
        <f t="shared" si="109"/>
        <v>1.3124999999999999E-5</v>
      </c>
      <c r="BO53" s="463">
        <f t="shared" si="110"/>
        <v>6.5966303313832186E-2</v>
      </c>
      <c r="BP53" s="147">
        <f t="shared" si="60"/>
        <v>65.966303313832185</v>
      </c>
      <c r="BQ53" s="463">
        <f t="shared" si="111"/>
        <v>3.5754152501526006E-2</v>
      </c>
      <c r="BR53" s="463"/>
      <c r="BT53" s="147">
        <f t="shared" si="61"/>
        <v>35.754152501526008</v>
      </c>
      <c r="BU53" s="463">
        <f t="shared" si="112"/>
        <v>1.1605603875533853E-2</v>
      </c>
      <c r="BV53" s="463">
        <f t="shared" si="113"/>
        <v>2.2798628928698949E-2</v>
      </c>
      <c r="BW53" s="463">
        <f t="shared" si="114"/>
        <v>0</v>
      </c>
      <c r="BX53" s="463">
        <f t="shared" si="115"/>
        <v>3.8639088596694661E-2</v>
      </c>
      <c r="BY53" s="463">
        <f t="shared" si="116"/>
        <v>1.8062222222222223E-2</v>
      </c>
      <c r="BZ53" s="147">
        <f t="shared" si="62"/>
        <v>56.70131081891688</v>
      </c>
      <c r="CA53" s="153">
        <f t="shared" si="63"/>
        <v>0.15842176663427507</v>
      </c>
      <c r="CB53" s="5">
        <f t="shared" si="64"/>
        <v>0.96</v>
      </c>
      <c r="CC53" s="153">
        <f t="shared" si="65"/>
        <v>0.85835239320223355</v>
      </c>
      <c r="CD53" s="5">
        <f t="shared" si="66"/>
        <v>85.835239320223351</v>
      </c>
      <c r="CG53" s="59">
        <f t="shared" si="117"/>
        <v>-50</v>
      </c>
      <c r="CH53">
        <f t="shared" si="118"/>
        <v>-50</v>
      </c>
    </row>
    <row r="54" spans="5:86" x14ac:dyDescent="0.25">
      <c r="E54" s="150">
        <v>49</v>
      </c>
      <c r="F54" s="191">
        <f t="shared" si="119"/>
        <v>4.9000000000000002E-2</v>
      </c>
      <c r="G54" s="191"/>
      <c r="H54" s="191">
        <f t="shared" si="67"/>
        <v>0.98</v>
      </c>
      <c r="I54" s="472">
        <f t="shared" si="68"/>
        <v>20</v>
      </c>
      <c r="J54" s="152">
        <f t="shared" si="69"/>
        <v>20.32</v>
      </c>
      <c r="K54" s="386">
        <f t="shared" si="70"/>
        <v>40.32</v>
      </c>
      <c r="L54" s="386"/>
      <c r="M54" s="191">
        <f t="shared" si="71"/>
        <v>0.50396825396825395</v>
      </c>
      <c r="N54" s="152">
        <f t="shared" si="72"/>
        <v>3.4017857142857144</v>
      </c>
      <c r="O54" s="152">
        <f t="shared" si="53"/>
        <v>0.98</v>
      </c>
      <c r="P54" s="191">
        <f t="shared" si="73"/>
        <v>0.17008928571428572</v>
      </c>
      <c r="Q54" s="191">
        <f t="shared" si="74"/>
        <v>20</v>
      </c>
      <c r="R54" s="191">
        <f t="shared" si="75"/>
        <v>0.18898809523809523</v>
      </c>
      <c r="S54" s="152">
        <f t="shared" si="76"/>
        <v>117.80927997199069</v>
      </c>
      <c r="T54" s="152">
        <f t="shared" si="77"/>
        <v>20</v>
      </c>
      <c r="U54" s="191">
        <f t="shared" si="78"/>
        <v>0.21606299212598426</v>
      </c>
      <c r="V54" s="191">
        <f t="shared" si="79"/>
        <v>0.64818897637795281</v>
      </c>
      <c r="W54" s="191">
        <f t="shared" si="80"/>
        <v>0.63798127596255194</v>
      </c>
      <c r="X54" s="175">
        <f t="shared" si="81"/>
        <v>350</v>
      </c>
      <c r="Y54" s="386">
        <f t="shared" si="54"/>
        <v>350</v>
      </c>
      <c r="AA54" s="191">
        <f t="shared" si="82"/>
        <v>0.47996976568405147</v>
      </c>
      <c r="AB54" s="153">
        <f t="shared" si="83"/>
        <v>1.4172335600907031</v>
      </c>
      <c r="AC54" s="153">
        <f t="shared" si="84"/>
        <v>0.11904012045735404</v>
      </c>
      <c r="AD54" s="153"/>
      <c r="AE54" s="153">
        <f t="shared" si="85"/>
        <v>0.44291338582677164</v>
      </c>
      <c r="AF54" s="317">
        <f t="shared" si="86"/>
        <v>1475.0814814814819</v>
      </c>
      <c r="AG54" s="463">
        <f t="shared" si="87"/>
        <v>1.1626476377952754E-2</v>
      </c>
      <c r="AI54" s="153">
        <f t="shared" si="88"/>
        <v>0.32459661576018162</v>
      </c>
      <c r="AJ54" s="153">
        <f t="shared" si="89"/>
        <v>0.32459661576018162</v>
      </c>
      <c r="AK54" s="153">
        <f t="shared" si="90"/>
        <v>1.3163977438401211</v>
      </c>
      <c r="AM54" s="317">
        <f t="shared" si="91"/>
        <v>49</v>
      </c>
      <c r="AN54" s="147">
        <f t="shared" si="92"/>
        <v>350</v>
      </c>
      <c r="AP54">
        <f t="shared" si="93"/>
        <v>49</v>
      </c>
      <c r="AQ54" s="147">
        <f t="shared" si="94"/>
        <v>350</v>
      </c>
      <c r="AR54" s="147"/>
      <c r="AS54" s="5">
        <f t="shared" si="55"/>
        <v>2.8571428571428572</v>
      </c>
      <c r="AT54" s="5">
        <f t="shared" si="95"/>
        <v>0.97378984728054496</v>
      </c>
      <c r="AU54" s="5">
        <f t="shared" si="56"/>
        <v>1.8833530098623124</v>
      </c>
      <c r="AV54" s="5">
        <f t="shared" si="96"/>
        <v>0.95845457409502455</v>
      </c>
      <c r="AW54" s="153">
        <f t="shared" si="57"/>
        <v>0.34082644654819072</v>
      </c>
      <c r="AX54" s="153">
        <f t="shared" si="97"/>
        <v>1.1063111111111115</v>
      </c>
      <c r="AY54" s="153">
        <f t="shared" si="98"/>
        <v>0.10698275232453523</v>
      </c>
      <c r="AZ54" s="153">
        <f t="shared" si="58"/>
        <v>10.341023081506496</v>
      </c>
      <c r="BA54" s="147">
        <f t="shared" si="99"/>
        <v>2.385619286777211</v>
      </c>
      <c r="BB54" s="147">
        <f t="shared" si="100"/>
        <v>3.4578675936000005</v>
      </c>
      <c r="BC54" s="5">
        <f t="shared" si="101"/>
        <v>0.10253810831472589</v>
      </c>
      <c r="BD54" s="147">
        <f t="shared" si="102"/>
        <v>10.417144164805924</v>
      </c>
      <c r="BE54" s="5"/>
      <c r="BF54" s="153">
        <f t="shared" si="59"/>
        <v>0.10940823287799278</v>
      </c>
      <c r="BG54" s="153">
        <f t="shared" si="103"/>
        <v>0.15215395569237067</v>
      </c>
      <c r="BH54" s="153"/>
      <c r="BI54" s="463">
        <f t="shared" si="104"/>
        <v>4.1895564975197846E-3</v>
      </c>
      <c r="BJ54" s="463">
        <f t="shared" si="105"/>
        <v>2.2903537208038414E-2</v>
      </c>
      <c r="BK54" s="463">
        <f t="shared" si="106"/>
        <v>4.3749999999999995E-3</v>
      </c>
      <c r="BL54" s="463">
        <f t="shared" si="107"/>
        <v>2.8449792000000005E-2</v>
      </c>
      <c r="BM54">
        <f t="shared" si="108"/>
        <v>5.7999999999999996E-3</v>
      </c>
      <c r="BN54">
        <f t="shared" si="109"/>
        <v>1.3124999999999999E-5</v>
      </c>
      <c r="BO54" s="463">
        <f t="shared" si="110"/>
        <v>6.6347885968715034E-2</v>
      </c>
      <c r="BP54" s="147">
        <f t="shared" si="60"/>
        <v>66.347885968715033</v>
      </c>
      <c r="BQ54" s="463">
        <f t="shared" si="111"/>
        <v>3.6405231241886625E-2</v>
      </c>
      <c r="BR54" s="463"/>
      <c r="BT54" s="147">
        <f t="shared" si="61"/>
        <v>36.405231241886625</v>
      </c>
      <c r="BU54" s="463">
        <f t="shared" si="112"/>
        <v>1.19701614214851E-2</v>
      </c>
      <c r="BV54" s="463">
        <f t="shared" si="113"/>
        <v>2.3150826232835896E-2</v>
      </c>
      <c r="BW54" s="463">
        <f t="shared" si="114"/>
        <v>0</v>
      </c>
      <c r="BX54" s="463">
        <f t="shared" si="115"/>
        <v>3.9446337720045424E-2</v>
      </c>
      <c r="BY54" s="463">
        <f t="shared" si="116"/>
        <v>1.8438518518518524E-2</v>
      </c>
      <c r="BZ54" s="147">
        <f t="shared" si="62"/>
        <v>57.884856238563948</v>
      </c>
      <c r="CA54" s="153">
        <f t="shared" si="63"/>
        <v>0.16063797344916558</v>
      </c>
      <c r="CB54" s="5">
        <f t="shared" si="64"/>
        <v>0.98</v>
      </c>
      <c r="CC54" s="153">
        <f t="shared" si="65"/>
        <v>0.85916831002617433</v>
      </c>
      <c r="CD54" s="5">
        <f t="shared" si="66"/>
        <v>85.916831002617428</v>
      </c>
      <c r="CG54" s="59">
        <f t="shared" si="117"/>
        <v>-50</v>
      </c>
      <c r="CH54">
        <f t="shared" si="118"/>
        <v>-50</v>
      </c>
    </row>
    <row r="55" spans="5:86" x14ac:dyDescent="0.25">
      <c r="E55" s="150">
        <v>50</v>
      </c>
      <c r="F55" s="191">
        <f t="shared" si="119"/>
        <v>0.05</v>
      </c>
      <c r="G55" s="191"/>
      <c r="H55" s="191">
        <f t="shared" si="67"/>
        <v>1</v>
      </c>
      <c r="I55" s="472">
        <f t="shared" si="68"/>
        <v>20</v>
      </c>
      <c r="J55" s="152">
        <f t="shared" si="69"/>
        <v>20.32</v>
      </c>
      <c r="K55" s="386">
        <f t="shared" si="70"/>
        <v>40.32</v>
      </c>
      <c r="L55" s="386"/>
      <c r="M55" s="191">
        <f t="shared" si="71"/>
        <v>0.50396825396825395</v>
      </c>
      <c r="N55" s="152">
        <f t="shared" si="72"/>
        <v>3.4017857142857144</v>
      </c>
      <c r="O55" s="152">
        <f t="shared" si="53"/>
        <v>1</v>
      </c>
      <c r="P55" s="191">
        <f t="shared" si="73"/>
        <v>0.17008928571428572</v>
      </c>
      <c r="Q55" s="191">
        <f t="shared" si="74"/>
        <v>20</v>
      </c>
      <c r="R55" s="191">
        <f t="shared" si="75"/>
        <v>0.18898809523809523</v>
      </c>
      <c r="S55" s="152">
        <f t="shared" si="76"/>
        <v>115.05547106279215</v>
      </c>
      <c r="T55" s="152">
        <f t="shared" si="77"/>
        <v>20</v>
      </c>
      <c r="U55" s="191">
        <f t="shared" si="78"/>
        <v>0.22047244094488189</v>
      </c>
      <c r="V55" s="191">
        <f t="shared" si="79"/>
        <v>0.66141732283464572</v>
      </c>
      <c r="W55" s="191">
        <f t="shared" si="80"/>
        <v>0.65100130200260409</v>
      </c>
      <c r="X55" s="175">
        <f t="shared" si="81"/>
        <v>350</v>
      </c>
      <c r="Y55" s="386">
        <f t="shared" si="54"/>
        <v>350</v>
      </c>
      <c r="AA55" s="191">
        <f t="shared" si="82"/>
        <v>0.47996976568405147</v>
      </c>
      <c r="AB55" s="153">
        <f t="shared" si="83"/>
        <v>1.4172335600907031</v>
      </c>
      <c r="AC55" s="153">
        <f t="shared" si="84"/>
        <v>0.11904012045735404</v>
      </c>
      <c r="AD55" s="153"/>
      <c r="AE55" s="153">
        <f t="shared" si="85"/>
        <v>0.44291338582677164</v>
      </c>
      <c r="AF55" s="317">
        <f t="shared" si="86"/>
        <v>1505.1851851851854</v>
      </c>
      <c r="AG55" s="463">
        <f t="shared" si="87"/>
        <v>1.1626476377952754E-2</v>
      </c>
      <c r="AI55" s="153">
        <f t="shared" si="88"/>
        <v>0.3278920973631837</v>
      </c>
      <c r="AJ55" s="153">
        <f t="shared" si="89"/>
        <v>0.3278920973631837</v>
      </c>
      <c r="AK55" s="153">
        <f t="shared" si="90"/>
        <v>1.3185947315754558</v>
      </c>
      <c r="AM55" s="317">
        <f t="shared" si="91"/>
        <v>50</v>
      </c>
      <c r="AN55" s="147">
        <f t="shared" si="92"/>
        <v>350</v>
      </c>
      <c r="AP55">
        <f t="shared" si="93"/>
        <v>50</v>
      </c>
      <c r="AQ55" s="147">
        <f t="shared" si="94"/>
        <v>350</v>
      </c>
      <c r="AR55" s="147"/>
      <c r="AS55" s="5">
        <f t="shared" si="55"/>
        <v>2.8571428571428572</v>
      </c>
      <c r="AT55" s="5">
        <f t="shared" si="95"/>
        <v>0.9836762920895511</v>
      </c>
      <c r="AU55" s="5">
        <f t="shared" si="56"/>
        <v>1.873466565053306</v>
      </c>
      <c r="AV55" s="5">
        <f t="shared" si="96"/>
        <v>0.96818532685979442</v>
      </c>
      <c r="AW55" s="153">
        <f t="shared" si="57"/>
        <v>0.34428670223134289</v>
      </c>
      <c r="AX55" s="153">
        <f t="shared" si="97"/>
        <v>1.1288888888888891</v>
      </c>
      <c r="AY55" s="153">
        <f t="shared" si="98"/>
        <v>0.10750160423714739</v>
      </c>
      <c r="AZ55" s="153">
        <f t="shared" si="58"/>
        <v>10.501135279791475</v>
      </c>
      <c r="BA55" s="147">
        <f t="shared" si="99"/>
        <v>2.385619286777211</v>
      </c>
      <c r="BB55" s="147">
        <f t="shared" si="100"/>
        <v>3.5973840000000008</v>
      </c>
      <c r="BC55" s="5">
        <f t="shared" si="101"/>
        <v>0.10408147583629479</v>
      </c>
      <c r="BD55" s="147">
        <f t="shared" si="102"/>
        <v>10.574814250296146</v>
      </c>
      <c r="BE55" s="5"/>
      <c r="BF55" s="153">
        <f t="shared" si="59"/>
        <v>0.11107861262303857</v>
      </c>
      <c r="BG55" s="153">
        <f t="shared" si="103"/>
        <v>0.15329476286602264</v>
      </c>
      <c r="BH55" s="153"/>
      <c r="BI55" s="463">
        <f t="shared" si="104"/>
        <v>4.3184603637906717E-3</v>
      </c>
      <c r="BJ55" s="463">
        <f t="shared" si="105"/>
        <v>2.3136066389946239E-2</v>
      </c>
      <c r="BK55" s="463">
        <f t="shared" si="106"/>
        <v>4.3749999999999995E-3</v>
      </c>
      <c r="BL55" s="463">
        <f t="shared" si="107"/>
        <v>2.8449792000000005E-2</v>
      </c>
      <c r="BM55">
        <f t="shared" si="108"/>
        <v>5.7999999999999996E-3</v>
      </c>
      <c r="BN55">
        <f t="shared" si="109"/>
        <v>1.3124999999999999E-5</v>
      </c>
      <c r="BO55" s="463">
        <f t="shared" si="110"/>
        <v>6.6728602312917162E-2</v>
      </c>
      <c r="BP55" s="147">
        <f t="shared" si="60"/>
        <v>66.728602312917161</v>
      </c>
      <c r="BQ55" s="463">
        <f t="shared" si="111"/>
        <v>3.7053453222122688E-2</v>
      </c>
      <c r="BR55" s="463"/>
      <c r="BT55" s="147">
        <f t="shared" si="61"/>
        <v>37.053453222122691</v>
      </c>
      <c r="BU55" s="463">
        <f t="shared" si="112"/>
        <v>1.2338458182259064E-2</v>
      </c>
      <c r="BV55" s="463">
        <f t="shared" si="113"/>
        <v>2.3499284322150114E-2</v>
      </c>
      <c r="BW55" s="463">
        <f t="shared" si="114"/>
        <v>0</v>
      </c>
      <c r="BX55" s="463">
        <f t="shared" si="115"/>
        <v>4.0253679685532291E-2</v>
      </c>
      <c r="BY55" s="463">
        <f t="shared" si="116"/>
        <v>1.8814814814814822E-2</v>
      </c>
      <c r="BZ55" s="147">
        <f t="shared" si="62"/>
        <v>59.068494500347107</v>
      </c>
      <c r="CA55" s="153">
        <f t="shared" si="63"/>
        <v>0.16285055003538695</v>
      </c>
      <c r="CB55" s="5">
        <f t="shared" si="64"/>
        <v>1</v>
      </c>
      <c r="CC55" s="153">
        <f t="shared" si="65"/>
        <v>0.85995573547225723</v>
      </c>
      <c r="CD55" s="5">
        <f t="shared" si="66"/>
        <v>85.995573547225717</v>
      </c>
      <c r="CG55" s="59">
        <f t="shared" si="117"/>
        <v>-50</v>
      </c>
      <c r="CH55">
        <f t="shared" si="118"/>
        <v>-50</v>
      </c>
    </row>
    <row r="56" spans="5:86" x14ac:dyDescent="0.25">
      <c r="E56" s="150">
        <v>51</v>
      </c>
      <c r="F56" s="191">
        <f t="shared" si="119"/>
        <v>5.1000000000000004E-2</v>
      </c>
      <c r="G56" s="191"/>
      <c r="H56" s="191">
        <f t="shared" si="67"/>
        <v>1.02</v>
      </c>
      <c r="I56" s="472">
        <f t="shared" si="68"/>
        <v>20</v>
      </c>
      <c r="J56" s="152">
        <f t="shared" si="69"/>
        <v>20.32</v>
      </c>
      <c r="K56" s="386">
        <f t="shared" si="70"/>
        <v>40.32</v>
      </c>
      <c r="L56" s="386"/>
      <c r="M56" s="191">
        <f t="shared" si="71"/>
        <v>0.50396825396825395</v>
      </c>
      <c r="N56" s="152">
        <f t="shared" si="72"/>
        <v>3.4017857142857144</v>
      </c>
      <c r="O56" s="152">
        <f t="shared" si="53"/>
        <v>1.02</v>
      </c>
      <c r="P56" s="191">
        <f t="shared" si="73"/>
        <v>0.17008928571428572</v>
      </c>
      <c r="Q56" s="191">
        <f t="shared" si="74"/>
        <v>20</v>
      </c>
      <c r="R56" s="191">
        <f t="shared" si="75"/>
        <v>0.18898809523809523</v>
      </c>
      <c r="S56" s="152">
        <f t="shared" si="76"/>
        <v>112.40971414044729</v>
      </c>
      <c r="T56" s="152">
        <f t="shared" si="77"/>
        <v>20</v>
      </c>
      <c r="U56" s="191">
        <f t="shared" si="78"/>
        <v>0.22488188976377954</v>
      </c>
      <c r="V56" s="191">
        <f t="shared" si="79"/>
        <v>0.67464566929133873</v>
      </c>
      <c r="W56" s="191">
        <f t="shared" si="80"/>
        <v>0.66402132804265612</v>
      </c>
      <c r="X56" s="175">
        <f t="shared" si="81"/>
        <v>350</v>
      </c>
      <c r="Y56" s="386">
        <f t="shared" si="54"/>
        <v>350</v>
      </c>
      <c r="AA56" s="191">
        <f t="shared" si="82"/>
        <v>0.47996976568405147</v>
      </c>
      <c r="AB56" s="153">
        <f t="shared" si="83"/>
        <v>1.4172335600907031</v>
      </c>
      <c r="AC56" s="153">
        <f t="shared" si="84"/>
        <v>0.11904012045735404</v>
      </c>
      <c r="AD56" s="153"/>
      <c r="AE56" s="153">
        <f t="shared" si="85"/>
        <v>0.44291338582677164</v>
      </c>
      <c r="AF56" s="317">
        <f t="shared" si="86"/>
        <v>1535.2888888888892</v>
      </c>
      <c r="AG56" s="463">
        <f t="shared" si="87"/>
        <v>1.1626476377952754E-2</v>
      </c>
      <c r="AI56" s="153">
        <f t="shared" si="88"/>
        <v>0.33115478565693729</v>
      </c>
      <c r="AJ56" s="153">
        <f t="shared" si="89"/>
        <v>0.33115478565693729</v>
      </c>
      <c r="AK56" s="153">
        <f t="shared" si="90"/>
        <v>1.3207698571046249</v>
      </c>
      <c r="AM56" s="317">
        <f t="shared" si="91"/>
        <v>51.000000000000007</v>
      </c>
      <c r="AN56" s="147">
        <f t="shared" si="92"/>
        <v>350</v>
      </c>
      <c r="AP56">
        <f t="shared" si="93"/>
        <v>51.000000000000007</v>
      </c>
      <c r="AQ56" s="147">
        <f t="shared" si="94"/>
        <v>350</v>
      </c>
      <c r="AR56" s="147"/>
      <c r="AS56" s="5">
        <f t="shared" si="55"/>
        <v>2.8571428571428572</v>
      </c>
      <c r="AT56" s="5">
        <f t="shared" si="95"/>
        <v>0.9934643569708117</v>
      </c>
      <c r="AU56" s="5">
        <f t="shared" si="56"/>
        <v>1.8636785001720455</v>
      </c>
      <c r="AV56" s="5">
        <f t="shared" si="96"/>
        <v>0.97781924898701944</v>
      </c>
      <c r="AW56" s="153">
        <f t="shared" si="57"/>
        <v>0.34771252493978411</v>
      </c>
      <c r="AX56" s="153">
        <f t="shared" si="97"/>
        <v>1.1514666666666669</v>
      </c>
      <c r="AY56" s="153">
        <f t="shared" si="98"/>
        <v>0.10800405949513531</v>
      </c>
      <c r="AZ56" s="153">
        <f t="shared" si="58"/>
        <v>10.66132765795281</v>
      </c>
      <c r="BA56" s="147">
        <f t="shared" si="99"/>
        <v>2.385619286777211</v>
      </c>
      <c r="BB56" s="147">
        <f t="shared" si="100"/>
        <v>3.739658313600001</v>
      </c>
      <c r="BC56" s="5">
        <f t="shared" si="101"/>
        <v>0.10560844834308257</v>
      </c>
      <c r="BD56" s="147">
        <f t="shared" si="102"/>
        <v>10.730844834308257</v>
      </c>
      <c r="BE56" s="5"/>
      <c r="BF56" s="153">
        <f t="shared" si="59"/>
        <v>0.11274066069097226</v>
      </c>
      <c r="BG56" s="153">
        <f t="shared" si="103"/>
        <v>0.15441515722706894</v>
      </c>
      <c r="BH56" s="153"/>
      <c r="BI56" s="463">
        <f t="shared" si="104"/>
        <v>4.4486598005629282E-3</v>
      </c>
      <c r="BJ56" s="463">
        <f t="shared" si="105"/>
        <v>2.3366281675953497E-2</v>
      </c>
      <c r="BK56" s="463">
        <f t="shared" si="106"/>
        <v>4.3749999999999995E-3</v>
      </c>
      <c r="BL56" s="463">
        <f t="shared" si="107"/>
        <v>2.8449792000000005E-2</v>
      </c>
      <c r="BM56">
        <f t="shared" si="108"/>
        <v>5.7999999999999996E-3</v>
      </c>
      <c r="BN56">
        <f t="shared" si="109"/>
        <v>1.3124999999999999E-5</v>
      </c>
      <c r="BO56" s="463">
        <f t="shared" si="110"/>
        <v>6.7108508719257706E-2</v>
      </c>
      <c r="BP56" s="147">
        <f t="shared" si="60"/>
        <v>67.108508719257699</v>
      </c>
      <c r="BQ56" s="463">
        <f t="shared" si="111"/>
        <v>3.7698847157035767E-2</v>
      </c>
      <c r="BR56" s="463"/>
      <c r="BT56" s="147">
        <f t="shared" si="61"/>
        <v>37.698847157035765</v>
      </c>
      <c r="BU56" s="463">
        <f t="shared" si="112"/>
        <v>1.2710456573036938E-2</v>
      </c>
      <c r="BV56" s="463">
        <f t="shared" si="113"/>
        <v>2.3844040781460421E-2</v>
      </c>
      <c r="BW56" s="463">
        <f t="shared" si="114"/>
        <v>0</v>
      </c>
      <c r="BX56" s="463">
        <f t="shared" si="115"/>
        <v>4.1061114509172908E-2</v>
      </c>
      <c r="BY56" s="463">
        <f t="shared" si="116"/>
        <v>1.9191111111111117E-2</v>
      </c>
      <c r="BZ56" s="147">
        <f t="shared" si="62"/>
        <v>60.252225620284023</v>
      </c>
      <c r="CA56" s="153">
        <f t="shared" si="63"/>
        <v>0.16505958149657751</v>
      </c>
      <c r="CB56" s="5">
        <f t="shared" si="64"/>
        <v>1.02</v>
      </c>
      <c r="CC56" s="153">
        <f t="shared" si="65"/>
        <v>0.86071621707988011</v>
      </c>
      <c r="CD56" s="5">
        <f t="shared" si="66"/>
        <v>86.071621707988015</v>
      </c>
      <c r="CG56" s="59">
        <f t="shared" si="117"/>
        <v>-50</v>
      </c>
      <c r="CH56">
        <f t="shared" si="118"/>
        <v>-50</v>
      </c>
    </row>
    <row r="57" spans="5:86" x14ac:dyDescent="0.25">
      <c r="E57" s="150">
        <v>52</v>
      </c>
      <c r="F57" s="191">
        <f t="shared" si="119"/>
        <v>5.2000000000000005E-2</v>
      </c>
      <c r="G57" s="191"/>
      <c r="H57" s="191">
        <f t="shared" si="67"/>
        <v>1.04</v>
      </c>
      <c r="I57" s="472">
        <f t="shared" si="68"/>
        <v>20</v>
      </c>
      <c r="J57" s="152">
        <f t="shared" si="69"/>
        <v>20.32</v>
      </c>
      <c r="K57" s="386">
        <f t="shared" si="70"/>
        <v>40.32</v>
      </c>
      <c r="L57" s="386"/>
      <c r="M57" s="191">
        <f t="shared" si="71"/>
        <v>0.50396825396825395</v>
      </c>
      <c r="N57" s="152">
        <f t="shared" si="72"/>
        <v>3.4017857142857144</v>
      </c>
      <c r="O57" s="152">
        <f t="shared" si="53"/>
        <v>1.04</v>
      </c>
      <c r="P57" s="191">
        <f t="shared" si="73"/>
        <v>0.17008928571428572</v>
      </c>
      <c r="Q57" s="191">
        <f t="shared" si="74"/>
        <v>20</v>
      </c>
      <c r="R57" s="191">
        <f t="shared" si="75"/>
        <v>0.18898809523809523</v>
      </c>
      <c r="S57" s="152">
        <f t="shared" si="76"/>
        <v>109.86577602984411</v>
      </c>
      <c r="T57" s="152">
        <f t="shared" si="77"/>
        <v>20</v>
      </c>
      <c r="U57" s="191">
        <f t="shared" si="78"/>
        <v>0.22929133858267717</v>
      </c>
      <c r="V57" s="191">
        <f t="shared" si="79"/>
        <v>0.68787401574803153</v>
      </c>
      <c r="W57" s="191">
        <f t="shared" si="80"/>
        <v>0.67704135408270816</v>
      </c>
      <c r="X57" s="175">
        <f t="shared" si="81"/>
        <v>350</v>
      </c>
      <c r="Y57" s="386">
        <f t="shared" si="54"/>
        <v>350</v>
      </c>
      <c r="AA57" s="191">
        <f t="shared" si="82"/>
        <v>0.47996976568405147</v>
      </c>
      <c r="AB57" s="153">
        <f t="shared" si="83"/>
        <v>1.4172335600907031</v>
      </c>
      <c r="AC57" s="153">
        <f t="shared" si="84"/>
        <v>0.11904012045735404</v>
      </c>
      <c r="AD57" s="153"/>
      <c r="AE57" s="153">
        <f t="shared" si="85"/>
        <v>0.44291338582677164</v>
      </c>
      <c r="AF57" s="317">
        <f t="shared" si="86"/>
        <v>1565.392592592593</v>
      </c>
      <c r="AG57" s="463">
        <f t="shared" si="87"/>
        <v>1.1626476377952754E-2</v>
      </c>
      <c r="AI57" s="153">
        <f t="shared" si="88"/>
        <v>0.33438564056154779</v>
      </c>
      <c r="AJ57" s="153">
        <f t="shared" si="89"/>
        <v>0.33438564056154779</v>
      </c>
      <c r="AK57" s="153">
        <f t="shared" si="90"/>
        <v>1.3229237603743651</v>
      </c>
      <c r="AM57" s="317">
        <f t="shared" si="91"/>
        <v>52.000000000000007</v>
      </c>
      <c r="AN57" s="147">
        <f t="shared" si="92"/>
        <v>350</v>
      </c>
      <c r="AP57">
        <f t="shared" si="93"/>
        <v>52.000000000000007</v>
      </c>
      <c r="AQ57" s="147">
        <f t="shared" si="94"/>
        <v>350</v>
      </c>
      <c r="AR57" s="147"/>
      <c r="AS57" s="5">
        <f t="shared" si="55"/>
        <v>2.8571428571428572</v>
      </c>
      <c r="AT57" s="5">
        <f t="shared" si="95"/>
        <v>1.0031569216846434</v>
      </c>
      <c r="AU57" s="5">
        <f t="shared" si="56"/>
        <v>1.8539859354582138</v>
      </c>
      <c r="AV57" s="5">
        <f t="shared" si="96"/>
        <v>0.98735917488645997</v>
      </c>
      <c r="AW57" s="153">
        <f t="shared" si="57"/>
        <v>0.35110492258962517</v>
      </c>
      <c r="AX57" s="153">
        <f t="shared" si="97"/>
        <v>1.1740444444444447</v>
      </c>
      <c r="AY57" s="153">
        <f t="shared" si="98"/>
        <v>0.10849059805855166</v>
      </c>
      <c r="AZ57" s="153">
        <f t="shared" si="58"/>
        <v>10.821623859155249</v>
      </c>
      <c r="BA57" s="147">
        <f t="shared" si="99"/>
        <v>2.385619286777211</v>
      </c>
      <c r="BB57" s="147">
        <f t="shared" si="100"/>
        <v>3.8846905344000011</v>
      </c>
      <c r="BC57" s="5">
        <f t="shared" si="101"/>
        <v>0.10711918738203013</v>
      </c>
      <c r="BD57" s="147">
        <f t="shared" si="102"/>
        <v>10.885252071536346</v>
      </c>
      <c r="BE57" s="5"/>
      <c r="BF57" s="153">
        <f t="shared" si="59"/>
        <v>0.11439458081617943</v>
      </c>
      <c r="BG57" s="153">
        <f t="shared" si="103"/>
        <v>0.15551569722853106</v>
      </c>
      <c r="BH57" s="153"/>
      <c r="BI57" s="463">
        <f t="shared" si="104"/>
        <v>4.5801420420382918E-3</v>
      </c>
      <c r="BJ57" s="463">
        <f t="shared" si="105"/>
        <v>2.3594250798022812E-2</v>
      </c>
      <c r="BK57" s="463">
        <f t="shared" si="106"/>
        <v>4.3749999999999995E-3</v>
      </c>
      <c r="BL57" s="463">
        <f t="shared" si="107"/>
        <v>2.8449792000000005E-2</v>
      </c>
      <c r="BM57">
        <f t="shared" si="108"/>
        <v>5.7999999999999996E-3</v>
      </c>
      <c r="BN57">
        <f t="shared" si="109"/>
        <v>1.3124999999999999E-5</v>
      </c>
      <c r="BO57" s="463">
        <f t="shared" si="110"/>
        <v>6.7487658530703917E-2</v>
      </c>
      <c r="BP57" s="147">
        <f t="shared" si="60"/>
        <v>67.487658530703911</v>
      </c>
      <c r="BQ57" s="463">
        <f t="shared" si="111"/>
        <v>3.8341440912539784E-2</v>
      </c>
      <c r="BR57" s="463"/>
      <c r="BT57" s="147">
        <f t="shared" si="61"/>
        <v>38.341440912539781</v>
      </c>
      <c r="BU57" s="463">
        <f t="shared" si="112"/>
        <v>1.3086120120109406E-2</v>
      </c>
      <c r="BV57" s="463">
        <f t="shared" si="113"/>
        <v>2.4185132084476143E-2</v>
      </c>
      <c r="BW57" s="463">
        <f t="shared" si="114"/>
        <v>0</v>
      </c>
      <c r="BX57" s="463">
        <f t="shared" si="115"/>
        <v>4.1868642206988639E-2</v>
      </c>
      <c r="BY57" s="463">
        <f t="shared" si="116"/>
        <v>1.9567407407407415E-2</v>
      </c>
      <c r="BZ57" s="147">
        <f t="shared" si="62"/>
        <v>61.436049614396055</v>
      </c>
      <c r="CA57" s="153">
        <f t="shared" si="63"/>
        <v>0.16726514905763976</v>
      </c>
      <c r="CB57" s="5">
        <f t="shared" si="64"/>
        <v>1.04</v>
      </c>
      <c r="CC57" s="153">
        <f t="shared" si="65"/>
        <v>0.86145119057880315</v>
      </c>
      <c r="CD57" s="5">
        <f t="shared" si="66"/>
        <v>86.145119057880322</v>
      </c>
      <c r="CG57" s="59">
        <f t="shared" si="117"/>
        <v>-50</v>
      </c>
      <c r="CH57">
        <f t="shared" si="118"/>
        <v>-50</v>
      </c>
    </row>
    <row r="58" spans="5:86" x14ac:dyDescent="0.25">
      <c r="E58" s="150">
        <v>53</v>
      </c>
      <c r="F58" s="191">
        <f t="shared" si="119"/>
        <v>5.3000000000000005E-2</v>
      </c>
      <c r="G58" s="191"/>
      <c r="H58" s="191">
        <f t="shared" si="67"/>
        <v>1.06</v>
      </c>
      <c r="I58" s="472">
        <f t="shared" si="68"/>
        <v>20</v>
      </c>
      <c r="J58" s="152">
        <f t="shared" si="69"/>
        <v>20.32</v>
      </c>
      <c r="K58" s="386">
        <f t="shared" si="70"/>
        <v>40.32</v>
      </c>
      <c r="L58" s="386"/>
      <c r="M58" s="191">
        <f t="shared" si="71"/>
        <v>0.50396825396825395</v>
      </c>
      <c r="N58" s="152">
        <f t="shared" si="72"/>
        <v>3.4017857142857144</v>
      </c>
      <c r="O58" s="152">
        <f t="shared" si="53"/>
        <v>1.06</v>
      </c>
      <c r="P58" s="191">
        <f t="shared" si="73"/>
        <v>0.17008928571428572</v>
      </c>
      <c r="Q58" s="191">
        <f t="shared" si="74"/>
        <v>20</v>
      </c>
      <c r="R58" s="191">
        <f t="shared" si="75"/>
        <v>0.18898809523809523</v>
      </c>
      <c r="S58" s="152">
        <f t="shared" si="76"/>
        <v>107.41789399191572</v>
      </c>
      <c r="T58" s="152">
        <f t="shared" si="77"/>
        <v>20</v>
      </c>
      <c r="U58" s="191">
        <f t="shared" si="78"/>
        <v>0.23370078740157482</v>
      </c>
      <c r="V58" s="191">
        <f t="shared" si="79"/>
        <v>0.70110236220472455</v>
      </c>
      <c r="W58" s="191">
        <f t="shared" si="80"/>
        <v>0.6900613801227603</v>
      </c>
      <c r="X58" s="175">
        <f t="shared" si="81"/>
        <v>350</v>
      </c>
      <c r="Y58" s="386">
        <f t="shared" si="54"/>
        <v>350</v>
      </c>
      <c r="AA58" s="191">
        <f t="shared" si="82"/>
        <v>0.47996976568405147</v>
      </c>
      <c r="AB58" s="153">
        <f t="shared" si="83"/>
        <v>1.4172335600907031</v>
      </c>
      <c r="AC58" s="153">
        <f t="shared" si="84"/>
        <v>0.11904012045735404</v>
      </c>
      <c r="AD58" s="153"/>
      <c r="AE58" s="153">
        <f t="shared" si="85"/>
        <v>0.44291338582677164</v>
      </c>
      <c r="AF58" s="317">
        <f t="shared" si="86"/>
        <v>1595.4962962962966</v>
      </c>
      <c r="AG58" s="463">
        <f t="shared" si="87"/>
        <v>1.1626476377952754E-2</v>
      </c>
      <c r="AI58" s="153">
        <f t="shared" si="88"/>
        <v>0.33758557606038381</v>
      </c>
      <c r="AJ58" s="153">
        <f t="shared" si="89"/>
        <v>0.33758557606038381</v>
      </c>
      <c r="AK58" s="153">
        <f t="shared" si="90"/>
        <v>1.3250570507069226</v>
      </c>
      <c r="AM58" s="317">
        <f t="shared" si="91"/>
        <v>53.000000000000007</v>
      </c>
      <c r="AN58" s="147">
        <f t="shared" si="92"/>
        <v>350</v>
      </c>
      <c r="AP58">
        <f t="shared" si="93"/>
        <v>53.000000000000007</v>
      </c>
      <c r="AQ58" s="147">
        <f t="shared" si="94"/>
        <v>350</v>
      </c>
      <c r="AR58" s="147"/>
      <c r="AS58" s="5">
        <f t="shared" si="55"/>
        <v>2.8571428571428572</v>
      </c>
      <c r="AT58" s="5">
        <f t="shared" si="95"/>
        <v>1.0127567281811516</v>
      </c>
      <c r="AU58" s="5">
        <f t="shared" si="56"/>
        <v>1.8443861289617056</v>
      </c>
      <c r="AV58" s="5">
        <f t="shared" si="96"/>
        <v>0.99680780332790508</v>
      </c>
      <c r="AW58" s="153">
        <f t="shared" si="57"/>
        <v>0.35446485486340307</v>
      </c>
      <c r="AX58" s="153">
        <f t="shared" si="97"/>
        <v>1.1966222222222225</v>
      </c>
      <c r="AY58" s="153">
        <f t="shared" si="98"/>
        <v>0.10896167691908078</v>
      </c>
      <c r="AZ58" s="153">
        <f t="shared" si="58"/>
        <v>10.982046679686118</v>
      </c>
      <c r="BA58" s="147">
        <f t="shared" si="99"/>
        <v>2.385619286777211</v>
      </c>
      <c r="BB58" s="147">
        <f t="shared" si="100"/>
        <v>4.0324806624000011</v>
      </c>
      <c r="BC58" s="5">
        <f t="shared" si="101"/>
        <v>0.10861384981663379</v>
      </c>
      <c r="BD58" s="147">
        <f t="shared" si="102"/>
        <v>11.038051648330047</v>
      </c>
      <c r="BE58" s="5"/>
      <c r="BF58" s="153">
        <f t="shared" si="59"/>
        <v>0.11604056793718676</v>
      </c>
      <c r="BG58" s="153">
        <f t="shared" si="103"/>
        <v>0.15659691455290195</v>
      </c>
      <c r="BH58" s="153"/>
      <c r="BI58" s="463">
        <f t="shared" si="104"/>
        <v>4.7128946925146988E-3</v>
      </c>
      <c r="BJ58" s="463">
        <f t="shared" si="105"/>
        <v>2.382003824682068E-2</v>
      </c>
      <c r="BK58" s="463">
        <f t="shared" si="106"/>
        <v>4.3749999999999995E-3</v>
      </c>
      <c r="BL58" s="463">
        <f t="shared" si="107"/>
        <v>2.8449792000000005E-2</v>
      </c>
      <c r="BM58">
        <f t="shared" si="108"/>
        <v>5.7999999999999996E-3</v>
      </c>
      <c r="BN58">
        <f t="shared" si="109"/>
        <v>1.3124999999999999E-5</v>
      </c>
      <c r="BO58" s="463">
        <f t="shared" si="110"/>
        <v>6.7866102271669865E-2</v>
      </c>
      <c r="BP58" s="147">
        <f t="shared" si="60"/>
        <v>67.86610227166986</v>
      </c>
      <c r="BQ58" s="463">
        <f t="shared" si="111"/>
        <v>3.8981261546681509E-2</v>
      </c>
      <c r="BR58" s="463"/>
      <c r="BT58" s="147">
        <f t="shared" si="61"/>
        <v>38.981261546681509</v>
      </c>
      <c r="BU58" s="463">
        <f t="shared" si="112"/>
        <v>1.3465413407184854E-2</v>
      </c>
      <c r="BV58" s="463">
        <f t="shared" si="113"/>
        <v>2.4522593647488874E-2</v>
      </c>
      <c r="BW58" s="463">
        <f t="shared" si="114"/>
        <v>0</v>
      </c>
      <c r="BX58" s="463">
        <f t="shared" si="115"/>
        <v>4.2676262795004478E-2</v>
      </c>
      <c r="BY58" s="463">
        <f t="shared" si="116"/>
        <v>1.9943703703703713E-2</v>
      </c>
      <c r="BZ58" s="147">
        <f t="shared" si="62"/>
        <v>62.619966498708187</v>
      </c>
      <c r="CA58" s="153">
        <f t="shared" si="63"/>
        <v>0.16946733031705957</v>
      </c>
      <c r="CB58" s="5">
        <f t="shared" si="64"/>
        <v>1.06</v>
      </c>
      <c r="CC58" s="153">
        <f t="shared" si="65"/>
        <v>0.8621619898811328</v>
      </c>
      <c r="CD58" s="5">
        <f t="shared" si="66"/>
        <v>86.216198988113277</v>
      </c>
      <c r="CG58" s="59">
        <f t="shared" si="117"/>
        <v>-50</v>
      </c>
      <c r="CH58">
        <f t="shared" si="118"/>
        <v>-50</v>
      </c>
    </row>
    <row r="59" spans="5:86" x14ac:dyDescent="0.25">
      <c r="E59" s="150">
        <v>54</v>
      </c>
      <c r="F59" s="191">
        <f t="shared" si="119"/>
        <v>5.4000000000000006E-2</v>
      </c>
      <c r="G59" s="191"/>
      <c r="H59" s="191">
        <f t="shared" si="67"/>
        <v>1.08</v>
      </c>
      <c r="I59" s="472">
        <f t="shared" si="68"/>
        <v>20</v>
      </c>
      <c r="J59" s="152">
        <f t="shared" si="69"/>
        <v>20.32</v>
      </c>
      <c r="K59" s="386">
        <f t="shared" si="70"/>
        <v>40.32</v>
      </c>
      <c r="L59" s="386"/>
      <c r="M59" s="191">
        <f t="shared" si="71"/>
        <v>0.50396825396825395</v>
      </c>
      <c r="N59" s="152">
        <f t="shared" si="72"/>
        <v>3.4017857142857144</v>
      </c>
      <c r="O59" s="152">
        <f t="shared" si="53"/>
        <v>1.08</v>
      </c>
      <c r="P59" s="191">
        <f t="shared" si="73"/>
        <v>0.17008928571428572</v>
      </c>
      <c r="Q59" s="191">
        <f t="shared" si="74"/>
        <v>20</v>
      </c>
      <c r="R59" s="191">
        <f t="shared" si="75"/>
        <v>0.18898809523809523</v>
      </c>
      <c r="S59" s="152">
        <f t="shared" si="76"/>
        <v>105.06073216487039</v>
      </c>
      <c r="T59" s="152">
        <f t="shared" si="77"/>
        <v>20</v>
      </c>
      <c r="U59" s="191">
        <f t="shared" si="78"/>
        <v>0.23811023622047248</v>
      </c>
      <c r="V59" s="191">
        <f t="shared" si="79"/>
        <v>0.71433070866141746</v>
      </c>
      <c r="W59" s="191">
        <f t="shared" si="80"/>
        <v>0.70308140616281245</v>
      </c>
      <c r="X59" s="175">
        <f t="shared" si="81"/>
        <v>350</v>
      </c>
      <c r="Y59" s="386">
        <f t="shared" si="54"/>
        <v>350</v>
      </c>
      <c r="AA59" s="191">
        <f t="shared" si="82"/>
        <v>0.47996976568405147</v>
      </c>
      <c r="AB59" s="153">
        <f t="shared" si="83"/>
        <v>1.4172335600907031</v>
      </c>
      <c r="AC59" s="153">
        <f t="shared" si="84"/>
        <v>0.11904012045735404</v>
      </c>
      <c r="AD59" s="153"/>
      <c r="AE59" s="153">
        <f t="shared" si="85"/>
        <v>0.44291338582677164</v>
      </c>
      <c r="AF59" s="317">
        <f t="shared" si="86"/>
        <v>1625.6000000000004</v>
      </c>
      <c r="AG59" s="463">
        <f t="shared" si="87"/>
        <v>1.1626476377952754E-2</v>
      </c>
      <c r="AI59" s="153">
        <f t="shared" si="88"/>
        <v>0.34075546322001316</v>
      </c>
      <c r="AJ59" s="153">
        <f t="shared" si="89"/>
        <v>0.34075546322001316</v>
      </c>
      <c r="AK59" s="153">
        <f t="shared" si="90"/>
        <v>1.327170308813342</v>
      </c>
      <c r="AM59" s="317">
        <f t="shared" si="91"/>
        <v>54.000000000000007</v>
      </c>
      <c r="AN59" s="147">
        <f t="shared" si="92"/>
        <v>350</v>
      </c>
      <c r="AP59">
        <f t="shared" si="93"/>
        <v>54.000000000000007</v>
      </c>
      <c r="AQ59" s="147">
        <f t="shared" si="94"/>
        <v>350</v>
      </c>
      <c r="AR59" s="147"/>
      <c r="AS59" s="5">
        <f t="shared" si="55"/>
        <v>2.8571428571428572</v>
      </c>
      <c r="AT59" s="5">
        <f t="shared" si="95"/>
        <v>1.0222663896600395</v>
      </c>
      <c r="AU59" s="5">
        <f t="shared" si="56"/>
        <v>1.8348764674828177</v>
      </c>
      <c r="AV59" s="5">
        <f t="shared" si="96"/>
        <v>1.0061677063583065</v>
      </c>
      <c r="AW59" s="153">
        <f t="shared" si="57"/>
        <v>0.35779323638101379</v>
      </c>
      <c r="AX59" s="153">
        <f t="shared" si="97"/>
        <v>1.2192000000000003</v>
      </c>
      <c r="AY59" s="153">
        <f t="shared" si="98"/>
        <v>0.10941773161000656</v>
      </c>
      <c r="AZ59" s="153">
        <f t="shared" si="58"/>
        <v>11.142618130172432</v>
      </c>
      <c r="BA59" s="147">
        <f t="shared" si="99"/>
        <v>2.385619286777211</v>
      </c>
      <c r="BB59" s="147">
        <f t="shared" si="100"/>
        <v>4.1830286976000011</v>
      </c>
      <c r="BC59" s="5">
        <f t="shared" si="101"/>
        <v>0.11009258804896906</v>
      </c>
      <c r="BD59" s="147">
        <f t="shared" si="102"/>
        <v>11.189258804896907</v>
      </c>
      <c r="BE59" s="5"/>
      <c r="BF59" s="153">
        <f t="shared" si="59"/>
        <v>0.11767880873488369</v>
      </c>
      <c r="BG59" s="153">
        <f t="shared" si="103"/>
        <v>0.1576593158665246</v>
      </c>
      <c r="BH59" s="153"/>
      <c r="BI59" s="463">
        <f t="shared" si="104"/>
        <v>4.8469057088414676E-3</v>
      </c>
      <c r="BJ59" s="463">
        <f t="shared" si="105"/>
        <v>2.4043705484804133E-2</v>
      </c>
      <c r="BK59" s="463">
        <f t="shared" si="106"/>
        <v>4.3749999999999995E-3</v>
      </c>
      <c r="BL59" s="463">
        <f t="shared" si="107"/>
        <v>2.8449792000000005E-2</v>
      </c>
      <c r="BM59">
        <f t="shared" si="108"/>
        <v>5.7999999999999996E-3</v>
      </c>
      <c r="BN59">
        <f t="shared" si="109"/>
        <v>1.3124999999999999E-5</v>
      </c>
      <c r="BO59" s="463">
        <f t="shared" si="110"/>
        <v>6.8243887841064943E-2</v>
      </c>
      <c r="BP59" s="147">
        <f t="shared" si="60"/>
        <v>68.243887841064947</v>
      </c>
      <c r="BQ59" s="463">
        <f t="shared" si="111"/>
        <v>3.9618335347938446E-2</v>
      </c>
      <c r="BR59" s="463"/>
      <c r="BT59" s="147">
        <f t="shared" si="61"/>
        <v>39.618335347938448</v>
      </c>
      <c r="BU59" s="463">
        <f t="shared" si="112"/>
        <v>1.3848302025261338E-2</v>
      </c>
      <c r="BV59" s="463">
        <f t="shared" si="113"/>
        <v>2.4856459879500574E-2</v>
      </c>
      <c r="BW59" s="463">
        <f t="shared" si="114"/>
        <v>0</v>
      </c>
      <c r="BX59" s="463">
        <f t="shared" si="115"/>
        <v>4.348397628924916E-2</v>
      </c>
      <c r="BY59" s="463">
        <f t="shared" si="116"/>
        <v>2.0320000000000008E-2</v>
      </c>
      <c r="BZ59" s="147">
        <f t="shared" si="62"/>
        <v>63.803976289249164</v>
      </c>
      <c r="CA59" s="153">
        <f t="shared" si="63"/>
        <v>0.17166619947825257</v>
      </c>
      <c r="CB59" s="5">
        <f t="shared" si="64"/>
        <v>1.08</v>
      </c>
      <c r="CC59" s="153">
        <f t="shared" si="65"/>
        <v>0.86284985601607644</v>
      </c>
      <c r="CD59" s="5">
        <f t="shared" si="66"/>
        <v>86.284985601607644</v>
      </c>
      <c r="CG59" s="59">
        <f t="shared" si="117"/>
        <v>-50</v>
      </c>
      <c r="CH59">
        <f t="shared" si="118"/>
        <v>-50</v>
      </c>
    </row>
    <row r="60" spans="5:86" x14ac:dyDescent="0.25">
      <c r="E60" s="150">
        <v>55</v>
      </c>
      <c r="F60" s="191">
        <f t="shared" si="119"/>
        <v>5.5000000000000007E-2</v>
      </c>
      <c r="G60" s="191"/>
      <c r="H60" s="191">
        <f t="shared" si="67"/>
        <v>1.1000000000000001</v>
      </c>
      <c r="I60" s="472">
        <f t="shared" si="68"/>
        <v>20</v>
      </c>
      <c r="J60" s="152">
        <f t="shared" si="69"/>
        <v>20.32</v>
      </c>
      <c r="K60" s="386">
        <f t="shared" si="70"/>
        <v>40.32</v>
      </c>
      <c r="L60" s="386"/>
      <c r="M60" s="191">
        <f t="shared" si="71"/>
        <v>0.50396825396825395</v>
      </c>
      <c r="N60" s="152">
        <f t="shared" si="72"/>
        <v>3.4017857142857144</v>
      </c>
      <c r="O60" s="152">
        <f t="shared" si="53"/>
        <v>1.1000000000000001</v>
      </c>
      <c r="P60" s="191">
        <f t="shared" si="73"/>
        <v>0.17008928571428572</v>
      </c>
      <c r="Q60" s="191">
        <f t="shared" si="74"/>
        <v>20</v>
      </c>
      <c r="R60" s="191">
        <f t="shared" si="75"/>
        <v>0.18898809523809523</v>
      </c>
      <c r="S60" s="152">
        <f t="shared" si="76"/>
        <v>102.78934275728993</v>
      </c>
      <c r="T60" s="152">
        <f t="shared" si="77"/>
        <v>20</v>
      </c>
      <c r="U60" s="191">
        <f t="shared" si="78"/>
        <v>0.2425196850393701</v>
      </c>
      <c r="V60" s="191">
        <f t="shared" si="79"/>
        <v>0.72755905511811036</v>
      </c>
      <c r="W60" s="191">
        <f t="shared" si="80"/>
        <v>0.71610143220286449</v>
      </c>
      <c r="X60" s="175">
        <f t="shared" si="81"/>
        <v>350</v>
      </c>
      <c r="Y60" s="386">
        <f t="shared" si="54"/>
        <v>350</v>
      </c>
      <c r="AA60" s="191">
        <f t="shared" si="82"/>
        <v>0.47996976568405147</v>
      </c>
      <c r="AB60" s="153">
        <f t="shared" si="83"/>
        <v>1.4172335600907031</v>
      </c>
      <c r="AC60" s="153">
        <f t="shared" si="84"/>
        <v>0.11904012045735404</v>
      </c>
      <c r="AD60" s="153"/>
      <c r="AE60" s="153">
        <f t="shared" si="85"/>
        <v>0.44291338582677164</v>
      </c>
      <c r="AF60" s="317">
        <f t="shared" si="86"/>
        <v>1655.7037037037044</v>
      </c>
      <c r="AG60" s="463">
        <f t="shared" si="87"/>
        <v>1.1626476377952754E-2</v>
      </c>
      <c r="AI60" s="153">
        <f t="shared" si="88"/>
        <v>0.34389613295957588</v>
      </c>
      <c r="AJ60" s="153">
        <f t="shared" si="89"/>
        <v>0.34389613295957588</v>
      </c>
      <c r="AK60" s="153">
        <f t="shared" si="90"/>
        <v>1.3292640886397171</v>
      </c>
      <c r="AM60" s="317">
        <f t="shared" si="91"/>
        <v>55.000000000000007</v>
      </c>
      <c r="AN60" s="147">
        <f t="shared" si="92"/>
        <v>350</v>
      </c>
      <c r="AP60">
        <f t="shared" si="93"/>
        <v>55.000000000000007</v>
      </c>
      <c r="AQ60">
        <f t="shared" si="94"/>
        <v>350</v>
      </c>
      <c r="AS60" s="5">
        <f t="shared" si="55"/>
        <v>2.8571428571428572</v>
      </c>
      <c r="AT60" s="5">
        <f t="shared" si="95"/>
        <v>1.0316883988787278</v>
      </c>
      <c r="AU60" s="5">
        <f t="shared" si="56"/>
        <v>1.8254544582641294</v>
      </c>
      <c r="AV60" s="5">
        <f t="shared" si="96"/>
        <v>1.0154413374790627</v>
      </c>
      <c r="AW60" s="153">
        <f t="shared" si="57"/>
        <v>0.36109093960755473</v>
      </c>
      <c r="AX60" s="153">
        <f t="shared" si="97"/>
        <v>1.2417777777777781</v>
      </c>
      <c r="AY60" s="153">
        <f t="shared" si="98"/>
        <v>0.10985917759089901</v>
      </c>
      <c r="AZ60" s="153">
        <f t="shared" si="58"/>
        <v>11.303359491748552</v>
      </c>
      <c r="BA60" s="147">
        <f t="shared" si="99"/>
        <v>2.385619286777211</v>
      </c>
      <c r="BB60" s="147">
        <f t="shared" si="100"/>
        <v>4.3363346400000014</v>
      </c>
      <c r="BC60" s="5">
        <f t="shared" si="101"/>
        <v>0.11155555022725236</v>
      </c>
      <c r="BD60" s="147">
        <f t="shared" si="102"/>
        <v>11.33888835605857</v>
      </c>
      <c r="BE60" s="5"/>
      <c r="BF60" s="153">
        <f t="shared" si="59"/>
        <v>0.11930948212847034</v>
      </c>
      <c r="BG60" s="153">
        <f t="shared" si="103"/>
        <v>0.15870338442858209</v>
      </c>
      <c r="BH60" s="153"/>
      <c r="BI60" s="463">
        <f t="shared" si="104"/>
        <v>4.9821633840173235E-3</v>
      </c>
      <c r="BJ60" s="463">
        <f t="shared" si="105"/>
        <v>2.426531114162768E-2</v>
      </c>
      <c r="BK60" s="463">
        <f t="shared" si="106"/>
        <v>4.3749999999999995E-3</v>
      </c>
      <c r="BL60" s="463">
        <f t="shared" si="107"/>
        <v>2.8449792000000005E-2</v>
      </c>
      <c r="BM60">
        <f t="shared" si="108"/>
        <v>5.7999999999999996E-3</v>
      </c>
      <c r="BN60">
        <f t="shared" si="109"/>
        <v>1.3124999999999999E-5</v>
      </c>
      <c r="BO60" s="463">
        <f t="shared" si="110"/>
        <v>6.8621060688967728E-2</v>
      </c>
      <c r="BP60" s="147">
        <f t="shared" si="60"/>
        <v>68.621060688967731</v>
      </c>
      <c r="BQ60" s="463">
        <f t="shared" si="111"/>
        <v>4.0252687871021951E-2</v>
      </c>
      <c r="BR60" s="463"/>
      <c r="BT60" s="147">
        <f t="shared" si="61"/>
        <v>40.252687871021948</v>
      </c>
      <c r="BU60" s="463">
        <f t="shared" si="112"/>
        <v>1.4234752525763783E-2</v>
      </c>
      <c r="BV60" s="463">
        <f t="shared" si="113"/>
        <v>2.5186764229086313E-2</v>
      </c>
      <c r="BW60" s="463">
        <f t="shared" si="114"/>
        <v>0</v>
      </c>
      <c r="BX60" s="463">
        <f t="shared" si="115"/>
        <v>4.4291782705755081E-2</v>
      </c>
      <c r="BY60" s="463">
        <f t="shared" si="116"/>
        <v>2.0696296296296306E-2</v>
      </c>
      <c r="BZ60" s="147">
        <f t="shared" si="62"/>
        <v>64.988079002051393</v>
      </c>
      <c r="CA60" s="153">
        <f t="shared" si="63"/>
        <v>0.17386182756204108</v>
      </c>
      <c r="CB60" s="5">
        <f t="shared" si="64"/>
        <v>1.1000000000000001</v>
      </c>
      <c r="CC60" s="153">
        <f t="shared" si="65"/>
        <v>0.86351594513607211</v>
      </c>
      <c r="CD60" s="5">
        <f t="shared" si="66"/>
        <v>86.351594513607211</v>
      </c>
      <c r="CG60" s="59">
        <f t="shared" si="117"/>
        <v>-50</v>
      </c>
      <c r="CH60">
        <f t="shared" si="118"/>
        <v>-50</v>
      </c>
    </row>
    <row r="61" spans="5:86" x14ac:dyDescent="0.25">
      <c r="E61" s="150">
        <v>56</v>
      </c>
      <c r="F61" s="191">
        <f t="shared" si="119"/>
        <v>5.6000000000000008E-2</v>
      </c>
      <c r="G61" s="191"/>
      <c r="H61" s="191">
        <f t="shared" si="67"/>
        <v>1.1200000000000001</v>
      </c>
      <c r="I61" s="472">
        <f t="shared" si="68"/>
        <v>20</v>
      </c>
      <c r="J61" s="152">
        <f t="shared" si="69"/>
        <v>20.32</v>
      </c>
      <c r="K61" s="386">
        <f t="shared" si="70"/>
        <v>40.32</v>
      </c>
      <c r="L61" s="386"/>
      <c r="M61" s="191">
        <f t="shared" si="71"/>
        <v>0.50396825396825395</v>
      </c>
      <c r="N61" s="152">
        <f t="shared" si="72"/>
        <v>3.4017857142857144</v>
      </c>
      <c r="O61" s="152">
        <f t="shared" si="53"/>
        <v>1.1200000000000001</v>
      </c>
      <c r="P61" s="191">
        <f t="shared" si="73"/>
        <v>0.17008928571428572</v>
      </c>
      <c r="Q61" s="191">
        <f t="shared" si="74"/>
        <v>20</v>
      </c>
      <c r="R61" s="191">
        <f t="shared" si="75"/>
        <v>0.18898809523809523</v>
      </c>
      <c r="S61" s="152">
        <f t="shared" si="76"/>
        <v>100.59913139911261</v>
      </c>
      <c r="T61" s="152">
        <f t="shared" si="77"/>
        <v>20</v>
      </c>
      <c r="U61" s="191">
        <f t="shared" si="78"/>
        <v>0.24692913385826776</v>
      </c>
      <c r="V61" s="191">
        <f t="shared" si="79"/>
        <v>0.74078740157480327</v>
      </c>
      <c r="W61" s="191">
        <f t="shared" si="80"/>
        <v>0.72912145824291663</v>
      </c>
      <c r="X61" s="175">
        <f t="shared" si="81"/>
        <v>350</v>
      </c>
      <c r="Y61" s="386">
        <f t="shared" si="54"/>
        <v>350</v>
      </c>
      <c r="AA61" s="191">
        <f t="shared" si="82"/>
        <v>0.47996976568405147</v>
      </c>
      <c r="AB61" s="153">
        <f t="shared" si="83"/>
        <v>1.4172335600907031</v>
      </c>
      <c r="AC61" s="153">
        <f t="shared" si="84"/>
        <v>0.11904012045735404</v>
      </c>
      <c r="AD61" s="153"/>
      <c r="AE61" s="153">
        <f t="shared" si="85"/>
        <v>0.44291338582677164</v>
      </c>
      <c r="AF61" s="317">
        <f t="shared" si="86"/>
        <v>1685.8074074074079</v>
      </c>
      <c r="AG61" s="463">
        <f t="shared" si="87"/>
        <v>1.1626476377952754E-2</v>
      </c>
      <c r="AI61" s="153">
        <f t="shared" si="88"/>
        <v>0.34700837859454464</v>
      </c>
      <c r="AJ61" s="153">
        <f t="shared" si="89"/>
        <v>0.34700837859454464</v>
      </c>
      <c r="AK61" s="153">
        <f t="shared" si="90"/>
        <v>1.3313389190630298</v>
      </c>
      <c r="AM61" s="317">
        <f t="shared" si="91"/>
        <v>56.000000000000007</v>
      </c>
      <c r="AN61" s="147">
        <f t="shared" si="92"/>
        <v>350</v>
      </c>
      <c r="AP61">
        <f t="shared" si="93"/>
        <v>56.000000000000007</v>
      </c>
      <c r="AQ61">
        <f t="shared" si="94"/>
        <v>350</v>
      </c>
      <c r="AS61" s="5">
        <f t="shared" si="55"/>
        <v>2.8571428571428572</v>
      </c>
      <c r="AT61" s="5">
        <f t="shared" si="95"/>
        <v>1.041025135783634</v>
      </c>
      <c r="AU61" s="5">
        <f t="shared" si="56"/>
        <v>1.8161177213592232</v>
      </c>
      <c r="AV61" s="5">
        <f t="shared" si="96"/>
        <v>1.0246310391571201</v>
      </c>
      <c r="AW61" s="153">
        <f t="shared" si="57"/>
        <v>0.36435879752427186</v>
      </c>
      <c r="AX61" s="153">
        <f t="shared" si="97"/>
        <v>1.2643555555555557</v>
      </c>
      <c r="AY61" s="153">
        <f t="shared" si="98"/>
        <v>0.11028641151949453</v>
      </c>
      <c r="AZ61" s="153">
        <f t="shared" si="58"/>
        <v>11.464291367681907</v>
      </c>
      <c r="BA61" s="147">
        <f t="shared" si="99"/>
        <v>2.385619286777211</v>
      </c>
      <c r="BB61" s="147">
        <f t="shared" si="100"/>
        <v>4.4923984896000002</v>
      </c>
      <c r="BC61" s="5">
        <f t="shared" si="101"/>
        <v>0.11300288044012945</v>
      </c>
      <c r="BD61" s="147">
        <f t="shared" si="102"/>
        <v>11.486954710679614</v>
      </c>
      <c r="BE61" s="5"/>
      <c r="BF61" s="153">
        <f t="shared" si="59"/>
        <v>0.1209327597331589</v>
      </c>
      <c r="BG61" s="153">
        <f t="shared" si="103"/>
        <v>0.15972958156916439</v>
      </c>
      <c r="BH61" s="153"/>
      <c r="BI61" s="463">
        <f t="shared" si="104"/>
        <v>5.1186563318372773E-3</v>
      </c>
      <c r="BJ61" s="463">
        <f t="shared" si="105"/>
        <v>2.4484911193631075E-2</v>
      </c>
      <c r="BK61" s="463">
        <f t="shared" si="106"/>
        <v>4.3749999999999995E-3</v>
      </c>
      <c r="BL61" s="463">
        <f t="shared" si="107"/>
        <v>2.8449792000000005E-2</v>
      </c>
      <c r="BM61">
        <f t="shared" si="108"/>
        <v>5.7999999999999996E-3</v>
      </c>
      <c r="BN61">
        <f t="shared" si="109"/>
        <v>1.3124999999999999E-5</v>
      </c>
      <c r="BO61" s="463">
        <f t="shared" si="110"/>
        <v>6.8997663978578677E-2</v>
      </c>
      <c r="BP61" s="147">
        <f t="shared" si="60"/>
        <v>68.997663978578672</v>
      </c>
      <c r="BQ61" s="463">
        <f t="shared" si="111"/>
        <v>4.0884343970390903E-2</v>
      </c>
      <c r="BR61" s="463"/>
      <c r="BT61" s="147">
        <f t="shared" si="61"/>
        <v>40.884343970390901</v>
      </c>
      <c r="BU61" s="463">
        <f t="shared" si="112"/>
        <v>1.4624732376677937E-2</v>
      </c>
      <c r="BV61" s="463">
        <f t="shared" si="113"/>
        <v>2.5513539228260339E-2</v>
      </c>
      <c r="BW61" s="463">
        <f t="shared" si="114"/>
        <v>0</v>
      </c>
      <c r="BX61" s="463">
        <f t="shared" si="115"/>
        <v>4.509968206055831E-2</v>
      </c>
      <c r="BY61" s="463">
        <f t="shared" si="116"/>
        <v>2.1072592592592598E-2</v>
      </c>
      <c r="BZ61" s="147">
        <f t="shared" si="62"/>
        <v>66.172274653150907</v>
      </c>
      <c r="CA61" s="153">
        <f t="shared" si="63"/>
        <v>0.17605428260212047</v>
      </c>
      <c r="CB61" s="5">
        <f t="shared" si="64"/>
        <v>1.1200000000000001</v>
      </c>
      <c r="CC61" s="153">
        <f t="shared" si="65"/>
        <v>0.86416133570528242</v>
      </c>
      <c r="CD61" s="5">
        <f t="shared" si="66"/>
        <v>86.416133570528245</v>
      </c>
      <c r="CG61" s="59">
        <f t="shared" si="117"/>
        <v>-50</v>
      </c>
      <c r="CH61">
        <f t="shared" si="118"/>
        <v>-50</v>
      </c>
    </row>
    <row r="62" spans="5:86" x14ac:dyDescent="0.25">
      <c r="E62" s="150">
        <v>57</v>
      </c>
      <c r="F62" s="191">
        <f t="shared" si="119"/>
        <v>5.6999999999999995E-2</v>
      </c>
      <c r="G62" s="191"/>
      <c r="H62" s="191">
        <f t="shared" si="67"/>
        <v>1.1399999999999999</v>
      </c>
      <c r="I62" s="472">
        <f t="shared" si="68"/>
        <v>20</v>
      </c>
      <c r="J62" s="152">
        <f t="shared" si="69"/>
        <v>20.32</v>
      </c>
      <c r="K62" s="386">
        <f t="shared" si="70"/>
        <v>40.32</v>
      </c>
      <c r="L62" s="386"/>
      <c r="M62" s="191">
        <f t="shared" si="71"/>
        <v>0.50396825396825395</v>
      </c>
      <c r="N62" s="152">
        <f t="shared" si="72"/>
        <v>3.4017857142857144</v>
      </c>
      <c r="O62" s="152">
        <f t="shared" si="53"/>
        <v>1.1399999999999999</v>
      </c>
      <c r="P62" s="191">
        <f t="shared" si="73"/>
        <v>0.17008928571428572</v>
      </c>
      <c r="Q62" s="191">
        <f t="shared" si="74"/>
        <v>20</v>
      </c>
      <c r="R62" s="191">
        <f t="shared" si="75"/>
        <v>0.18898809523809523</v>
      </c>
      <c r="S62" s="152">
        <f t="shared" si="76"/>
        <v>98.485826139883414</v>
      </c>
      <c r="T62" s="152">
        <f t="shared" si="77"/>
        <v>20</v>
      </c>
      <c r="U62" s="191">
        <f t="shared" si="78"/>
        <v>0.25133858267716536</v>
      </c>
      <c r="V62" s="191">
        <f t="shared" si="79"/>
        <v>0.75401574803149618</v>
      </c>
      <c r="W62" s="191">
        <f t="shared" si="80"/>
        <v>0.74214148428296856</v>
      </c>
      <c r="X62" s="175">
        <f t="shared" si="81"/>
        <v>350</v>
      </c>
      <c r="Y62" s="386">
        <f t="shared" si="54"/>
        <v>350</v>
      </c>
      <c r="AA62" s="191">
        <f t="shared" si="82"/>
        <v>0.47996976568405147</v>
      </c>
      <c r="AB62" s="153">
        <f t="shared" si="83"/>
        <v>1.4172335600907031</v>
      </c>
      <c r="AC62" s="153">
        <f t="shared" si="84"/>
        <v>0.11904012045735404</v>
      </c>
      <c r="AD62" s="153"/>
      <c r="AE62" s="153">
        <f t="shared" si="85"/>
        <v>0.44291338582677164</v>
      </c>
      <c r="AF62" s="317">
        <f t="shared" si="86"/>
        <v>1715.9111111111113</v>
      </c>
      <c r="AG62" s="463">
        <f t="shared" si="87"/>
        <v>1.1626476377952754E-2</v>
      </c>
      <c r="AI62" s="153">
        <f t="shared" si="88"/>
        <v>0.35009295817693814</v>
      </c>
      <c r="AJ62" s="153">
        <f t="shared" si="89"/>
        <v>0.35009295817693814</v>
      </c>
      <c r="AK62" s="153">
        <f t="shared" si="90"/>
        <v>1.3333953054512921</v>
      </c>
      <c r="AM62" s="317">
        <f t="shared" si="91"/>
        <v>56.999999999999993</v>
      </c>
      <c r="AN62" s="147">
        <f t="shared" si="92"/>
        <v>350</v>
      </c>
      <c r="AP62">
        <f t="shared" si="93"/>
        <v>56.999999999999993</v>
      </c>
      <c r="AQ62">
        <f t="shared" si="94"/>
        <v>350</v>
      </c>
      <c r="AS62" s="5">
        <f t="shared" si="55"/>
        <v>2.8571428571428572</v>
      </c>
      <c r="AT62" s="5">
        <f t="shared" si="95"/>
        <v>1.0502788745308145</v>
      </c>
      <c r="AU62" s="5">
        <f t="shared" si="56"/>
        <v>1.8068639826120427</v>
      </c>
      <c r="AV62" s="5">
        <f t="shared" si="96"/>
        <v>1.0337390497350538</v>
      </c>
      <c r="AW62" s="153">
        <f t="shared" si="57"/>
        <v>0.36759760608578507</v>
      </c>
      <c r="AX62" s="153">
        <f t="shared" si="97"/>
        <v>1.2869333333333335</v>
      </c>
      <c r="AY62" s="153">
        <f t="shared" si="98"/>
        <v>0.11069981242180241</v>
      </c>
      <c r="AZ62" s="153">
        <f t="shared" si="58"/>
        <v>11.625433730905501</v>
      </c>
      <c r="BA62" s="147">
        <f t="shared" si="99"/>
        <v>2.385619286777211</v>
      </c>
      <c r="BB62" s="147">
        <f t="shared" si="100"/>
        <v>4.6512202463999994</v>
      </c>
      <c r="BC62" s="5">
        <f t="shared" si="101"/>
        <v>0.11443471889876269</v>
      </c>
      <c r="BD62" s="147">
        <f t="shared" si="102"/>
        <v>11.633471889876269</v>
      </c>
      <c r="BE62" s="5"/>
      <c r="BF62" s="153">
        <f t="shared" si="59"/>
        <v>0.12254880628320761</v>
      </c>
      <c r="BG62" s="153">
        <f t="shared" si="103"/>
        <v>0.16073834804920484</v>
      </c>
      <c r="BH62" s="153"/>
      <c r="BI62" s="463">
        <f t="shared" si="104"/>
        <v>5.2563734725037002E-3</v>
      </c>
      <c r="BJ62" s="463">
        <f t="shared" si="105"/>
        <v>2.4702559128964754E-2</v>
      </c>
      <c r="BK62" s="463">
        <f t="shared" si="106"/>
        <v>4.3749999999999995E-3</v>
      </c>
      <c r="BL62" s="463">
        <f t="shared" si="107"/>
        <v>2.8449792000000005E-2</v>
      </c>
      <c r="BM62">
        <f t="shared" si="108"/>
        <v>5.7999999999999996E-3</v>
      </c>
      <c r="BN62">
        <f t="shared" si="109"/>
        <v>1.3124999999999999E-5</v>
      </c>
      <c r="BO62" s="463">
        <f t="shared" si="110"/>
        <v>6.9373738734911775E-2</v>
      </c>
      <c r="BP62" s="147">
        <f t="shared" si="60"/>
        <v>69.373738734911768</v>
      </c>
      <c r="BQ62" s="463">
        <f t="shared" si="111"/>
        <v>4.1513327831660708E-2</v>
      </c>
      <c r="BR62" s="463"/>
      <c r="BT62" s="147">
        <f t="shared" si="61"/>
        <v>41.51332783166071</v>
      </c>
      <c r="BU62" s="463">
        <f t="shared" si="112"/>
        <v>1.5018209921439145E-2</v>
      </c>
      <c r="BV62" s="463">
        <f t="shared" si="113"/>
        <v>2.5836816533587312E-2</v>
      </c>
      <c r="BW62" s="463">
        <f t="shared" si="114"/>
        <v>0</v>
      </c>
      <c r="BX62" s="463">
        <f t="shared" si="115"/>
        <v>4.5907674369698656E-2</v>
      </c>
      <c r="BY62" s="463">
        <f t="shared" si="116"/>
        <v>2.1448888888888892E-2</v>
      </c>
      <c r="BZ62" s="147">
        <f t="shared" si="62"/>
        <v>67.356563258587542</v>
      </c>
      <c r="CA62" s="153">
        <f t="shared" si="63"/>
        <v>0.17824362982516007</v>
      </c>
      <c r="CB62" s="5">
        <f t="shared" si="64"/>
        <v>1.1399999999999999</v>
      </c>
      <c r="CC62" s="153">
        <f t="shared" si="65"/>
        <v>0.86478703496651788</v>
      </c>
      <c r="CD62" s="5">
        <f t="shared" si="66"/>
        <v>86.478703496651789</v>
      </c>
      <c r="CG62" s="59">
        <f t="shared" si="117"/>
        <v>-50</v>
      </c>
      <c r="CH62">
        <f t="shared" si="118"/>
        <v>-50</v>
      </c>
    </row>
    <row r="63" spans="5:86" x14ac:dyDescent="0.25">
      <c r="E63" s="150">
        <v>58</v>
      </c>
      <c r="F63" s="191">
        <f t="shared" si="119"/>
        <v>5.7999999999999996E-2</v>
      </c>
      <c r="G63" s="191"/>
      <c r="H63" s="191">
        <f t="shared" si="67"/>
        <v>1.1599999999999999</v>
      </c>
      <c r="I63" s="472">
        <f t="shared" si="68"/>
        <v>20</v>
      </c>
      <c r="J63" s="152">
        <f t="shared" si="69"/>
        <v>20.32</v>
      </c>
      <c r="K63" s="386">
        <f t="shared" si="70"/>
        <v>40.32</v>
      </c>
      <c r="L63" s="386"/>
      <c r="M63" s="191">
        <f t="shared" si="71"/>
        <v>0.50396825396825395</v>
      </c>
      <c r="N63" s="152">
        <f t="shared" si="72"/>
        <v>3.4017857142857144</v>
      </c>
      <c r="O63" s="152">
        <f t="shared" si="53"/>
        <v>1.1599999999999999</v>
      </c>
      <c r="P63" s="191">
        <f t="shared" si="73"/>
        <v>0.17008928571428572</v>
      </c>
      <c r="Q63" s="191">
        <f t="shared" si="74"/>
        <v>20</v>
      </c>
      <c r="R63" s="191">
        <f t="shared" si="75"/>
        <v>0.18898809523809523</v>
      </c>
      <c r="S63" s="152">
        <f t="shared" si="76"/>
        <v>96.445449654083916</v>
      </c>
      <c r="T63" s="152">
        <f t="shared" si="77"/>
        <v>20</v>
      </c>
      <c r="U63" s="191">
        <f t="shared" si="78"/>
        <v>0.25574803149606296</v>
      </c>
      <c r="V63" s="191">
        <f t="shared" si="79"/>
        <v>0.76724409448818898</v>
      </c>
      <c r="W63" s="191">
        <f t="shared" si="80"/>
        <v>0.75516151032302059</v>
      </c>
      <c r="X63" s="175">
        <f t="shared" si="81"/>
        <v>350</v>
      </c>
      <c r="Y63" s="386">
        <f t="shared" si="54"/>
        <v>350</v>
      </c>
      <c r="AA63" s="191">
        <f t="shared" si="82"/>
        <v>0.47996976568405147</v>
      </c>
      <c r="AB63" s="153">
        <f t="shared" si="83"/>
        <v>1.4172335600907031</v>
      </c>
      <c r="AC63" s="153">
        <f t="shared" si="84"/>
        <v>0.11904012045735404</v>
      </c>
      <c r="AD63" s="153"/>
      <c r="AE63" s="153">
        <f t="shared" si="85"/>
        <v>0.44291338582677164</v>
      </c>
      <c r="AF63" s="317">
        <f t="shared" si="86"/>
        <v>1746.0148148148151</v>
      </c>
      <c r="AG63" s="463">
        <f t="shared" si="87"/>
        <v>1.1626476377952754E-2</v>
      </c>
      <c r="AI63" s="153">
        <f t="shared" si="88"/>
        <v>0.35315059665154741</v>
      </c>
      <c r="AJ63" s="153">
        <f t="shared" si="89"/>
        <v>0.35315059665154741</v>
      </c>
      <c r="AK63" s="153">
        <f t="shared" si="90"/>
        <v>1.3354337311010316</v>
      </c>
      <c r="AM63" s="317">
        <f t="shared" si="91"/>
        <v>57.999999999999993</v>
      </c>
      <c r="AN63" s="147">
        <f t="shared" si="92"/>
        <v>350</v>
      </c>
      <c r="AP63">
        <f t="shared" si="93"/>
        <v>57.999999999999993</v>
      </c>
      <c r="AQ63">
        <f t="shared" si="94"/>
        <v>350</v>
      </c>
      <c r="AS63" s="5">
        <f t="shared" si="55"/>
        <v>2.8571428571428572</v>
      </c>
      <c r="AT63" s="5">
        <f t="shared" si="95"/>
        <v>1.0594517899546423</v>
      </c>
      <c r="AU63" s="5">
        <f t="shared" si="56"/>
        <v>1.7976910671882149</v>
      </c>
      <c r="AV63" s="5">
        <f t="shared" si="96"/>
        <v>1.0427675097978761</v>
      </c>
      <c r="AW63" s="153">
        <f t="shared" si="57"/>
        <v>0.37080812648412481</v>
      </c>
      <c r="AX63" s="153">
        <f t="shared" si="97"/>
        <v>1.3095111111111113</v>
      </c>
      <c r="AY63" s="153">
        <f t="shared" si="98"/>
        <v>0.11109974277021814</v>
      </c>
      <c r="AZ63" s="153">
        <f t="shared" si="58"/>
        <v>11.786805967854539</v>
      </c>
      <c r="BA63" s="147">
        <f t="shared" si="99"/>
        <v>2.385619286777211</v>
      </c>
      <c r="BB63" s="147">
        <f t="shared" si="100"/>
        <v>4.8127999103999999</v>
      </c>
      <c r="BC63" s="5">
        <f t="shared" si="101"/>
        <v>0.11585120210768496</v>
      </c>
      <c r="BD63" s="147">
        <f t="shared" si="102"/>
        <v>11.778453544101829</v>
      </c>
      <c r="BE63" s="5"/>
      <c r="BF63" s="153">
        <f t="shared" si="59"/>
        <v>0.12415778002347387</v>
      </c>
      <c r="BG63" s="153">
        <f t="shared" si="103"/>
        <v>0.16173010531362836</v>
      </c>
      <c r="BH63" s="153"/>
      <c r="BI63" s="463">
        <f t="shared" si="104"/>
        <v>5.3953040191250645E-3</v>
      </c>
      <c r="BJ63" s="463">
        <f t="shared" si="105"/>
        <v>2.4918306099733185E-2</v>
      </c>
      <c r="BK63" s="463">
        <f t="shared" si="106"/>
        <v>4.3749999999999995E-3</v>
      </c>
      <c r="BL63" s="463">
        <f t="shared" si="107"/>
        <v>2.8449792000000005E-2</v>
      </c>
      <c r="BM63">
        <f t="shared" si="108"/>
        <v>5.7999999999999996E-3</v>
      </c>
      <c r="BN63">
        <f t="shared" si="109"/>
        <v>1.3124999999999999E-5</v>
      </c>
      <c r="BO63" s="463">
        <f t="shared" si="110"/>
        <v>6.9749323981517744E-2</v>
      </c>
      <c r="BP63" s="147">
        <f t="shared" si="60"/>
        <v>69.749323981517747</v>
      </c>
      <c r="BQ63" s="463">
        <f t="shared" si="111"/>
        <v>4.2139663001074593E-2</v>
      </c>
      <c r="BR63" s="463"/>
      <c r="BT63" s="147">
        <f t="shared" si="61"/>
        <v>42.139663001074595</v>
      </c>
      <c r="BU63" s="463">
        <f t="shared" si="112"/>
        <v>1.5415154340357328E-2</v>
      </c>
      <c r="BV63" s="463">
        <f t="shared" si="113"/>
        <v>2.6156626964757321E-2</v>
      </c>
      <c r="BW63" s="463">
        <f t="shared" si="114"/>
        <v>0</v>
      </c>
      <c r="BX63" s="463">
        <f t="shared" si="115"/>
        <v>4.6715759649219583E-2</v>
      </c>
      <c r="BY63" s="463">
        <f t="shared" si="116"/>
        <v>2.1825185185185191E-2</v>
      </c>
      <c r="BZ63" s="147">
        <f t="shared" si="62"/>
        <v>68.540944834404769</v>
      </c>
      <c r="CA63" s="153">
        <f t="shared" si="63"/>
        <v>0.18042993181699712</v>
      </c>
      <c r="CB63" s="5">
        <f t="shared" si="64"/>
        <v>1.1599999999999999</v>
      </c>
      <c r="CC63" s="153">
        <f t="shared" si="65"/>
        <v>0.86539398476993246</v>
      </c>
      <c r="CD63" s="5">
        <f t="shared" si="66"/>
        <v>86.539398476993242</v>
      </c>
      <c r="CG63" s="59">
        <f t="shared" si="117"/>
        <v>-50</v>
      </c>
      <c r="CH63">
        <f t="shared" si="118"/>
        <v>-50</v>
      </c>
    </row>
    <row r="64" spans="5:86" x14ac:dyDescent="0.25">
      <c r="E64" s="150">
        <v>59</v>
      </c>
      <c r="F64" s="191">
        <f t="shared" si="119"/>
        <v>5.8999999999999997E-2</v>
      </c>
      <c r="G64" s="191"/>
      <c r="H64" s="191">
        <f t="shared" si="67"/>
        <v>1.18</v>
      </c>
      <c r="I64" s="472">
        <f t="shared" si="68"/>
        <v>20</v>
      </c>
      <c r="J64" s="152">
        <f t="shared" si="69"/>
        <v>20.32</v>
      </c>
      <c r="K64" s="386">
        <f t="shared" si="70"/>
        <v>40.32</v>
      </c>
      <c r="L64" s="386"/>
      <c r="M64" s="191">
        <f t="shared" si="71"/>
        <v>0.50396825396825395</v>
      </c>
      <c r="N64" s="152">
        <f t="shared" si="72"/>
        <v>3.4017857142857144</v>
      </c>
      <c r="O64" s="152">
        <f t="shared" si="53"/>
        <v>1.18</v>
      </c>
      <c r="P64" s="191">
        <f t="shared" si="73"/>
        <v>0.17008928571428572</v>
      </c>
      <c r="Q64" s="191">
        <f t="shared" si="74"/>
        <v>20</v>
      </c>
      <c r="R64" s="191">
        <f t="shared" si="75"/>
        <v>0.18898809523809523</v>
      </c>
      <c r="S64" s="152">
        <f t="shared" si="76"/>
        <v>94.474294273041664</v>
      </c>
      <c r="T64" s="152">
        <f t="shared" si="77"/>
        <v>20</v>
      </c>
      <c r="U64" s="191">
        <f t="shared" si="78"/>
        <v>0.26015748031496061</v>
      </c>
      <c r="V64" s="191">
        <f t="shared" si="79"/>
        <v>0.78047244094488188</v>
      </c>
      <c r="W64" s="191">
        <f t="shared" si="80"/>
        <v>0.76818153636307263</v>
      </c>
      <c r="X64" s="175">
        <f t="shared" si="81"/>
        <v>350</v>
      </c>
      <c r="Y64" s="386">
        <f t="shared" si="54"/>
        <v>350</v>
      </c>
      <c r="AA64" s="191">
        <f t="shared" si="82"/>
        <v>0.47996976568405147</v>
      </c>
      <c r="AB64" s="153">
        <f t="shared" si="83"/>
        <v>1.4172335600907031</v>
      </c>
      <c r="AC64" s="153">
        <f t="shared" si="84"/>
        <v>0.11904012045735404</v>
      </c>
      <c r="AD64" s="153"/>
      <c r="AE64" s="153">
        <f t="shared" si="85"/>
        <v>0.44291338582677164</v>
      </c>
      <c r="AF64" s="317">
        <f t="shared" si="86"/>
        <v>1776.1185185185186</v>
      </c>
      <c r="AG64" s="463">
        <f t="shared" si="87"/>
        <v>1.1626476377952754E-2</v>
      </c>
      <c r="AI64" s="153">
        <f t="shared" si="88"/>
        <v>0.35618198784555133</v>
      </c>
      <c r="AJ64" s="153">
        <f t="shared" si="89"/>
        <v>0.35618198784555133</v>
      </c>
      <c r="AK64" s="153">
        <f t="shared" si="90"/>
        <v>1.3374546585637008</v>
      </c>
      <c r="AM64" s="317">
        <f t="shared" si="91"/>
        <v>59</v>
      </c>
      <c r="AN64" s="147">
        <f t="shared" si="92"/>
        <v>350</v>
      </c>
      <c r="AP64">
        <f t="shared" si="93"/>
        <v>59</v>
      </c>
      <c r="AQ64">
        <f t="shared" si="94"/>
        <v>350</v>
      </c>
      <c r="AS64" s="5">
        <f t="shared" si="55"/>
        <v>2.8571428571428572</v>
      </c>
      <c r="AT64" s="5">
        <f t="shared" si="95"/>
        <v>1.0685459635366541</v>
      </c>
      <c r="AU64" s="5">
        <f t="shared" si="56"/>
        <v>1.7885968936062031</v>
      </c>
      <c r="AV64" s="5">
        <f t="shared" si="96"/>
        <v>1.0517184680478877</v>
      </c>
      <c r="AW64" s="153">
        <f t="shared" si="57"/>
        <v>0.37399108723782892</v>
      </c>
      <c r="AX64" s="153">
        <f t="shared" si="97"/>
        <v>1.3320888888888891</v>
      </c>
      <c r="AY64" s="153">
        <f t="shared" si="98"/>
        <v>0.11148654947833121</v>
      </c>
      <c r="AZ64" s="153">
        <f t="shared" si="58"/>
        <v>11.948426918960273</v>
      </c>
      <c r="BA64" s="147">
        <f t="shared" si="99"/>
        <v>2.385619286777211</v>
      </c>
      <c r="BB64" s="147">
        <f t="shared" si="100"/>
        <v>4.977137481599998</v>
      </c>
      <c r="BC64" s="5">
        <f t="shared" si="101"/>
        <v>0.11725246302529554</v>
      </c>
      <c r="BD64" s="147">
        <f t="shared" si="102"/>
        <v>11.921912969196217</v>
      </c>
      <c r="BE64" s="5"/>
      <c r="BF64" s="153">
        <f t="shared" si="59"/>
        <v>0.12575983307233093</v>
      </c>
      <c r="BG64" s="153">
        <f t="shared" si="103"/>
        <v>0.16270525664778715</v>
      </c>
      <c r="BH64" s="153"/>
      <c r="BI64" s="463">
        <f t="shared" si="104"/>
        <v>5.5354374650331889E-3</v>
      </c>
      <c r="BJ64" s="463">
        <f t="shared" si="105"/>
        <v>2.5132201062382103E-2</v>
      </c>
      <c r="BK64" s="463">
        <f t="shared" si="106"/>
        <v>4.3749999999999995E-3</v>
      </c>
      <c r="BL64" s="463">
        <f t="shared" si="107"/>
        <v>2.8449792000000005E-2</v>
      </c>
      <c r="BM64">
        <f t="shared" si="108"/>
        <v>5.7999999999999996E-3</v>
      </c>
      <c r="BN64">
        <f t="shared" si="109"/>
        <v>1.3124999999999999E-5</v>
      </c>
      <c r="BO64" s="463">
        <f t="shared" si="110"/>
        <v>7.012445686638627E-2</v>
      </c>
      <c r="BP64" s="147">
        <f t="shared" si="60"/>
        <v>70.124456866386268</v>
      </c>
      <c r="BQ64" s="463">
        <f t="shared" si="111"/>
        <v>4.2763372413188228E-2</v>
      </c>
      <c r="BR64" s="463"/>
      <c r="BT64" s="147">
        <f t="shared" si="61"/>
        <v>42.763372413188229</v>
      </c>
      <c r="BU64" s="463">
        <f t="shared" si="112"/>
        <v>1.5815535614380542E-2</v>
      </c>
      <c r="BV64" s="463">
        <f t="shared" si="113"/>
        <v>2.6473000540822283E-2</v>
      </c>
      <c r="BW64" s="463">
        <f t="shared" si="114"/>
        <v>0</v>
      </c>
      <c r="BX64" s="463">
        <f t="shared" si="115"/>
        <v>4.7523937915168221E-2</v>
      </c>
      <c r="BY64" s="463">
        <f t="shared" si="116"/>
        <v>2.2201481481481489E-2</v>
      </c>
      <c r="BZ64" s="147">
        <f t="shared" si="62"/>
        <v>69.725419396649713</v>
      </c>
      <c r="CA64" s="153">
        <f t="shared" si="63"/>
        <v>0.18261324867622419</v>
      </c>
      <c r="CB64" s="5">
        <f t="shared" si="64"/>
        <v>1.18</v>
      </c>
      <c r="CC64" s="153">
        <f t="shared" si="65"/>
        <v>0.86598306683599868</v>
      </c>
      <c r="CD64" s="5">
        <f t="shared" si="66"/>
        <v>86.598306683599873</v>
      </c>
      <c r="CG64" s="59">
        <f t="shared" si="117"/>
        <v>-50</v>
      </c>
      <c r="CH64">
        <f t="shared" si="118"/>
        <v>-50</v>
      </c>
    </row>
    <row r="65" spans="5:86" x14ac:dyDescent="0.25">
      <c r="E65" s="150">
        <v>60</v>
      </c>
      <c r="F65" s="191">
        <f t="shared" si="119"/>
        <v>0.06</v>
      </c>
      <c r="G65" s="191"/>
      <c r="H65" s="191">
        <f t="shared" si="67"/>
        <v>1.2</v>
      </c>
      <c r="I65" s="472">
        <f t="shared" si="68"/>
        <v>20</v>
      </c>
      <c r="J65" s="152">
        <f t="shared" si="69"/>
        <v>20.32</v>
      </c>
      <c r="K65" s="386">
        <f t="shared" si="70"/>
        <v>40.32</v>
      </c>
      <c r="L65" s="386"/>
      <c r="M65" s="191">
        <f t="shared" si="71"/>
        <v>0.50396825396825395</v>
      </c>
      <c r="N65" s="152">
        <f t="shared" si="72"/>
        <v>3.4017857142857144</v>
      </c>
      <c r="O65" s="152">
        <f t="shared" si="53"/>
        <v>1.2</v>
      </c>
      <c r="P65" s="191">
        <f t="shared" si="73"/>
        <v>0.17008928571428572</v>
      </c>
      <c r="Q65" s="191">
        <f t="shared" si="74"/>
        <v>20</v>
      </c>
      <c r="R65" s="191">
        <f t="shared" si="75"/>
        <v>0.18898809523809523</v>
      </c>
      <c r="S65" s="152">
        <f t="shared" si="76"/>
        <v>92.568899513650265</v>
      </c>
      <c r="T65" s="152">
        <f t="shared" si="77"/>
        <v>20</v>
      </c>
      <c r="U65" s="191">
        <f t="shared" si="78"/>
        <v>0.26456692913385826</v>
      </c>
      <c r="V65" s="191">
        <f t="shared" si="79"/>
        <v>0.79370078740157479</v>
      </c>
      <c r="W65" s="191">
        <f t="shared" si="80"/>
        <v>0.78120156240312488</v>
      </c>
      <c r="X65" s="175">
        <f t="shared" si="81"/>
        <v>350</v>
      </c>
      <c r="Y65" s="386">
        <f t="shared" si="54"/>
        <v>350</v>
      </c>
      <c r="AA65" s="191">
        <f t="shared" si="82"/>
        <v>0.47996976568405147</v>
      </c>
      <c r="AB65" s="153">
        <f t="shared" si="83"/>
        <v>1.4172335600907031</v>
      </c>
      <c r="AC65" s="153">
        <f t="shared" si="84"/>
        <v>0.11904012045735404</v>
      </c>
      <c r="AD65" s="153"/>
      <c r="AE65" s="153">
        <f t="shared" si="85"/>
        <v>0.44291338582677164</v>
      </c>
      <c r="AF65" s="317">
        <f t="shared" si="86"/>
        <v>1806.2222222222224</v>
      </c>
      <c r="AG65" s="463">
        <f t="shared" si="87"/>
        <v>1.1626476377952754E-2</v>
      </c>
      <c r="AI65" s="153">
        <f t="shared" si="88"/>
        <v>0.35918779630699177</v>
      </c>
      <c r="AJ65" s="153">
        <f t="shared" si="89"/>
        <v>0.35918779630699177</v>
      </c>
      <c r="AK65" s="153">
        <f t="shared" si="90"/>
        <v>1.3394585308713278</v>
      </c>
      <c r="AM65" s="317">
        <f t="shared" si="91"/>
        <v>60</v>
      </c>
      <c r="AN65" s="147">
        <f t="shared" si="92"/>
        <v>350</v>
      </c>
      <c r="AP65">
        <f t="shared" si="93"/>
        <v>60</v>
      </c>
      <c r="AQ65">
        <f t="shared" si="94"/>
        <v>350</v>
      </c>
      <c r="AS65" s="5">
        <f t="shared" si="55"/>
        <v>2.8571428571428572</v>
      </c>
      <c r="AT65" s="5">
        <f t="shared" si="95"/>
        <v>1.0775633889209753</v>
      </c>
      <c r="AU65" s="5">
        <f t="shared" si="56"/>
        <v>1.779579468221882</v>
      </c>
      <c r="AV65" s="5">
        <f t="shared" si="96"/>
        <v>1.0605938867332434</v>
      </c>
      <c r="AW65" s="153">
        <f t="shared" si="57"/>
        <v>0.37714718612234133</v>
      </c>
      <c r="AX65" s="153">
        <f t="shared" si="97"/>
        <v>1.3546666666666665</v>
      </c>
      <c r="AY65" s="153">
        <f t="shared" si="98"/>
        <v>0.11186056482016256</v>
      </c>
      <c r="AZ65" s="153">
        <f t="shared" si="58"/>
        <v>12.110314916115026</v>
      </c>
      <c r="BA65" s="147">
        <f t="shared" si="99"/>
        <v>2.385619286777211</v>
      </c>
      <c r="BB65" s="147">
        <f t="shared" si="100"/>
        <v>5.1442329600000001</v>
      </c>
      <c r="BC65" s="5">
        <f t="shared" si="101"/>
        <v>0.11863863121479212</v>
      </c>
      <c r="BD65" s="147">
        <f t="shared" si="102"/>
        <v>12.063863121479214</v>
      </c>
      <c r="BE65" s="5"/>
      <c r="BF65" s="153">
        <f t="shared" si="59"/>
        <v>0.12735511175849182</v>
      </c>
      <c r="BG65" s="153">
        <f t="shared" si="103"/>
        <v>0.16366418824615564</v>
      </c>
      <c r="BH65" s="153"/>
      <c r="BI65" s="463">
        <f t="shared" si="104"/>
        <v>5.6767635718562789E-3</v>
      </c>
      <c r="BJ65" s="463">
        <f t="shared" si="105"/>
        <v>2.5344290907421341E-2</v>
      </c>
      <c r="BK65" s="463">
        <f t="shared" si="106"/>
        <v>4.3749999999999995E-3</v>
      </c>
      <c r="BL65" s="463">
        <f t="shared" si="107"/>
        <v>2.8449792000000005E-2</v>
      </c>
      <c r="BM65">
        <f t="shared" si="108"/>
        <v>5.7999999999999996E-3</v>
      </c>
      <c r="BN65">
        <f t="shared" si="109"/>
        <v>1.3124999999999999E-5</v>
      </c>
      <c r="BO65" s="463">
        <f t="shared" si="110"/>
        <v>7.0499172778046681E-2</v>
      </c>
      <c r="BP65" s="147">
        <f t="shared" si="60"/>
        <v>70.499172778046685</v>
      </c>
      <c r="BQ65" s="463">
        <f t="shared" si="111"/>
        <v>4.3384478416904626E-2</v>
      </c>
      <c r="BR65" s="463"/>
      <c r="BT65" s="147">
        <f t="shared" si="61"/>
        <v>43.384478416904628</v>
      </c>
      <c r="BU65" s="463">
        <f t="shared" si="112"/>
        <v>1.6219324491017942E-2</v>
      </c>
      <c r="BV65" s="463">
        <f t="shared" si="113"/>
        <v>2.678596651427307E-2</v>
      </c>
      <c r="BW65" s="463">
        <f t="shared" si="114"/>
        <v>0</v>
      </c>
      <c r="BX65" s="463">
        <f t="shared" si="115"/>
        <v>4.8332209183595466E-2</v>
      </c>
      <c r="BY65" s="463">
        <f t="shared" si="116"/>
        <v>2.2577777777777776E-2</v>
      </c>
      <c r="BZ65" s="147">
        <f t="shared" si="62"/>
        <v>70.909986961373235</v>
      </c>
      <c r="CA65" s="153">
        <f t="shared" si="63"/>
        <v>0.18479363815632455</v>
      </c>
      <c r="CB65" s="5">
        <f t="shared" si="64"/>
        <v>1.2</v>
      </c>
      <c r="CC65" s="153">
        <f t="shared" si="65"/>
        <v>0.86655510751598086</v>
      </c>
      <c r="CD65" s="5">
        <f t="shared" si="66"/>
        <v>86.655510751598086</v>
      </c>
      <c r="CG65" s="59">
        <f t="shared" si="117"/>
        <v>-50</v>
      </c>
      <c r="CH65">
        <f t="shared" si="118"/>
        <v>-50</v>
      </c>
    </row>
    <row r="66" spans="5:86" x14ac:dyDescent="0.25">
      <c r="E66" s="150">
        <v>61</v>
      </c>
      <c r="F66" s="191">
        <f t="shared" si="119"/>
        <v>6.0999999999999999E-2</v>
      </c>
      <c r="G66" s="191"/>
      <c r="H66" s="191">
        <f t="shared" si="67"/>
        <v>1.22</v>
      </c>
      <c r="I66" s="472">
        <f t="shared" si="68"/>
        <v>20</v>
      </c>
      <c r="J66" s="152">
        <f t="shared" si="69"/>
        <v>20.32</v>
      </c>
      <c r="K66" s="386">
        <f t="shared" si="70"/>
        <v>40.32</v>
      </c>
      <c r="L66" s="386"/>
      <c r="M66" s="191">
        <f t="shared" si="71"/>
        <v>0.50396825396825395</v>
      </c>
      <c r="N66" s="152">
        <f t="shared" si="72"/>
        <v>3.4017857142857144</v>
      </c>
      <c r="O66" s="152">
        <f t="shared" si="53"/>
        <v>1.22</v>
      </c>
      <c r="P66" s="191">
        <f t="shared" si="73"/>
        <v>0.17008928571428572</v>
      </c>
      <c r="Q66" s="191">
        <f t="shared" si="74"/>
        <v>20</v>
      </c>
      <c r="R66" s="191">
        <f t="shared" si="75"/>
        <v>0.18898809523809523</v>
      </c>
      <c r="S66" s="152">
        <f t="shared" si="76"/>
        <v>90.726031817382363</v>
      </c>
      <c r="T66" s="152">
        <f t="shared" si="77"/>
        <v>20</v>
      </c>
      <c r="U66" s="191">
        <f t="shared" si="78"/>
        <v>0.26897637795275592</v>
      </c>
      <c r="V66" s="191">
        <f t="shared" si="79"/>
        <v>0.8069291338582677</v>
      </c>
      <c r="W66" s="191">
        <f t="shared" si="80"/>
        <v>0.79422158844317692</v>
      </c>
      <c r="X66" s="175">
        <f t="shared" si="81"/>
        <v>350</v>
      </c>
      <c r="Y66" s="386">
        <f t="shared" si="54"/>
        <v>350</v>
      </c>
      <c r="AA66" s="191">
        <f t="shared" si="82"/>
        <v>0.47996976568405147</v>
      </c>
      <c r="AB66" s="153">
        <f t="shared" si="83"/>
        <v>1.4172335600907031</v>
      </c>
      <c r="AC66" s="153">
        <f t="shared" si="84"/>
        <v>0.11904012045735404</v>
      </c>
      <c r="AD66" s="153"/>
      <c r="AE66" s="153">
        <f t="shared" si="85"/>
        <v>0.44291338582677164</v>
      </c>
      <c r="AF66" s="317">
        <f t="shared" si="86"/>
        <v>1836.3259259259262</v>
      </c>
      <c r="AG66" s="463">
        <f t="shared" si="87"/>
        <v>1.1626476377952754E-2</v>
      </c>
      <c r="AI66" s="153">
        <f t="shared" si="88"/>
        <v>0.36216865900590789</v>
      </c>
      <c r="AJ66" s="153">
        <f t="shared" si="89"/>
        <v>0.36216865900590789</v>
      </c>
      <c r="AK66" s="153">
        <f t="shared" si="90"/>
        <v>1.3414457726706053</v>
      </c>
      <c r="AM66" s="317">
        <f t="shared" si="91"/>
        <v>61</v>
      </c>
      <c r="AN66" s="147">
        <f t="shared" si="92"/>
        <v>350</v>
      </c>
      <c r="AP66">
        <f t="shared" si="93"/>
        <v>61</v>
      </c>
      <c r="AQ66">
        <f t="shared" si="94"/>
        <v>350</v>
      </c>
      <c r="AS66" s="5">
        <f t="shared" si="55"/>
        <v>2.8571428571428572</v>
      </c>
      <c r="AT66" s="5">
        <f t="shared" si="95"/>
        <v>1.0865059770177237</v>
      </c>
      <c r="AU66" s="5">
        <f t="shared" si="56"/>
        <v>1.7706368801251335</v>
      </c>
      <c r="AV66" s="5">
        <f t="shared" si="96"/>
        <v>1.069395646670988</v>
      </c>
      <c r="AW66" s="153">
        <f t="shared" si="57"/>
        <v>0.38027709195620329</v>
      </c>
      <c r="AX66" s="153">
        <f t="shared" si="97"/>
        <v>1.3772444444444449</v>
      </c>
      <c r="AY66" s="153">
        <f t="shared" si="98"/>
        <v>0.1122221072807317</v>
      </c>
      <c r="AZ66" s="153">
        <f t="shared" si="58"/>
        <v>12.272487817388498</v>
      </c>
      <c r="BA66" s="147">
        <f t="shared" si="99"/>
        <v>2.385619286777211</v>
      </c>
      <c r="BB66" s="147">
        <f t="shared" si="100"/>
        <v>5.3140863455999998</v>
      </c>
      <c r="BC66" s="5">
        <f t="shared" si="101"/>
        <v>0.12000983298625904</v>
      </c>
      <c r="BD66" s="147">
        <f t="shared" si="102"/>
        <v>12.204316631959237</v>
      </c>
      <c r="BE66" s="5"/>
      <c r="BF66" s="153">
        <f t="shared" si="59"/>
        <v>0.12894375693401899</v>
      </c>
      <c r="BG66" s="153">
        <f t="shared" si="103"/>
        <v>0.16460727020128796</v>
      </c>
      <c r="BH66" s="153"/>
      <c r="BI66" s="463">
        <f t="shared" si="104"/>
        <v>5.8192723582907802E-3</v>
      </c>
      <c r="BJ66" s="463">
        <f t="shared" si="105"/>
        <v>2.5554620579456861E-2</v>
      </c>
      <c r="BK66" s="463">
        <f t="shared" si="106"/>
        <v>4.3749999999999995E-3</v>
      </c>
      <c r="BL66" s="463">
        <f t="shared" si="107"/>
        <v>2.8449792000000005E-2</v>
      </c>
      <c r="BM66">
        <f t="shared" si="108"/>
        <v>5.7999999999999996E-3</v>
      </c>
      <c r="BN66">
        <f t="shared" si="109"/>
        <v>1.3124999999999999E-5</v>
      </c>
      <c r="BO66" s="463">
        <f t="shared" si="110"/>
        <v>7.0873505452776348E-2</v>
      </c>
      <c r="BP66" s="147">
        <f t="shared" si="60"/>
        <v>70.873505452776342</v>
      </c>
      <c r="BQ66" s="463">
        <f t="shared" si="111"/>
        <v>4.4003002799983551E-2</v>
      </c>
      <c r="BR66" s="463"/>
      <c r="BT66" s="147">
        <f t="shared" si="61"/>
        <v>44.003002799983548</v>
      </c>
      <c r="BU66" s="463">
        <f t="shared" si="112"/>
        <v>1.6626492452259372E-2</v>
      </c>
      <c r="BV66" s="463">
        <f t="shared" si="113"/>
        <v>2.7095553403119824E-2</v>
      </c>
      <c r="BW66" s="463">
        <f t="shared" si="114"/>
        <v>0</v>
      </c>
      <c r="BX66" s="463">
        <f t="shared" si="115"/>
        <v>4.9140573470555851E-2</v>
      </c>
      <c r="BY66" s="463">
        <f t="shared" si="116"/>
        <v>2.2954074074074085E-2</v>
      </c>
      <c r="BZ66" s="147">
        <f t="shared" si="62"/>
        <v>72.094647544629936</v>
      </c>
      <c r="CA66" s="153">
        <f t="shared" si="63"/>
        <v>0.18697115579738982</v>
      </c>
      <c r="CB66" s="5">
        <f t="shared" si="64"/>
        <v>1.22</v>
      </c>
      <c r="CC66" s="153">
        <f t="shared" si="65"/>
        <v>0.86711088210516618</v>
      </c>
      <c r="CD66" s="5">
        <f t="shared" si="66"/>
        <v>86.711088210516621</v>
      </c>
      <c r="CG66" s="59">
        <f t="shared" si="117"/>
        <v>-50</v>
      </c>
      <c r="CH66">
        <f t="shared" si="118"/>
        <v>-50</v>
      </c>
    </row>
    <row r="67" spans="5:86" x14ac:dyDescent="0.25">
      <c r="E67" s="150">
        <v>62</v>
      </c>
      <c r="F67" s="191">
        <f t="shared" si="119"/>
        <v>6.2E-2</v>
      </c>
      <c r="G67" s="191"/>
      <c r="H67" s="191">
        <f t="shared" si="67"/>
        <v>1.24</v>
      </c>
      <c r="I67" s="472">
        <f t="shared" si="68"/>
        <v>20</v>
      </c>
      <c r="J67" s="152">
        <f t="shared" si="69"/>
        <v>20.32</v>
      </c>
      <c r="K67" s="386">
        <f t="shared" si="70"/>
        <v>40.32</v>
      </c>
      <c r="L67" s="386"/>
      <c r="M67" s="191">
        <f t="shared" si="71"/>
        <v>0.50396825396825395</v>
      </c>
      <c r="N67" s="152">
        <f t="shared" si="72"/>
        <v>3.4017857142857144</v>
      </c>
      <c r="O67" s="152">
        <f t="shared" si="53"/>
        <v>1.24</v>
      </c>
      <c r="P67" s="191">
        <f t="shared" si="73"/>
        <v>0.17008928571428572</v>
      </c>
      <c r="Q67" s="191">
        <f t="shared" si="74"/>
        <v>20</v>
      </c>
      <c r="R67" s="191">
        <f t="shared" si="75"/>
        <v>0.18898809523809523</v>
      </c>
      <c r="S67" s="152">
        <f t="shared" si="76"/>
        <v>88.942666250044937</v>
      </c>
      <c r="T67" s="152">
        <f t="shared" si="77"/>
        <v>20</v>
      </c>
      <c r="U67" s="191">
        <f t="shared" si="78"/>
        <v>0.27338582677165357</v>
      </c>
      <c r="V67" s="191">
        <f t="shared" si="79"/>
        <v>0.82015748031496061</v>
      </c>
      <c r="W67" s="191">
        <f t="shared" si="80"/>
        <v>0.80724161448322906</v>
      </c>
      <c r="X67" s="175">
        <f t="shared" si="81"/>
        <v>350</v>
      </c>
      <c r="Y67" s="386">
        <f t="shared" si="54"/>
        <v>350</v>
      </c>
      <c r="AA67" s="191">
        <f t="shared" si="82"/>
        <v>0.47996976568405147</v>
      </c>
      <c r="AB67" s="153">
        <f t="shared" si="83"/>
        <v>1.4172335600907031</v>
      </c>
      <c r="AC67" s="153">
        <f t="shared" si="84"/>
        <v>0.11904012045735404</v>
      </c>
      <c r="AD67" s="153"/>
      <c r="AE67" s="153">
        <f t="shared" si="85"/>
        <v>0.44291338582677164</v>
      </c>
      <c r="AF67" s="317">
        <f t="shared" si="86"/>
        <v>1866.42962962963</v>
      </c>
      <c r="AG67" s="463">
        <f t="shared" si="87"/>
        <v>1.1626476377952754E-2</v>
      </c>
      <c r="AI67" s="153">
        <f t="shared" si="88"/>
        <v>0.36512518691046514</v>
      </c>
      <c r="AJ67" s="153">
        <f t="shared" si="89"/>
        <v>0.36512518691046514</v>
      </c>
      <c r="AK67" s="153">
        <f t="shared" si="90"/>
        <v>1.3434167912736434</v>
      </c>
      <c r="AM67" s="317">
        <f t="shared" si="91"/>
        <v>62</v>
      </c>
      <c r="AN67" s="147">
        <f t="shared" si="92"/>
        <v>350</v>
      </c>
      <c r="AP67">
        <f t="shared" si="93"/>
        <v>62</v>
      </c>
      <c r="AQ67">
        <f t="shared" si="94"/>
        <v>350</v>
      </c>
      <c r="AS67" s="5">
        <f t="shared" si="55"/>
        <v>2.8571428571428572</v>
      </c>
      <c r="AT67" s="5">
        <f t="shared" si="95"/>
        <v>1.0953755607313955</v>
      </c>
      <c r="AU67" s="5">
        <f t="shared" si="56"/>
        <v>1.7617672964114617</v>
      </c>
      <c r="AV67" s="5">
        <f t="shared" si="96"/>
        <v>1.0781255519009798</v>
      </c>
      <c r="AW67" s="153">
        <f t="shared" si="57"/>
        <v>0.38338144625598841</v>
      </c>
      <c r="AX67" s="153">
        <f t="shared" si="97"/>
        <v>1.3998222222222221</v>
      </c>
      <c r="AY67" s="153">
        <f t="shared" si="98"/>
        <v>0.11257148234412147</v>
      </c>
      <c r="AZ67" s="153">
        <f t="shared" si="58"/>
        <v>12.434963039245449</v>
      </c>
      <c r="BA67" s="147">
        <f t="shared" si="99"/>
        <v>2.385619286777211</v>
      </c>
      <c r="BB67" s="147">
        <f t="shared" si="100"/>
        <v>5.4866976383999999</v>
      </c>
      <c r="BC67" s="5">
        <f t="shared" si="101"/>
        <v>0.12136619153056737</v>
      </c>
      <c r="BD67" s="147">
        <f t="shared" si="102"/>
        <v>12.343285819723404</v>
      </c>
      <c r="BE67" s="5"/>
      <c r="BF67" s="153">
        <f t="shared" si="59"/>
        <v>0.13052590426556607</v>
      </c>
      <c r="BG67" s="153">
        <f t="shared" si="103"/>
        <v>0.16553485742019308</v>
      </c>
      <c r="BH67" s="153"/>
      <c r="BI67" s="463">
        <f t="shared" si="104"/>
        <v>5.9629540895203012E-3</v>
      </c>
      <c r="BJ67" s="463">
        <f t="shared" si="105"/>
        <v>2.5763233188402426E-2</v>
      </c>
      <c r="BK67" s="463">
        <f t="shared" si="106"/>
        <v>4.3749999999999995E-3</v>
      </c>
      <c r="BL67" s="463">
        <f t="shared" si="107"/>
        <v>2.8449792000000005E-2</v>
      </c>
      <c r="BM67">
        <f t="shared" si="108"/>
        <v>5.7999999999999996E-3</v>
      </c>
      <c r="BN67">
        <f t="shared" si="109"/>
        <v>1.3124999999999999E-5</v>
      </c>
      <c r="BO67" s="463">
        <f t="shared" si="110"/>
        <v>7.1247487073727425E-2</v>
      </c>
      <c r="BP67" s="147">
        <f t="shared" si="60"/>
        <v>71.247487073727427</v>
      </c>
      <c r="BQ67" s="463">
        <f t="shared" si="111"/>
        <v>4.4618966812138477E-2</v>
      </c>
      <c r="BR67" s="463"/>
      <c r="BT67" s="147">
        <f t="shared" si="61"/>
        <v>44.618966812138474</v>
      </c>
      <c r="BU67" s="463">
        <f t="shared" si="112"/>
        <v>1.7037011684343718E-2</v>
      </c>
      <c r="BV67" s="463">
        <f t="shared" si="113"/>
        <v>2.7401789021123654E-2</v>
      </c>
      <c r="BW67" s="463">
        <f t="shared" si="114"/>
        <v>0</v>
      </c>
      <c r="BX67" s="463">
        <f t="shared" si="115"/>
        <v>4.9949030792107607E-2</v>
      </c>
      <c r="BY67" s="463">
        <f t="shared" si="116"/>
        <v>2.3330370370370373E-2</v>
      </c>
      <c r="BZ67" s="147">
        <f t="shared" si="62"/>
        <v>73.279401162477981</v>
      </c>
      <c r="CA67" s="153">
        <f t="shared" si="63"/>
        <v>0.18914585504834389</v>
      </c>
      <c r="CB67" s="5">
        <f t="shared" si="64"/>
        <v>1.24</v>
      </c>
      <c r="CC67" s="153">
        <f t="shared" si="65"/>
        <v>0.86765111875726253</v>
      </c>
      <c r="CD67" s="5">
        <f t="shared" si="66"/>
        <v>86.765111875726248</v>
      </c>
      <c r="CG67" s="59">
        <f t="shared" si="117"/>
        <v>-50</v>
      </c>
      <c r="CH67">
        <f t="shared" si="118"/>
        <v>-50</v>
      </c>
    </row>
    <row r="68" spans="5:86" x14ac:dyDescent="0.25">
      <c r="E68" s="150">
        <v>63</v>
      </c>
      <c r="F68" s="191">
        <f t="shared" si="119"/>
        <v>6.3E-2</v>
      </c>
      <c r="G68" s="191"/>
      <c r="H68" s="191">
        <f t="shared" si="67"/>
        <v>1.26</v>
      </c>
      <c r="I68" s="472">
        <f t="shared" si="68"/>
        <v>20</v>
      </c>
      <c r="J68" s="152">
        <f t="shared" si="69"/>
        <v>20.32</v>
      </c>
      <c r="K68" s="386">
        <f t="shared" si="70"/>
        <v>40.32</v>
      </c>
      <c r="L68" s="386"/>
      <c r="M68" s="191">
        <f t="shared" si="71"/>
        <v>0.50396825396825395</v>
      </c>
      <c r="N68" s="152">
        <f t="shared" si="72"/>
        <v>3.4017857142857144</v>
      </c>
      <c r="O68" s="152">
        <f t="shared" si="53"/>
        <v>1.26</v>
      </c>
      <c r="P68" s="191">
        <f t="shared" si="73"/>
        <v>0.17008928571428572</v>
      </c>
      <c r="Q68" s="191">
        <f t="shared" si="74"/>
        <v>20</v>
      </c>
      <c r="R68" s="191">
        <f t="shared" si="75"/>
        <v>0.18898809523809523</v>
      </c>
      <c r="S68" s="152">
        <f t="shared" si="76"/>
        <v>87.215969944418205</v>
      </c>
      <c r="T68" s="152">
        <f t="shared" si="77"/>
        <v>20</v>
      </c>
      <c r="U68" s="191">
        <f t="shared" si="78"/>
        <v>0.27779527559055117</v>
      </c>
      <c r="V68" s="191">
        <f t="shared" si="79"/>
        <v>0.83338582677165352</v>
      </c>
      <c r="W68" s="191">
        <f t="shared" si="80"/>
        <v>0.8202616405232811</v>
      </c>
      <c r="X68" s="175">
        <f t="shared" si="81"/>
        <v>350</v>
      </c>
      <c r="Y68" s="386">
        <f t="shared" si="54"/>
        <v>350</v>
      </c>
      <c r="AA68" s="191">
        <f t="shared" si="82"/>
        <v>0.47996976568405147</v>
      </c>
      <c r="AB68" s="153">
        <f t="shared" si="83"/>
        <v>1.4172335600907031</v>
      </c>
      <c r="AC68" s="153">
        <f t="shared" si="84"/>
        <v>0.11904012045735404</v>
      </c>
      <c r="AD68" s="153"/>
      <c r="AE68" s="153">
        <f t="shared" si="85"/>
        <v>0.44291338582677164</v>
      </c>
      <c r="AF68" s="317">
        <f t="shared" si="86"/>
        <v>1896.5333333333338</v>
      </c>
      <c r="AG68" s="463">
        <f t="shared" si="87"/>
        <v>1.1626476377952754E-2</v>
      </c>
      <c r="AI68" s="153">
        <f t="shared" si="88"/>
        <v>0.36805796644912692</v>
      </c>
      <c r="AJ68" s="153">
        <f t="shared" si="89"/>
        <v>0.36805796644912692</v>
      </c>
      <c r="AK68" s="153">
        <f t="shared" si="90"/>
        <v>1.3453719776327513</v>
      </c>
      <c r="AM68" s="317">
        <f t="shared" si="91"/>
        <v>63</v>
      </c>
      <c r="AN68" s="147">
        <f t="shared" si="92"/>
        <v>350</v>
      </c>
      <c r="AP68">
        <f t="shared" si="93"/>
        <v>63</v>
      </c>
      <c r="AQ68">
        <f t="shared" si="94"/>
        <v>350</v>
      </c>
      <c r="AS68" s="5">
        <f t="shared" si="55"/>
        <v>2.8571428571428572</v>
      </c>
      <c r="AT68" s="5">
        <f t="shared" si="95"/>
        <v>1.1041738993473806</v>
      </c>
      <c r="AU68" s="5">
        <f t="shared" si="56"/>
        <v>1.7529689577954766</v>
      </c>
      <c r="AV68" s="5">
        <f t="shared" si="96"/>
        <v>1.0867853340033273</v>
      </c>
      <c r="AW68" s="153">
        <f t="shared" si="57"/>
        <v>0.3864608647715832</v>
      </c>
      <c r="AX68" s="153">
        <f t="shared" si="97"/>
        <v>1.4223999999999994</v>
      </c>
      <c r="AY68" s="153">
        <f t="shared" si="98"/>
        <v>0.11290898322456347</v>
      </c>
      <c r="AZ68" s="153">
        <f t="shared" si="58"/>
        <v>12.597757586488962</v>
      </c>
      <c r="BA68" s="147">
        <f t="shared" si="99"/>
        <v>2.385619286777211</v>
      </c>
      <c r="BB68" s="147">
        <f t="shared" si="100"/>
        <v>5.6620668384000004</v>
      </c>
      <c r="BC68" s="5">
        <f t="shared" si="101"/>
        <v>0.12270782704568335</v>
      </c>
      <c r="BD68" s="147">
        <f t="shared" si="102"/>
        <v>12.480782704568336</v>
      </c>
      <c r="BE68" s="5"/>
      <c r="BF68" s="153">
        <f t="shared" si="59"/>
        <v>0.13210168450569154</v>
      </c>
      <c r="BG68" s="153">
        <f t="shared" si="103"/>
        <v>0.16644729047453516</v>
      </c>
      <c r="BH68" s="153"/>
      <c r="BI68" s="463">
        <f t="shared" si="104"/>
        <v>6.1077992672344426E-3</v>
      </c>
      <c r="BJ68" s="463">
        <f t="shared" si="105"/>
        <v>2.5970170112650397E-2</v>
      </c>
      <c r="BK68" s="463">
        <f t="shared" si="106"/>
        <v>4.3749999999999995E-3</v>
      </c>
      <c r="BL68" s="463">
        <f t="shared" si="107"/>
        <v>2.8449792000000005E-2</v>
      </c>
      <c r="BM68">
        <f t="shared" si="108"/>
        <v>5.7999999999999996E-3</v>
      </c>
      <c r="BN68">
        <f t="shared" si="109"/>
        <v>1.3124999999999999E-5</v>
      </c>
      <c r="BO68" s="463">
        <f t="shared" si="110"/>
        <v>7.1621148362698048E-2</v>
      </c>
      <c r="BP68" s="147">
        <f t="shared" si="60"/>
        <v>71.621148362698051</v>
      </c>
      <c r="BQ68" s="463">
        <f t="shared" si="111"/>
        <v>4.5232391186824109E-2</v>
      </c>
      <c r="BR68" s="463"/>
      <c r="BT68" s="147">
        <f t="shared" si="61"/>
        <v>45.23239118682411</v>
      </c>
      <c r="BU68" s="463">
        <f t="shared" si="112"/>
        <v>1.7450855049241265E-2</v>
      </c>
      <c r="BV68" s="463">
        <f t="shared" si="113"/>
        <v>2.7704700506314281E-2</v>
      </c>
      <c r="BW68" s="463">
        <f t="shared" si="114"/>
        <v>0</v>
      </c>
      <c r="BX68" s="463">
        <f t="shared" si="115"/>
        <v>5.0757581164312671E-2</v>
      </c>
      <c r="BY68" s="463">
        <f t="shared" si="116"/>
        <v>2.3706666666666661E-2</v>
      </c>
      <c r="BZ68" s="147">
        <f t="shared" si="62"/>
        <v>74.464247830979318</v>
      </c>
      <c r="CA68" s="153">
        <f t="shared" si="63"/>
        <v>0.19131778738050148</v>
      </c>
      <c r="CB68" s="5">
        <f t="shared" si="64"/>
        <v>1.26</v>
      </c>
      <c r="CC68" s="153">
        <f t="shared" si="65"/>
        <v>0.86817650204245556</v>
      </c>
      <c r="CD68" s="5">
        <f t="shared" si="66"/>
        <v>86.817650204245552</v>
      </c>
      <c r="CG68" s="59">
        <f t="shared" si="117"/>
        <v>-50</v>
      </c>
      <c r="CH68">
        <f t="shared" si="118"/>
        <v>-50</v>
      </c>
    </row>
    <row r="69" spans="5:86" x14ac:dyDescent="0.25">
      <c r="E69" s="150">
        <v>64</v>
      </c>
      <c r="F69" s="191">
        <f t="shared" si="119"/>
        <v>6.4000000000000001E-2</v>
      </c>
      <c r="G69" s="191"/>
      <c r="H69" s="191">
        <f t="shared" ref="H69:H100" si="120">F69*Vout</f>
        <v>1.28</v>
      </c>
      <c r="I69" s="472">
        <f t="shared" ref="I69:I105" si="121">Vin</f>
        <v>20</v>
      </c>
      <c r="J69" s="152">
        <f t="shared" ref="J69:J105" si="122">(T69+Vfwd1)*Nps</f>
        <v>20.32</v>
      </c>
      <c r="K69" s="386">
        <f t="shared" ref="K69:K105" si="123">(Vout+Vfwd1)*Nps+I69</f>
        <v>40.32</v>
      </c>
      <c r="L69" s="386"/>
      <c r="M69" s="191">
        <f t="shared" ref="M69:M105" si="124">(Vout+Vfwd1)*Nps/((Vout+Vfwd1)*Nps+I69)</f>
        <v>0.50396825396825395</v>
      </c>
      <c r="N69" s="152">
        <f t="shared" ref="N69:N100" si="125">M69*I69*Isw_max*0.5*Efficiency</f>
        <v>3.4017857142857144</v>
      </c>
      <c r="O69" s="152">
        <f t="shared" si="53"/>
        <v>1.28</v>
      </c>
      <c r="P69" s="191">
        <f t="shared" ref="P69:P100" si="126">N69/Vout</f>
        <v>0.17008928571428572</v>
      </c>
      <c r="Q69" s="191">
        <f t="shared" ref="Q69:Q105" si="127">MIN(Vout,N69/F69)</f>
        <v>20</v>
      </c>
      <c r="R69" s="191">
        <f t="shared" ref="R69:R100" si="128">Isw_max/2*I69*Nps*(Q69+Vfwd1)/Q69/(I69+Nps*(Q69+Vfwd1))</f>
        <v>0.18898809523809523</v>
      </c>
      <c r="S69" s="152">
        <f t="shared" ref="S69:S105" si="129">(SQRT(Isw_max^2*Nps^2*I69^2+4*Isw_max*F69/Efficiency*(Nps^2*Vfwd1*I69-Nps*I69^2)+4*(F69/Efficiency)^2*Nps^2*Vfwd1^2+8*(F69/Efficiency)^2*Nps*Vfwd1*I69+4*(F69/Efficiency)^2*I69^2)-2*F69/Efficiency*I69-2*F69/Efficiency*Nps*Vfwd1+Isw_max*Nps*I69)/(4*F69/Efficiency*Nps)</f>
        <v>85.543287095148784</v>
      </c>
      <c r="T69" s="152">
        <f t="shared" ref="T69:T100" si="130">MIN(Vout, S69)</f>
        <v>20</v>
      </c>
      <c r="U69" s="191">
        <f t="shared" ref="U69:U105" si="131">MIN(2*Vout*F69/(Efficiency*I69*M69), Isw_max)</f>
        <v>0.28220472440944883</v>
      </c>
      <c r="V69" s="191">
        <f t="shared" ref="V69:V100" si="132">L*U69/I69*1000000</f>
        <v>0.84661417322834642</v>
      </c>
      <c r="W69" s="191">
        <f t="shared" ref="W69:W105" si="133">L*U69/J69*1000000</f>
        <v>0.83328166656333313</v>
      </c>
      <c r="X69" s="175">
        <f t="shared" ref="X69:X105" si="134">IF(1/((350000*L)*(1/I69+1/J69))&gt;Isw_min, 350, 0.001/((Isw_min*L)*(1/I69+1/J69)))</f>
        <v>350</v>
      </c>
      <c r="Y69" s="386">
        <f t="shared" si="54"/>
        <v>350</v>
      </c>
      <c r="AA69" s="191">
        <f t="shared" ref="AA69:AA105" si="135">1/((X69*1000*L)*(1/I69+1/J69))</f>
        <v>0.47996976568405147</v>
      </c>
      <c r="AB69" s="153">
        <f t="shared" ref="AB69:AB100" si="136">L*AA69/J69*1000000</f>
        <v>1.4172335600907031</v>
      </c>
      <c r="AC69" s="153">
        <f t="shared" ref="AC69:AC100" si="137">0.5*AB69*AA69*Nps*X69/1000</f>
        <v>0.11904012045735404</v>
      </c>
      <c r="AD69" s="153"/>
      <c r="AE69" s="153">
        <f t="shared" ref="AE69:AE105" si="138">L*Isw_min/J69*1000000</f>
        <v>0.44291338582677164</v>
      </c>
      <c r="AF69" s="317">
        <f t="shared" ref="AF69:AF100" si="139">MAX(12, F69/(0.5*AE69/1000000*Isw_min*Nps)/1000)</f>
        <v>1926.6370370370373</v>
      </c>
      <c r="AG69" s="463">
        <f t="shared" ref="AG69:AG105" si="140">0.5*AE69/1000000*Isw_min*Nps*X69*1000</f>
        <v>1.1626476377952754E-2</v>
      </c>
      <c r="AI69" s="153">
        <f t="shared" ref="AI69:AI105" si="141">SQRT(F69/Efficiency/(0.5*L/J69*Fsw_DCM*Nps))</f>
        <v>0.37096756086877897</v>
      </c>
      <c r="AJ69" s="153">
        <f t="shared" ref="AJ69:AJ100" si="142">MAX(IF(F69&gt;AC69,U69,AI69),Isw_min)</f>
        <v>0.37096756086877897</v>
      </c>
      <c r="AK69" s="153">
        <f t="shared" ref="AK69:AK100" si="143">IF(F69&gt;AG69, (AJ69-Isw_min)/1.2*0.8+1.2, AF69*0.2/350+1)</f>
        <v>1.3473117072458527</v>
      </c>
      <c r="AM69" s="317">
        <f t="shared" ref="AM69:AM105" si="144">F69*1000</f>
        <v>64</v>
      </c>
      <c r="AN69" s="147">
        <f t="shared" ref="AN69:AN105" si="145">IF(F69&gt;AG69, Y69, AF69)</f>
        <v>350</v>
      </c>
      <c r="AP69">
        <f t="shared" ref="AP69:AP105" si="146">IF(H69&gt;N69, "",AM69)</f>
        <v>64</v>
      </c>
      <c r="AQ69">
        <f t="shared" ref="AQ69:AQ105" si="147">IF(H69&gt;N69, "",AN69)</f>
        <v>350</v>
      </c>
      <c r="AS69" s="5">
        <f t="shared" si="55"/>
        <v>2.8571428571428572</v>
      </c>
      <c r="AT69" s="5">
        <f t="shared" ref="AT69:AT105" si="148">L*AJ69/I69*1000000</f>
        <v>1.1129026826063371</v>
      </c>
      <c r="AU69" s="5">
        <f t="shared" si="56"/>
        <v>1.7442401745365201</v>
      </c>
      <c r="AV69" s="5">
        <f t="shared" ref="AV69:AV105" si="149">L*AJ69/J69*1000000</f>
        <v>1.0953766561085994</v>
      </c>
      <c r="AW69" s="153">
        <f t="shared" si="57"/>
        <v>0.38951593891221797</v>
      </c>
      <c r="AX69" s="153">
        <f t="shared" ref="AX69:AX132" si="150">0.5*L*AJ69^2*AN69*1000</f>
        <v>1.4449777777777777</v>
      </c>
      <c r="AY69" s="153">
        <f t="shared" ref="AY69:AY132" si="151">AJ69*Nps/2*(1-AW69)</f>
        <v>0.11323489154550057</v>
      </c>
      <c r="AZ69" s="153">
        <f t="shared" si="58"/>
        <v>12.760888080129877</v>
      </c>
      <c r="BA69" s="147">
        <f t="shared" ref="BA69:BA105" si="152">L*Isw_max^2/(2*Vout_ripple*Vout)*1000000000*((1+M69)/2)^2</f>
        <v>2.385619286777211</v>
      </c>
      <c r="BB69" s="147">
        <f t="shared" ref="BB69:BB105" si="153">L*F69^2/(2*Cout*Vout*Nps^2)*1000000000*((1+M69)/(1-M69))^2+F69*RCoutEsr</f>
        <v>5.8401939455999994</v>
      </c>
      <c r="BC69" s="5">
        <f t="shared" ref="BC69:BC105" si="154">H69/Efficiency/I69*AU69/Vinripple1</f>
        <v>0.12403485685593033</v>
      </c>
      <c r="BD69" s="147">
        <f t="shared" ref="BD69:BD105" si="155">((CB69/I69/Efficiency)*AU69/Cin+(CB69/I69/Efficiency)*RCinEsr)*1000</f>
        <v>12.616819018926366</v>
      </c>
      <c r="BE69" s="5"/>
      <c r="BF69" s="153">
        <f t="shared" si="59"/>
        <v>0.13367122374590215</v>
      </c>
      <c r="BG69" s="153">
        <f t="shared" ref="BG69:BG132" si="156">AJ69*Nps*SQRT((1-AW69)/3)</f>
        <v>0.16734489639040898</v>
      </c>
      <c r="BH69" s="153"/>
      <c r="BI69" s="463">
        <f t="shared" ref="BI69:BI105" si="157">Rdson*BF69^2</f>
        <v>6.2537986202044621E-3</v>
      </c>
      <c r="BJ69" s="463">
        <f t="shared" ref="BJ69:BJ105" si="158">0.5*K69*AJ69*AN69*1000*Trise</f>
        <v>2.6175471094901044E-2</v>
      </c>
      <c r="BK69" s="463">
        <f t="shared" ref="BK69:BK105" si="159">Qg*Vdd*AN69*1000</f>
        <v>4.3749999999999995E-3</v>
      </c>
      <c r="BL69" s="463">
        <f t="shared" ref="BL69:BL105" si="160">0.5*(Coss+Csw)*K69^2*AN69*1000</f>
        <v>2.8449792000000005E-2</v>
      </c>
      <c r="BM69">
        <f t="shared" ref="BM69:BM105" si="161">I69*IQ</f>
        <v>5.7999999999999996E-3</v>
      </c>
      <c r="BN69">
        <f t="shared" ref="BN69:BN105" si="162">(I69-Vdd)*Qg*AN69</f>
        <v>1.3124999999999999E-5</v>
      </c>
      <c r="BO69" s="463">
        <f t="shared" ref="BO69:BO100" si="163">(BJ69+BK69+BL69+BM69+BN69+BI69*(1+RdsonTC*(Ta-25)))/(1-BI69*RdsonTC*ThetaJA)</f>
        <v>7.1994518665198154E-2</v>
      </c>
      <c r="BP69" s="147">
        <f t="shared" si="60"/>
        <v>71.994518665198157</v>
      </c>
      <c r="BQ69" s="463">
        <f t="shared" ref="BQ69:BQ105" si="164">(Vfwd2*F69+BG69^2*Rdiode)*(1+Diode_TC/1000*(Ta-25))</f>
        <v>4.5843296161808371E-2</v>
      </c>
      <c r="BR69" s="463"/>
      <c r="BT69" s="147">
        <f t="shared" si="61"/>
        <v>45.843296161808368</v>
      </c>
      <c r="BU69" s="463">
        <f t="shared" ref="BU69:BU105" si="165">Rdcr_pri*BF69^2</f>
        <v>1.7867996057727036E-2</v>
      </c>
      <c r="BV69" s="463">
        <f t="shared" ref="BV69:BV105" si="166">Rdcr_sec*BG69^2</f>
        <v>2.8004314347916715E-2</v>
      </c>
      <c r="BW69" s="463">
        <f t="shared" ref="BW69:BW105" si="167">AJ69^2.5*AN69^2.5*k_core</f>
        <v>0</v>
      </c>
      <c r="BX69" s="463">
        <f t="shared" ref="BX69:BX100" si="168">(BW69+(BU69+BV69)*(1+Ltc*(Ta-25)))/(1-(BU69+BV69)*Ltc*ThetaCa)</f>
        <v>5.156622460323676E-2</v>
      </c>
      <c r="BY69" s="463">
        <f t="shared" ref="BY69:BY105" si="169">0.5*Lleak*0.000000001*AJ69^2*AN69*1000</f>
        <v>2.4082962962962969E-2</v>
      </c>
      <c r="BZ69" s="147">
        <f t="shared" si="62"/>
        <v>75.649187566199728</v>
      </c>
      <c r="CA69" s="153">
        <f t="shared" si="63"/>
        <v>0.19348700239320626</v>
      </c>
      <c r="CB69" s="5">
        <f t="shared" si="64"/>
        <v>1.28</v>
      </c>
      <c r="CC69" s="153">
        <f t="shared" si="65"/>
        <v>0.86868767618652298</v>
      </c>
      <c r="CD69" s="5">
        <f t="shared" si="66"/>
        <v>86.868767618652299</v>
      </c>
      <c r="CG69" s="59">
        <f t="shared" ref="CG69:CG105" si="170">IF(ABS(F69-Ioutmax_Vinnom)&lt;Iout/200, AN69, -50)</f>
        <v>-50</v>
      </c>
      <c r="CH69">
        <f t="shared" ref="CH69:CH105" si="171">IF(ABS(F69-Ioutmax_Vinnom)&lt;Iout/200, N69*CC69, -50)</f>
        <v>-50</v>
      </c>
    </row>
    <row r="70" spans="5:86" x14ac:dyDescent="0.25">
      <c r="E70" s="150">
        <v>65</v>
      </c>
      <c r="F70" s="191">
        <f t="shared" ref="F70:F101" si="172">IF(PLOT_TYPE=1, E70/100*Iout_max, min_I*EXP(N70*rr/100))</f>
        <v>6.5000000000000002E-2</v>
      </c>
      <c r="G70" s="191"/>
      <c r="H70" s="191">
        <f t="shared" si="120"/>
        <v>1.3</v>
      </c>
      <c r="I70" s="472">
        <f t="shared" si="121"/>
        <v>20</v>
      </c>
      <c r="J70" s="152">
        <f t="shared" si="122"/>
        <v>20.32</v>
      </c>
      <c r="K70" s="386">
        <f t="shared" si="123"/>
        <v>40.32</v>
      </c>
      <c r="L70" s="386"/>
      <c r="M70" s="191">
        <f t="shared" si="124"/>
        <v>0.50396825396825395</v>
      </c>
      <c r="N70" s="152">
        <f t="shared" si="125"/>
        <v>3.4017857142857144</v>
      </c>
      <c r="O70" s="152">
        <f t="shared" ref="O70:O133" si="173">T70*F70</f>
        <v>1.3</v>
      </c>
      <c r="P70" s="191">
        <f t="shared" si="126"/>
        <v>0.17008928571428572</v>
      </c>
      <c r="Q70" s="191">
        <f t="shared" si="127"/>
        <v>20</v>
      </c>
      <c r="R70" s="191">
        <f t="shared" si="128"/>
        <v>0.18898809523809523</v>
      </c>
      <c r="S70" s="152">
        <f t="shared" si="129"/>
        <v>83.922125338732698</v>
      </c>
      <c r="T70" s="152">
        <f t="shared" si="130"/>
        <v>20</v>
      </c>
      <c r="U70" s="191">
        <f t="shared" si="131"/>
        <v>0.28661417322834648</v>
      </c>
      <c r="V70" s="191">
        <f t="shared" si="132"/>
        <v>0.85984251968503944</v>
      </c>
      <c r="W70" s="191">
        <f t="shared" si="133"/>
        <v>0.84630169260338539</v>
      </c>
      <c r="X70" s="175">
        <f t="shared" si="134"/>
        <v>350</v>
      </c>
      <c r="Y70" s="386">
        <f t="shared" ref="Y70:Y105" si="174">MIN(1/(V70+W70)*1000, 350)</f>
        <v>350</v>
      </c>
      <c r="AA70" s="191">
        <f t="shared" si="135"/>
        <v>0.47996976568405147</v>
      </c>
      <c r="AB70" s="153">
        <f t="shared" si="136"/>
        <v>1.4172335600907031</v>
      </c>
      <c r="AC70" s="153">
        <f t="shared" si="137"/>
        <v>0.11904012045735404</v>
      </c>
      <c r="AD70" s="153"/>
      <c r="AE70" s="153">
        <f t="shared" si="138"/>
        <v>0.44291338582677164</v>
      </c>
      <c r="AF70" s="317">
        <f t="shared" si="139"/>
        <v>1956.7407407407411</v>
      </c>
      <c r="AG70" s="463">
        <f t="shared" si="140"/>
        <v>1.1626476377952754E-2</v>
      </c>
      <c r="AI70" s="153">
        <f t="shared" si="141"/>
        <v>0.37385451149771592</v>
      </c>
      <c r="AJ70" s="153">
        <f t="shared" si="89"/>
        <v>0.37385451149771592</v>
      </c>
      <c r="AK70" s="153">
        <f t="shared" si="143"/>
        <v>1.3492363409984773</v>
      </c>
      <c r="AM70" s="317">
        <f t="shared" si="144"/>
        <v>65</v>
      </c>
      <c r="AN70" s="147">
        <f t="shared" si="145"/>
        <v>350</v>
      </c>
      <c r="AP70">
        <f t="shared" si="146"/>
        <v>65</v>
      </c>
      <c r="AQ70">
        <f t="shared" si="147"/>
        <v>350</v>
      </c>
      <c r="AS70" s="5">
        <f t="shared" ref="AS70:AS133" si="175">1/AN70*1000</f>
        <v>2.8571428571428572</v>
      </c>
      <c r="AT70" s="5">
        <f t="shared" si="148"/>
        <v>1.1215635344931476</v>
      </c>
      <c r="AU70" s="5">
        <f t="shared" ref="AU70:AU105" si="176">AS70-AT70</f>
        <v>1.7355793226497096</v>
      </c>
      <c r="AV70" s="5">
        <f t="shared" si="149"/>
        <v>1.103901116627114</v>
      </c>
      <c r="AW70" s="153">
        <f t="shared" ref="AW70:AW105" si="177">AT70/AS70</f>
        <v>0.39254723707260164</v>
      </c>
      <c r="AX70" s="153">
        <f t="shared" si="150"/>
        <v>1.4675555555555562</v>
      </c>
      <c r="AY70" s="153">
        <f t="shared" si="151"/>
        <v>0.11354947797108018</v>
      </c>
      <c r="AZ70" s="153">
        <f t="shared" ref="AZ70:AZ133" si="178">AX70/AY70</f>
        <v>12.924370783363061</v>
      </c>
      <c r="BA70" s="147">
        <f t="shared" si="152"/>
        <v>2.385619286777211</v>
      </c>
      <c r="BB70" s="147">
        <f t="shared" si="153"/>
        <v>6.0210789600000014</v>
      </c>
      <c r="BC70" s="5">
        <f t="shared" si="154"/>
        <v>0.12534739552470123</v>
      </c>
      <c r="BD70" s="147">
        <f t="shared" si="155"/>
        <v>12.751406219136792</v>
      </c>
      <c r="BE70" s="5"/>
      <c r="BF70" s="153">
        <f t="shared" ref="BF70:BF133" si="179">AJ70*SQRT(AW70/3)</f>
        <v>0.13523464365292168</v>
      </c>
      <c r="BG70" s="153">
        <f t="shared" si="156"/>
        <v>0.16822798938285871</v>
      </c>
      <c r="BH70" s="153"/>
      <c r="BI70" s="463">
        <f t="shared" si="157"/>
        <v>6.4009430953764473E-3</v>
      </c>
      <c r="BJ70" s="463">
        <f t="shared" si="158"/>
        <v>2.6379174331278839E-2</v>
      </c>
      <c r="BK70" s="463">
        <f t="shared" si="159"/>
        <v>4.3749999999999995E-3</v>
      </c>
      <c r="BL70" s="463">
        <f t="shared" si="160"/>
        <v>2.8449792000000005E-2</v>
      </c>
      <c r="BM70">
        <f t="shared" si="161"/>
        <v>5.7999999999999996E-3</v>
      </c>
      <c r="BN70">
        <f t="shared" si="162"/>
        <v>1.3124999999999999E-5</v>
      </c>
      <c r="BO70" s="463">
        <f t="shared" si="163"/>
        <v>7.2367626029392937E-2</v>
      </c>
      <c r="BP70" s="147">
        <f t="shared" ref="BP70:BP105" si="180">BO70*1000</f>
        <v>72.367626029392937</v>
      </c>
      <c r="BQ70" s="463">
        <f t="shared" si="164"/>
        <v>4.6451701498614613E-2</v>
      </c>
      <c r="BR70" s="463"/>
      <c r="BT70" s="147">
        <f t="shared" ref="BT70:BT105" si="181">SUM(BQ70:BS70)*1000</f>
        <v>46.451701498614611</v>
      </c>
      <c r="BU70" s="463">
        <f t="shared" si="165"/>
        <v>1.8288408843932707E-2</v>
      </c>
      <c r="BV70" s="463">
        <f t="shared" si="166"/>
        <v>2.8300656411799224E-2</v>
      </c>
      <c r="BW70" s="463">
        <f t="shared" si="167"/>
        <v>0</v>
      </c>
      <c r="BX70" s="463">
        <f t="shared" si="168"/>
        <v>5.2374961124949104E-2</v>
      </c>
      <c r="BY70" s="463">
        <f t="shared" si="169"/>
        <v>2.4459259259259271E-2</v>
      </c>
      <c r="BZ70" s="147">
        <f t="shared" ref="BZ70:BZ105" si="182">1000*(BX70+BY70)</f>
        <v>76.834220384208365</v>
      </c>
      <c r="CA70" s="153">
        <f t="shared" ref="CA70:CA105" si="183">SUM(BO70,BQ70:BS70,BX70, BY70)</f>
        <v>0.19565354791221592</v>
      </c>
      <c r="CB70" s="5">
        <f t="shared" ref="CB70:CB105" si="184">MIN(H70,O70)</f>
        <v>1.3</v>
      </c>
      <c r="CC70" s="153">
        <f t="shared" ref="CC70:CC105" si="185">CB70/(CB70+CA70)</f>
        <v>0.86918524802396324</v>
      </c>
      <c r="CD70" s="5">
        <f t="shared" ref="CD70:CD105" si="186">CC70*100</f>
        <v>86.91852480239632</v>
      </c>
      <c r="CG70" s="59">
        <f t="shared" si="170"/>
        <v>-50</v>
      </c>
      <c r="CH70">
        <f t="shared" si="171"/>
        <v>-50</v>
      </c>
    </row>
    <row r="71" spans="5:86" x14ac:dyDescent="0.25">
      <c r="E71" s="150">
        <v>66</v>
      </c>
      <c r="F71" s="191">
        <f t="shared" si="172"/>
        <v>6.6000000000000003E-2</v>
      </c>
      <c r="G71" s="191"/>
      <c r="H71" s="191">
        <f t="shared" si="120"/>
        <v>1.32</v>
      </c>
      <c r="I71" s="472">
        <f t="shared" si="121"/>
        <v>20</v>
      </c>
      <c r="J71" s="152">
        <f t="shared" si="122"/>
        <v>20.32</v>
      </c>
      <c r="K71" s="386">
        <f t="shared" si="123"/>
        <v>40.32</v>
      </c>
      <c r="L71" s="386"/>
      <c r="M71" s="191">
        <f t="shared" si="124"/>
        <v>0.50396825396825395</v>
      </c>
      <c r="N71" s="152">
        <f t="shared" si="125"/>
        <v>3.4017857142857144</v>
      </c>
      <c r="O71" s="152">
        <f t="shared" si="173"/>
        <v>1.32</v>
      </c>
      <c r="P71" s="191">
        <f t="shared" si="126"/>
        <v>0.17008928571428572</v>
      </c>
      <c r="Q71" s="191">
        <f t="shared" si="127"/>
        <v>20</v>
      </c>
      <c r="R71" s="191">
        <f t="shared" si="128"/>
        <v>0.18898809523809523</v>
      </c>
      <c r="S71" s="152">
        <f t="shared" si="129"/>
        <v>82.350143371683643</v>
      </c>
      <c r="T71" s="152">
        <f t="shared" si="130"/>
        <v>20</v>
      </c>
      <c r="U71" s="191">
        <f t="shared" si="131"/>
        <v>0.29102362204724413</v>
      </c>
      <c r="V71" s="191">
        <f t="shared" si="132"/>
        <v>0.87307086614173246</v>
      </c>
      <c r="W71" s="191">
        <f t="shared" si="133"/>
        <v>0.85932171864343743</v>
      </c>
      <c r="X71" s="175">
        <f t="shared" si="134"/>
        <v>350</v>
      </c>
      <c r="Y71" s="386">
        <f t="shared" si="174"/>
        <v>350</v>
      </c>
      <c r="AA71" s="191">
        <f t="shared" si="135"/>
        <v>0.47996976568405147</v>
      </c>
      <c r="AB71" s="153">
        <f t="shared" si="136"/>
        <v>1.4172335600907031</v>
      </c>
      <c r="AC71" s="153">
        <f t="shared" si="137"/>
        <v>0.11904012045735404</v>
      </c>
      <c r="AD71" s="153"/>
      <c r="AE71" s="153">
        <f t="shared" si="138"/>
        <v>0.44291338582677164</v>
      </c>
      <c r="AF71" s="317">
        <f t="shared" si="139"/>
        <v>1986.8444444444447</v>
      </c>
      <c r="AG71" s="463">
        <f t="shared" si="140"/>
        <v>1.1626476377952754E-2</v>
      </c>
      <c r="AI71" s="153">
        <f t="shared" si="141"/>
        <v>0.3767193389215111</v>
      </c>
      <c r="AJ71" s="153">
        <f t="shared" si="89"/>
        <v>0.3767193389215111</v>
      </c>
      <c r="AK71" s="153">
        <f t="shared" si="143"/>
        <v>1.3511462259476741</v>
      </c>
      <c r="AM71" s="317">
        <f t="shared" si="144"/>
        <v>66</v>
      </c>
      <c r="AN71" s="147">
        <f t="shared" si="145"/>
        <v>350</v>
      </c>
      <c r="AP71">
        <f t="shared" si="146"/>
        <v>66</v>
      </c>
      <c r="AQ71">
        <f t="shared" si="147"/>
        <v>350</v>
      </c>
      <c r="AS71" s="5">
        <f t="shared" si="175"/>
        <v>2.8571428571428572</v>
      </c>
      <c r="AT71" s="5">
        <f t="shared" si="148"/>
        <v>1.1301580167645333</v>
      </c>
      <c r="AU71" s="5">
        <f t="shared" si="176"/>
        <v>1.7269848403783239</v>
      </c>
      <c r="AV71" s="5">
        <f t="shared" si="149"/>
        <v>1.1123602527209973</v>
      </c>
      <c r="AW71" s="153">
        <f t="shared" si="177"/>
        <v>0.39555530586758664</v>
      </c>
      <c r="AX71" s="153">
        <f t="shared" si="150"/>
        <v>1.4901333333333338</v>
      </c>
      <c r="AY71" s="153">
        <f t="shared" si="151"/>
        <v>0.11385300279408886</v>
      </c>
      <c r="AZ71" s="153">
        <f t="shared" si="178"/>
        <v>13.088221625812929</v>
      </c>
      <c r="BA71" s="147">
        <f t="shared" si="152"/>
        <v>2.385619286777211</v>
      </c>
      <c r="BB71" s="147">
        <f t="shared" si="153"/>
        <v>6.2047218816000012</v>
      </c>
      <c r="BC71" s="5">
        <f t="shared" si="154"/>
        <v>0.12664555496107707</v>
      </c>
      <c r="BD71" s="147">
        <f t="shared" si="155"/>
        <v>12.884555496107708</v>
      </c>
      <c r="BE71" s="5"/>
      <c r="BF71" s="153">
        <f t="shared" si="179"/>
        <v>0.13679206168953922</v>
      </c>
      <c r="BG71" s="153">
        <f t="shared" si="156"/>
        <v>0.16909687153979347</v>
      </c>
      <c r="BH71" s="153"/>
      <c r="BI71" s="463">
        <f t="shared" si="157"/>
        <v>6.549223849446147E-3</v>
      </c>
      <c r="BJ71" s="463">
        <f t="shared" si="158"/>
        <v>2.6581316554301824E-2</v>
      </c>
      <c r="BK71" s="463">
        <f t="shared" si="159"/>
        <v>4.3749999999999995E-3</v>
      </c>
      <c r="BL71" s="463">
        <f t="shared" si="160"/>
        <v>2.8449792000000005E-2</v>
      </c>
      <c r="BM71">
        <f t="shared" si="161"/>
        <v>5.7999999999999996E-3</v>
      </c>
      <c r="BN71">
        <f t="shared" si="162"/>
        <v>1.3124999999999999E-5</v>
      </c>
      <c r="BO71" s="463">
        <f t="shared" si="163"/>
        <v>7.2740497279449978E-2</v>
      </c>
      <c r="BP71" s="147">
        <f t="shared" si="180"/>
        <v>72.740497279449983</v>
      </c>
      <c r="BQ71" s="463">
        <f t="shared" si="164"/>
        <v>4.7057626500912705E-2</v>
      </c>
      <c r="BR71" s="463"/>
      <c r="BT71" s="147">
        <f t="shared" si="181"/>
        <v>47.057626500912704</v>
      </c>
      <c r="BU71" s="463">
        <f t="shared" si="165"/>
        <v>1.8712068141274706E-2</v>
      </c>
      <c r="BV71" s="463">
        <f t="shared" si="166"/>
        <v>2.8593751964545416E-2</v>
      </c>
      <c r="BW71" s="463">
        <f t="shared" si="167"/>
        <v>0</v>
      </c>
      <c r="BX71" s="463">
        <f t="shared" si="168"/>
        <v>5.3183790745522798E-2</v>
      </c>
      <c r="BY71" s="463">
        <f t="shared" si="169"/>
        <v>2.4835555555555569E-2</v>
      </c>
      <c r="BZ71" s="147">
        <f t="shared" si="182"/>
        <v>78.019346301078372</v>
      </c>
      <c r="CA71" s="153">
        <f t="shared" si="183"/>
        <v>0.19781747008144107</v>
      </c>
      <c r="CB71" s="5">
        <f t="shared" si="184"/>
        <v>1.32</v>
      </c>
      <c r="CC71" s="153">
        <f t="shared" si="185"/>
        <v>0.86966978969425968</v>
      </c>
      <c r="CD71" s="5">
        <f t="shared" si="186"/>
        <v>86.966978969425966</v>
      </c>
      <c r="CG71" s="59">
        <f t="shared" si="170"/>
        <v>-50</v>
      </c>
      <c r="CH71">
        <f t="shared" si="171"/>
        <v>-50</v>
      </c>
    </row>
    <row r="72" spans="5:86" x14ac:dyDescent="0.25">
      <c r="E72" s="150">
        <v>67</v>
      </c>
      <c r="F72" s="191">
        <f t="shared" si="172"/>
        <v>6.7000000000000004E-2</v>
      </c>
      <c r="G72" s="191"/>
      <c r="H72" s="191">
        <f t="shared" si="120"/>
        <v>1.34</v>
      </c>
      <c r="I72" s="472">
        <f t="shared" si="121"/>
        <v>20</v>
      </c>
      <c r="J72" s="152">
        <f t="shared" si="122"/>
        <v>20.32</v>
      </c>
      <c r="K72" s="386">
        <f t="shared" si="123"/>
        <v>40.32</v>
      </c>
      <c r="L72" s="386"/>
      <c r="M72" s="191">
        <f t="shared" si="124"/>
        <v>0.50396825396825395</v>
      </c>
      <c r="N72" s="152">
        <f t="shared" si="125"/>
        <v>3.4017857142857144</v>
      </c>
      <c r="O72" s="152">
        <f t="shared" si="173"/>
        <v>1.34</v>
      </c>
      <c r="P72" s="191">
        <f t="shared" si="126"/>
        <v>0.17008928571428572</v>
      </c>
      <c r="Q72" s="191">
        <f t="shared" si="127"/>
        <v>20</v>
      </c>
      <c r="R72" s="191">
        <f t="shared" si="128"/>
        <v>0.18898809523809523</v>
      </c>
      <c r="S72" s="152">
        <f t="shared" si="129"/>
        <v>80.825139677524731</v>
      </c>
      <c r="T72" s="152">
        <f t="shared" si="130"/>
        <v>20</v>
      </c>
      <c r="U72" s="191">
        <f t="shared" si="131"/>
        <v>0.29543307086614173</v>
      </c>
      <c r="V72" s="191">
        <f t="shared" si="132"/>
        <v>0.88629921259842526</v>
      </c>
      <c r="W72" s="191">
        <f t="shared" si="133"/>
        <v>0.87234174468348946</v>
      </c>
      <c r="X72" s="175">
        <f t="shared" si="134"/>
        <v>350</v>
      </c>
      <c r="Y72" s="386">
        <f t="shared" si="174"/>
        <v>350</v>
      </c>
      <c r="AA72" s="191">
        <f t="shared" si="135"/>
        <v>0.47996976568405147</v>
      </c>
      <c r="AB72" s="153">
        <f t="shared" si="136"/>
        <v>1.4172335600907031</v>
      </c>
      <c r="AC72" s="153">
        <f t="shared" si="137"/>
        <v>0.11904012045735404</v>
      </c>
      <c r="AD72" s="153"/>
      <c r="AE72" s="153">
        <f t="shared" si="138"/>
        <v>0.44291338582677164</v>
      </c>
      <c r="AF72" s="317">
        <f t="shared" si="139"/>
        <v>2016.9481481481484</v>
      </c>
      <c r="AG72" s="463">
        <f t="shared" si="140"/>
        <v>1.1626476377952754E-2</v>
      </c>
      <c r="AI72" s="153">
        <f t="shared" si="141"/>
        <v>0.37956254407900275</v>
      </c>
      <c r="AJ72" s="153">
        <f t="shared" si="142"/>
        <v>0.37956254407900275</v>
      </c>
      <c r="AK72" s="153">
        <f t="shared" si="143"/>
        <v>1.3530416960526686</v>
      </c>
      <c r="AM72" s="317">
        <f t="shared" si="144"/>
        <v>67</v>
      </c>
      <c r="AN72" s="147">
        <f t="shared" si="145"/>
        <v>350</v>
      </c>
      <c r="AP72">
        <f t="shared" si="146"/>
        <v>67</v>
      </c>
      <c r="AQ72">
        <f t="shared" si="147"/>
        <v>350</v>
      </c>
      <c r="AS72" s="5">
        <f t="shared" si="175"/>
        <v>2.8571428571428572</v>
      </c>
      <c r="AT72" s="5">
        <f t="shared" si="148"/>
        <v>1.1386876322370083</v>
      </c>
      <c r="AU72" s="5">
        <f t="shared" si="176"/>
        <v>1.7184552249058489</v>
      </c>
      <c r="AV72" s="5">
        <f t="shared" si="149"/>
        <v>1.1207555435403624</v>
      </c>
      <c r="AW72" s="153">
        <f t="shared" si="177"/>
        <v>0.3985406712829529</v>
      </c>
      <c r="AX72" s="153">
        <f t="shared" si="150"/>
        <v>1.5127111111111113</v>
      </c>
      <c r="AY72" s="153">
        <f t="shared" si="151"/>
        <v>0.11414571648394579</v>
      </c>
      <c r="AZ72" s="153">
        <f t="shared" si="178"/>
        <v>13.252456226194603</v>
      </c>
      <c r="BA72" s="147">
        <f t="shared" si="152"/>
        <v>2.385619286777211</v>
      </c>
      <c r="BB72" s="147">
        <f t="shared" si="153"/>
        <v>6.3911227104000004</v>
      </c>
      <c r="BC72" s="5">
        <f t="shared" si="154"/>
        <v>0.12792944452076876</v>
      </c>
      <c r="BD72" s="147">
        <f t="shared" si="155"/>
        <v>13.01627778541021</v>
      </c>
      <c r="BE72" s="5"/>
      <c r="BF72" s="153">
        <f t="shared" si="179"/>
        <v>0.13834359132125931</v>
      </c>
      <c r="BG72" s="153">
        <f t="shared" si="156"/>
        <v>0.16995183345949724</v>
      </c>
      <c r="BH72" s="153"/>
      <c r="BI72" s="463">
        <f t="shared" si="157"/>
        <v>6.698632240882265E-3</v>
      </c>
      <c r="BJ72" s="463">
        <f t="shared" si="158"/>
        <v>2.6781933110214436E-2</v>
      </c>
      <c r="BK72" s="463">
        <f t="shared" si="159"/>
        <v>4.3749999999999995E-3</v>
      </c>
      <c r="BL72" s="463">
        <f t="shared" si="160"/>
        <v>2.8449792000000005E-2</v>
      </c>
      <c r="BM72">
        <f t="shared" si="161"/>
        <v>5.7999999999999996E-3</v>
      </c>
      <c r="BN72">
        <f t="shared" si="162"/>
        <v>1.3124999999999999E-5</v>
      </c>
      <c r="BO72" s="463">
        <f t="shared" si="163"/>
        <v>7.3113158083761759E-2</v>
      </c>
      <c r="BP72" s="147">
        <f t="shared" si="180"/>
        <v>73.113158083761761</v>
      </c>
      <c r="BQ72" s="463">
        <f t="shared" si="164"/>
        <v>4.7661090031930947E-2</v>
      </c>
      <c r="BR72" s="463"/>
      <c r="BT72" s="147">
        <f t="shared" si="181"/>
        <v>47.661090031930947</v>
      </c>
      <c r="BU72" s="463">
        <f t="shared" si="165"/>
        <v>1.9138949259663616E-2</v>
      </c>
      <c r="BV72" s="463">
        <f t="shared" si="166"/>
        <v>2.8883625696244686E-2</v>
      </c>
      <c r="BW72" s="463">
        <f t="shared" si="167"/>
        <v>0</v>
      </c>
      <c r="BX72" s="463">
        <f t="shared" si="168"/>
        <v>5.3992713481034571E-2</v>
      </c>
      <c r="BY72" s="463">
        <f t="shared" si="169"/>
        <v>2.521185185185186E-2</v>
      </c>
      <c r="BZ72" s="147">
        <f t="shared" si="182"/>
        <v>79.204565332886432</v>
      </c>
      <c r="CA72" s="153">
        <f t="shared" si="183"/>
        <v>0.19997881344857915</v>
      </c>
      <c r="CB72" s="5">
        <f t="shared" si="184"/>
        <v>1.34</v>
      </c>
      <c r="CC72" s="153">
        <f t="shared" si="185"/>
        <v>0.87014184110705195</v>
      </c>
      <c r="CD72" s="5">
        <f t="shared" si="186"/>
        <v>87.014184110705202</v>
      </c>
      <c r="CG72" s="59">
        <f t="shared" si="170"/>
        <v>-50</v>
      </c>
      <c r="CH72">
        <f t="shared" si="171"/>
        <v>-50</v>
      </c>
    </row>
    <row r="73" spans="5:86" x14ac:dyDescent="0.25">
      <c r="E73" s="150">
        <v>68</v>
      </c>
      <c r="F73" s="191">
        <f t="shared" si="172"/>
        <v>6.8000000000000005E-2</v>
      </c>
      <c r="G73" s="191"/>
      <c r="H73" s="191">
        <f t="shared" si="120"/>
        <v>1.36</v>
      </c>
      <c r="I73" s="472">
        <f t="shared" si="121"/>
        <v>20</v>
      </c>
      <c r="J73" s="152">
        <f t="shared" si="122"/>
        <v>20.32</v>
      </c>
      <c r="K73" s="386">
        <f t="shared" si="123"/>
        <v>40.32</v>
      </c>
      <c r="L73" s="386"/>
      <c r="M73" s="191">
        <f t="shared" si="124"/>
        <v>0.50396825396825395</v>
      </c>
      <c r="N73" s="152">
        <f t="shared" si="125"/>
        <v>3.4017857142857144</v>
      </c>
      <c r="O73" s="152">
        <f t="shared" si="173"/>
        <v>1.36</v>
      </c>
      <c r="P73" s="191">
        <f t="shared" si="126"/>
        <v>0.17008928571428572</v>
      </c>
      <c r="Q73" s="191">
        <f t="shared" si="127"/>
        <v>20</v>
      </c>
      <c r="R73" s="191">
        <f t="shared" si="128"/>
        <v>0.18898809523809523</v>
      </c>
      <c r="S73" s="152">
        <f t="shared" si="129"/>
        <v>79.345042248459919</v>
      </c>
      <c r="T73" s="152">
        <f t="shared" si="130"/>
        <v>20</v>
      </c>
      <c r="U73" s="191">
        <f t="shared" si="131"/>
        <v>0.29984251968503939</v>
      </c>
      <c r="V73" s="191">
        <f t="shared" si="132"/>
        <v>0.89952755905511805</v>
      </c>
      <c r="W73" s="191">
        <f t="shared" si="133"/>
        <v>0.88536177072354139</v>
      </c>
      <c r="X73" s="175">
        <f t="shared" si="134"/>
        <v>350</v>
      </c>
      <c r="Y73" s="386">
        <f t="shared" si="174"/>
        <v>350</v>
      </c>
      <c r="AA73" s="191">
        <f t="shared" si="135"/>
        <v>0.47996976568405147</v>
      </c>
      <c r="AB73" s="153">
        <f t="shared" si="136"/>
        <v>1.4172335600907031</v>
      </c>
      <c r="AC73" s="153">
        <f t="shared" si="137"/>
        <v>0.11904012045735404</v>
      </c>
      <c r="AD73" s="153"/>
      <c r="AE73" s="153">
        <f t="shared" si="138"/>
        <v>0.44291338582677164</v>
      </c>
      <c r="AF73" s="317">
        <f t="shared" si="139"/>
        <v>2047.0518518518525</v>
      </c>
      <c r="AG73" s="463">
        <f t="shared" si="140"/>
        <v>1.1626476377952754E-2</v>
      </c>
      <c r="AI73" s="153">
        <f t="shared" si="141"/>
        <v>0.38238460928493112</v>
      </c>
      <c r="AJ73" s="153">
        <f t="shared" si="142"/>
        <v>0.38238460928493112</v>
      </c>
      <c r="AK73" s="153">
        <f t="shared" si="143"/>
        <v>1.3549230728566206</v>
      </c>
      <c r="AM73" s="317">
        <f t="shared" si="144"/>
        <v>68</v>
      </c>
      <c r="AN73" s="147">
        <f t="shared" si="145"/>
        <v>350</v>
      </c>
      <c r="AP73">
        <f t="shared" si="146"/>
        <v>68</v>
      </c>
      <c r="AQ73">
        <f t="shared" si="147"/>
        <v>350</v>
      </c>
      <c r="AS73" s="5">
        <f t="shared" si="175"/>
        <v>2.8571428571428572</v>
      </c>
      <c r="AT73" s="5">
        <f t="shared" si="148"/>
        <v>1.1471538278547935</v>
      </c>
      <c r="AU73" s="5">
        <f t="shared" si="176"/>
        <v>1.7099890292880637</v>
      </c>
      <c r="AV73" s="5">
        <f t="shared" si="149"/>
        <v>1.1290884132429069</v>
      </c>
      <c r="AW73" s="153">
        <f t="shared" si="177"/>
        <v>0.40150383974917769</v>
      </c>
      <c r="AX73" s="153">
        <f t="shared" si="150"/>
        <v>1.5352888888888891</v>
      </c>
      <c r="AY73" s="153">
        <f t="shared" si="151"/>
        <v>0.11442786019802111</v>
      </c>
      <c r="AZ73" s="153">
        <f t="shared" si="178"/>
        <v>13.417089913523002</v>
      </c>
      <c r="BA73" s="147">
        <f t="shared" si="152"/>
        <v>2.385619286777211</v>
      </c>
      <c r="BB73" s="147">
        <f t="shared" si="153"/>
        <v>6.5802814463999999</v>
      </c>
      <c r="BC73" s="5">
        <f t="shared" si="154"/>
        <v>0.12919917110176482</v>
      </c>
      <c r="BD73" s="147">
        <f t="shared" si="155"/>
        <v>13.146583776843149</v>
      </c>
      <c r="BE73" s="5"/>
      <c r="BF73" s="153">
        <f t="shared" si="179"/>
        <v>0.13988934220986649</v>
      </c>
      <c r="BG73" s="153">
        <f t="shared" si="156"/>
        <v>0.17079315484552463</v>
      </c>
      <c r="BH73" s="153"/>
      <c r="BI73" s="463">
        <f t="shared" si="157"/>
        <v>6.8491598223681966E-3</v>
      </c>
      <c r="BJ73" s="463">
        <f t="shared" si="158"/>
        <v>2.6981058031144738E-2</v>
      </c>
      <c r="BK73" s="463">
        <f t="shared" si="159"/>
        <v>4.3749999999999995E-3</v>
      </c>
      <c r="BL73" s="463">
        <f t="shared" si="160"/>
        <v>2.8449792000000005E-2</v>
      </c>
      <c r="BM73">
        <f t="shared" si="161"/>
        <v>5.7999999999999996E-3</v>
      </c>
      <c r="BN73">
        <f t="shared" si="162"/>
        <v>1.3124999999999999E-5</v>
      </c>
      <c r="BO73" s="463">
        <f t="shared" si="163"/>
        <v>7.348563301847047E-2</v>
      </c>
      <c r="BP73" s="147">
        <f t="shared" si="180"/>
        <v>73.485633018470466</v>
      </c>
      <c r="BQ73" s="463">
        <f t="shared" si="164"/>
        <v>4.8262110530954735E-2</v>
      </c>
      <c r="BR73" s="463"/>
      <c r="BT73" s="147">
        <f t="shared" si="181"/>
        <v>48.262110530954736</v>
      </c>
      <c r="BU73" s="463">
        <f t="shared" si="165"/>
        <v>1.9569028063909134E-2</v>
      </c>
      <c r="BV73" s="463">
        <f t="shared" si="166"/>
        <v>2.9170301742087353E-2</v>
      </c>
      <c r="BW73" s="463">
        <f t="shared" si="167"/>
        <v>0</v>
      </c>
      <c r="BX73" s="463">
        <f t="shared" si="168"/>
        <v>5.4801729347564866E-2</v>
      </c>
      <c r="BY73" s="463">
        <f t="shared" si="169"/>
        <v>2.5588148148148155E-2</v>
      </c>
      <c r="BZ73" s="147">
        <f t="shared" si="182"/>
        <v>80.389877495713023</v>
      </c>
      <c r="CA73" s="153">
        <f t="shared" si="183"/>
        <v>0.20213762104513824</v>
      </c>
      <c r="CB73" s="5">
        <f t="shared" si="184"/>
        <v>1.36</v>
      </c>
      <c r="CC73" s="153">
        <f t="shared" si="185"/>
        <v>0.8706019121990678</v>
      </c>
      <c r="CD73" s="5">
        <f t="shared" si="186"/>
        <v>87.060191219906784</v>
      </c>
      <c r="CG73" s="59">
        <f t="shared" si="170"/>
        <v>-50</v>
      </c>
      <c r="CH73">
        <f t="shared" si="171"/>
        <v>-50</v>
      </c>
    </row>
    <row r="74" spans="5:86" x14ac:dyDescent="0.25">
      <c r="E74" s="150">
        <v>69</v>
      </c>
      <c r="F74" s="191">
        <f t="shared" si="172"/>
        <v>6.8999999999999992E-2</v>
      </c>
      <c r="G74" s="191"/>
      <c r="H74" s="191">
        <f t="shared" si="120"/>
        <v>1.38</v>
      </c>
      <c r="I74" s="472">
        <f t="shared" si="121"/>
        <v>20</v>
      </c>
      <c r="J74" s="152">
        <f t="shared" si="122"/>
        <v>20.32</v>
      </c>
      <c r="K74" s="386">
        <f t="shared" si="123"/>
        <v>40.32</v>
      </c>
      <c r="L74" s="386"/>
      <c r="M74" s="191">
        <f t="shared" si="124"/>
        <v>0.50396825396825395</v>
      </c>
      <c r="N74" s="152">
        <f t="shared" si="125"/>
        <v>3.4017857142857144</v>
      </c>
      <c r="O74" s="152">
        <f t="shared" si="173"/>
        <v>1.38</v>
      </c>
      <c r="P74" s="191">
        <f t="shared" si="126"/>
        <v>0.17008928571428572</v>
      </c>
      <c r="Q74" s="191">
        <f t="shared" si="127"/>
        <v>20</v>
      </c>
      <c r="R74" s="191">
        <f t="shared" si="128"/>
        <v>0.18898809523809523</v>
      </c>
      <c r="S74" s="152">
        <f t="shared" si="129"/>
        <v>77.90789920081545</v>
      </c>
      <c r="T74" s="152">
        <f t="shared" si="130"/>
        <v>20</v>
      </c>
      <c r="U74" s="191">
        <f t="shared" si="131"/>
        <v>0.30425196850393699</v>
      </c>
      <c r="V74" s="191">
        <f t="shared" si="132"/>
        <v>0.91275590551181096</v>
      </c>
      <c r="W74" s="191">
        <f t="shared" si="133"/>
        <v>0.89838179676359342</v>
      </c>
      <c r="X74" s="175">
        <f t="shared" si="134"/>
        <v>350</v>
      </c>
      <c r="Y74" s="386">
        <f t="shared" si="174"/>
        <v>350</v>
      </c>
      <c r="AA74" s="191">
        <f t="shared" si="135"/>
        <v>0.47996976568405147</v>
      </c>
      <c r="AB74" s="153">
        <f t="shared" si="136"/>
        <v>1.4172335600907031</v>
      </c>
      <c r="AC74" s="153">
        <f t="shared" si="137"/>
        <v>0.11904012045735404</v>
      </c>
      <c r="AD74" s="153"/>
      <c r="AE74" s="153">
        <f t="shared" si="138"/>
        <v>0.44291338582677164</v>
      </c>
      <c r="AF74" s="317">
        <f t="shared" si="139"/>
        <v>2077.1555555555556</v>
      </c>
      <c r="AG74" s="463">
        <f t="shared" si="140"/>
        <v>1.1626476377952754E-2</v>
      </c>
      <c r="AI74" s="153">
        <f t="shared" si="141"/>
        <v>0.38518599918513907</v>
      </c>
      <c r="AJ74" s="153">
        <f t="shared" si="142"/>
        <v>0.38518599918513907</v>
      </c>
      <c r="AK74" s="153">
        <f t="shared" si="143"/>
        <v>1.3567906661234259</v>
      </c>
      <c r="AM74" s="317">
        <f t="shared" si="144"/>
        <v>68.999999999999986</v>
      </c>
      <c r="AN74" s="147">
        <f t="shared" si="145"/>
        <v>350</v>
      </c>
      <c r="AP74">
        <f t="shared" si="146"/>
        <v>68.999999999999986</v>
      </c>
      <c r="AQ74">
        <f t="shared" si="147"/>
        <v>350</v>
      </c>
      <c r="AS74" s="5">
        <f t="shared" si="175"/>
        <v>2.8571428571428572</v>
      </c>
      <c r="AT74" s="5">
        <f t="shared" si="148"/>
        <v>1.1555579975554173</v>
      </c>
      <c r="AU74" s="5">
        <f t="shared" si="176"/>
        <v>1.7015848595874399</v>
      </c>
      <c r="AV74" s="5">
        <f t="shared" si="149"/>
        <v>1.1373602338143869</v>
      </c>
      <c r="AW74" s="153">
        <f t="shared" si="177"/>
        <v>0.40444529914439603</v>
      </c>
      <c r="AX74" s="153">
        <f t="shared" si="150"/>
        <v>1.5578666666666665</v>
      </c>
      <c r="AY74" s="153">
        <f t="shared" si="151"/>
        <v>0.11469966625923619</v>
      </c>
      <c r="AZ74" s="153">
        <f t="shared" si="178"/>
        <v>13.582137746989471</v>
      </c>
      <c r="BA74" s="147">
        <f t="shared" si="152"/>
        <v>2.385619286777211</v>
      </c>
      <c r="BB74" s="147">
        <f t="shared" si="153"/>
        <v>6.772198089599998</v>
      </c>
      <c r="BC74" s="5">
        <f t="shared" si="154"/>
        <v>0.13045483923503703</v>
      </c>
      <c r="BD74" s="147">
        <f t="shared" si="155"/>
        <v>13.275483923503703</v>
      </c>
      <c r="BE74" s="5"/>
      <c r="BF74" s="153">
        <f t="shared" si="179"/>
        <v>0.14142942039491194</v>
      </c>
      <c r="BG74" s="153">
        <f t="shared" si="156"/>
        <v>0.17162110506241335</v>
      </c>
      <c r="BH74" s="153"/>
      <c r="BI74" s="463">
        <f t="shared" si="157"/>
        <v>7.0007983336342564E-3</v>
      </c>
      <c r="BJ74" s="463">
        <f t="shared" si="158"/>
        <v>2.7178724102503417E-2</v>
      </c>
      <c r="BK74" s="463">
        <f t="shared" si="159"/>
        <v>4.3749999999999995E-3</v>
      </c>
      <c r="BL74" s="463">
        <f t="shared" si="160"/>
        <v>2.8449792000000005E-2</v>
      </c>
      <c r="BM74">
        <f t="shared" si="161"/>
        <v>5.7999999999999996E-3</v>
      </c>
      <c r="BN74">
        <f t="shared" si="162"/>
        <v>1.3124999999999999E-5</v>
      </c>
      <c r="BO74" s="463">
        <f t="shared" si="163"/>
        <v>7.3857945626680702E-2</v>
      </c>
      <c r="BP74" s="147">
        <f t="shared" si="180"/>
        <v>73.857945626680703</v>
      </c>
      <c r="BQ74" s="463">
        <f t="shared" si="164"/>
        <v>4.8860706028972758E-2</v>
      </c>
      <c r="BR74" s="463"/>
      <c r="BT74" s="147">
        <f t="shared" si="181"/>
        <v>48.860706028972757</v>
      </c>
      <c r="BU74" s="463">
        <f t="shared" si="165"/>
        <v>2.0002280953240734E-2</v>
      </c>
      <c r="BV74" s="463">
        <f t="shared" si="166"/>
        <v>2.9453803702843919E-2</v>
      </c>
      <c r="BW74" s="463">
        <f t="shared" si="167"/>
        <v>0</v>
      </c>
      <c r="BX74" s="463">
        <f t="shared" si="168"/>
        <v>5.5610838361197797E-2</v>
      </c>
      <c r="BY74" s="463">
        <f t="shared" si="169"/>
        <v>2.5964444444444446E-2</v>
      </c>
      <c r="BZ74" s="147">
        <f t="shared" si="182"/>
        <v>81.575282805642246</v>
      </c>
      <c r="CA74" s="153">
        <f t="shared" si="183"/>
        <v>0.20429393446129571</v>
      </c>
      <c r="CB74" s="5">
        <f t="shared" si="184"/>
        <v>1.38</v>
      </c>
      <c r="CC74" s="153">
        <f t="shared" si="185"/>
        <v>0.87105048500311189</v>
      </c>
      <c r="CD74" s="5">
        <f t="shared" si="186"/>
        <v>87.105048500311185</v>
      </c>
      <c r="CG74" s="59">
        <f t="shared" si="170"/>
        <v>-50</v>
      </c>
      <c r="CH74">
        <f t="shared" si="171"/>
        <v>-50</v>
      </c>
    </row>
    <row r="75" spans="5:86" x14ac:dyDescent="0.25">
      <c r="E75" s="150">
        <v>70</v>
      </c>
      <c r="F75" s="191">
        <f t="shared" si="172"/>
        <v>6.9999999999999993E-2</v>
      </c>
      <c r="G75" s="191"/>
      <c r="H75" s="191">
        <f t="shared" si="120"/>
        <v>1.4</v>
      </c>
      <c r="I75" s="472">
        <f t="shared" si="121"/>
        <v>20</v>
      </c>
      <c r="J75" s="152">
        <f t="shared" si="122"/>
        <v>20.32</v>
      </c>
      <c r="K75" s="386">
        <f t="shared" si="123"/>
        <v>40.32</v>
      </c>
      <c r="L75" s="386"/>
      <c r="M75" s="191">
        <f t="shared" si="124"/>
        <v>0.50396825396825395</v>
      </c>
      <c r="N75" s="152">
        <f t="shared" si="125"/>
        <v>3.4017857142857144</v>
      </c>
      <c r="O75" s="152">
        <f t="shared" si="173"/>
        <v>1.4</v>
      </c>
      <c r="P75" s="191">
        <f t="shared" si="126"/>
        <v>0.17008928571428572</v>
      </c>
      <c r="Q75" s="191">
        <f t="shared" si="127"/>
        <v>20</v>
      </c>
      <c r="R75" s="191">
        <f t="shared" si="128"/>
        <v>0.18898809523809523</v>
      </c>
      <c r="S75" s="152">
        <f t="shared" si="129"/>
        <v>76.511870194874646</v>
      </c>
      <c r="T75" s="152">
        <f t="shared" si="130"/>
        <v>20</v>
      </c>
      <c r="U75" s="191">
        <f t="shared" si="131"/>
        <v>0.30866141732283464</v>
      </c>
      <c r="V75" s="191">
        <f t="shared" si="132"/>
        <v>0.92598425196850387</v>
      </c>
      <c r="W75" s="191">
        <f t="shared" si="133"/>
        <v>0.91140182280364557</v>
      </c>
      <c r="X75" s="175">
        <f t="shared" si="134"/>
        <v>350</v>
      </c>
      <c r="Y75" s="386">
        <f t="shared" si="174"/>
        <v>350</v>
      </c>
      <c r="AA75" s="191">
        <f t="shared" si="135"/>
        <v>0.47996976568405147</v>
      </c>
      <c r="AB75" s="153">
        <f t="shared" si="136"/>
        <v>1.4172335600907031</v>
      </c>
      <c r="AC75" s="153">
        <f t="shared" si="137"/>
        <v>0.11904012045735404</v>
      </c>
      <c r="AD75" s="153"/>
      <c r="AE75" s="153">
        <f t="shared" si="138"/>
        <v>0.44291338582677164</v>
      </c>
      <c r="AF75" s="317">
        <f t="shared" si="139"/>
        <v>2107.2592592592591</v>
      </c>
      <c r="AG75" s="463">
        <f t="shared" si="140"/>
        <v>1.1626476377952754E-2</v>
      </c>
      <c r="AI75" s="153">
        <f t="shared" si="141"/>
        <v>0.3879671616496923</v>
      </c>
      <c r="AJ75" s="153">
        <f t="shared" si="142"/>
        <v>0.3879671616496923</v>
      </c>
      <c r="AK75" s="153">
        <f t="shared" si="143"/>
        <v>1.3586447744331283</v>
      </c>
      <c r="AM75" s="317">
        <f t="shared" si="144"/>
        <v>69.999999999999986</v>
      </c>
      <c r="AN75" s="147">
        <f t="shared" si="145"/>
        <v>350</v>
      </c>
      <c r="AP75">
        <f t="shared" si="146"/>
        <v>69.999999999999986</v>
      </c>
      <c r="AQ75">
        <f t="shared" si="147"/>
        <v>350</v>
      </c>
      <c r="AS75" s="5">
        <f t="shared" si="175"/>
        <v>2.8571428571428572</v>
      </c>
      <c r="AT75" s="5">
        <f t="shared" si="148"/>
        <v>1.163901484949077</v>
      </c>
      <c r="AU75" s="5">
        <f t="shared" si="176"/>
        <v>1.6932413721937802</v>
      </c>
      <c r="AV75" s="5">
        <f t="shared" si="149"/>
        <v>1.1455723277057843</v>
      </c>
      <c r="AW75" s="153">
        <f t="shared" si="177"/>
        <v>0.40736551973217694</v>
      </c>
      <c r="AX75" s="153">
        <f t="shared" si="150"/>
        <v>1.5804444444444439</v>
      </c>
      <c r="AY75" s="153">
        <f t="shared" si="151"/>
        <v>0.11496135860262395</v>
      </c>
      <c r="AZ75" s="153">
        <f t="shared" si="178"/>
        <v>13.747614534614335</v>
      </c>
      <c r="BA75" s="147">
        <f t="shared" si="152"/>
        <v>2.385619286777211</v>
      </c>
      <c r="BB75" s="147">
        <f t="shared" si="153"/>
        <v>6.9668726399999992</v>
      </c>
      <c r="BC75" s="5">
        <f t="shared" si="154"/>
        <v>0.13169655117062734</v>
      </c>
      <c r="BD75" s="147">
        <f t="shared" si="155"/>
        <v>13.402988450396068</v>
      </c>
      <c r="BE75" s="5"/>
      <c r="BF75" s="153">
        <f t="shared" si="179"/>
        <v>0.14296392846404016</v>
      </c>
      <c r="BG75" s="153">
        <f t="shared" si="156"/>
        <v>0.17243594365532272</v>
      </c>
      <c r="BH75" s="153"/>
      <c r="BI75" s="463">
        <f t="shared" si="157"/>
        <v>7.1535396946549173E-3</v>
      </c>
      <c r="BJ75" s="463">
        <f t="shared" si="158"/>
        <v>2.7374962926002291E-2</v>
      </c>
      <c r="BK75" s="463">
        <f t="shared" si="159"/>
        <v>4.3749999999999995E-3</v>
      </c>
      <c r="BL75" s="463">
        <f t="shared" si="160"/>
        <v>2.8449792000000005E-2</v>
      </c>
      <c r="BM75">
        <f t="shared" si="161"/>
        <v>5.7999999999999996E-3</v>
      </c>
      <c r="BN75">
        <f t="shared" si="162"/>
        <v>1.3124999999999999E-5</v>
      </c>
      <c r="BO75" s="463">
        <f t="shared" si="163"/>
        <v>7.4230118473708612E-2</v>
      </c>
      <c r="BP75" s="147">
        <f t="shared" si="180"/>
        <v>74.230118473708615</v>
      </c>
      <c r="BQ75" s="463">
        <f t="shared" si="164"/>
        <v>4.9456894163526444E-2</v>
      </c>
      <c r="BR75" s="463"/>
      <c r="BT75" s="147">
        <f t="shared" si="181"/>
        <v>49.456894163526442</v>
      </c>
      <c r="BU75" s="463">
        <f t="shared" si="165"/>
        <v>2.0438684841871193E-2</v>
      </c>
      <c r="BV75" s="463">
        <f t="shared" si="166"/>
        <v>2.9734154664301633E-2</v>
      </c>
      <c r="BW75" s="463">
        <f t="shared" si="167"/>
        <v>0</v>
      </c>
      <c r="BX75" s="463">
        <f t="shared" si="168"/>
        <v>5.6420040538021236E-2</v>
      </c>
      <c r="BY75" s="463">
        <f t="shared" si="169"/>
        <v>2.6340740740740737E-2</v>
      </c>
      <c r="BZ75" s="147">
        <f t="shared" si="182"/>
        <v>82.760781278761982</v>
      </c>
      <c r="CA75" s="153">
        <f t="shared" si="183"/>
        <v>0.20644779391599705</v>
      </c>
      <c r="CB75" s="5">
        <f t="shared" si="184"/>
        <v>1.4</v>
      </c>
      <c r="CC75" s="153">
        <f t="shared" si="185"/>
        <v>0.87148801554718158</v>
      </c>
      <c r="CD75" s="5">
        <f t="shared" si="186"/>
        <v>87.148801554718162</v>
      </c>
      <c r="CG75" s="59">
        <f t="shared" si="170"/>
        <v>-50</v>
      </c>
      <c r="CH75">
        <f t="shared" si="171"/>
        <v>-50</v>
      </c>
    </row>
    <row r="76" spans="5:86" x14ac:dyDescent="0.25">
      <c r="E76" s="150">
        <v>71</v>
      </c>
      <c r="F76" s="191">
        <f t="shared" si="172"/>
        <v>7.0999999999999994E-2</v>
      </c>
      <c r="G76" s="191"/>
      <c r="H76" s="191">
        <f t="shared" si="120"/>
        <v>1.42</v>
      </c>
      <c r="I76" s="472">
        <f t="shared" si="121"/>
        <v>20</v>
      </c>
      <c r="J76" s="152">
        <f t="shared" si="122"/>
        <v>20.32</v>
      </c>
      <c r="K76" s="386">
        <f t="shared" si="123"/>
        <v>40.32</v>
      </c>
      <c r="L76" s="386"/>
      <c r="M76" s="191">
        <f t="shared" si="124"/>
        <v>0.50396825396825395</v>
      </c>
      <c r="N76" s="152">
        <f t="shared" si="125"/>
        <v>3.4017857142857144</v>
      </c>
      <c r="O76" s="152">
        <f t="shared" si="173"/>
        <v>1.42</v>
      </c>
      <c r="P76" s="191">
        <f t="shared" si="126"/>
        <v>0.17008928571428572</v>
      </c>
      <c r="Q76" s="191">
        <f t="shared" si="127"/>
        <v>20</v>
      </c>
      <c r="R76" s="191">
        <f t="shared" si="128"/>
        <v>0.18898809523809523</v>
      </c>
      <c r="S76" s="152">
        <f t="shared" si="129"/>
        <v>75.155218579799524</v>
      </c>
      <c r="T76" s="152">
        <f t="shared" si="130"/>
        <v>20</v>
      </c>
      <c r="U76" s="191">
        <f t="shared" si="131"/>
        <v>0.3130708661417323</v>
      </c>
      <c r="V76" s="191">
        <f t="shared" si="132"/>
        <v>0.93921259842519689</v>
      </c>
      <c r="W76" s="191">
        <f t="shared" si="133"/>
        <v>0.92442184884369771</v>
      </c>
      <c r="X76" s="175">
        <f t="shared" si="134"/>
        <v>350</v>
      </c>
      <c r="Y76" s="386">
        <f t="shared" si="174"/>
        <v>350</v>
      </c>
      <c r="AA76" s="191">
        <f t="shared" si="135"/>
        <v>0.47996976568405147</v>
      </c>
      <c r="AB76" s="153">
        <f t="shared" si="136"/>
        <v>1.4172335600907031</v>
      </c>
      <c r="AC76" s="153">
        <f t="shared" si="137"/>
        <v>0.11904012045735404</v>
      </c>
      <c r="AD76" s="153"/>
      <c r="AE76" s="153">
        <f t="shared" si="138"/>
        <v>0.44291338582677164</v>
      </c>
      <c r="AF76" s="317">
        <f t="shared" si="139"/>
        <v>2137.3629629629631</v>
      </c>
      <c r="AG76" s="463">
        <f t="shared" si="140"/>
        <v>1.1626476377952754E-2</v>
      </c>
      <c r="AI76" s="153">
        <f t="shared" si="141"/>
        <v>0.3907285286087811</v>
      </c>
      <c r="AJ76" s="153">
        <f t="shared" si="142"/>
        <v>0.3907285286087811</v>
      </c>
      <c r="AK76" s="153">
        <f t="shared" si="143"/>
        <v>1.3604856857391874</v>
      </c>
      <c r="AM76" s="317">
        <f t="shared" si="144"/>
        <v>71</v>
      </c>
      <c r="AN76" s="147">
        <f t="shared" si="145"/>
        <v>350</v>
      </c>
      <c r="AP76">
        <f t="shared" si="146"/>
        <v>71</v>
      </c>
      <c r="AQ76">
        <f t="shared" si="147"/>
        <v>350</v>
      </c>
      <c r="AS76" s="5">
        <f t="shared" si="175"/>
        <v>2.8571428571428572</v>
      </c>
      <c r="AT76" s="5">
        <f t="shared" si="148"/>
        <v>1.1721855858263435</v>
      </c>
      <c r="AU76" s="5">
        <f t="shared" si="176"/>
        <v>1.6849572713165137</v>
      </c>
      <c r="AV76" s="5">
        <f t="shared" si="149"/>
        <v>1.153725970301519</v>
      </c>
      <c r="AW76" s="153">
        <f t="shared" si="177"/>
        <v>0.41026495503922022</v>
      </c>
      <c r="AX76" s="153">
        <f t="shared" si="150"/>
        <v>1.6030222222222223</v>
      </c>
      <c r="AY76" s="153">
        <f t="shared" si="151"/>
        <v>0.11521315319327942</v>
      </c>
      <c r="AZ76" s="153">
        <f t="shared" si="178"/>
        <v>13.913534850773699</v>
      </c>
      <c r="BA76" s="147">
        <f t="shared" si="152"/>
        <v>2.385619286777211</v>
      </c>
      <c r="BB76" s="147">
        <f t="shared" si="153"/>
        <v>7.1643050975999989</v>
      </c>
      <c r="BC76" s="5">
        <f t="shared" si="154"/>
        <v>0.13292440695941385</v>
      </c>
      <c r="BD76" s="147">
        <f t="shared" si="155"/>
        <v>13.529107362608052</v>
      </c>
      <c r="BE76" s="5"/>
      <c r="BF76" s="153">
        <f t="shared" si="179"/>
        <v>0.14449296571299097</v>
      </c>
      <c r="BG76" s="153">
        <f t="shared" si="156"/>
        <v>0.1732379208364192</v>
      </c>
      <c r="BH76" s="153"/>
      <c r="BI76" s="463">
        <f t="shared" si="157"/>
        <v>7.3073759991874538E-3</v>
      </c>
      <c r="BJ76" s="463">
        <f t="shared" si="158"/>
        <v>2.7569804978635596E-2</v>
      </c>
      <c r="BK76" s="463">
        <f t="shared" si="159"/>
        <v>4.3749999999999995E-3</v>
      </c>
      <c r="BL76" s="463">
        <f t="shared" si="160"/>
        <v>2.8449792000000005E-2</v>
      </c>
      <c r="BM76">
        <f t="shared" si="161"/>
        <v>5.7999999999999996E-3</v>
      </c>
      <c r="BN76">
        <f t="shared" si="162"/>
        <v>1.3124999999999999E-5</v>
      </c>
      <c r="BO76" s="463">
        <f t="shared" si="163"/>
        <v>7.460217319868348E-2</v>
      </c>
      <c r="BP76" s="147">
        <f t="shared" si="180"/>
        <v>74.602173198683474</v>
      </c>
      <c r="BQ76" s="463">
        <f t="shared" si="164"/>
        <v>5.0050692192814245E-2</v>
      </c>
      <c r="BR76" s="463"/>
      <c r="BT76" s="147">
        <f t="shared" si="181"/>
        <v>50.050692192814246</v>
      </c>
      <c r="BU76" s="463">
        <f t="shared" si="165"/>
        <v>2.0878217140535584E-2</v>
      </c>
      <c r="BV76" s="463">
        <f t="shared" si="166"/>
        <v>3.0011377215725447E-2</v>
      </c>
      <c r="BW76" s="463">
        <f t="shared" si="167"/>
        <v>0</v>
      </c>
      <c r="BX76" s="463">
        <f t="shared" si="168"/>
        <v>5.7229335894126786E-2</v>
      </c>
      <c r="BY76" s="463">
        <f t="shared" si="169"/>
        <v>2.6717037037037039E-2</v>
      </c>
      <c r="BZ76" s="147">
        <f t="shared" si="182"/>
        <v>83.946372931163836</v>
      </c>
      <c r="CA76" s="153">
        <f t="shared" si="183"/>
        <v>0.20859923832266156</v>
      </c>
      <c r="CB76" s="5">
        <f t="shared" si="184"/>
        <v>1.42</v>
      </c>
      <c r="CC76" s="153">
        <f t="shared" si="185"/>
        <v>0.87191493559980815</v>
      </c>
      <c r="CD76" s="5">
        <f t="shared" si="186"/>
        <v>87.191493559980813</v>
      </c>
      <c r="CG76" s="59">
        <f t="shared" si="170"/>
        <v>-50</v>
      </c>
      <c r="CH76">
        <f t="shared" si="171"/>
        <v>-50</v>
      </c>
    </row>
    <row r="77" spans="5:86" x14ac:dyDescent="0.25">
      <c r="E77" s="150">
        <v>72</v>
      </c>
      <c r="F77" s="191">
        <f t="shared" si="172"/>
        <v>7.1999999999999995E-2</v>
      </c>
      <c r="G77" s="191"/>
      <c r="H77" s="191">
        <f t="shared" si="120"/>
        <v>1.44</v>
      </c>
      <c r="I77" s="472">
        <f t="shared" si="121"/>
        <v>20</v>
      </c>
      <c r="J77" s="152">
        <f t="shared" si="122"/>
        <v>20.32</v>
      </c>
      <c r="K77" s="386">
        <f t="shared" si="123"/>
        <v>40.32</v>
      </c>
      <c r="L77" s="386"/>
      <c r="M77" s="191">
        <f t="shared" si="124"/>
        <v>0.50396825396825395</v>
      </c>
      <c r="N77" s="152">
        <f t="shared" si="125"/>
        <v>3.4017857142857144</v>
      </c>
      <c r="O77" s="152">
        <f t="shared" si="173"/>
        <v>1.44</v>
      </c>
      <c r="P77" s="191">
        <f t="shared" si="126"/>
        <v>0.17008928571428572</v>
      </c>
      <c r="Q77" s="191">
        <f t="shared" si="127"/>
        <v>20</v>
      </c>
      <c r="R77" s="191">
        <f t="shared" si="128"/>
        <v>0.18898809523809523</v>
      </c>
      <c r="S77" s="152">
        <f t="shared" si="129"/>
        <v>73.836304193144954</v>
      </c>
      <c r="T77" s="152">
        <f t="shared" si="130"/>
        <v>20</v>
      </c>
      <c r="U77" s="191">
        <f t="shared" si="131"/>
        <v>0.31748031496062989</v>
      </c>
      <c r="V77" s="191">
        <f t="shared" si="132"/>
        <v>0.95244094488188968</v>
      </c>
      <c r="W77" s="191">
        <f t="shared" si="133"/>
        <v>0.93744187488374964</v>
      </c>
      <c r="X77" s="175">
        <f t="shared" si="134"/>
        <v>350</v>
      </c>
      <c r="Y77" s="386">
        <f t="shared" si="174"/>
        <v>350</v>
      </c>
      <c r="AA77" s="191">
        <f t="shared" si="135"/>
        <v>0.47996976568405147</v>
      </c>
      <c r="AB77" s="153">
        <f t="shared" si="136"/>
        <v>1.4172335600907031</v>
      </c>
      <c r="AC77" s="153">
        <f t="shared" si="137"/>
        <v>0.11904012045735404</v>
      </c>
      <c r="AD77" s="153"/>
      <c r="AE77" s="153">
        <f t="shared" si="138"/>
        <v>0.44291338582677164</v>
      </c>
      <c r="AF77" s="317">
        <f t="shared" si="139"/>
        <v>2167.4666666666672</v>
      </c>
      <c r="AG77" s="463">
        <f t="shared" si="140"/>
        <v>1.1626476377952754E-2</v>
      </c>
      <c r="AI77" s="153">
        <f t="shared" si="141"/>
        <v>0.39347051683582035</v>
      </c>
      <c r="AJ77" s="153">
        <f t="shared" si="142"/>
        <v>0.39347051683582035</v>
      </c>
      <c r="AK77" s="153">
        <f t="shared" si="143"/>
        <v>1.3623136778905469</v>
      </c>
      <c r="AM77" s="317">
        <f t="shared" si="144"/>
        <v>72</v>
      </c>
      <c r="AN77" s="147">
        <f t="shared" si="145"/>
        <v>350</v>
      </c>
      <c r="AP77">
        <f t="shared" si="146"/>
        <v>72</v>
      </c>
      <c r="AQ77">
        <f t="shared" si="147"/>
        <v>350</v>
      </c>
      <c r="AS77" s="5">
        <f t="shared" si="175"/>
        <v>2.8571428571428572</v>
      </c>
      <c r="AT77" s="5">
        <f t="shared" si="148"/>
        <v>1.180411550507461</v>
      </c>
      <c r="AU77" s="5">
        <f t="shared" si="176"/>
        <v>1.6767313066353962</v>
      </c>
      <c r="AV77" s="5">
        <f t="shared" si="149"/>
        <v>1.161822392231753</v>
      </c>
      <c r="AW77" s="153">
        <f t="shared" si="177"/>
        <v>0.41314404267761135</v>
      </c>
      <c r="AX77" s="153">
        <f t="shared" si="150"/>
        <v>1.6255999999999997</v>
      </c>
      <c r="AY77" s="153">
        <f t="shared" si="151"/>
        <v>0.11545525841791018</v>
      </c>
      <c r="AZ77" s="153">
        <f t="shared" si="178"/>
        <v>14.079913052689733</v>
      </c>
      <c r="BA77" s="147">
        <f t="shared" si="152"/>
        <v>2.385619286777211</v>
      </c>
      <c r="BB77" s="147">
        <f t="shared" si="153"/>
        <v>7.3644954623999981</v>
      </c>
      <c r="BC77" s="5">
        <f t="shared" si="154"/>
        <v>0.13413850453083168</v>
      </c>
      <c r="BD77" s="147">
        <f t="shared" si="155"/>
        <v>13.653850453083168</v>
      </c>
      <c r="BE77" s="5"/>
      <c r="BF77" s="153">
        <f t="shared" si="179"/>
        <v>0.14601662829603909</v>
      </c>
      <c r="BG77" s="153">
        <f t="shared" si="156"/>
        <v>0.17402727794057329</v>
      </c>
      <c r="BH77" s="153"/>
      <c r="BI77" s="463">
        <f t="shared" si="157"/>
        <v>7.4622995086302754E-3</v>
      </c>
      <c r="BJ77" s="463">
        <f t="shared" si="158"/>
        <v>2.7763279667935483E-2</v>
      </c>
      <c r="BK77" s="463">
        <f t="shared" si="159"/>
        <v>4.3749999999999995E-3</v>
      </c>
      <c r="BL77" s="463">
        <f t="shared" si="160"/>
        <v>2.8449792000000005E-2</v>
      </c>
      <c r="BM77">
        <f t="shared" si="161"/>
        <v>5.7999999999999996E-3</v>
      </c>
      <c r="BN77">
        <f t="shared" si="162"/>
        <v>1.3124999999999999E-5</v>
      </c>
      <c r="BO77" s="463">
        <f t="shared" si="163"/>
        <v>7.4974130562788885E-2</v>
      </c>
      <c r="BP77" s="147">
        <f t="shared" si="180"/>
        <v>74.974130562788886</v>
      </c>
      <c r="BQ77" s="463">
        <f t="shared" si="164"/>
        <v>5.0642117009097841E-2</v>
      </c>
      <c r="BR77" s="463"/>
      <c r="BT77" s="147">
        <f t="shared" si="181"/>
        <v>50.642117009097838</v>
      </c>
      <c r="BU77" s="463">
        <f t="shared" si="165"/>
        <v>2.1320855738943646E-2</v>
      </c>
      <c r="BV77" s="463">
        <f t="shared" si="166"/>
        <v>3.0285493467405548E-2</v>
      </c>
      <c r="BW77" s="463">
        <f t="shared" si="167"/>
        <v>0</v>
      </c>
      <c r="BX77" s="463">
        <f t="shared" si="168"/>
        <v>5.8038724445609605E-2</v>
      </c>
      <c r="BY77" s="463">
        <f t="shared" si="169"/>
        <v>2.7093333333333334E-2</v>
      </c>
      <c r="BZ77" s="147">
        <f t="shared" si="182"/>
        <v>85.132057778942936</v>
      </c>
      <c r="CA77" s="153">
        <f t="shared" si="183"/>
        <v>0.21074830535082964</v>
      </c>
      <c r="CB77" s="5">
        <f t="shared" si="184"/>
        <v>1.44</v>
      </c>
      <c r="CC77" s="153">
        <f t="shared" si="185"/>
        <v>0.87233165427600434</v>
      </c>
      <c r="CD77" s="5">
        <f t="shared" si="186"/>
        <v>87.23316542760044</v>
      </c>
      <c r="CG77" s="59">
        <f t="shared" si="170"/>
        <v>-50</v>
      </c>
      <c r="CH77">
        <f t="shared" si="171"/>
        <v>-50</v>
      </c>
    </row>
    <row r="78" spans="5:86" x14ac:dyDescent="0.25">
      <c r="E78" s="150">
        <v>73</v>
      </c>
      <c r="F78" s="191">
        <f t="shared" si="172"/>
        <v>7.2999999999999995E-2</v>
      </c>
      <c r="G78" s="191"/>
      <c r="H78" s="191">
        <f t="shared" si="120"/>
        <v>1.46</v>
      </c>
      <c r="I78" s="472">
        <f t="shared" si="121"/>
        <v>20</v>
      </c>
      <c r="J78" s="152">
        <f t="shared" si="122"/>
        <v>20.32</v>
      </c>
      <c r="K78" s="386">
        <f t="shared" si="123"/>
        <v>40.32</v>
      </c>
      <c r="L78" s="386"/>
      <c r="M78" s="191">
        <f t="shared" si="124"/>
        <v>0.50396825396825395</v>
      </c>
      <c r="N78" s="152">
        <f t="shared" si="125"/>
        <v>3.4017857142857144</v>
      </c>
      <c r="O78" s="152">
        <f t="shared" si="173"/>
        <v>1.46</v>
      </c>
      <c r="P78" s="191">
        <f t="shared" si="126"/>
        <v>0.17008928571428572</v>
      </c>
      <c r="Q78" s="191">
        <f t="shared" si="127"/>
        <v>20</v>
      </c>
      <c r="R78" s="191">
        <f t="shared" si="128"/>
        <v>0.18898809523809523</v>
      </c>
      <c r="S78" s="152">
        <f t="shared" si="129"/>
        <v>72.553576752195909</v>
      </c>
      <c r="T78" s="152">
        <f t="shared" si="130"/>
        <v>20</v>
      </c>
      <c r="U78" s="191">
        <f t="shared" si="131"/>
        <v>0.32188976377952755</v>
      </c>
      <c r="V78" s="191">
        <f t="shared" si="132"/>
        <v>0.96566929133858281</v>
      </c>
      <c r="W78" s="191">
        <f t="shared" si="133"/>
        <v>0.95046190092380189</v>
      </c>
      <c r="X78" s="175">
        <f t="shared" si="134"/>
        <v>350</v>
      </c>
      <c r="Y78" s="386">
        <f t="shared" si="174"/>
        <v>350</v>
      </c>
      <c r="AA78" s="191">
        <f t="shared" si="135"/>
        <v>0.47996976568405147</v>
      </c>
      <c r="AB78" s="153">
        <f t="shared" si="136"/>
        <v>1.4172335600907031</v>
      </c>
      <c r="AC78" s="153">
        <f t="shared" si="137"/>
        <v>0.11904012045735404</v>
      </c>
      <c r="AD78" s="153"/>
      <c r="AE78" s="153">
        <f t="shared" si="138"/>
        <v>0.44291338582677164</v>
      </c>
      <c r="AF78" s="317">
        <f t="shared" si="139"/>
        <v>2197.5703703703707</v>
      </c>
      <c r="AG78" s="463">
        <f t="shared" si="140"/>
        <v>1.1626476377952754E-2</v>
      </c>
      <c r="AI78" s="153">
        <f t="shared" si="141"/>
        <v>0.3961935286817696</v>
      </c>
      <c r="AJ78" s="153">
        <f t="shared" si="142"/>
        <v>0.3961935286817696</v>
      </c>
      <c r="AK78" s="153">
        <f t="shared" si="143"/>
        <v>1.3641290191211797</v>
      </c>
      <c r="AM78" s="317">
        <f t="shared" si="144"/>
        <v>73</v>
      </c>
      <c r="AN78" s="147">
        <f t="shared" si="145"/>
        <v>350</v>
      </c>
      <c r="AP78">
        <f t="shared" si="146"/>
        <v>73</v>
      </c>
      <c r="AQ78">
        <f t="shared" si="147"/>
        <v>350</v>
      </c>
      <c r="AS78" s="5">
        <f t="shared" si="175"/>
        <v>2.8571428571428572</v>
      </c>
      <c r="AT78" s="5">
        <f t="shared" si="148"/>
        <v>1.1885805860453089</v>
      </c>
      <c r="AU78" s="5">
        <f t="shared" si="176"/>
        <v>1.6685622710975483</v>
      </c>
      <c r="AV78" s="5">
        <f t="shared" si="149"/>
        <v>1.1698627815406584</v>
      </c>
      <c r="AW78" s="153">
        <f t="shared" si="177"/>
        <v>0.41600320511585809</v>
      </c>
      <c r="AX78" s="153">
        <f t="shared" si="150"/>
        <v>1.6481777777777782</v>
      </c>
      <c r="AY78" s="153">
        <f t="shared" si="151"/>
        <v>0.11568787545199589</v>
      </c>
      <c r="AZ78" s="153">
        <f t="shared" si="178"/>
        <v>14.246763295965975</v>
      </c>
      <c r="BA78" s="147">
        <f t="shared" si="152"/>
        <v>2.385619286777211</v>
      </c>
      <c r="BB78" s="147">
        <f t="shared" si="153"/>
        <v>7.5674437343999985</v>
      </c>
      <c r="BC78" s="5">
        <f t="shared" si="154"/>
        <v>0.13533893976680114</v>
      </c>
      <c r="BD78" s="147">
        <f t="shared" si="155"/>
        <v>13.777227310013446</v>
      </c>
      <c r="BE78" s="5"/>
      <c r="BF78" s="153">
        <f t="shared" si="179"/>
        <v>0.14753500936756847</v>
      </c>
      <c r="BG78" s="153">
        <f t="shared" si="156"/>
        <v>0.17480424785270204</v>
      </c>
      <c r="BH78" s="153"/>
      <c r="BI78" s="463">
        <f t="shared" si="157"/>
        <v>7.6183026461809807E-3</v>
      </c>
      <c r="BJ78" s="463">
        <f t="shared" si="158"/>
        <v>2.795541538378566E-2</v>
      </c>
      <c r="BK78" s="463">
        <f t="shared" si="159"/>
        <v>4.3749999999999995E-3</v>
      </c>
      <c r="BL78" s="463">
        <f t="shared" si="160"/>
        <v>2.8449792000000005E-2</v>
      </c>
      <c r="BM78">
        <f t="shared" si="161"/>
        <v>5.7999999999999996E-3</v>
      </c>
      <c r="BN78">
        <f t="shared" si="162"/>
        <v>1.3124999999999999E-5</v>
      </c>
      <c r="BO78" s="463">
        <f t="shared" si="163"/>
        <v>7.5346010494404328E-2</v>
      </c>
      <c r="BP78" s="147">
        <f t="shared" si="180"/>
        <v>75.346010494404325</v>
      </c>
      <c r="BQ78" s="463">
        <f t="shared" si="164"/>
        <v>5.1231185151454556E-2</v>
      </c>
      <c r="BR78" s="463"/>
      <c r="BT78" s="147">
        <f t="shared" si="181"/>
        <v>51.231185151454554</v>
      </c>
      <c r="BU78" s="463">
        <f t="shared" si="165"/>
        <v>2.1766578989088518E-2</v>
      </c>
      <c r="BV78" s="463">
        <f t="shared" si="166"/>
        <v>3.0556525067348888E-2</v>
      </c>
      <c r="BW78" s="463">
        <f t="shared" si="167"/>
        <v>0</v>
      </c>
      <c r="BX78" s="463">
        <f t="shared" si="168"/>
        <v>5.8848206208568746E-2</v>
      </c>
      <c r="BY78" s="463">
        <f t="shared" si="169"/>
        <v>2.7469629629629639E-2</v>
      </c>
      <c r="BZ78" s="147">
        <f t="shared" si="182"/>
        <v>86.317835838198377</v>
      </c>
      <c r="CA78" s="153">
        <f t="shared" si="183"/>
        <v>0.21289503148405728</v>
      </c>
      <c r="CB78" s="5">
        <f t="shared" si="184"/>
        <v>1.46</v>
      </c>
      <c r="CC78" s="153">
        <f t="shared" si="185"/>
        <v>0.87273855951667578</v>
      </c>
      <c r="CD78" s="5">
        <f t="shared" si="186"/>
        <v>87.273855951667585</v>
      </c>
      <c r="CG78" s="59">
        <f t="shared" si="170"/>
        <v>-50</v>
      </c>
      <c r="CH78">
        <f t="shared" si="171"/>
        <v>-50</v>
      </c>
    </row>
    <row r="79" spans="5:86" x14ac:dyDescent="0.25">
      <c r="E79" s="150">
        <v>74</v>
      </c>
      <c r="F79" s="191">
        <f t="shared" si="172"/>
        <v>7.3999999999999996E-2</v>
      </c>
      <c r="G79" s="191"/>
      <c r="H79" s="191">
        <f t="shared" si="120"/>
        <v>1.48</v>
      </c>
      <c r="I79" s="472">
        <f t="shared" si="121"/>
        <v>20</v>
      </c>
      <c r="J79" s="152">
        <f t="shared" si="122"/>
        <v>20.32</v>
      </c>
      <c r="K79" s="386">
        <f t="shared" si="123"/>
        <v>40.32</v>
      </c>
      <c r="L79" s="386"/>
      <c r="M79" s="191">
        <f t="shared" si="124"/>
        <v>0.50396825396825395</v>
      </c>
      <c r="N79" s="152">
        <f t="shared" si="125"/>
        <v>3.4017857142857144</v>
      </c>
      <c r="O79" s="152">
        <f t="shared" si="173"/>
        <v>1.48</v>
      </c>
      <c r="P79" s="191">
        <f t="shared" si="126"/>
        <v>0.17008928571428572</v>
      </c>
      <c r="Q79" s="191">
        <f t="shared" si="127"/>
        <v>20</v>
      </c>
      <c r="R79" s="191">
        <f t="shared" si="128"/>
        <v>0.18898809523809523</v>
      </c>
      <c r="S79" s="152">
        <f t="shared" si="129"/>
        <v>71.30556978114501</v>
      </c>
      <c r="T79" s="152">
        <f t="shared" si="130"/>
        <v>20</v>
      </c>
      <c r="U79" s="191">
        <f t="shared" si="131"/>
        <v>0.3262992125984252</v>
      </c>
      <c r="V79" s="191">
        <f t="shared" si="132"/>
        <v>0.97889763779527572</v>
      </c>
      <c r="W79" s="191">
        <f t="shared" si="133"/>
        <v>0.96348192696385404</v>
      </c>
      <c r="X79" s="175">
        <f t="shared" si="134"/>
        <v>350</v>
      </c>
      <c r="Y79" s="386">
        <f t="shared" si="174"/>
        <v>350</v>
      </c>
      <c r="AA79" s="191">
        <f t="shared" si="135"/>
        <v>0.47996976568405147</v>
      </c>
      <c r="AB79" s="153">
        <f t="shared" si="136"/>
        <v>1.4172335600907031</v>
      </c>
      <c r="AC79" s="153">
        <f t="shared" si="137"/>
        <v>0.11904012045735404</v>
      </c>
      <c r="AD79" s="153"/>
      <c r="AE79" s="153">
        <f t="shared" si="138"/>
        <v>0.44291338582677164</v>
      </c>
      <c r="AF79" s="317">
        <f t="shared" si="139"/>
        <v>2227.6740740740743</v>
      </c>
      <c r="AG79" s="463">
        <f t="shared" si="140"/>
        <v>1.1626476377952754E-2</v>
      </c>
      <c r="AI79" s="153">
        <f t="shared" si="141"/>
        <v>0.39889795276433382</v>
      </c>
      <c r="AJ79" s="153">
        <f t="shared" si="142"/>
        <v>0.39889795276433382</v>
      </c>
      <c r="AK79" s="153">
        <f t="shared" si="143"/>
        <v>1.3659319685095559</v>
      </c>
      <c r="AM79" s="317">
        <f t="shared" si="144"/>
        <v>74</v>
      </c>
      <c r="AN79" s="147">
        <f t="shared" si="145"/>
        <v>350</v>
      </c>
      <c r="AP79">
        <f t="shared" si="146"/>
        <v>74</v>
      </c>
      <c r="AQ79">
        <f t="shared" si="147"/>
        <v>350</v>
      </c>
      <c r="AS79" s="5">
        <f t="shared" si="175"/>
        <v>2.8571428571428572</v>
      </c>
      <c r="AT79" s="5">
        <f t="shared" si="148"/>
        <v>1.1966938582930016</v>
      </c>
      <c r="AU79" s="5">
        <f t="shared" si="176"/>
        <v>1.6604489988498556</v>
      </c>
      <c r="AV79" s="5">
        <f t="shared" si="149"/>
        <v>1.1778482857214581</v>
      </c>
      <c r="AW79" s="153">
        <f t="shared" si="177"/>
        <v>0.41884285040255054</v>
      </c>
      <c r="AX79" s="153">
        <f t="shared" si="150"/>
        <v>1.6707555555555553</v>
      </c>
      <c r="AY79" s="153">
        <f t="shared" si="151"/>
        <v>0.11591119860438914</v>
      </c>
      <c r="AZ79" s="153">
        <f t="shared" si="178"/>
        <v>14.414099549241394</v>
      </c>
      <c r="BA79" s="147">
        <f t="shared" si="152"/>
        <v>2.385619286777211</v>
      </c>
      <c r="BB79" s="147">
        <f t="shared" si="153"/>
        <v>7.7731499135999993</v>
      </c>
      <c r="BC79" s="5">
        <f t="shared" si="154"/>
        <v>0.13652580657209926</v>
      </c>
      <c r="BD79" s="147">
        <f t="shared" si="155"/>
        <v>13.899247323876589</v>
      </c>
      <c r="BE79" s="5"/>
      <c r="BF79" s="153">
        <f t="shared" si="179"/>
        <v>0.14904819921541579</v>
      </c>
      <c r="BG79" s="153">
        <f t="shared" si="156"/>
        <v>0.1755690554088826</v>
      </c>
      <c r="BH79" s="153"/>
      <c r="BI79" s="463">
        <f t="shared" si="157"/>
        <v>7.7753779912753951E-3</v>
      </c>
      <c r="BJ79" s="463">
        <f t="shared" si="158"/>
        <v>2.8146239547051397E-2</v>
      </c>
      <c r="BK79" s="463">
        <f t="shared" si="159"/>
        <v>4.3749999999999995E-3</v>
      </c>
      <c r="BL79" s="463">
        <f t="shared" si="160"/>
        <v>2.8449792000000005E-2</v>
      </c>
      <c r="BM79">
        <f t="shared" si="161"/>
        <v>5.7999999999999996E-3</v>
      </c>
      <c r="BN79">
        <f t="shared" si="162"/>
        <v>1.3124999999999999E-5</v>
      </c>
      <c r="BO79" s="463">
        <f t="shared" si="163"/>
        <v>7.5717832131384E-2</v>
      </c>
      <c r="BP79" s="147">
        <f t="shared" si="180"/>
        <v>75.717832131384</v>
      </c>
      <c r="BQ79" s="463">
        <f t="shared" si="164"/>
        <v>5.1817912817915805E-2</v>
      </c>
      <c r="BR79" s="463"/>
      <c r="BT79" s="147">
        <f t="shared" si="181"/>
        <v>51.817912817915804</v>
      </c>
      <c r="BU79" s="463">
        <f t="shared" si="165"/>
        <v>2.2215365689358273E-2</v>
      </c>
      <c r="BV79" s="463">
        <f t="shared" si="166"/>
        <v>3.0824493217167286E-2</v>
      </c>
      <c r="BW79" s="463">
        <f t="shared" si="167"/>
        <v>0</v>
      </c>
      <c r="BX79" s="463">
        <f t="shared" si="168"/>
        <v>5.9657781199106794E-2</v>
      </c>
      <c r="BY79" s="463">
        <f t="shared" si="169"/>
        <v>2.7845925925925923E-2</v>
      </c>
      <c r="BZ79" s="147">
        <f t="shared" si="182"/>
        <v>87.503707125032719</v>
      </c>
      <c r="CA79" s="153">
        <f t="shared" si="183"/>
        <v>0.21503945207433253</v>
      </c>
      <c r="CB79" s="5">
        <f t="shared" si="184"/>
        <v>1.48</v>
      </c>
      <c r="CC79" s="153">
        <f t="shared" si="185"/>
        <v>0.87313601945301356</v>
      </c>
      <c r="CD79" s="5">
        <f t="shared" si="186"/>
        <v>87.313601945301357</v>
      </c>
      <c r="CG79" s="59">
        <f t="shared" si="170"/>
        <v>-50</v>
      </c>
      <c r="CH79">
        <f t="shared" si="171"/>
        <v>-50</v>
      </c>
    </row>
    <row r="80" spans="5:86" x14ac:dyDescent="0.25">
      <c r="E80" s="150">
        <v>75</v>
      </c>
      <c r="F80" s="191">
        <f t="shared" si="172"/>
        <v>7.5000000000000011E-2</v>
      </c>
      <c r="G80" s="191"/>
      <c r="H80" s="191">
        <f t="shared" si="120"/>
        <v>1.5000000000000002</v>
      </c>
      <c r="I80" s="472">
        <f t="shared" si="121"/>
        <v>20</v>
      </c>
      <c r="J80" s="152">
        <f t="shared" si="122"/>
        <v>20.32</v>
      </c>
      <c r="K80" s="386">
        <f t="shared" si="123"/>
        <v>40.32</v>
      </c>
      <c r="L80" s="386"/>
      <c r="M80" s="191">
        <f t="shared" si="124"/>
        <v>0.50396825396825395</v>
      </c>
      <c r="N80" s="152">
        <f t="shared" si="125"/>
        <v>3.4017857142857144</v>
      </c>
      <c r="O80" s="152">
        <f t="shared" si="173"/>
        <v>1.5000000000000002</v>
      </c>
      <c r="P80" s="191">
        <f t="shared" si="126"/>
        <v>0.17008928571428572</v>
      </c>
      <c r="Q80" s="191">
        <f t="shared" si="127"/>
        <v>20</v>
      </c>
      <c r="R80" s="191">
        <f t="shared" si="128"/>
        <v>0.18898809523809523</v>
      </c>
      <c r="S80" s="152">
        <f t="shared" si="129"/>
        <v>70.090895024098316</v>
      </c>
      <c r="T80" s="152">
        <f t="shared" si="130"/>
        <v>20</v>
      </c>
      <c r="U80" s="191">
        <f t="shared" si="131"/>
        <v>0.33070866141732291</v>
      </c>
      <c r="V80" s="191">
        <f t="shared" si="132"/>
        <v>0.99212598425196863</v>
      </c>
      <c r="W80" s="191">
        <f t="shared" si="133"/>
        <v>0.97650195300390619</v>
      </c>
      <c r="X80" s="175">
        <f t="shared" si="134"/>
        <v>350</v>
      </c>
      <c r="Y80" s="386">
        <f t="shared" si="174"/>
        <v>350</v>
      </c>
      <c r="AA80" s="191">
        <f t="shared" si="135"/>
        <v>0.47996976568405147</v>
      </c>
      <c r="AB80" s="153">
        <f t="shared" si="136"/>
        <v>1.4172335600907031</v>
      </c>
      <c r="AC80" s="153">
        <f t="shared" si="137"/>
        <v>0.11904012045735404</v>
      </c>
      <c r="AD80" s="153"/>
      <c r="AE80" s="153">
        <f t="shared" si="138"/>
        <v>0.44291338582677164</v>
      </c>
      <c r="AF80" s="317">
        <f t="shared" si="139"/>
        <v>2257.7777777777783</v>
      </c>
      <c r="AG80" s="463">
        <f t="shared" si="140"/>
        <v>1.1626476377952754E-2</v>
      </c>
      <c r="AI80" s="153">
        <f t="shared" si="141"/>
        <v>0.40158416461539076</v>
      </c>
      <c r="AJ80" s="153">
        <f t="shared" si="142"/>
        <v>0.40158416461539076</v>
      </c>
      <c r="AK80" s="153">
        <f t="shared" si="143"/>
        <v>1.3677227764102606</v>
      </c>
      <c r="AM80" s="317">
        <f t="shared" si="144"/>
        <v>75.000000000000014</v>
      </c>
      <c r="AN80" s="147">
        <f t="shared" si="145"/>
        <v>350</v>
      </c>
      <c r="AP80">
        <f t="shared" si="146"/>
        <v>75.000000000000014</v>
      </c>
      <c r="AQ80">
        <f t="shared" si="147"/>
        <v>350</v>
      </c>
      <c r="AS80" s="5">
        <f t="shared" si="175"/>
        <v>2.8571428571428572</v>
      </c>
      <c r="AT80" s="5">
        <f t="shared" si="148"/>
        <v>1.2047524938461722</v>
      </c>
      <c r="AU80" s="5">
        <f t="shared" si="176"/>
        <v>1.652390363296685</v>
      </c>
      <c r="AV80" s="5">
        <f t="shared" si="149"/>
        <v>1.1857800136281222</v>
      </c>
      <c r="AW80" s="153">
        <f t="shared" si="177"/>
        <v>0.42166337284616029</v>
      </c>
      <c r="AX80" s="153">
        <f t="shared" si="150"/>
        <v>1.6933333333333334</v>
      </c>
      <c r="AY80" s="153">
        <f t="shared" si="151"/>
        <v>0.11612541564102871</v>
      </c>
      <c r="AZ80" s="153">
        <f t="shared" si="178"/>
        <v>14.581935608031145</v>
      </c>
      <c r="BA80" s="147">
        <f t="shared" si="152"/>
        <v>2.385619286777211</v>
      </c>
      <c r="BB80" s="147">
        <f t="shared" si="153"/>
        <v>7.9816140000000013</v>
      </c>
      <c r="BC80" s="5">
        <f t="shared" si="154"/>
        <v>0.13769919694139043</v>
      </c>
      <c r="BD80" s="147">
        <f t="shared" si="155"/>
        <v>14.019919694139043</v>
      </c>
      <c r="BE80" s="5"/>
      <c r="BF80" s="153">
        <f t="shared" si="179"/>
        <v>0.15055628538656915</v>
      </c>
      <c r="BG80" s="153">
        <f t="shared" si="156"/>
        <v>0.17632191777317902</v>
      </c>
      <c r="BH80" s="153"/>
      <c r="BI80" s="463">
        <f t="shared" si="157"/>
        <v>7.9335182742907191E-3</v>
      </c>
      <c r="BJ80" s="463">
        <f t="shared" si="158"/>
        <v>2.8335778655261976E-2</v>
      </c>
      <c r="BK80" s="463">
        <f t="shared" si="159"/>
        <v>4.3749999999999995E-3</v>
      </c>
      <c r="BL80" s="463">
        <f t="shared" si="160"/>
        <v>2.8449792000000005E-2</v>
      </c>
      <c r="BM80">
        <f t="shared" si="161"/>
        <v>5.7999999999999996E-3</v>
      </c>
      <c r="BN80">
        <f t="shared" si="162"/>
        <v>1.3124999999999999E-5</v>
      </c>
      <c r="BO80" s="463">
        <f t="shared" si="163"/>
        <v>7.6089613860689714E-2</v>
      </c>
      <c r="BP80" s="147">
        <f t="shared" si="180"/>
        <v>76.08961386068971</v>
      </c>
      <c r="BQ80" s="463">
        <f t="shared" si="164"/>
        <v>5.2402315877029752E-2</v>
      </c>
      <c r="BR80" s="463"/>
      <c r="BT80" s="147">
        <f t="shared" si="181"/>
        <v>52.40231587702975</v>
      </c>
      <c r="BU80" s="463">
        <f t="shared" si="165"/>
        <v>2.2667195069402055E-2</v>
      </c>
      <c r="BV80" s="463">
        <f t="shared" si="166"/>
        <v>3.1089418687211701E-2</v>
      </c>
      <c r="BW80" s="463">
        <f t="shared" si="167"/>
        <v>0</v>
      </c>
      <c r="BX80" s="463">
        <f t="shared" si="168"/>
        <v>6.0467449433330218E-2</v>
      </c>
      <c r="BY80" s="463">
        <f t="shared" si="169"/>
        <v>2.8222222222222228E-2</v>
      </c>
      <c r="BZ80" s="147">
        <f t="shared" si="182"/>
        <v>88.689671655552445</v>
      </c>
      <c r="CA80" s="153">
        <f t="shared" si="183"/>
        <v>0.21718160139327192</v>
      </c>
      <c r="CB80" s="5">
        <f t="shared" si="184"/>
        <v>1.5000000000000002</v>
      </c>
      <c r="CC80" s="153">
        <f t="shared" si="185"/>
        <v>0.87352438366620222</v>
      </c>
      <c r="CD80" s="5">
        <f t="shared" si="186"/>
        <v>87.35243836662022</v>
      </c>
      <c r="CG80" s="59">
        <f t="shared" si="170"/>
        <v>-50</v>
      </c>
      <c r="CH80">
        <f t="shared" si="171"/>
        <v>-50</v>
      </c>
    </row>
    <row r="81" spans="5:86" x14ac:dyDescent="0.25">
      <c r="E81" s="150">
        <v>76</v>
      </c>
      <c r="F81" s="191">
        <f t="shared" si="172"/>
        <v>7.6000000000000012E-2</v>
      </c>
      <c r="G81" s="191"/>
      <c r="H81" s="191">
        <f t="shared" si="120"/>
        <v>1.5200000000000002</v>
      </c>
      <c r="I81" s="472">
        <f t="shared" si="121"/>
        <v>20</v>
      </c>
      <c r="J81" s="152">
        <f t="shared" si="122"/>
        <v>20.32</v>
      </c>
      <c r="K81" s="386">
        <f t="shared" si="123"/>
        <v>40.32</v>
      </c>
      <c r="L81" s="386"/>
      <c r="M81" s="191">
        <f t="shared" si="124"/>
        <v>0.50396825396825395</v>
      </c>
      <c r="N81" s="152">
        <f t="shared" si="125"/>
        <v>3.4017857142857144</v>
      </c>
      <c r="O81" s="152">
        <f t="shared" si="173"/>
        <v>1.5200000000000002</v>
      </c>
      <c r="P81" s="191">
        <f t="shared" si="126"/>
        <v>0.17008928571428572</v>
      </c>
      <c r="Q81" s="191">
        <f t="shared" si="127"/>
        <v>20</v>
      </c>
      <c r="R81" s="191">
        <f t="shared" si="128"/>
        <v>0.18898809523809523</v>
      </c>
      <c r="S81" s="152">
        <f t="shared" si="129"/>
        <v>68.908237299162451</v>
      </c>
      <c r="T81" s="152">
        <f t="shared" si="130"/>
        <v>20</v>
      </c>
      <c r="U81" s="191">
        <f t="shared" si="131"/>
        <v>0.33511811023622051</v>
      </c>
      <c r="V81" s="191">
        <f t="shared" si="132"/>
        <v>1.0053543307086614</v>
      </c>
      <c r="W81" s="191">
        <f t="shared" si="133"/>
        <v>0.98952197904395811</v>
      </c>
      <c r="X81" s="175">
        <f t="shared" si="134"/>
        <v>350</v>
      </c>
      <c r="Y81" s="386">
        <f t="shared" si="174"/>
        <v>350</v>
      </c>
      <c r="AA81" s="191">
        <f t="shared" si="135"/>
        <v>0.47996976568405147</v>
      </c>
      <c r="AB81" s="153">
        <f t="shared" si="136"/>
        <v>1.4172335600907031</v>
      </c>
      <c r="AC81" s="153">
        <f t="shared" si="137"/>
        <v>0.11904012045735404</v>
      </c>
      <c r="AD81" s="153"/>
      <c r="AE81" s="153">
        <f t="shared" si="138"/>
        <v>0.44291338582677164</v>
      </c>
      <c r="AF81" s="317">
        <f t="shared" si="139"/>
        <v>2287.8814814814823</v>
      </c>
      <c r="AG81" s="463">
        <f t="shared" si="140"/>
        <v>1.1626476377952754E-2</v>
      </c>
      <c r="AI81" s="153">
        <f t="shared" si="141"/>
        <v>0.4042525272896953</v>
      </c>
      <c r="AJ81" s="153">
        <f t="shared" si="142"/>
        <v>0.4042525272896953</v>
      </c>
      <c r="AK81" s="153">
        <f t="shared" si="143"/>
        <v>1.369501684859797</v>
      </c>
      <c r="AM81" s="317">
        <f t="shared" si="144"/>
        <v>76.000000000000014</v>
      </c>
      <c r="AN81" s="147">
        <f t="shared" si="145"/>
        <v>350</v>
      </c>
      <c r="AP81">
        <f t="shared" si="146"/>
        <v>76.000000000000014</v>
      </c>
      <c r="AQ81">
        <f t="shared" si="147"/>
        <v>350</v>
      </c>
      <c r="AS81" s="5">
        <f t="shared" si="175"/>
        <v>2.8571428571428572</v>
      </c>
      <c r="AT81" s="5">
        <f t="shared" si="148"/>
        <v>1.2127575818690859</v>
      </c>
      <c r="AU81" s="5">
        <f t="shared" si="176"/>
        <v>1.6443852752737713</v>
      </c>
      <c r="AV81" s="5">
        <f t="shared" si="149"/>
        <v>1.1936590372727225</v>
      </c>
      <c r="AW81" s="153">
        <f t="shared" si="177"/>
        <v>0.42446515365418003</v>
      </c>
      <c r="AX81" s="153">
        <f t="shared" si="150"/>
        <v>1.7159111111111114</v>
      </c>
      <c r="AY81" s="153">
        <f t="shared" si="151"/>
        <v>0.11633070808929209</v>
      </c>
      <c r="AZ81" s="153">
        <f t="shared" si="178"/>
        <v>14.750285107815449</v>
      </c>
      <c r="BA81" s="147">
        <f t="shared" si="152"/>
        <v>2.385619286777211</v>
      </c>
      <c r="BB81" s="147">
        <f t="shared" si="153"/>
        <v>8.1928359936000028</v>
      </c>
      <c r="BC81" s="5">
        <f t="shared" si="154"/>
        <v>0.13885920102311849</v>
      </c>
      <c r="BD81" s="147">
        <f t="shared" si="155"/>
        <v>14.139253435645182</v>
      </c>
      <c r="BE81" s="5"/>
      <c r="BF81" s="153">
        <f t="shared" si="179"/>
        <v>0.15205935280575322</v>
      </c>
      <c r="BG81" s="153">
        <f t="shared" si="156"/>
        <v>0.17706304479195376</v>
      </c>
      <c r="BH81" s="153"/>
      <c r="BI81" s="463">
        <f t="shared" si="157"/>
        <v>8.092716371496585E-3</v>
      </c>
      <c r="BJ81" s="463">
        <f t="shared" si="158"/>
        <v>2.8524058325560903E-2</v>
      </c>
      <c r="BK81" s="463">
        <f t="shared" si="159"/>
        <v>4.3749999999999995E-3</v>
      </c>
      <c r="BL81" s="463">
        <f t="shared" si="160"/>
        <v>2.8449792000000005E-2</v>
      </c>
      <c r="BM81">
        <f t="shared" si="161"/>
        <v>5.7999999999999996E-3</v>
      </c>
      <c r="BN81">
        <f t="shared" si="162"/>
        <v>1.3124999999999999E-5</v>
      </c>
      <c r="BO81" s="463">
        <f t="shared" si="163"/>
        <v>7.6461373355574791E-2</v>
      </c>
      <c r="BP81" s="147">
        <f t="shared" si="180"/>
        <v>76.461373355574793</v>
      </c>
      <c r="BQ81" s="463">
        <f t="shared" si="164"/>
        <v>5.298440987888204E-2</v>
      </c>
      <c r="BR81" s="463"/>
      <c r="BT81" s="147">
        <f t="shared" si="181"/>
        <v>52.98440987888204</v>
      </c>
      <c r="BU81" s="463">
        <f t="shared" si="165"/>
        <v>2.3122046775704532E-2</v>
      </c>
      <c r="BV81" s="463">
        <f t="shared" si="166"/>
        <v>3.1351321830997425E-2</v>
      </c>
      <c r="BW81" s="463">
        <f t="shared" si="167"/>
        <v>0</v>
      </c>
      <c r="BX81" s="463">
        <f t="shared" si="168"/>
        <v>6.1277210927349085E-2</v>
      </c>
      <c r="BY81" s="463">
        <f t="shared" si="169"/>
        <v>2.8598518518518523E-2</v>
      </c>
      <c r="BZ81" s="147">
        <f t="shared" si="182"/>
        <v>89.875729445867606</v>
      </c>
      <c r="CA81" s="153">
        <f t="shared" si="183"/>
        <v>0.21932151268032443</v>
      </c>
      <c r="CB81" s="5">
        <f t="shared" si="184"/>
        <v>1.5200000000000002</v>
      </c>
      <c r="CC81" s="153">
        <f t="shared" si="185"/>
        <v>0.87390398435172212</v>
      </c>
      <c r="CD81" s="5">
        <f t="shared" si="186"/>
        <v>87.390398435172216</v>
      </c>
      <c r="CG81" s="59">
        <f t="shared" si="170"/>
        <v>-50</v>
      </c>
      <c r="CH81">
        <f t="shared" si="171"/>
        <v>-50</v>
      </c>
    </row>
    <row r="82" spans="5:86" x14ac:dyDescent="0.25">
      <c r="E82" s="150">
        <v>77</v>
      </c>
      <c r="F82" s="191">
        <f t="shared" si="172"/>
        <v>7.7000000000000013E-2</v>
      </c>
      <c r="G82" s="191"/>
      <c r="H82" s="191">
        <f t="shared" si="120"/>
        <v>1.5400000000000003</v>
      </c>
      <c r="I82" s="472">
        <f t="shared" si="121"/>
        <v>20</v>
      </c>
      <c r="J82" s="152">
        <f t="shared" si="122"/>
        <v>20.32</v>
      </c>
      <c r="K82" s="386">
        <f t="shared" si="123"/>
        <v>40.32</v>
      </c>
      <c r="L82" s="386"/>
      <c r="M82" s="191">
        <f t="shared" si="124"/>
        <v>0.50396825396825395</v>
      </c>
      <c r="N82" s="152">
        <f t="shared" si="125"/>
        <v>3.4017857142857144</v>
      </c>
      <c r="O82" s="152">
        <f t="shared" si="173"/>
        <v>1.5400000000000003</v>
      </c>
      <c r="P82" s="191">
        <f t="shared" si="126"/>
        <v>0.17008928571428572</v>
      </c>
      <c r="Q82" s="191">
        <f t="shared" si="127"/>
        <v>20</v>
      </c>
      <c r="R82" s="191">
        <f t="shared" si="128"/>
        <v>0.18898809523809523</v>
      </c>
      <c r="S82" s="152">
        <f t="shared" si="129"/>
        <v>67.756349753514286</v>
      </c>
      <c r="T82" s="152">
        <f t="shared" si="130"/>
        <v>20</v>
      </c>
      <c r="U82" s="191">
        <f t="shared" si="131"/>
        <v>0.33952755905511817</v>
      </c>
      <c r="V82" s="191">
        <f t="shared" si="132"/>
        <v>1.0185826771653543</v>
      </c>
      <c r="W82" s="191">
        <f t="shared" si="133"/>
        <v>1.0025420050840104</v>
      </c>
      <c r="X82" s="175">
        <f t="shared" si="134"/>
        <v>350</v>
      </c>
      <c r="Y82" s="386">
        <f t="shared" si="174"/>
        <v>350</v>
      </c>
      <c r="AA82" s="191">
        <f t="shared" si="135"/>
        <v>0.47996976568405147</v>
      </c>
      <c r="AB82" s="153">
        <f t="shared" si="136"/>
        <v>1.4172335600907031</v>
      </c>
      <c r="AC82" s="153">
        <f t="shared" si="137"/>
        <v>0.11904012045735404</v>
      </c>
      <c r="AD82" s="153"/>
      <c r="AE82" s="153">
        <f t="shared" si="138"/>
        <v>0.44291338582677164</v>
      </c>
      <c r="AF82" s="317">
        <f t="shared" si="139"/>
        <v>2317.9851851851863</v>
      </c>
      <c r="AG82" s="463">
        <f t="shared" si="140"/>
        <v>1.1626476377952754E-2</v>
      </c>
      <c r="AI82" s="153">
        <f t="shared" si="141"/>
        <v>0.40690339193765684</v>
      </c>
      <c r="AJ82" s="153">
        <f t="shared" si="142"/>
        <v>0.40690339193765684</v>
      </c>
      <c r="AK82" s="153">
        <f t="shared" si="143"/>
        <v>1.3712689279584378</v>
      </c>
      <c r="AM82" s="317">
        <f t="shared" si="144"/>
        <v>77.000000000000014</v>
      </c>
      <c r="AN82" s="147">
        <f t="shared" si="145"/>
        <v>350</v>
      </c>
      <c r="AP82">
        <f t="shared" si="146"/>
        <v>77.000000000000014</v>
      </c>
      <c r="AQ82">
        <f t="shared" si="147"/>
        <v>350</v>
      </c>
      <c r="AS82" s="5">
        <f t="shared" si="175"/>
        <v>2.8571428571428572</v>
      </c>
      <c r="AT82" s="5">
        <f t="shared" si="148"/>
        <v>1.2207101758129706</v>
      </c>
      <c r="AU82" s="5">
        <f t="shared" si="176"/>
        <v>1.6364326813298866</v>
      </c>
      <c r="AV82" s="5">
        <f t="shared" si="149"/>
        <v>1.2014863935167033</v>
      </c>
      <c r="AW82" s="153">
        <f t="shared" si="177"/>
        <v>0.42724856153453972</v>
      </c>
      <c r="AX82" s="153">
        <f t="shared" si="150"/>
        <v>1.7384888888888888</v>
      </c>
      <c r="AY82" s="153">
        <f t="shared" si="151"/>
        <v>0.11652725152438397</v>
      </c>
      <c r="AZ82" s="153">
        <f t="shared" si="178"/>
        <v>14.919161536433393</v>
      </c>
      <c r="BA82" s="147">
        <f t="shared" si="152"/>
        <v>2.385619286777211</v>
      </c>
      <c r="BB82" s="147">
        <f t="shared" si="153"/>
        <v>8.4068158944000029</v>
      </c>
      <c r="BC82" s="5">
        <f t="shared" si="154"/>
        <v>0.14000590718044587</v>
      </c>
      <c r="BD82" s="147">
        <f t="shared" si="155"/>
        <v>14.257257384711252</v>
      </c>
      <c r="BE82" s="5"/>
      <c r="BF82" s="153">
        <f t="shared" si="179"/>
        <v>0.1535574838873939</v>
      </c>
      <c r="BG82" s="153">
        <f t="shared" si="156"/>
        <v>0.17779263932728737</v>
      </c>
      <c r="BH82" s="153"/>
      <c r="BI82" s="463">
        <f t="shared" si="157"/>
        <v>8.2529653002395321E-3</v>
      </c>
      <c r="BJ82" s="463">
        <f t="shared" si="158"/>
        <v>2.8711103335121065E-2</v>
      </c>
      <c r="BK82" s="463">
        <f t="shared" si="159"/>
        <v>4.3749999999999995E-3</v>
      </c>
      <c r="BL82" s="463">
        <f t="shared" si="160"/>
        <v>2.8449792000000005E-2</v>
      </c>
      <c r="BM82">
        <f t="shared" si="161"/>
        <v>5.7999999999999996E-3</v>
      </c>
      <c r="BN82">
        <f t="shared" si="162"/>
        <v>1.3124999999999999E-5</v>
      </c>
      <c r="BO82" s="463">
        <f t="shared" si="163"/>
        <v>7.6833127610499388E-2</v>
      </c>
      <c r="BP82" s="147">
        <f t="shared" si="180"/>
        <v>76.833127610499389</v>
      </c>
      <c r="BQ82" s="463">
        <f t="shared" si="164"/>
        <v>5.3564210065607659E-2</v>
      </c>
      <c r="BR82" s="463"/>
      <c r="BT82" s="147">
        <f t="shared" si="181"/>
        <v>53.564210065607661</v>
      </c>
      <c r="BU82" s="463">
        <f t="shared" si="165"/>
        <v>2.3579900857827237E-2</v>
      </c>
      <c r="BV82" s="463">
        <f t="shared" si="166"/>
        <v>3.1610222598962893E-2</v>
      </c>
      <c r="BW82" s="463">
        <f t="shared" si="167"/>
        <v>0</v>
      </c>
      <c r="BX82" s="463">
        <f t="shared" si="168"/>
        <v>6.2087065697277156E-2</v>
      </c>
      <c r="BY82" s="463">
        <f t="shared" si="169"/>
        <v>2.8974814814814818E-2</v>
      </c>
      <c r="BZ82" s="147">
        <f t="shared" si="182"/>
        <v>91.061880512091975</v>
      </c>
      <c r="CA82" s="153">
        <f t="shared" si="183"/>
        <v>0.22145921818819903</v>
      </c>
      <c r="CB82" s="5">
        <f t="shared" si="184"/>
        <v>1.5400000000000003</v>
      </c>
      <c r="CC82" s="153">
        <f t="shared" si="185"/>
        <v>0.87427513739660268</v>
      </c>
      <c r="CD82" s="5">
        <f t="shared" si="186"/>
        <v>87.42751373966027</v>
      </c>
      <c r="CG82" s="59">
        <f t="shared" si="170"/>
        <v>-50</v>
      </c>
      <c r="CH82">
        <f t="shared" si="171"/>
        <v>-50</v>
      </c>
    </row>
    <row r="83" spans="5:86" x14ac:dyDescent="0.25">
      <c r="E83" s="150">
        <v>78</v>
      </c>
      <c r="F83" s="191">
        <f t="shared" si="172"/>
        <v>7.8000000000000014E-2</v>
      </c>
      <c r="G83" s="191"/>
      <c r="H83" s="191">
        <f t="shared" si="120"/>
        <v>1.5600000000000003</v>
      </c>
      <c r="I83" s="472">
        <f t="shared" si="121"/>
        <v>20</v>
      </c>
      <c r="J83" s="152">
        <f t="shared" si="122"/>
        <v>20.32</v>
      </c>
      <c r="K83" s="386">
        <f t="shared" si="123"/>
        <v>40.32</v>
      </c>
      <c r="L83" s="386"/>
      <c r="M83" s="191">
        <f t="shared" si="124"/>
        <v>0.50396825396825395</v>
      </c>
      <c r="N83" s="152">
        <f t="shared" si="125"/>
        <v>3.4017857142857144</v>
      </c>
      <c r="O83" s="152">
        <f t="shared" si="173"/>
        <v>1.5600000000000003</v>
      </c>
      <c r="P83" s="191">
        <f t="shared" si="126"/>
        <v>0.17008928571428572</v>
      </c>
      <c r="Q83" s="191">
        <f t="shared" si="127"/>
        <v>20</v>
      </c>
      <c r="R83" s="191">
        <f t="shared" si="128"/>
        <v>0.18898809523809523</v>
      </c>
      <c r="S83" s="152">
        <f t="shared" si="129"/>
        <v>66.634049483468203</v>
      </c>
      <c r="T83" s="152">
        <f t="shared" si="130"/>
        <v>20</v>
      </c>
      <c r="U83" s="191">
        <f t="shared" si="131"/>
        <v>0.34393700787401582</v>
      </c>
      <c r="V83" s="191">
        <f t="shared" si="132"/>
        <v>1.0318110236220475</v>
      </c>
      <c r="W83" s="191">
        <f t="shared" si="133"/>
        <v>1.0155620311240625</v>
      </c>
      <c r="X83" s="175">
        <f t="shared" si="134"/>
        <v>350</v>
      </c>
      <c r="Y83" s="386">
        <f t="shared" si="174"/>
        <v>350</v>
      </c>
      <c r="AA83" s="191">
        <f t="shared" si="135"/>
        <v>0.47996976568405147</v>
      </c>
      <c r="AB83" s="153">
        <f t="shared" si="136"/>
        <v>1.4172335600907031</v>
      </c>
      <c r="AC83" s="153">
        <f t="shared" si="137"/>
        <v>0.11904012045735404</v>
      </c>
      <c r="AD83" s="153"/>
      <c r="AE83" s="153">
        <f t="shared" si="138"/>
        <v>0.44291338582677164</v>
      </c>
      <c r="AF83" s="317">
        <f t="shared" si="139"/>
        <v>2348.0888888888894</v>
      </c>
      <c r="AG83" s="463">
        <f t="shared" si="140"/>
        <v>1.1626476377952754E-2</v>
      </c>
      <c r="AI83" s="153">
        <f t="shared" si="141"/>
        <v>0.409537098344747</v>
      </c>
      <c r="AJ83" s="153">
        <f t="shared" si="142"/>
        <v>0.409537098344747</v>
      </c>
      <c r="AK83" s="153">
        <f t="shared" si="143"/>
        <v>1.3730247322298315</v>
      </c>
      <c r="AM83" s="317">
        <f t="shared" si="144"/>
        <v>78.000000000000014</v>
      </c>
      <c r="AN83" s="147">
        <f t="shared" si="145"/>
        <v>350</v>
      </c>
      <c r="AP83">
        <f t="shared" si="146"/>
        <v>78.000000000000014</v>
      </c>
      <c r="AQ83">
        <f t="shared" si="147"/>
        <v>350</v>
      </c>
      <c r="AS83" s="5">
        <f t="shared" si="175"/>
        <v>2.8571428571428572</v>
      </c>
      <c r="AT83" s="5">
        <f t="shared" si="148"/>
        <v>1.2286112950342412</v>
      </c>
      <c r="AU83" s="5">
        <f t="shared" si="176"/>
        <v>1.628531562108616</v>
      </c>
      <c r="AV83" s="5">
        <f t="shared" si="149"/>
        <v>1.2092630856636231</v>
      </c>
      <c r="AW83" s="153">
        <f t="shared" si="177"/>
        <v>0.43001395326198438</v>
      </c>
      <c r="AX83" s="153">
        <f t="shared" si="150"/>
        <v>1.7610666666666672</v>
      </c>
      <c r="AY83" s="153">
        <f t="shared" si="151"/>
        <v>0.11671521583904011</v>
      </c>
      <c r="AZ83" s="153">
        <f t="shared" si="178"/>
        <v>15.088578245833201</v>
      </c>
      <c r="BA83" s="147">
        <f t="shared" si="152"/>
        <v>2.385619286777211</v>
      </c>
      <c r="BB83" s="147">
        <f t="shared" si="153"/>
        <v>8.6235537024000006</v>
      </c>
      <c r="BC83" s="5">
        <f t="shared" si="154"/>
        <v>0.14113940204941341</v>
      </c>
      <c r="BD83" s="147">
        <f t="shared" si="155"/>
        <v>14.373940204941341</v>
      </c>
      <c r="BE83" s="5"/>
      <c r="BF83" s="153">
        <f t="shared" si="179"/>
        <v>0.15505075864141207</v>
      </c>
      <c r="BG83" s="153">
        <f t="shared" si="156"/>
        <v>0.17851089757099117</v>
      </c>
      <c r="BH83" s="153"/>
      <c r="BI83" s="463">
        <f t="shared" si="157"/>
        <v>8.4142582143470965E-3</v>
      </c>
      <c r="BJ83" s="463">
        <f t="shared" si="158"/>
        <v>2.8896937659205351E-2</v>
      </c>
      <c r="BK83" s="463">
        <f t="shared" si="159"/>
        <v>4.3749999999999995E-3</v>
      </c>
      <c r="BL83" s="463">
        <f t="shared" si="160"/>
        <v>2.8449792000000005E-2</v>
      </c>
      <c r="BM83">
        <f t="shared" si="161"/>
        <v>5.7999999999999996E-3</v>
      </c>
      <c r="BN83">
        <f t="shared" si="162"/>
        <v>1.3124999999999999E-5</v>
      </c>
      <c r="BO83" s="463">
        <f t="shared" si="163"/>
        <v>7.7204892973942216E-2</v>
      </c>
      <c r="BP83" s="147">
        <f t="shared" si="180"/>
        <v>77.204892973942222</v>
      </c>
      <c r="BQ83" s="463">
        <f t="shared" si="164"/>
        <v>5.41417313814231E-2</v>
      </c>
      <c r="BR83" s="463"/>
      <c r="BT83" s="147">
        <f t="shared" si="181"/>
        <v>54.141731381423099</v>
      </c>
      <c r="BU83" s="463">
        <f t="shared" si="165"/>
        <v>2.404073775527742E-2</v>
      </c>
      <c r="BV83" s="463">
        <f t="shared" si="166"/>
        <v>3.1866140551600905E-2</v>
      </c>
      <c r="BW83" s="463">
        <f t="shared" si="167"/>
        <v>0</v>
      </c>
      <c r="BX83" s="463">
        <f t="shared" si="168"/>
        <v>6.2897013759232012E-2</v>
      </c>
      <c r="BY83" s="463">
        <f t="shared" si="169"/>
        <v>2.9351111111111123E-2</v>
      </c>
      <c r="BZ83" s="147">
        <f t="shared" si="182"/>
        <v>92.248124870343133</v>
      </c>
      <c r="CA83" s="153">
        <f t="shared" si="183"/>
        <v>0.22359474922570846</v>
      </c>
      <c r="CB83" s="5">
        <f t="shared" si="184"/>
        <v>1.5600000000000003</v>
      </c>
      <c r="CC83" s="153">
        <f t="shared" si="185"/>
        <v>0.87463814337714607</v>
      </c>
      <c r="CD83" s="5">
        <f t="shared" si="186"/>
        <v>87.463814337714609</v>
      </c>
      <c r="CG83" s="59">
        <f t="shared" si="170"/>
        <v>-50</v>
      </c>
      <c r="CH83">
        <f t="shared" si="171"/>
        <v>-50</v>
      </c>
    </row>
    <row r="84" spans="5:86" x14ac:dyDescent="0.25">
      <c r="E84" s="150">
        <v>79</v>
      </c>
      <c r="F84" s="191">
        <f t="shared" si="172"/>
        <v>7.9000000000000015E-2</v>
      </c>
      <c r="G84" s="191"/>
      <c r="H84" s="191">
        <f t="shared" si="120"/>
        <v>1.5800000000000003</v>
      </c>
      <c r="I84" s="472">
        <f t="shared" si="121"/>
        <v>20</v>
      </c>
      <c r="J84" s="152">
        <f t="shared" si="122"/>
        <v>20.32</v>
      </c>
      <c r="K84" s="386">
        <f t="shared" si="123"/>
        <v>40.32</v>
      </c>
      <c r="L84" s="386"/>
      <c r="M84" s="191">
        <f t="shared" si="124"/>
        <v>0.50396825396825395</v>
      </c>
      <c r="N84" s="152">
        <f t="shared" si="125"/>
        <v>3.4017857142857144</v>
      </c>
      <c r="O84" s="152">
        <f t="shared" si="173"/>
        <v>1.5800000000000003</v>
      </c>
      <c r="P84" s="191">
        <f t="shared" si="126"/>
        <v>0.17008928571428572</v>
      </c>
      <c r="Q84" s="191">
        <f t="shared" si="127"/>
        <v>20</v>
      </c>
      <c r="R84" s="191">
        <f t="shared" si="128"/>
        <v>0.18898809523809523</v>
      </c>
      <c r="S84" s="152">
        <f t="shared" si="129"/>
        <v>65.540213487199054</v>
      </c>
      <c r="T84" s="152">
        <f t="shared" si="130"/>
        <v>20</v>
      </c>
      <c r="U84" s="191">
        <f t="shared" si="131"/>
        <v>0.34834645669291348</v>
      </c>
      <c r="V84" s="191">
        <f t="shared" si="132"/>
        <v>1.0450393700787404</v>
      </c>
      <c r="W84" s="191">
        <f t="shared" si="133"/>
        <v>1.0285820571641147</v>
      </c>
      <c r="X84" s="175">
        <f t="shared" si="134"/>
        <v>350</v>
      </c>
      <c r="Y84" s="386">
        <f t="shared" si="174"/>
        <v>350</v>
      </c>
      <c r="AA84" s="191">
        <f t="shared" si="135"/>
        <v>0.47996976568405147</v>
      </c>
      <c r="AB84" s="153">
        <f t="shared" si="136"/>
        <v>1.4172335600907031</v>
      </c>
      <c r="AC84" s="153">
        <f t="shared" si="137"/>
        <v>0.11904012045735404</v>
      </c>
      <c r="AD84" s="153"/>
      <c r="AE84" s="153">
        <f t="shared" si="138"/>
        <v>0.44291338582677164</v>
      </c>
      <c r="AF84" s="317">
        <f t="shared" si="139"/>
        <v>2378.1925925925934</v>
      </c>
      <c r="AG84" s="463">
        <f t="shared" si="140"/>
        <v>1.1626476377952754E-2</v>
      </c>
      <c r="AI84" s="153">
        <f t="shared" si="141"/>
        <v>0.4121539754398828</v>
      </c>
      <c r="AJ84" s="153">
        <f t="shared" si="142"/>
        <v>0.4121539754398828</v>
      </c>
      <c r="AK84" s="153">
        <f t="shared" si="143"/>
        <v>1.374769316959922</v>
      </c>
      <c r="AM84" s="317">
        <f t="shared" si="144"/>
        <v>79.000000000000014</v>
      </c>
      <c r="AN84" s="147">
        <f t="shared" si="145"/>
        <v>350</v>
      </c>
      <c r="AP84">
        <f t="shared" si="146"/>
        <v>79.000000000000014</v>
      </c>
      <c r="AQ84">
        <f t="shared" si="147"/>
        <v>350</v>
      </c>
      <c r="AS84" s="5">
        <f t="shared" si="175"/>
        <v>2.8571428571428572</v>
      </c>
      <c r="AT84" s="5">
        <f t="shared" si="148"/>
        <v>1.2364619263196486</v>
      </c>
      <c r="AU84" s="5">
        <f t="shared" si="176"/>
        <v>1.6206809308232086</v>
      </c>
      <c r="AV84" s="5">
        <f t="shared" si="149"/>
        <v>1.2169900849602839</v>
      </c>
      <c r="AW84" s="153">
        <f t="shared" si="177"/>
        <v>0.432761674211877</v>
      </c>
      <c r="AX84" s="153">
        <f t="shared" si="150"/>
        <v>1.7836444444444448</v>
      </c>
      <c r="AY84" s="153">
        <f t="shared" si="151"/>
        <v>0.11689476549771916</v>
      </c>
      <c r="AZ84" s="153">
        <f t="shared" si="178"/>
        <v>15.2585484632265</v>
      </c>
      <c r="BA84" s="147">
        <f t="shared" si="152"/>
        <v>2.385619286777211</v>
      </c>
      <c r="BB84" s="147">
        <f t="shared" si="153"/>
        <v>8.8430494176000032</v>
      </c>
      <c r="BC84" s="5">
        <f t="shared" si="154"/>
        <v>0.14225977059448167</v>
      </c>
      <c r="BD84" s="147">
        <f t="shared" si="155"/>
        <v>14.489310392781499</v>
      </c>
      <c r="BE84" s="5"/>
      <c r="BF84" s="153">
        <f t="shared" si="179"/>
        <v>0.15653925477326117</v>
      </c>
      <c r="BG84" s="153">
        <f t="shared" si="156"/>
        <v>0.1792180093405753</v>
      </c>
      <c r="BH84" s="153"/>
      <c r="BI84" s="463">
        <f t="shared" si="157"/>
        <v>8.5765883997387885E-3</v>
      </c>
      <c r="BJ84" s="463">
        <f t="shared" si="158"/>
        <v>2.9081584507038127E-2</v>
      </c>
      <c r="BK84" s="463">
        <f t="shared" si="159"/>
        <v>4.3749999999999995E-3</v>
      </c>
      <c r="BL84" s="463">
        <f t="shared" si="160"/>
        <v>2.8449792000000005E-2</v>
      </c>
      <c r="BM84">
        <f t="shared" si="161"/>
        <v>5.7999999999999996E-3</v>
      </c>
      <c r="BN84">
        <f t="shared" si="162"/>
        <v>1.3124999999999999E-5</v>
      </c>
      <c r="BO84" s="463">
        <f t="shared" si="163"/>
        <v>7.7576685179259308E-2</v>
      </c>
      <c r="BP84" s="147">
        <f t="shared" si="180"/>
        <v>77.576685179259314</v>
      </c>
      <c r="BQ84" s="463">
        <f t="shared" si="164"/>
        <v>5.4716988482206901E-2</v>
      </c>
      <c r="BR84" s="463"/>
      <c r="BT84" s="147">
        <f t="shared" si="181"/>
        <v>54.716988482206901</v>
      </c>
      <c r="BU84" s="463">
        <f t="shared" si="165"/>
        <v>2.4504538284967969E-2</v>
      </c>
      <c r="BV84" s="463">
        <f t="shared" si="166"/>
        <v>3.2119094871998537E-2</v>
      </c>
      <c r="BW84" s="463">
        <f t="shared" si="167"/>
        <v>0</v>
      </c>
      <c r="BX84" s="463">
        <f t="shared" si="168"/>
        <v>6.3707055129334805E-2</v>
      </c>
      <c r="BY84" s="463">
        <f t="shared" si="169"/>
        <v>2.9727407407407418E-2</v>
      </c>
      <c r="BZ84" s="147">
        <f t="shared" si="182"/>
        <v>93.434462536742231</v>
      </c>
      <c r="CA84" s="153">
        <f t="shared" si="183"/>
        <v>0.22572813619820845</v>
      </c>
      <c r="CB84" s="5">
        <f t="shared" si="184"/>
        <v>1.5800000000000003</v>
      </c>
      <c r="CC84" s="153">
        <f t="shared" si="185"/>
        <v>0.87499328848391444</v>
      </c>
      <c r="CD84" s="5">
        <f t="shared" si="186"/>
        <v>87.499328848391443</v>
      </c>
      <c r="CG84" s="59">
        <f t="shared" si="170"/>
        <v>-50</v>
      </c>
      <c r="CH84">
        <f t="shared" si="171"/>
        <v>-50</v>
      </c>
    </row>
    <row r="85" spans="5:86" x14ac:dyDescent="0.25">
      <c r="E85" s="150">
        <v>80</v>
      </c>
      <c r="F85" s="191">
        <f t="shared" si="172"/>
        <v>8.0000000000000016E-2</v>
      </c>
      <c r="G85" s="191"/>
      <c r="H85" s="191">
        <f t="shared" si="120"/>
        <v>1.6000000000000003</v>
      </c>
      <c r="I85" s="472">
        <f t="shared" si="121"/>
        <v>20</v>
      </c>
      <c r="J85" s="152">
        <f t="shared" si="122"/>
        <v>20.32</v>
      </c>
      <c r="K85" s="386">
        <f t="shared" si="123"/>
        <v>40.32</v>
      </c>
      <c r="L85" s="386"/>
      <c r="M85" s="191">
        <f t="shared" si="124"/>
        <v>0.50396825396825395</v>
      </c>
      <c r="N85" s="152">
        <f t="shared" si="125"/>
        <v>3.4017857142857144</v>
      </c>
      <c r="O85" s="152">
        <f t="shared" si="173"/>
        <v>1.6000000000000003</v>
      </c>
      <c r="P85" s="191">
        <f t="shared" si="126"/>
        <v>0.17008928571428572</v>
      </c>
      <c r="Q85" s="191">
        <f t="shared" si="127"/>
        <v>20</v>
      </c>
      <c r="R85" s="191">
        <f t="shared" si="128"/>
        <v>0.18898809523809523</v>
      </c>
      <c r="S85" s="152">
        <f t="shared" si="129"/>
        <v>64.473774921013643</v>
      </c>
      <c r="T85" s="152">
        <f t="shared" si="130"/>
        <v>20</v>
      </c>
      <c r="U85" s="191">
        <f t="shared" si="131"/>
        <v>0.35275590551181113</v>
      </c>
      <c r="V85" s="191">
        <f t="shared" si="132"/>
        <v>1.0582677165354335</v>
      </c>
      <c r="W85" s="191">
        <f t="shared" si="133"/>
        <v>1.0416020832041668</v>
      </c>
      <c r="X85" s="175">
        <f t="shared" si="134"/>
        <v>350</v>
      </c>
      <c r="Y85" s="386">
        <f t="shared" si="174"/>
        <v>350</v>
      </c>
      <c r="AA85" s="191">
        <f t="shared" si="135"/>
        <v>0.47996976568405147</v>
      </c>
      <c r="AB85" s="153">
        <f t="shared" si="136"/>
        <v>1.4172335600907031</v>
      </c>
      <c r="AC85" s="153">
        <f t="shared" si="137"/>
        <v>0.11904012045735404</v>
      </c>
      <c r="AD85" s="153"/>
      <c r="AE85" s="153">
        <f t="shared" si="138"/>
        <v>0.44291338582677164</v>
      </c>
      <c r="AF85" s="317">
        <f t="shared" si="139"/>
        <v>2408.296296296297</v>
      </c>
      <c r="AG85" s="463">
        <f t="shared" si="140"/>
        <v>1.1626476377952754E-2</v>
      </c>
      <c r="AI85" s="153">
        <f t="shared" si="141"/>
        <v>0.41475434177494042</v>
      </c>
      <c r="AJ85" s="153">
        <f t="shared" si="142"/>
        <v>0.41475434177494042</v>
      </c>
      <c r="AK85" s="153">
        <f t="shared" si="143"/>
        <v>1.3765028945166269</v>
      </c>
      <c r="AM85" s="317">
        <f t="shared" si="144"/>
        <v>80.000000000000014</v>
      </c>
      <c r="AN85" s="147">
        <f t="shared" si="145"/>
        <v>350</v>
      </c>
      <c r="AP85">
        <f t="shared" si="146"/>
        <v>80.000000000000014</v>
      </c>
      <c r="AQ85">
        <f t="shared" si="147"/>
        <v>350</v>
      </c>
      <c r="AS85" s="5">
        <f t="shared" si="175"/>
        <v>2.8571428571428572</v>
      </c>
      <c r="AT85" s="5">
        <f t="shared" si="148"/>
        <v>1.2442630253248215</v>
      </c>
      <c r="AU85" s="5">
        <f t="shared" si="176"/>
        <v>1.6128798318180357</v>
      </c>
      <c r="AV85" s="5">
        <f t="shared" si="149"/>
        <v>1.2246683320126193</v>
      </c>
      <c r="AW85" s="153">
        <f t="shared" si="177"/>
        <v>0.43549205886368753</v>
      </c>
      <c r="AX85" s="153">
        <f t="shared" si="150"/>
        <v>1.8062222222222228</v>
      </c>
      <c r="AY85" s="153">
        <f t="shared" si="151"/>
        <v>0.11706605977635906</v>
      </c>
      <c r="AZ85" s="153">
        <f t="shared" si="178"/>
        <v>15.429085301690327</v>
      </c>
      <c r="BA85" s="147">
        <f t="shared" si="152"/>
        <v>2.385619286777211</v>
      </c>
      <c r="BB85" s="147">
        <f t="shared" si="153"/>
        <v>9.0653030400000052</v>
      </c>
      <c r="BC85" s="5">
        <f t="shared" si="154"/>
        <v>0.1433670961616032</v>
      </c>
      <c r="BD85" s="147">
        <f t="shared" si="155"/>
        <v>14.603376282826988</v>
      </c>
      <c r="BE85" s="5"/>
      <c r="BF85" s="153">
        <f t="shared" si="179"/>
        <v>0.1580230477785913</v>
      </c>
      <c r="BG85" s="153">
        <f t="shared" si="156"/>
        <v>0.17991415835842312</v>
      </c>
      <c r="BH85" s="153"/>
      <c r="BI85" s="463">
        <f t="shared" si="157"/>
        <v>8.739949270232231E-3</v>
      </c>
      <c r="BJ85" s="463">
        <f t="shared" si="158"/>
        <v>2.9265066355639798E-2</v>
      </c>
      <c r="BK85" s="463">
        <f t="shared" si="159"/>
        <v>4.3749999999999995E-3</v>
      </c>
      <c r="BL85" s="463">
        <f t="shared" si="160"/>
        <v>2.8449792000000005E-2</v>
      </c>
      <c r="BM85">
        <f t="shared" si="161"/>
        <v>5.7999999999999996E-3</v>
      </c>
      <c r="BN85">
        <f t="shared" si="162"/>
        <v>1.3124999999999999E-5</v>
      </c>
      <c r="BO85" s="463">
        <f t="shared" si="163"/>
        <v>7.7948519373728861E-2</v>
      </c>
      <c r="BP85" s="147">
        <f t="shared" si="180"/>
        <v>77.948519373728857</v>
      </c>
      <c r="BQ85" s="463">
        <f t="shared" si="164"/>
        <v>5.5289995744654298E-2</v>
      </c>
      <c r="BR85" s="463"/>
      <c r="BT85" s="147">
        <f t="shared" si="181"/>
        <v>55.289995744654298</v>
      </c>
      <c r="BU85" s="463">
        <f t="shared" si="165"/>
        <v>2.4971283629234949E-2</v>
      </c>
      <c r="BV85" s="463">
        <f t="shared" si="166"/>
        <v>3.236910437781975E-2</v>
      </c>
      <c r="BW85" s="463">
        <f t="shared" si="167"/>
        <v>0</v>
      </c>
      <c r="BX85" s="463">
        <f t="shared" si="168"/>
        <v>6.4517189823710575E-2</v>
      </c>
      <c r="BY85" s="463">
        <f t="shared" si="169"/>
        <v>3.0103703703703719E-2</v>
      </c>
      <c r="BZ85" s="147">
        <f t="shared" si="182"/>
        <v>94.620893527414296</v>
      </c>
      <c r="CA85" s="153">
        <f t="shared" si="183"/>
        <v>0.22785940864579746</v>
      </c>
      <c r="CB85" s="5">
        <f t="shared" si="184"/>
        <v>1.6000000000000003</v>
      </c>
      <c r="CC85" s="153">
        <f t="shared" si="185"/>
        <v>0.87534084538010981</v>
      </c>
      <c r="CD85" s="5">
        <f t="shared" si="186"/>
        <v>87.534084538010987</v>
      </c>
      <c r="CG85" s="59">
        <f t="shared" si="170"/>
        <v>-50</v>
      </c>
      <c r="CH85">
        <f t="shared" si="171"/>
        <v>-50</v>
      </c>
    </row>
    <row r="86" spans="5:86" x14ac:dyDescent="0.25">
      <c r="E86" s="150">
        <v>81</v>
      </c>
      <c r="F86" s="191">
        <f t="shared" si="172"/>
        <v>8.1000000000000016E-2</v>
      </c>
      <c r="G86" s="191"/>
      <c r="H86" s="191">
        <f t="shared" si="120"/>
        <v>1.6200000000000003</v>
      </c>
      <c r="I86" s="472">
        <f t="shared" si="121"/>
        <v>20</v>
      </c>
      <c r="J86" s="152">
        <f t="shared" si="122"/>
        <v>20.32</v>
      </c>
      <c r="K86" s="386">
        <f t="shared" si="123"/>
        <v>40.32</v>
      </c>
      <c r="L86" s="386"/>
      <c r="M86" s="191">
        <f t="shared" si="124"/>
        <v>0.50396825396825395</v>
      </c>
      <c r="N86" s="152">
        <f t="shared" si="125"/>
        <v>3.4017857142857144</v>
      </c>
      <c r="O86" s="152">
        <f t="shared" si="173"/>
        <v>1.6200000000000003</v>
      </c>
      <c r="P86" s="191">
        <f t="shared" si="126"/>
        <v>0.17008928571428572</v>
      </c>
      <c r="Q86" s="191">
        <f t="shared" si="127"/>
        <v>20</v>
      </c>
      <c r="R86" s="191">
        <f t="shared" si="128"/>
        <v>0.18898809523809523</v>
      </c>
      <c r="S86" s="152">
        <f t="shared" si="129"/>
        <v>63.433719632938235</v>
      </c>
      <c r="T86" s="152">
        <f t="shared" si="130"/>
        <v>20</v>
      </c>
      <c r="U86" s="191">
        <f t="shared" si="131"/>
        <v>0.35716535433070873</v>
      </c>
      <c r="V86" s="191">
        <f t="shared" si="132"/>
        <v>1.0714960629921262</v>
      </c>
      <c r="W86" s="191">
        <f t="shared" si="133"/>
        <v>1.0546221092442187</v>
      </c>
      <c r="X86" s="175">
        <f t="shared" si="134"/>
        <v>350</v>
      </c>
      <c r="Y86" s="386">
        <f t="shared" si="174"/>
        <v>350</v>
      </c>
      <c r="AA86" s="191">
        <f t="shared" si="135"/>
        <v>0.47996976568405147</v>
      </c>
      <c r="AB86" s="153">
        <f t="shared" si="136"/>
        <v>1.4172335600907031</v>
      </c>
      <c r="AC86" s="153">
        <f t="shared" si="137"/>
        <v>0.11904012045735404</v>
      </c>
      <c r="AD86" s="153"/>
      <c r="AE86" s="153">
        <f t="shared" si="138"/>
        <v>0.44291338582677164</v>
      </c>
      <c r="AF86" s="317">
        <f t="shared" si="139"/>
        <v>2438.400000000001</v>
      </c>
      <c r="AG86" s="463">
        <f t="shared" si="140"/>
        <v>1.1626476377952754E-2</v>
      </c>
      <c r="AI86" s="153">
        <f t="shared" si="141"/>
        <v>0.41733850597737632</v>
      </c>
      <c r="AJ86" s="153">
        <f t="shared" si="142"/>
        <v>0.41733850597737632</v>
      </c>
      <c r="AK86" s="153">
        <f t="shared" si="143"/>
        <v>1.3782256706515841</v>
      </c>
      <c r="AM86" s="317">
        <f t="shared" si="144"/>
        <v>81.000000000000014</v>
      </c>
      <c r="AN86" s="147">
        <f t="shared" si="145"/>
        <v>350</v>
      </c>
      <c r="AP86">
        <f t="shared" si="146"/>
        <v>81.000000000000014</v>
      </c>
      <c r="AQ86">
        <f t="shared" si="147"/>
        <v>350</v>
      </c>
      <c r="AS86" s="5">
        <f t="shared" si="175"/>
        <v>2.8571428571428572</v>
      </c>
      <c r="AT86" s="5">
        <f t="shared" si="148"/>
        <v>1.2520155179321288</v>
      </c>
      <c r="AU86" s="5">
        <f t="shared" si="176"/>
        <v>1.6051273392107284</v>
      </c>
      <c r="AV86" s="5">
        <f t="shared" si="149"/>
        <v>1.2322987381221739</v>
      </c>
      <c r="AW86" s="153">
        <f t="shared" si="177"/>
        <v>0.43820543127624506</v>
      </c>
      <c r="AX86" s="153">
        <f t="shared" si="150"/>
        <v>1.8288</v>
      </c>
      <c r="AY86" s="153">
        <f t="shared" si="151"/>
        <v>0.11722925298868817</v>
      </c>
      <c r="AZ86" s="153">
        <f t="shared" si="178"/>
        <v>15.600201770256669</v>
      </c>
      <c r="BA86" s="147">
        <f t="shared" si="152"/>
        <v>2.385619286777211</v>
      </c>
      <c r="BB86" s="147">
        <f t="shared" si="153"/>
        <v>9.2903145696000031</v>
      </c>
      <c r="BC86" s="5">
        <f t="shared" si="154"/>
        <v>0.14446146052896558</v>
      </c>
      <c r="BD86" s="147">
        <f t="shared" si="155"/>
        <v>14.716146052896558</v>
      </c>
      <c r="BE86" s="5"/>
      <c r="BF86" s="153">
        <f t="shared" si="179"/>
        <v>0.15950221103289089</v>
      </c>
      <c r="BG86" s="153">
        <f t="shared" si="156"/>
        <v>0.18059952251532116</v>
      </c>
      <c r="BH86" s="153"/>
      <c r="BI86" s="463">
        <f t="shared" si="157"/>
        <v>8.9043343635333005E-3</v>
      </c>
      <c r="BJ86" s="463">
        <f t="shared" si="158"/>
        <v>2.944740498176367E-2</v>
      </c>
      <c r="BK86" s="463">
        <f t="shared" si="159"/>
        <v>4.3749999999999995E-3</v>
      </c>
      <c r="BL86" s="463">
        <f t="shared" si="160"/>
        <v>2.8449792000000005E-2</v>
      </c>
      <c r="BM86">
        <f t="shared" si="161"/>
        <v>5.7999999999999996E-3</v>
      </c>
      <c r="BN86">
        <f t="shared" si="162"/>
        <v>1.3124999999999999E-5</v>
      </c>
      <c r="BO86" s="463">
        <f t="shared" si="163"/>
        <v>7.8320410145908473E-2</v>
      </c>
      <c r="BP86" s="147">
        <f t="shared" si="180"/>
        <v>78.320410145908468</v>
      </c>
      <c r="BQ86" s="463">
        <f t="shared" si="164"/>
        <v>5.5860767275030171E-2</v>
      </c>
      <c r="BR86" s="463"/>
      <c r="BT86" s="147">
        <f t="shared" si="181"/>
        <v>55.86076727503017</v>
      </c>
      <c r="BU86" s="463">
        <f t="shared" si="165"/>
        <v>2.544095532438086E-2</v>
      </c>
      <c r="BV86" s="463">
        <f t="shared" si="166"/>
        <v>3.2616187532761992E-2</v>
      </c>
      <c r="BW86" s="463">
        <f t="shared" si="167"/>
        <v>0</v>
      </c>
      <c r="BX86" s="463">
        <f t="shared" si="168"/>
        <v>6.5327417858487877E-2</v>
      </c>
      <c r="BY86" s="463">
        <f t="shared" si="169"/>
        <v>3.0480000000000004E-2</v>
      </c>
      <c r="BZ86" s="147">
        <f t="shared" si="182"/>
        <v>95.807417858487881</v>
      </c>
      <c r="CA86" s="153">
        <f t="shared" si="183"/>
        <v>0.22998859527942656</v>
      </c>
      <c r="CB86" s="5">
        <f t="shared" si="184"/>
        <v>1.6200000000000003</v>
      </c>
      <c r="CC86" s="153">
        <f t="shared" si="185"/>
        <v>0.87568107399889761</v>
      </c>
      <c r="CD86" s="5">
        <f t="shared" si="186"/>
        <v>87.568107399889755</v>
      </c>
      <c r="CG86" s="59">
        <f t="shared" si="170"/>
        <v>-50</v>
      </c>
      <c r="CH86">
        <f t="shared" si="171"/>
        <v>-50</v>
      </c>
    </row>
    <row r="87" spans="5:86" x14ac:dyDescent="0.25">
      <c r="E87" s="150">
        <v>82</v>
      </c>
      <c r="F87" s="191">
        <f t="shared" si="172"/>
        <v>8.2000000000000003E-2</v>
      </c>
      <c r="G87" s="191"/>
      <c r="H87" s="191">
        <f t="shared" si="120"/>
        <v>1.6400000000000001</v>
      </c>
      <c r="I87" s="472">
        <f t="shared" si="121"/>
        <v>20</v>
      </c>
      <c r="J87" s="152">
        <f t="shared" si="122"/>
        <v>20.32</v>
      </c>
      <c r="K87" s="386">
        <f t="shared" si="123"/>
        <v>40.32</v>
      </c>
      <c r="L87" s="386"/>
      <c r="M87" s="191">
        <f t="shared" si="124"/>
        <v>0.50396825396825395</v>
      </c>
      <c r="N87" s="152">
        <f t="shared" si="125"/>
        <v>3.4017857142857144</v>
      </c>
      <c r="O87" s="152">
        <f t="shared" si="173"/>
        <v>1.6400000000000001</v>
      </c>
      <c r="P87" s="191">
        <f t="shared" si="126"/>
        <v>0.17008928571428572</v>
      </c>
      <c r="Q87" s="191">
        <f t="shared" si="127"/>
        <v>20</v>
      </c>
      <c r="R87" s="191">
        <f t="shared" si="128"/>
        <v>0.18898809523809523</v>
      </c>
      <c r="S87" s="152">
        <f t="shared" si="129"/>
        <v>62.419082949948681</v>
      </c>
      <c r="T87" s="152">
        <f t="shared" si="130"/>
        <v>20</v>
      </c>
      <c r="U87" s="191">
        <f t="shared" si="131"/>
        <v>0.36157480314960633</v>
      </c>
      <c r="V87" s="191">
        <f t="shared" si="132"/>
        <v>1.0847244094488189</v>
      </c>
      <c r="W87" s="191">
        <f t="shared" si="133"/>
        <v>1.0676421352842707</v>
      </c>
      <c r="X87" s="175">
        <f t="shared" si="134"/>
        <v>350</v>
      </c>
      <c r="Y87" s="386">
        <f t="shared" si="174"/>
        <v>350</v>
      </c>
      <c r="AA87" s="191">
        <f t="shared" si="135"/>
        <v>0.47996976568405147</v>
      </c>
      <c r="AB87" s="153">
        <f t="shared" si="136"/>
        <v>1.4172335600907031</v>
      </c>
      <c r="AC87" s="153">
        <f t="shared" si="137"/>
        <v>0.11904012045735404</v>
      </c>
      <c r="AD87" s="153"/>
      <c r="AE87" s="153">
        <f t="shared" si="138"/>
        <v>0.44291338582677164</v>
      </c>
      <c r="AF87" s="317">
        <f t="shared" si="139"/>
        <v>2468.5037037037041</v>
      </c>
      <c r="AG87" s="463">
        <f t="shared" si="140"/>
        <v>1.1626476377952754E-2</v>
      </c>
      <c r="AI87" s="153">
        <f t="shared" si="141"/>
        <v>0.41990676717777858</v>
      </c>
      <c r="AJ87" s="153">
        <f t="shared" si="142"/>
        <v>0.41990676717777858</v>
      </c>
      <c r="AK87" s="153">
        <f t="shared" si="143"/>
        <v>1.3799378447851858</v>
      </c>
      <c r="AM87" s="317">
        <f t="shared" si="144"/>
        <v>82</v>
      </c>
      <c r="AN87" s="147">
        <f t="shared" si="145"/>
        <v>350</v>
      </c>
      <c r="AP87">
        <f t="shared" si="146"/>
        <v>82</v>
      </c>
      <c r="AQ87">
        <f t="shared" si="147"/>
        <v>350</v>
      </c>
      <c r="AS87" s="5">
        <f t="shared" si="175"/>
        <v>2.8571428571428572</v>
      </c>
      <c r="AT87" s="5">
        <f t="shared" si="148"/>
        <v>1.2597203015333358</v>
      </c>
      <c r="AU87" s="5">
        <f t="shared" si="176"/>
        <v>1.5974225556095214</v>
      </c>
      <c r="AV87" s="5">
        <f t="shared" si="149"/>
        <v>1.2398821865485588</v>
      </c>
      <c r="AW87" s="153">
        <f t="shared" si="177"/>
        <v>0.44090210553666753</v>
      </c>
      <c r="AX87" s="153">
        <f t="shared" si="150"/>
        <v>1.8513777777777782</v>
      </c>
      <c r="AY87" s="153">
        <f t="shared" si="151"/>
        <v>0.11738449470000038</v>
      </c>
      <c r="AZ87" s="153">
        <f t="shared" si="178"/>
        <v>15.77191078352678</v>
      </c>
      <c r="BA87" s="147">
        <f t="shared" si="152"/>
        <v>2.385619286777211</v>
      </c>
      <c r="BB87" s="147">
        <f t="shared" si="153"/>
        <v>9.5180840064000005</v>
      </c>
      <c r="BC87" s="5">
        <f t="shared" si="154"/>
        <v>0.14554294395553419</v>
      </c>
      <c r="BD87" s="147">
        <f t="shared" si="155"/>
        <v>14.827627728886753</v>
      </c>
      <c r="BE87" s="5"/>
      <c r="BF87" s="153">
        <f t="shared" si="179"/>
        <v>0.16097681587643262</v>
      </c>
      <c r="BG87" s="153">
        <f t="shared" si="156"/>
        <v>0.1812742741194022</v>
      </c>
      <c r="BH87" s="153"/>
      <c r="BI87" s="463">
        <f t="shared" si="157"/>
        <v>9.0697373374002098E-3</v>
      </c>
      <c r="BJ87" s="463">
        <f t="shared" si="158"/>
        <v>2.962862149206406E-2</v>
      </c>
      <c r="BK87" s="463">
        <f t="shared" si="159"/>
        <v>4.3749999999999995E-3</v>
      </c>
      <c r="BL87" s="463">
        <f t="shared" si="160"/>
        <v>2.8449792000000005E-2</v>
      </c>
      <c r="BM87">
        <f t="shared" si="161"/>
        <v>5.7999999999999996E-3</v>
      </c>
      <c r="BN87">
        <f t="shared" si="162"/>
        <v>1.3124999999999999E-5</v>
      </c>
      <c r="BO87" s="463">
        <f t="shared" si="163"/>
        <v>7.8692371551422377E-2</v>
      </c>
      <c r="BP87" s="147">
        <f t="shared" si="180"/>
        <v>78.692371551422383</v>
      </c>
      <c r="BQ87" s="463">
        <f t="shared" si="164"/>
        <v>5.6429316917542355E-2</v>
      </c>
      <c r="BR87" s="463"/>
      <c r="BT87" s="147">
        <f t="shared" si="181"/>
        <v>56.429316917542351</v>
      </c>
      <c r="BU87" s="463">
        <f t="shared" si="165"/>
        <v>2.5913535249714889E-2</v>
      </c>
      <c r="BV87" s="463">
        <f t="shared" si="166"/>
        <v>3.2860362457516168E-2</v>
      </c>
      <c r="BW87" s="463">
        <f t="shared" si="167"/>
        <v>0</v>
      </c>
      <c r="BX87" s="463">
        <f t="shared" si="168"/>
        <v>6.6137739249799224E-2</v>
      </c>
      <c r="BY87" s="463">
        <f t="shared" si="169"/>
        <v>3.0856296296296305E-2</v>
      </c>
      <c r="BZ87" s="147">
        <f t="shared" si="182"/>
        <v>96.994035546095532</v>
      </c>
      <c r="CA87" s="153">
        <f t="shared" si="183"/>
        <v>0.23211572401506023</v>
      </c>
      <c r="CB87" s="5">
        <f t="shared" si="184"/>
        <v>1.6400000000000001</v>
      </c>
      <c r="CC87" s="153">
        <f t="shared" si="185"/>
        <v>0.87601422228469417</v>
      </c>
      <c r="CD87" s="5">
        <f t="shared" si="186"/>
        <v>87.601422228469417</v>
      </c>
      <c r="CG87" s="59">
        <f t="shared" si="170"/>
        <v>-50</v>
      </c>
      <c r="CH87">
        <f t="shared" si="171"/>
        <v>-50</v>
      </c>
    </row>
    <row r="88" spans="5:86" x14ac:dyDescent="0.25">
      <c r="E88" s="150">
        <v>83</v>
      </c>
      <c r="F88" s="191">
        <f t="shared" si="172"/>
        <v>8.3000000000000004E-2</v>
      </c>
      <c r="G88" s="191"/>
      <c r="H88" s="191">
        <f t="shared" si="120"/>
        <v>1.6600000000000001</v>
      </c>
      <c r="I88" s="472">
        <f t="shared" si="121"/>
        <v>20</v>
      </c>
      <c r="J88" s="152">
        <f t="shared" si="122"/>
        <v>20.32</v>
      </c>
      <c r="K88" s="386">
        <f t="shared" si="123"/>
        <v>40.32</v>
      </c>
      <c r="L88" s="386"/>
      <c r="M88" s="191">
        <f t="shared" si="124"/>
        <v>0.50396825396825395</v>
      </c>
      <c r="N88" s="152">
        <f t="shared" si="125"/>
        <v>3.4017857142857144</v>
      </c>
      <c r="O88" s="152">
        <f t="shared" si="173"/>
        <v>1.6600000000000001</v>
      </c>
      <c r="P88" s="191">
        <f t="shared" si="126"/>
        <v>0.17008928571428572</v>
      </c>
      <c r="Q88" s="191">
        <f t="shared" si="127"/>
        <v>20</v>
      </c>
      <c r="R88" s="191">
        <f t="shared" si="128"/>
        <v>0.18898809523809523</v>
      </c>
      <c r="S88" s="152">
        <f t="shared" si="129"/>
        <v>61.428946697451849</v>
      </c>
      <c r="T88" s="152">
        <f t="shared" si="130"/>
        <v>20</v>
      </c>
      <c r="U88" s="191">
        <f t="shared" si="131"/>
        <v>0.36598425196850398</v>
      </c>
      <c r="V88" s="191">
        <f t="shared" si="132"/>
        <v>1.0979527559055118</v>
      </c>
      <c r="W88" s="191">
        <f t="shared" si="133"/>
        <v>1.0806621613243228</v>
      </c>
      <c r="X88" s="175">
        <f t="shared" si="134"/>
        <v>350</v>
      </c>
      <c r="Y88" s="386">
        <f t="shared" si="174"/>
        <v>350</v>
      </c>
      <c r="AA88" s="191">
        <f t="shared" si="135"/>
        <v>0.47996976568405147</v>
      </c>
      <c r="AB88" s="153">
        <f t="shared" si="136"/>
        <v>1.4172335600907031</v>
      </c>
      <c r="AC88" s="153">
        <f t="shared" si="137"/>
        <v>0.11904012045735404</v>
      </c>
      <c r="AD88" s="153"/>
      <c r="AE88" s="153">
        <f t="shared" si="138"/>
        <v>0.44291338582677164</v>
      </c>
      <c r="AF88" s="317">
        <f t="shared" si="139"/>
        <v>2498.6074074074081</v>
      </c>
      <c r="AG88" s="463">
        <f t="shared" si="140"/>
        <v>1.1626476377952754E-2</v>
      </c>
      <c r="AI88" s="153">
        <f t="shared" si="141"/>
        <v>0.42245941541402254</v>
      </c>
      <c r="AJ88" s="153">
        <f t="shared" si="142"/>
        <v>0.42245941541402254</v>
      </c>
      <c r="AK88" s="153">
        <f t="shared" si="143"/>
        <v>1.3816396102760149</v>
      </c>
      <c r="AM88" s="317">
        <f t="shared" si="144"/>
        <v>83</v>
      </c>
      <c r="AN88" s="147">
        <f t="shared" si="145"/>
        <v>350</v>
      </c>
      <c r="AP88">
        <f t="shared" si="146"/>
        <v>83</v>
      </c>
      <c r="AQ88">
        <f t="shared" si="147"/>
        <v>350</v>
      </c>
      <c r="AS88" s="5">
        <f t="shared" si="175"/>
        <v>2.8571428571428572</v>
      </c>
      <c r="AT88" s="5">
        <f t="shared" si="148"/>
        <v>1.2673782462420675</v>
      </c>
      <c r="AU88" s="5">
        <f t="shared" si="176"/>
        <v>1.5897646109007897</v>
      </c>
      <c r="AV88" s="5">
        <f t="shared" si="149"/>
        <v>1.2474195337028224</v>
      </c>
      <c r="AW88" s="153">
        <f t="shared" si="177"/>
        <v>0.44358238618472362</v>
      </c>
      <c r="AX88" s="153">
        <f t="shared" si="150"/>
        <v>1.8739555555555556</v>
      </c>
      <c r="AY88" s="153">
        <f t="shared" si="151"/>
        <v>0.11753192992923349</v>
      </c>
      <c r="AZ88" s="153">
        <f t="shared" si="178"/>
        <v>15.94422517084398</v>
      </c>
      <c r="BA88" s="147">
        <f t="shared" si="152"/>
        <v>2.385619286777211</v>
      </c>
      <c r="BB88" s="147">
        <f t="shared" si="153"/>
        <v>9.7486113504000027</v>
      </c>
      <c r="BC88" s="5">
        <f t="shared" si="154"/>
        <v>0.14661162522751728</v>
      </c>
      <c r="BD88" s="147">
        <f t="shared" si="155"/>
        <v>14.937829189418395</v>
      </c>
      <c r="BE88" s="5"/>
      <c r="BF88" s="153">
        <f t="shared" si="179"/>
        <v>0.16244693169482147</v>
      </c>
      <c r="BG88" s="153">
        <f t="shared" si="156"/>
        <v>0.18193858013147521</v>
      </c>
      <c r="BH88" s="153"/>
      <c r="BI88" s="463">
        <f t="shared" si="157"/>
        <v>9.2361519659716965E-3</v>
      </c>
      <c r="BJ88" s="463">
        <f t="shared" si="158"/>
        <v>2.9808736351613435E-2</v>
      </c>
      <c r="BK88" s="463">
        <f t="shared" si="159"/>
        <v>4.3749999999999995E-3</v>
      </c>
      <c r="BL88" s="463">
        <f t="shared" si="160"/>
        <v>2.8449792000000005E-2</v>
      </c>
      <c r="BM88">
        <f t="shared" si="161"/>
        <v>5.7999999999999996E-3</v>
      </c>
      <c r="BN88">
        <f t="shared" si="162"/>
        <v>1.3124999999999999E-5</v>
      </c>
      <c r="BO88" s="463">
        <f t="shared" si="163"/>
        <v>7.9064417137284904E-2</v>
      </c>
      <c r="BP88" s="147">
        <f t="shared" si="180"/>
        <v>79.064417137284906</v>
      </c>
      <c r="BQ88" s="463">
        <f t="shared" si="164"/>
        <v>5.6995658262356523E-2</v>
      </c>
      <c r="BR88" s="463"/>
      <c r="BT88" s="147">
        <f t="shared" si="181"/>
        <v>56.995658262356521</v>
      </c>
      <c r="BU88" s="463">
        <f t="shared" si="165"/>
        <v>2.6389005617061992E-2</v>
      </c>
      <c r="BV88" s="463">
        <f t="shared" si="166"/>
        <v>3.3101646940257225E-2</v>
      </c>
      <c r="BW88" s="463">
        <f t="shared" si="167"/>
        <v>0</v>
      </c>
      <c r="BX88" s="463">
        <f t="shared" si="168"/>
        <v>6.6948154013780542E-2</v>
      </c>
      <c r="BY88" s="463">
        <f t="shared" si="169"/>
        <v>3.12325925925926E-2</v>
      </c>
      <c r="BZ88" s="147">
        <f t="shared" si="182"/>
        <v>98.180746606373148</v>
      </c>
      <c r="CA88" s="153">
        <f t="shared" si="183"/>
        <v>0.23424082200601457</v>
      </c>
      <c r="CB88" s="5">
        <f t="shared" si="184"/>
        <v>1.6600000000000001</v>
      </c>
      <c r="CC88" s="153">
        <f t="shared" si="185"/>
        <v>0.87634052688298003</v>
      </c>
      <c r="CD88" s="5">
        <f t="shared" si="186"/>
        <v>87.634052688297999</v>
      </c>
      <c r="CG88" s="59">
        <f t="shared" si="170"/>
        <v>-50</v>
      </c>
      <c r="CH88">
        <f t="shared" si="171"/>
        <v>-50</v>
      </c>
    </row>
    <row r="89" spans="5:86" x14ac:dyDescent="0.25">
      <c r="E89" s="150">
        <v>84</v>
      </c>
      <c r="F89" s="191">
        <f t="shared" si="172"/>
        <v>8.4000000000000005E-2</v>
      </c>
      <c r="G89" s="191"/>
      <c r="H89" s="191">
        <f t="shared" si="120"/>
        <v>1.6800000000000002</v>
      </c>
      <c r="I89" s="472">
        <f t="shared" si="121"/>
        <v>20</v>
      </c>
      <c r="J89" s="152">
        <f t="shared" si="122"/>
        <v>20.32</v>
      </c>
      <c r="K89" s="386">
        <f t="shared" si="123"/>
        <v>40.32</v>
      </c>
      <c r="L89" s="386"/>
      <c r="M89" s="191">
        <f t="shared" si="124"/>
        <v>0.50396825396825395</v>
      </c>
      <c r="N89" s="152">
        <f t="shared" si="125"/>
        <v>3.4017857142857144</v>
      </c>
      <c r="O89" s="152">
        <f t="shared" si="173"/>
        <v>1.6800000000000002</v>
      </c>
      <c r="P89" s="191">
        <f t="shared" si="126"/>
        <v>0.17008928571428572</v>
      </c>
      <c r="Q89" s="191">
        <f t="shared" si="127"/>
        <v>20</v>
      </c>
      <c r="R89" s="191">
        <f t="shared" si="128"/>
        <v>0.18898809523809523</v>
      </c>
      <c r="S89" s="152">
        <f t="shared" si="129"/>
        <v>60.462436431664095</v>
      </c>
      <c r="T89" s="152">
        <f t="shared" si="130"/>
        <v>20</v>
      </c>
      <c r="U89" s="191">
        <f t="shared" si="131"/>
        <v>0.37039370078740164</v>
      </c>
      <c r="V89" s="191">
        <f t="shared" si="132"/>
        <v>1.1111811023622049</v>
      </c>
      <c r="W89" s="191">
        <f t="shared" si="133"/>
        <v>1.0936821873643747</v>
      </c>
      <c r="X89" s="175">
        <f t="shared" si="134"/>
        <v>350</v>
      </c>
      <c r="Y89" s="386">
        <f t="shared" si="174"/>
        <v>350</v>
      </c>
      <c r="AA89" s="191">
        <f t="shared" si="135"/>
        <v>0.47996976568405147</v>
      </c>
      <c r="AB89" s="153">
        <f t="shared" si="136"/>
        <v>1.4172335600907031</v>
      </c>
      <c r="AC89" s="153">
        <f t="shared" si="137"/>
        <v>0.11904012045735404</v>
      </c>
      <c r="AD89" s="153"/>
      <c r="AE89" s="153">
        <f t="shared" si="138"/>
        <v>0.44291338582677164</v>
      </c>
      <c r="AF89" s="317">
        <f t="shared" si="139"/>
        <v>2528.7111111111117</v>
      </c>
      <c r="AG89" s="463">
        <f t="shared" si="140"/>
        <v>1.1626476377952754E-2</v>
      </c>
      <c r="AI89" s="153">
        <f t="shared" si="141"/>
        <v>0.4249967320135794</v>
      </c>
      <c r="AJ89" s="153">
        <f t="shared" si="142"/>
        <v>0.4249967320135794</v>
      </c>
      <c r="AK89" s="153">
        <f t="shared" si="143"/>
        <v>1.3833311546757197</v>
      </c>
      <c r="AM89" s="317">
        <f t="shared" si="144"/>
        <v>84</v>
      </c>
      <c r="AN89" s="147">
        <f t="shared" si="145"/>
        <v>350</v>
      </c>
      <c r="AP89">
        <f t="shared" si="146"/>
        <v>84</v>
      </c>
      <c r="AQ89">
        <f t="shared" si="147"/>
        <v>350</v>
      </c>
      <c r="AS89" s="5">
        <f t="shared" si="175"/>
        <v>2.8571428571428572</v>
      </c>
      <c r="AT89" s="5">
        <f t="shared" si="148"/>
        <v>1.2749901960407384</v>
      </c>
      <c r="AU89" s="5">
        <f t="shared" si="176"/>
        <v>1.5821526611021188</v>
      </c>
      <c r="AV89" s="5">
        <f t="shared" si="149"/>
        <v>1.2549116102763171</v>
      </c>
      <c r="AW89" s="153">
        <f t="shared" si="177"/>
        <v>0.44624656861425843</v>
      </c>
      <c r="AX89" s="153">
        <f t="shared" si="150"/>
        <v>1.8965333333333334</v>
      </c>
      <c r="AY89" s="153">
        <f t="shared" si="151"/>
        <v>0.117671699340123</v>
      </c>
      <c r="AZ89" s="153">
        <f t="shared" si="178"/>
        <v>16.117157685056604</v>
      </c>
      <c r="BA89" s="147">
        <f t="shared" si="152"/>
        <v>2.385619286777211</v>
      </c>
      <c r="BB89" s="147">
        <f t="shared" si="153"/>
        <v>9.9818966016000026</v>
      </c>
      <c r="BC89" s="5">
        <f t="shared" si="154"/>
        <v>0.14766758170286443</v>
      </c>
      <c r="BD89" s="147">
        <f t="shared" si="155"/>
        <v>15.046758170286443</v>
      </c>
      <c r="BE89" s="5"/>
      <c r="BF89" s="153">
        <f t="shared" si="179"/>
        <v>0.1639126259954255</v>
      </c>
      <c r="BG89" s="153">
        <f t="shared" si="156"/>
        <v>0.18259260238764102</v>
      </c>
      <c r="BH89" s="153"/>
      <c r="BI89" s="463">
        <f t="shared" si="157"/>
        <v>9.4035721362506833E-3</v>
      </c>
      <c r="BJ89" s="463">
        <f t="shared" si="158"/>
        <v>2.9987769410878166E-2</v>
      </c>
      <c r="BK89" s="463">
        <f t="shared" si="159"/>
        <v>4.3749999999999995E-3</v>
      </c>
      <c r="BL89" s="463">
        <f t="shared" si="160"/>
        <v>2.8449792000000005E-2</v>
      </c>
      <c r="BM89">
        <f t="shared" si="161"/>
        <v>5.7999999999999996E-3</v>
      </c>
      <c r="BN89">
        <f t="shared" si="162"/>
        <v>1.3124999999999999E-5</v>
      </c>
      <c r="BO89" s="463">
        <f t="shared" si="163"/>
        <v>7.9436559964860501E-2</v>
      </c>
      <c r="BP89" s="147">
        <f t="shared" si="180"/>
        <v>79.436559964860507</v>
      </c>
      <c r="BQ89" s="463">
        <f t="shared" si="164"/>
        <v>5.7559804653272054E-2</v>
      </c>
      <c r="BR89" s="463"/>
      <c r="BT89" s="147">
        <f t="shared" si="181"/>
        <v>57.559804653272053</v>
      </c>
      <c r="BU89" s="463">
        <f t="shared" si="165"/>
        <v>2.6867348960716238E-2</v>
      </c>
      <c r="BV89" s="463">
        <f t="shared" si="166"/>
        <v>3.3340058446691169E-2</v>
      </c>
      <c r="BW89" s="463">
        <f t="shared" si="167"/>
        <v>0</v>
      </c>
      <c r="BX89" s="463">
        <f t="shared" si="168"/>
        <v>6.7758662166571795E-2</v>
      </c>
      <c r="BY89" s="463">
        <f t="shared" si="169"/>
        <v>3.1608888888888902E-2</v>
      </c>
      <c r="BZ89" s="147">
        <f t="shared" si="182"/>
        <v>99.367551055460694</v>
      </c>
      <c r="CA89" s="153">
        <f t="shared" si="183"/>
        <v>0.23636391567359327</v>
      </c>
      <c r="CB89" s="5">
        <f t="shared" si="184"/>
        <v>1.6800000000000002</v>
      </c>
      <c r="CC89" s="153">
        <f t="shared" si="185"/>
        <v>0.87666021378277081</v>
      </c>
      <c r="CD89" s="5">
        <f t="shared" si="186"/>
        <v>87.66602137827708</v>
      </c>
      <c r="CG89" s="59">
        <f t="shared" si="170"/>
        <v>-50</v>
      </c>
      <c r="CH89">
        <f t="shared" si="171"/>
        <v>-50</v>
      </c>
    </row>
    <row r="90" spans="5:86" x14ac:dyDescent="0.25">
      <c r="E90" s="150">
        <v>85</v>
      </c>
      <c r="F90" s="191">
        <f t="shared" si="172"/>
        <v>8.5000000000000006E-2</v>
      </c>
      <c r="G90" s="191"/>
      <c r="H90" s="191">
        <f t="shared" si="120"/>
        <v>1.7000000000000002</v>
      </c>
      <c r="I90" s="472">
        <f t="shared" si="121"/>
        <v>20</v>
      </c>
      <c r="J90" s="152">
        <f t="shared" si="122"/>
        <v>20.32</v>
      </c>
      <c r="K90" s="386">
        <f t="shared" si="123"/>
        <v>40.32</v>
      </c>
      <c r="L90" s="386"/>
      <c r="M90" s="191">
        <f t="shared" si="124"/>
        <v>0.50396825396825395</v>
      </c>
      <c r="N90" s="152">
        <f t="shared" si="125"/>
        <v>3.4017857142857144</v>
      </c>
      <c r="O90" s="152">
        <f t="shared" si="173"/>
        <v>1.7000000000000002</v>
      </c>
      <c r="P90" s="191">
        <f t="shared" si="126"/>
        <v>0.17008928571428572</v>
      </c>
      <c r="Q90" s="191">
        <f t="shared" si="127"/>
        <v>20</v>
      </c>
      <c r="R90" s="191">
        <f t="shared" si="128"/>
        <v>0.18898809523809523</v>
      </c>
      <c r="S90" s="152">
        <f t="shared" si="129"/>
        <v>59.518718867354075</v>
      </c>
      <c r="T90" s="152">
        <f t="shared" si="130"/>
        <v>20</v>
      </c>
      <c r="U90" s="191">
        <f t="shared" si="131"/>
        <v>0.37480314960629924</v>
      </c>
      <c r="V90" s="191">
        <f t="shared" si="132"/>
        <v>1.1244094488188976</v>
      </c>
      <c r="W90" s="191">
        <f t="shared" si="133"/>
        <v>1.1067022134044269</v>
      </c>
      <c r="X90" s="175">
        <f t="shared" si="134"/>
        <v>350</v>
      </c>
      <c r="Y90" s="386">
        <f t="shared" si="174"/>
        <v>350</v>
      </c>
      <c r="AA90" s="191">
        <f t="shared" si="135"/>
        <v>0.47996976568405147</v>
      </c>
      <c r="AB90" s="153">
        <f t="shared" si="136"/>
        <v>1.4172335600907031</v>
      </c>
      <c r="AC90" s="153">
        <f t="shared" si="137"/>
        <v>0.11904012045735404</v>
      </c>
      <c r="AD90" s="153"/>
      <c r="AE90" s="153">
        <f t="shared" si="138"/>
        <v>0.44291338582677164</v>
      </c>
      <c r="AF90" s="317">
        <f t="shared" si="139"/>
        <v>2558.8148148148152</v>
      </c>
      <c r="AG90" s="463">
        <f t="shared" si="140"/>
        <v>1.1626476377952754E-2</v>
      </c>
      <c r="AI90" s="153">
        <f t="shared" si="141"/>
        <v>0.42751898995540161</v>
      </c>
      <c r="AJ90" s="153">
        <f t="shared" si="142"/>
        <v>0.42751898995540161</v>
      </c>
      <c r="AK90" s="153">
        <f t="shared" si="143"/>
        <v>1.3850126599702677</v>
      </c>
      <c r="AM90" s="317">
        <f t="shared" si="144"/>
        <v>85</v>
      </c>
      <c r="AN90" s="147">
        <f t="shared" si="145"/>
        <v>350</v>
      </c>
      <c r="AP90">
        <f t="shared" si="146"/>
        <v>85</v>
      </c>
      <c r="AQ90">
        <f t="shared" si="147"/>
        <v>350</v>
      </c>
      <c r="AS90" s="5">
        <f t="shared" si="175"/>
        <v>2.8571428571428572</v>
      </c>
      <c r="AT90" s="5">
        <f t="shared" si="148"/>
        <v>1.2825569698662047</v>
      </c>
      <c r="AU90" s="5">
        <f t="shared" si="176"/>
        <v>1.5745858872766525</v>
      </c>
      <c r="AV90" s="5">
        <f t="shared" si="149"/>
        <v>1.2623592223092566</v>
      </c>
      <c r="AW90" s="153">
        <f t="shared" si="177"/>
        <v>0.44889493945317166</v>
      </c>
      <c r="AX90" s="153">
        <f t="shared" si="150"/>
        <v>1.9191111111111112</v>
      </c>
      <c r="AY90" s="153">
        <f t="shared" si="151"/>
        <v>0.11780393942214526</v>
      </c>
      <c r="AZ90" s="153">
        <f t="shared" si="178"/>
        <v>16.290721010899819</v>
      </c>
      <c r="BA90" s="147">
        <f t="shared" si="152"/>
        <v>2.385619286777211</v>
      </c>
      <c r="BB90" s="147">
        <f t="shared" si="153"/>
        <v>10.217939760000002</v>
      </c>
      <c r="BC90" s="5">
        <f t="shared" si="154"/>
        <v>0.14871088935390608</v>
      </c>
      <c r="BD90" s="147">
        <f t="shared" si="155"/>
        <v>15.154422268723939</v>
      </c>
      <c r="BE90" s="5"/>
      <c r="BF90" s="153">
        <f t="shared" si="179"/>
        <v>0.16537396447994374</v>
      </c>
      <c r="BG90" s="153">
        <f t="shared" si="156"/>
        <v>0.18323649781002121</v>
      </c>
      <c r="BH90" s="153"/>
      <c r="BI90" s="463">
        <f t="shared" si="157"/>
        <v>9.5719918447347927E-3</v>
      </c>
      <c r="BJ90" s="463">
        <f t="shared" si="158"/>
        <v>3.0165739931253141E-2</v>
      </c>
      <c r="BK90" s="463">
        <f t="shared" si="159"/>
        <v>4.3749999999999995E-3</v>
      </c>
      <c r="BL90" s="463">
        <f t="shared" si="160"/>
        <v>2.8449792000000005E-2</v>
      </c>
      <c r="BM90">
        <f t="shared" si="161"/>
        <v>5.7999999999999996E-3</v>
      </c>
      <c r="BN90">
        <f t="shared" si="162"/>
        <v>1.3124999999999999E-5</v>
      </c>
      <c r="BO90" s="463">
        <f t="shared" si="163"/>
        <v>7.9808812631550041E-2</v>
      </c>
      <c r="BP90" s="147">
        <f t="shared" si="180"/>
        <v>79.80881263155004</v>
      </c>
      <c r="BQ90" s="463">
        <f t="shared" si="164"/>
        <v>5.8121769195076979E-2</v>
      </c>
      <c r="BR90" s="463"/>
      <c r="BT90" s="147">
        <f t="shared" si="181"/>
        <v>58.121769195076979</v>
      </c>
      <c r="BU90" s="463">
        <f t="shared" si="165"/>
        <v>2.7348548127813694E-2</v>
      </c>
      <c r="BV90" s="463">
        <f t="shared" si="166"/>
        <v>3.3575614129681908E-2</v>
      </c>
      <c r="BW90" s="463">
        <f t="shared" si="167"/>
        <v>0</v>
      </c>
      <c r="BX90" s="463">
        <f t="shared" si="168"/>
        <v>6.8569263724316459E-2</v>
      </c>
      <c r="BY90" s="463">
        <f t="shared" si="169"/>
        <v>3.1985185185185193E-2</v>
      </c>
      <c r="BZ90" s="147">
        <f t="shared" si="182"/>
        <v>100.55444890950166</v>
      </c>
      <c r="CA90" s="153">
        <f t="shared" si="183"/>
        <v>0.23848503073612867</v>
      </c>
      <c r="CB90" s="5">
        <f t="shared" si="184"/>
        <v>1.7000000000000002</v>
      </c>
      <c r="CC90" s="153">
        <f t="shared" si="185"/>
        <v>0.87697349891550869</v>
      </c>
      <c r="CD90" s="5">
        <f t="shared" si="186"/>
        <v>87.697349891550871</v>
      </c>
      <c r="CG90" s="59">
        <f t="shared" si="170"/>
        <v>-50</v>
      </c>
      <c r="CH90">
        <f t="shared" si="171"/>
        <v>-50</v>
      </c>
    </row>
    <row r="91" spans="5:86" x14ac:dyDescent="0.25">
      <c r="E91" s="150">
        <v>86</v>
      </c>
      <c r="F91" s="191">
        <f t="shared" si="172"/>
        <v>8.6000000000000007E-2</v>
      </c>
      <c r="G91" s="191"/>
      <c r="H91" s="191">
        <f t="shared" si="120"/>
        <v>1.7200000000000002</v>
      </c>
      <c r="I91" s="472">
        <f t="shared" si="121"/>
        <v>20</v>
      </c>
      <c r="J91" s="152">
        <f t="shared" si="122"/>
        <v>20.32</v>
      </c>
      <c r="K91" s="386">
        <f t="shared" si="123"/>
        <v>40.32</v>
      </c>
      <c r="L91" s="386"/>
      <c r="M91" s="191">
        <f t="shared" si="124"/>
        <v>0.50396825396825395</v>
      </c>
      <c r="N91" s="152">
        <f t="shared" si="125"/>
        <v>3.4017857142857144</v>
      </c>
      <c r="O91" s="152">
        <f t="shared" si="173"/>
        <v>1.7200000000000002</v>
      </c>
      <c r="P91" s="191">
        <f t="shared" si="126"/>
        <v>0.17008928571428572</v>
      </c>
      <c r="Q91" s="191">
        <f t="shared" si="127"/>
        <v>20</v>
      </c>
      <c r="R91" s="191">
        <f t="shared" si="128"/>
        <v>0.18898809523809523</v>
      </c>
      <c r="S91" s="152">
        <f t="shared" si="129"/>
        <v>58.596999485048265</v>
      </c>
      <c r="T91" s="152">
        <f t="shared" si="130"/>
        <v>20</v>
      </c>
      <c r="U91" s="191">
        <f t="shared" si="131"/>
        <v>0.37921259842519689</v>
      </c>
      <c r="V91" s="191">
        <f t="shared" si="132"/>
        <v>1.1376377952755907</v>
      </c>
      <c r="W91" s="191">
        <f t="shared" si="133"/>
        <v>1.119722239444479</v>
      </c>
      <c r="X91" s="175">
        <f t="shared" si="134"/>
        <v>350</v>
      </c>
      <c r="Y91" s="386">
        <f t="shared" si="174"/>
        <v>350</v>
      </c>
      <c r="AA91" s="191">
        <f t="shared" si="135"/>
        <v>0.47996976568405147</v>
      </c>
      <c r="AB91" s="153">
        <f t="shared" si="136"/>
        <v>1.4172335600907031</v>
      </c>
      <c r="AC91" s="153">
        <f t="shared" si="137"/>
        <v>0.11904012045735404</v>
      </c>
      <c r="AD91" s="153"/>
      <c r="AE91" s="153">
        <f t="shared" si="138"/>
        <v>0.44291338582677164</v>
      </c>
      <c r="AF91" s="317">
        <f t="shared" si="139"/>
        <v>2588.9185185185192</v>
      </c>
      <c r="AG91" s="463">
        <f t="shared" si="140"/>
        <v>1.1626476377952754E-2</v>
      </c>
      <c r="AI91" s="153">
        <f t="shared" si="141"/>
        <v>0.43002645421270463</v>
      </c>
      <c r="AJ91" s="153">
        <f t="shared" si="142"/>
        <v>0.43002645421270463</v>
      </c>
      <c r="AK91" s="153">
        <f t="shared" si="143"/>
        <v>1.3866843028084697</v>
      </c>
      <c r="AM91" s="317">
        <f t="shared" si="144"/>
        <v>86</v>
      </c>
      <c r="AN91" s="147">
        <f t="shared" si="145"/>
        <v>350</v>
      </c>
      <c r="AP91">
        <f t="shared" si="146"/>
        <v>86</v>
      </c>
      <c r="AQ91">
        <f t="shared" si="147"/>
        <v>350</v>
      </c>
      <c r="AS91" s="5">
        <f t="shared" si="175"/>
        <v>2.8571428571428572</v>
      </c>
      <c r="AT91" s="5">
        <f t="shared" si="148"/>
        <v>1.290079362638114</v>
      </c>
      <c r="AU91" s="5">
        <f t="shared" si="176"/>
        <v>1.5670634945047432</v>
      </c>
      <c r="AV91" s="5">
        <f t="shared" si="149"/>
        <v>1.2697631522028681</v>
      </c>
      <c r="AW91" s="153">
        <f t="shared" si="177"/>
        <v>0.4515277769233399</v>
      </c>
      <c r="AX91" s="153">
        <f t="shared" si="150"/>
        <v>1.9416888888888892</v>
      </c>
      <c r="AY91" s="153">
        <f t="shared" si="151"/>
        <v>0.11792878266190784</v>
      </c>
      <c r="AZ91" s="153">
        <f t="shared" si="178"/>
        <v>16.464927773023419</v>
      </c>
      <c r="BA91" s="147">
        <f t="shared" si="152"/>
        <v>2.385619286777211</v>
      </c>
      <c r="BB91" s="147">
        <f t="shared" si="153"/>
        <v>10.456740825600004</v>
      </c>
      <c r="BC91" s="5">
        <f t="shared" si="154"/>
        <v>0.14974162280823103</v>
      </c>
      <c r="BD91" s="147">
        <f t="shared" si="155"/>
        <v>15.26082894748977</v>
      </c>
      <c r="BE91" s="5"/>
      <c r="BF91" s="153">
        <f t="shared" si="179"/>
        <v>0.16683101111335139</v>
      </c>
      <c r="BG91" s="153">
        <f t="shared" si="156"/>
        <v>0.18387041860636694</v>
      </c>
      <c r="BH91" s="153"/>
      <c r="BI91" s="463">
        <f t="shared" si="157"/>
        <v>9.7414051941861098E-3</v>
      </c>
      <c r="BJ91" s="463">
        <f t="shared" si="158"/>
        <v>3.0342666609248441E-2</v>
      </c>
      <c r="BK91" s="463">
        <f t="shared" si="159"/>
        <v>4.3749999999999995E-3</v>
      </c>
      <c r="BL91" s="463">
        <f t="shared" si="160"/>
        <v>2.8449792000000005E-2</v>
      </c>
      <c r="BM91">
        <f t="shared" si="161"/>
        <v>5.7999999999999996E-3</v>
      </c>
      <c r="BN91">
        <f t="shared" si="162"/>
        <v>1.3124999999999999E-5</v>
      </c>
      <c r="BO91" s="463">
        <f t="shared" si="163"/>
        <v>8.0181187291288245E-2</v>
      </c>
      <c r="BP91" s="147">
        <f t="shared" si="180"/>
        <v>80.181187291288239</v>
      </c>
      <c r="BQ91" s="463">
        <f t="shared" si="164"/>
        <v>5.8681564760599193E-2</v>
      </c>
      <c r="BR91" s="463"/>
      <c r="BT91" s="147">
        <f t="shared" si="181"/>
        <v>58.681564760599194</v>
      </c>
      <c r="BU91" s="463">
        <f t="shared" si="165"/>
        <v>2.7832586269103173E-2</v>
      </c>
      <c r="BV91" s="463">
        <f t="shared" si="166"/>
        <v>3.3808330838480609E-2</v>
      </c>
      <c r="BW91" s="463">
        <f t="shared" si="167"/>
        <v>0</v>
      </c>
      <c r="BX91" s="463">
        <f t="shared" si="168"/>
        <v>6.937995870316177E-2</v>
      </c>
      <c r="BY91" s="463">
        <f t="shared" si="169"/>
        <v>3.2361481481481491E-2</v>
      </c>
      <c r="BZ91" s="147">
        <f t="shared" si="182"/>
        <v>101.74144018464327</v>
      </c>
      <c r="CA91" s="153">
        <f t="shared" si="183"/>
        <v>0.24060419223653071</v>
      </c>
      <c r="CB91" s="5">
        <f t="shared" si="184"/>
        <v>1.7200000000000002</v>
      </c>
      <c r="CC91" s="153">
        <f t="shared" si="185"/>
        <v>0.87728058871379588</v>
      </c>
      <c r="CD91" s="5">
        <f t="shared" si="186"/>
        <v>87.728058871379588</v>
      </c>
      <c r="CG91" s="59">
        <f t="shared" si="170"/>
        <v>-50</v>
      </c>
      <c r="CH91">
        <f t="shared" si="171"/>
        <v>-50</v>
      </c>
    </row>
    <row r="92" spans="5:86" x14ac:dyDescent="0.25">
      <c r="E92" s="150">
        <v>87</v>
      </c>
      <c r="F92" s="191">
        <f t="shared" si="172"/>
        <v>8.7000000000000008E-2</v>
      </c>
      <c r="G92" s="191"/>
      <c r="H92" s="191">
        <f t="shared" si="120"/>
        <v>1.7400000000000002</v>
      </c>
      <c r="I92" s="472">
        <f t="shared" si="121"/>
        <v>20</v>
      </c>
      <c r="J92" s="152">
        <f t="shared" si="122"/>
        <v>20.32</v>
      </c>
      <c r="K92" s="386">
        <f t="shared" si="123"/>
        <v>40.32</v>
      </c>
      <c r="L92" s="386"/>
      <c r="M92" s="191">
        <f t="shared" si="124"/>
        <v>0.50396825396825395</v>
      </c>
      <c r="N92" s="152">
        <f t="shared" si="125"/>
        <v>3.4017857142857144</v>
      </c>
      <c r="O92" s="152">
        <f t="shared" si="173"/>
        <v>1.7400000000000002</v>
      </c>
      <c r="P92" s="191">
        <f t="shared" si="126"/>
        <v>0.17008928571428572</v>
      </c>
      <c r="Q92" s="191">
        <f t="shared" si="127"/>
        <v>20</v>
      </c>
      <c r="R92" s="191">
        <f t="shared" si="128"/>
        <v>0.18898809523809523</v>
      </c>
      <c r="S92" s="152">
        <f t="shared" si="129"/>
        <v>57.696520303259781</v>
      </c>
      <c r="T92" s="152">
        <f t="shared" si="130"/>
        <v>20</v>
      </c>
      <c r="U92" s="191">
        <f t="shared" si="131"/>
        <v>0.38362204724409454</v>
      </c>
      <c r="V92" s="191">
        <f t="shared" si="132"/>
        <v>1.1508661417322836</v>
      </c>
      <c r="W92" s="191">
        <f t="shared" si="133"/>
        <v>1.1327422654845312</v>
      </c>
      <c r="X92" s="175">
        <f t="shared" si="134"/>
        <v>350</v>
      </c>
      <c r="Y92" s="386">
        <f t="shared" si="174"/>
        <v>350</v>
      </c>
      <c r="AA92" s="191">
        <f t="shared" si="135"/>
        <v>0.47996976568405147</v>
      </c>
      <c r="AB92" s="153">
        <f t="shared" si="136"/>
        <v>1.4172335600907031</v>
      </c>
      <c r="AC92" s="153">
        <f t="shared" si="137"/>
        <v>0.11904012045735404</v>
      </c>
      <c r="AD92" s="153"/>
      <c r="AE92" s="153">
        <f t="shared" si="138"/>
        <v>0.44291338582677164</v>
      </c>
      <c r="AF92" s="317">
        <f t="shared" si="139"/>
        <v>2619.0222222222228</v>
      </c>
      <c r="AG92" s="463">
        <f t="shared" si="140"/>
        <v>1.1626476377952754E-2</v>
      </c>
      <c r="AI92" s="153">
        <f t="shared" si="141"/>
        <v>0.43251938207786239</v>
      </c>
      <c r="AJ92" s="153">
        <f t="shared" si="142"/>
        <v>0.43251938207786239</v>
      </c>
      <c r="AK92" s="153">
        <f t="shared" si="143"/>
        <v>1.388346254718575</v>
      </c>
      <c r="AM92" s="317">
        <f t="shared" si="144"/>
        <v>87.000000000000014</v>
      </c>
      <c r="AN92" s="147">
        <f t="shared" si="145"/>
        <v>350</v>
      </c>
      <c r="AP92">
        <f t="shared" si="146"/>
        <v>87.000000000000014</v>
      </c>
      <c r="AQ92">
        <f t="shared" si="147"/>
        <v>350</v>
      </c>
      <c r="AS92" s="5">
        <f t="shared" si="175"/>
        <v>2.8571428571428572</v>
      </c>
      <c r="AT92" s="5">
        <f t="shared" si="148"/>
        <v>1.2975581462335872</v>
      </c>
      <c r="AU92" s="5">
        <f t="shared" si="176"/>
        <v>1.55958471090927</v>
      </c>
      <c r="AV92" s="5">
        <f t="shared" si="149"/>
        <v>1.2771241596787273</v>
      </c>
      <c r="AW92" s="153">
        <f t="shared" si="177"/>
        <v>0.45414535118175553</v>
      </c>
      <c r="AX92" s="153">
        <f t="shared" si="150"/>
        <v>1.9642666666666673</v>
      </c>
      <c r="AY92" s="153">
        <f t="shared" si="151"/>
        <v>0.11804635770559785</v>
      </c>
      <c r="AZ92" s="153">
        <f t="shared" si="178"/>
        <v>16.639790543690111</v>
      </c>
      <c r="BA92" s="147">
        <f t="shared" si="152"/>
        <v>2.385619286777211</v>
      </c>
      <c r="BB92" s="147">
        <f t="shared" si="153"/>
        <v>10.698299798400001</v>
      </c>
      <c r="BC92" s="5">
        <f t="shared" si="154"/>
        <v>0.15075985538789613</v>
      </c>
      <c r="BD92" s="147">
        <f t="shared" si="155"/>
        <v>15.365985538789614</v>
      </c>
      <c r="BE92" s="5"/>
      <c r="BF92" s="153">
        <f t="shared" si="179"/>
        <v>0.16828382818944204</v>
      </c>
      <c r="BG92" s="153">
        <f t="shared" si="156"/>
        <v>0.18449451245925536</v>
      </c>
      <c r="BH92" s="153"/>
      <c r="BI92" s="463">
        <f t="shared" si="157"/>
        <v>9.9118063905327767E-3</v>
      </c>
      <c r="BJ92" s="463">
        <f t="shared" si="158"/>
        <v>3.051856759941397E-2</v>
      </c>
      <c r="BK92" s="463">
        <f t="shared" si="159"/>
        <v>4.3749999999999995E-3</v>
      </c>
      <c r="BL92" s="463">
        <f t="shared" si="160"/>
        <v>2.8449792000000005E-2</v>
      </c>
      <c r="BM92">
        <f t="shared" si="161"/>
        <v>5.7999999999999996E-3</v>
      </c>
      <c r="BN92">
        <f t="shared" si="162"/>
        <v>1.3124999999999999E-5</v>
      </c>
      <c r="BO92" s="463">
        <f t="shared" si="163"/>
        <v>8.0553695673929851E-2</v>
      </c>
      <c r="BP92" s="147">
        <f t="shared" si="180"/>
        <v>80.553695673929852</v>
      </c>
      <c r="BQ92" s="463">
        <f t="shared" si="164"/>
        <v>5.9239203997469847E-2</v>
      </c>
      <c r="BR92" s="463"/>
      <c r="BT92" s="147">
        <f t="shared" si="181"/>
        <v>59.239203997469843</v>
      </c>
      <c r="BU92" s="463">
        <f t="shared" si="165"/>
        <v>2.8319446830093648E-2</v>
      </c>
      <c r="BV92" s="463">
        <f t="shared" si="166"/>
        <v>3.4038225127578328E-2</v>
      </c>
      <c r="BW92" s="463">
        <f t="shared" si="167"/>
        <v>0</v>
      </c>
      <c r="BX92" s="463">
        <f t="shared" si="168"/>
        <v>7.0190747119258753E-2</v>
      </c>
      <c r="BY92" s="463">
        <f t="shared" si="169"/>
        <v>3.2737777777777789E-2</v>
      </c>
      <c r="BZ92" s="147">
        <f t="shared" si="182"/>
        <v>102.92852489703655</v>
      </c>
      <c r="CA92" s="153">
        <f t="shared" si="183"/>
        <v>0.24272142456843623</v>
      </c>
      <c r="CB92" s="5">
        <f t="shared" si="184"/>
        <v>1.7400000000000002</v>
      </c>
      <c r="CC92" s="153">
        <f t="shared" si="185"/>
        <v>0.87758168063308872</v>
      </c>
      <c r="CD92" s="5">
        <f t="shared" si="186"/>
        <v>87.758168063308872</v>
      </c>
      <c r="CG92" s="59">
        <f t="shared" si="170"/>
        <v>-50</v>
      </c>
      <c r="CH92">
        <f t="shared" si="171"/>
        <v>-50</v>
      </c>
    </row>
    <row r="93" spans="5:86" x14ac:dyDescent="0.25">
      <c r="E93" s="150">
        <v>88</v>
      </c>
      <c r="F93" s="191">
        <f t="shared" si="172"/>
        <v>8.8000000000000009E-2</v>
      </c>
      <c r="G93" s="191"/>
      <c r="H93" s="191">
        <f t="shared" si="120"/>
        <v>1.7600000000000002</v>
      </c>
      <c r="I93" s="472">
        <f t="shared" si="121"/>
        <v>20</v>
      </c>
      <c r="J93" s="152">
        <f t="shared" si="122"/>
        <v>20.32</v>
      </c>
      <c r="K93" s="386">
        <f t="shared" si="123"/>
        <v>40.32</v>
      </c>
      <c r="L93" s="386"/>
      <c r="M93" s="191">
        <f t="shared" si="124"/>
        <v>0.50396825396825395</v>
      </c>
      <c r="N93" s="152">
        <f t="shared" si="125"/>
        <v>3.4017857142857144</v>
      </c>
      <c r="O93" s="152">
        <f t="shared" si="173"/>
        <v>1.7600000000000002</v>
      </c>
      <c r="P93" s="191">
        <f t="shared" si="126"/>
        <v>0.17008928571428572</v>
      </c>
      <c r="Q93" s="191">
        <f t="shared" si="127"/>
        <v>20</v>
      </c>
      <c r="R93" s="191">
        <f t="shared" si="128"/>
        <v>0.18898809523809523</v>
      </c>
      <c r="S93" s="152">
        <f t="shared" si="129"/>
        <v>56.816557802613559</v>
      </c>
      <c r="T93" s="152">
        <f t="shared" si="130"/>
        <v>20</v>
      </c>
      <c r="U93" s="191">
        <f t="shared" si="131"/>
        <v>0.3880314960629922</v>
      </c>
      <c r="V93" s="191">
        <f t="shared" si="132"/>
        <v>1.1640944881889768</v>
      </c>
      <c r="W93" s="191">
        <f t="shared" si="133"/>
        <v>1.1457622915245833</v>
      </c>
      <c r="X93" s="175">
        <f t="shared" si="134"/>
        <v>350</v>
      </c>
      <c r="Y93" s="386">
        <f t="shared" si="174"/>
        <v>350</v>
      </c>
      <c r="AA93" s="191">
        <f t="shared" si="135"/>
        <v>0.47996976568405147</v>
      </c>
      <c r="AB93" s="153">
        <f t="shared" si="136"/>
        <v>1.4172335600907031</v>
      </c>
      <c r="AC93" s="153">
        <f t="shared" si="137"/>
        <v>0.11904012045735404</v>
      </c>
      <c r="AD93" s="153"/>
      <c r="AE93" s="153">
        <f t="shared" si="138"/>
        <v>0.44291338582677164</v>
      </c>
      <c r="AF93" s="317">
        <f t="shared" si="139"/>
        <v>2649.1259259259268</v>
      </c>
      <c r="AG93" s="463">
        <f t="shared" si="140"/>
        <v>1.1626476377952754E-2</v>
      </c>
      <c r="AI93" s="153">
        <f t="shared" si="141"/>
        <v>0.43499802347054456</v>
      </c>
      <c r="AJ93" s="153">
        <f t="shared" si="142"/>
        <v>0.43499802347054456</v>
      </c>
      <c r="AK93" s="153">
        <f t="shared" si="143"/>
        <v>1.3899986823136965</v>
      </c>
      <c r="AM93" s="317">
        <f t="shared" si="144"/>
        <v>88.000000000000014</v>
      </c>
      <c r="AN93" s="147">
        <f t="shared" si="145"/>
        <v>350</v>
      </c>
      <c r="AP93">
        <f t="shared" si="146"/>
        <v>88.000000000000014</v>
      </c>
      <c r="AQ93">
        <f t="shared" si="147"/>
        <v>350</v>
      </c>
      <c r="AS93" s="5">
        <f t="shared" si="175"/>
        <v>2.8571428571428572</v>
      </c>
      <c r="AT93" s="5">
        <f t="shared" si="148"/>
        <v>1.3049940704116338</v>
      </c>
      <c r="AU93" s="5">
        <f t="shared" si="176"/>
        <v>1.5521487867312234</v>
      </c>
      <c r="AV93" s="5">
        <f t="shared" si="149"/>
        <v>1.2844429826886157</v>
      </c>
      <c r="AW93" s="153">
        <f t="shared" si="177"/>
        <v>0.45674792464407182</v>
      </c>
      <c r="AX93" s="153">
        <f t="shared" si="150"/>
        <v>1.9868444444444446</v>
      </c>
      <c r="AY93" s="153">
        <f t="shared" si="151"/>
        <v>0.11815678951305006</v>
      </c>
      <c r="AZ93" s="153">
        <f t="shared" si="178"/>
        <v>16.815321850167599</v>
      </c>
      <c r="BA93" s="147">
        <f t="shared" si="152"/>
        <v>2.385619286777211</v>
      </c>
      <c r="BB93" s="147">
        <f t="shared" si="153"/>
        <v>10.9426166784</v>
      </c>
      <c r="BC93" s="5">
        <f t="shared" si="154"/>
        <v>0.15176565914705295</v>
      </c>
      <c r="BD93" s="147">
        <f t="shared" si="155"/>
        <v>15.469899248038628</v>
      </c>
      <c r="BE93" s="5"/>
      <c r="BF93" s="153">
        <f t="shared" si="179"/>
        <v>0.16973247639317249</v>
      </c>
      <c r="BG93" s="153">
        <f t="shared" si="156"/>
        <v>0.18510892270552842</v>
      </c>
      <c r="BH93" s="153"/>
      <c r="BI93" s="463">
        <f t="shared" si="157"/>
        <v>1.0083189739895599E-2</v>
      </c>
      <c r="BJ93" s="463">
        <f t="shared" si="158"/>
        <v>3.0693460536081622E-2</v>
      </c>
      <c r="BK93" s="463">
        <f t="shared" si="159"/>
        <v>4.3749999999999995E-3</v>
      </c>
      <c r="BL93" s="463">
        <f t="shared" si="160"/>
        <v>2.8449792000000005E-2</v>
      </c>
      <c r="BM93">
        <f t="shared" si="161"/>
        <v>5.7999999999999996E-3</v>
      </c>
      <c r="BN93">
        <f t="shared" si="162"/>
        <v>1.3124999999999999E-5</v>
      </c>
      <c r="BO93" s="463">
        <f t="shared" si="163"/>
        <v>8.0926349103595835E-2</v>
      </c>
      <c r="BP93" s="147">
        <f t="shared" si="180"/>
        <v>80.92634910359584</v>
      </c>
      <c r="BQ93" s="463">
        <f t="shared" si="164"/>
        <v>5.9794699334613802E-2</v>
      </c>
      <c r="BR93" s="463"/>
      <c r="BT93" s="147">
        <f t="shared" si="181"/>
        <v>59.794699334613803</v>
      </c>
      <c r="BU93" s="463">
        <f t="shared" si="165"/>
        <v>2.8809113542558856E-2</v>
      </c>
      <c r="BV93" s="463">
        <f t="shared" si="166"/>
        <v>3.4265313265201297E-2</v>
      </c>
      <c r="BW93" s="463">
        <f t="shared" si="167"/>
        <v>0</v>
      </c>
      <c r="BX93" s="463">
        <f t="shared" si="168"/>
        <v>7.1001628988762056E-2</v>
      </c>
      <c r="BY93" s="463">
        <f t="shared" si="169"/>
        <v>3.311407407407408E-2</v>
      </c>
      <c r="BZ93" s="147">
        <f t="shared" si="182"/>
        <v>104.11570306283613</v>
      </c>
      <c r="CA93" s="153">
        <f t="shared" si="183"/>
        <v>0.24483675150104578</v>
      </c>
      <c r="CB93" s="5">
        <f t="shared" si="184"/>
        <v>1.7600000000000002</v>
      </c>
      <c r="CC93" s="153">
        <f t="shared" si="185"/>
        <v>0.87787696363919232</v>
      </c>
      <c r="CD93" s="5">
        <f t="shared" si="186"/>
        <v>87.787696363919238</v>
      </c>
      <c r="CG93" s="59">
        <f t="shared" si="170"/>
        <v>-50</v>
      </c>
      <c r="CH93">
        <f t="shared" si="171"/>
        <v>-50</v>
      </c>
    </row>
    <row r="94" spans="5:86" x14ac:dyDescent="0.25">
      <c r="E94" s="150">
        <v>89</v>
      </c>
      <c r="F94" s="191">
        <f t="shared" si="172"/>
        <v>8.900000000000001E-2</v>
      </c>
      <c r="G94" s="191"/>
      <c r="H94" s="191">
        <f t="shared" si="120"/>
        <v>1.7800000000000002</v>
      </c>
      <c r="I94" s="472">
        <f t="shared" si="121"/>
        <v>20</v>
      </c>
      <c r="J94" s="152">
        <f t="shared" si="122"/>
        <v>20.32</v>
      </c>
      <c r="K94" s="386">
        <f t="shared" si="123"/>
        <v>40.32</v>
      </c>
      <c r="L94" s="386"/>
      <c r="M94" s="191">
        <f t="shared" si="124"/>
        <v>0.50396825396825395</v>
      </c>
      <c r="N94" s="152">
        <f t="shared" si="125"/>
        <v>3.4017857142857144</v>
      </c>
      <c r="O94" s="152">
        <f t="shared" si="173"/>
        <v>1.7800000000000002</v>
      </c>
      <c r="P94" s="191">
        <f t="shared" si="126"/>
        <v>0.17008928571428572</v>
      </c>
      <c r="Q94" s="191">
        <f t="shared" si="127"/>
        <v>20</v>
      </c>
      <c r="R94" s="191">
        <f t="shared" si="128"/>
        <v>0.18898809523809523</v>
      </c>
      <c r="S94" s="152">
        <f t="shared" si="129"/>
        <v>55.956420989921241</v>
      </c>
      <c r="T94" s="152">
        <f t="shared" si="130"/>
        <v>20</v>
      </c>
      <c r="U94" s="191">
        <f t="shared" si="131"/>
        <v>0.39244094488188985</v>
      </c>
      <c r="V94" s="191">
        <f t="shared" si="132"/>
        <v>1.1773228346456694</v>
      </c>
      <c r="W94" s="191">
        <f t="shared" si="133"/>
        <v>1.1587823175646352</v>
      </c>
      <c r="X94" s="175">
        <f t="shared" si="134"/>
        <v>350</v>
      </c>
      <c r="Y94" s="386">
        <f t="shared" si="174"/>
        <v>350</v>
      </c>
      <c r="AA94" s="191">
        <f t="shared" si="135"/>
        <v>0.47996976568405147</v>
      </c>
      <c r="AB94" s="153">
        <f t="shared" si="136"/>
        <v>1.4172335600907031</v>
      </c>
      <c r="AC94" s="153">
        <f t="shared" si="137"/>
        <v>0.11904012045735404</v>
      </c>
      <c r="AD94" s="153"/>
      <c r="AE94" s="153">
        <f t="shared" si="138"/>
        <v>0.44291338582677164</v>
      </c>
      <c r="AF94" s="317">
        <f t="shared" si="139"/>
        <v>2679.2296296296299</v>
      </c>
      <c r="AG94" s="463">
        <f t="shared" si="140"/>
        <v>1.1626476377952754E-2</v>
      </c>
      <c r="AI94" s="153">
        <f t="shared" si="141"/>
        <v>0.43746262123014007</v>
      </c>
      <c r="AJ94" s="153">
        <f t="shared" si="142"/>
        <v>0.43746262123014007</v>
      </c>
      <c r="AK94" s="153">
        <f t="shared" si="143"/>
        <v>1.39164174748676</v>
      </c>
      <c r="AM94" s="317">
        <f t="shared" si="144"/>
        <v>89.000000000000014</v>
      </c>
      <c r="AN94" s="147">
        <f t="shared" si="145"/>
        <v>350</v>
      </c>
      <c r="AP94">
        <f t="shared" si="146"/>
        <v>89.000000000000014</v>
      </c>
      <c r="AQ94">
        <f t="shared" si="147"/>
        <v>350</v>
      </c>
      <c r="AS94" s="5">
        <f t="shared" si="175"/>
        <v>2.8571428571428572</v>
      </c>
      <c r="AT94" s="5">
        <f t="shared" si="148"/>
        <v>1.3123878636904205</v>
      </c>
      <c r="AU94" s="5">
        <f t="shared" si="176"/>
        <v>1.5447549934524367</v>
      </c>
      <c r="AV94" s="5">
        <f t="shared" si="149"/>
        <v>1.2917203382779727</v>
      </c>
      <c r="AW94" s="153">
        <f t="shared" si="177"/>
        <v>0.45933575229164714</v>
      </c>
      <c r="AX94" s="153">
        <f t="shared" si="150"/>
        <v>2.0094222222222227</v>
      </c>
      <c r="AY94" s="153">
        <f t="shared" si="151"/>
        <v>0.1182601995039589</v>
      </c>
      <c r="AZ94" s="153">
        <f t="shared" si="178"/>
        <v>16.991534181835664</v>
      </c>
      <c r="BA94" s="147">
        <f t="shared" si="152"/>
        <v>2.385619286777211</v>
      </c>
      <c r="BB94" s="147">
        <f t="shared" si="153"/>
        <v>11.189691465600001</v>
      </c>
      <c r="BC94" s="5">
        <f t="shared" si="154"/>
        <v>0.15275910490807432</v>
      </c>
      <c r="BD94" s="147">
        <f t="shared" si="155"/>
        <v>15.572577157474099</v>
      </c>
      <c r="BE94" s="5"/>
      <c r="BF94" s="153">
        <f t="shared" si="179"/>
        <v>0.17117701486000067</v>
      </c>
      <c r="BG94" s="153">
        <f t="shared" si="156"/>
        <v>0.18571378850658193</v>
      </c>
      <c r="BH94" s="153"/>
      <c r="BI94" s="463">
        <f t="shared" si="157"/>
        <v>1.0255549645733312E-2</v>
      </c>
      <c r="BJ94" s="463">
        <f t="shared" si="158"/>
        <v>3.086736255399869E-2</v>
      </c>
      <c r="BK94" s="463">
        <f t="shared" si="159"/>
        <v>4.3749999999999995E-3</v>
      </c>
      <c r="BL94" s="463">
        <f t="shared" si="160"/>
        <v>2.8449792000000005E-2</v>
      </c>
      <c r="BM94">
        <f t="shared" si="161"/>
        <v>5.7999999999999996E-3</v>
      </c>
      <c r="BN94">
        <f t="shared" si="162"/>
        <v>1.3124999999999999E-5</v>
      </c>
      <c r="BO94" s="463">
        <f t="shared" si="163"/>
        <v>8.1299158516046618E-2</v>
      </c>
      <c r="BP94" s="147">
        <f t="shared" si="180"/>
        <v>81.299158516046617</v>
      </c>
      <c r="BQ94" s="463">
        <f t="shared" si="164"/>
        <v>6.0348062988481138E-2</v>
      </c>
      <c r="BR94" s="463"/>
      <c r="BT94" s="147">
        <f t="shared" si="181"/>
        <v>60.348062988481139</v>
      </c>
      <c r="BU94" s="463">
        <f t="shared" si="165"/>
        <v>2.9301570416380891E-2</v>
      </c>
      <c r="BV94" s="463">
        <f t="shared" si="166"/>
        <v>3.4489611241467447E-2</v>
      </c>
      <c r="BW94" s="463">
        <f t="shared" si="167"/>
        <v>0</v>
      </c>
      <c r="BX94" s="463">
        <f t="shared" si="168"/>
        <v>7.1812604327830126E-2</v>
      </c>
      <c r="BY94" s="463">
        <f t="shared" si="169"/>
        <v>3.3490370370370379E-2</v>
      </c>
      <c r="BZ94" s="147">
        <f t="shared" si="182"/>
        <v>105.3029746982005</v>
      </c>
      <c r="CA94" s="153">
        <f t="shared" si="183"/>
        <v>0.24695019620272823</v>
      </c>
      <c r="CB94" s="5">
        <f t="shared" si="184"/>
        <v>1.7800000000000002</v>
      </c>
      <c r="CC94" s="153">
        <f t="shared" si="185"/>
        <v>0.87816661866415724</v>
      </c>
      <c r="CD94" s="5">
        <f t="shared" si="186"/>
        <v>87.816661866415728</v>
      </c>
      <c r="CG94" s="59">
        <f t="shared" si="170"/>
        <v>-50</v>
      </c>
      <c r="CH94">
        <f t="shared" si="171"/>
        <v>-50</v>
      </c>
    </row>
    <row r="95" spans="5:86" x14ac:dyDescent="0.25">
      <c r="E95" s="150">
        <v>90</v>
      </c>
      <c r="F95" s="191">
        <f t="shared" si="172"/>
        <v>9.0000000000000011E-2</v>
      </c>
      <c r="G95" s="191"/>
      <c r="H95" s="191">
        <f t="shared" si="120"/>
        <v>1.8000000000000003</v>
      </c>
      <c r="I95" s="472">
        <f t="shared" si="121"/>
        <v>20</v>
      </c>
      <c r="J95" s="152">
        <f t="shared" si="122"/>
        <v>20.32</v>
      </c>
      <c r="K95" s="386">
        <f t="shared" si="123"/>
        <v>40.32</v>
      </c>
      <c r="L95" s="386"/>
      <c r="M95" s="191">
        <f t="shared" si="124"/>
        <v>0.50396825396825395</v>
      </c>
      <c r="N95" s="152">
        <f t="shared" si="125"/>
        <v>3.4017857142857144</v>
      </c>
      <c r="O95" s="152">
        <f t="shared" si="173"/>
        <v>1.8000000000000003</v>
      </c>
      <c r="P95" s="191">
        <f t="shared" si="126"/>
        <v>0.17008928571428572</v>
      </c>
      <c r="Q95" s="191">
        <f t="shared" si="127"/>
        <v>20</v>
      </c>
      <c r="R95" s="191">
        <f t="shared" si="128"/>
        <v>0.18898809523809523</v>
      </c>
      <c r="S95" s="152">
        <f t="shared" si="129"/>
        <v>55.115449591320747</v>
      </c>
      <c r="T95" s="152">
        <f t="shared" si="130"/>
        <v>20</v>
      </c>
      <c r="U95" s="191">
        <f t="shared" si="131"/>
        <v>0.39685039370078745</v>
      </c>
      <c r="V95" s="191">
        <f t="shared" si="132"/>
        <v>1.1905511811023624</v>
      </c>
      <c r="W95" s="191">
        <f t="shared" si="133"/>
        <v>1.1718023436046874</v>
      </c>
      <c r="X95" s="175">
        <f t="shared" si="134"/>
        <v>350</v>
      </c>
      <c r="Y95" s="386">
        <f t="shared" si="174"/>
        <v>350</v>
      </c>
      <c r="AA95" s="191">
        <f t="shared" si="135"/>
        <v>0.47996976568405147</v>
      </c>
      <c r="AB95" s="153">
        <f t="shared" si="136"/>
        <v>1.4172335600907031</v>
      </c>
      <c r="AC95" s="153">
        <f t="shared" si="137"/>
        <v>0.11904012045735404</v>
      </c>
      <c r="AD95" s="153"/>
      <c r="AE95" s="153">
        <f t="shared" si="138"/>
        <v>0.44291338582677164</v>
      </c>
      <c r="AF95" s="317">
        <f t="shared" si="139"/>
        <v>2709.3333333333339</v>
      </c>
      <c r="AG95" s="463">
        <f t="shared" si="140"/>
        <v>1.1626476377952754E-2</v>
      </c>
      <c r="AI95" s="153">
        <f t="shared" si="141"/>
        <v>0.43991341139343493</v>
      </c>
      <c r="AJ95" s="153">
        <f t="shared" si="142"/>
        <v>0.43991341139343493</v>
      </c>
      <c r="AK95" s="153">
        <f t="shared" si="143"/>
        <v>1.3932756075956232</v>
      </c>
      <c r="AM95" s="317">
        <f t="shared" si="144"/>
        <v>90.000000000000014</v>
      </c>
      <c r="AN95" s="147">
        <f t="shared" si="145"/>
        <v>350</v>
      </c>
      <c r="AP95">
        <f t="shared" si="146"/>
        <v>90.000000000000014</v>
      </c>
      <c r="AQ95">
        <f t="shared" si="147"/>
        <v>350</v>
      </c>
      <c r="AS95" s="5">
        <f t="shared" si="175"/>
        <v>2.8571428571428572</v>
      </c>
      <c r="AT95" s="5">
        <f t="shared" si="148"/>
        <v>1.3197402341803048</v>
      </c>
      <c r="AU95" s="5">
        <f t="shared" si="176"/>
        <v>1.5374026229625524</v>
      </c>
      <c r="AV95" s="5">
        <f t="shared" si="149"/>
        <v>1.2989569234058118</v>
      </c>
      <c r="AW95" s="153">
        <f t="shared" si="177"/>
        <v>0.4619090819631067</v>
      </c>
      <c r="AX95" s="153">
        <f t="shared" si="150"/>
        <v>2.032</v>
      </c>
      <c r="AY95" s="153">
        <f t="shared" si="151"/>
        <v>0.11835670569671747</v>
      </c>
      <c r="AZ95" s="153">
        <f t="shared" si="178"/>
        <v>17.168439997028035</v>
      </c>
      <c r="BA95" s="147">
        <f t="shared" si="152"/>
        <v>2.385619286777211</v>
      </c>
      <c r="BB95" s="147">
        <f t="shared" si="153"/>
        <v>11.439524160000001</v>
      </c>
      <c r="BC95" s="5">
        <f t="shared" si="154"/>
        <v>0.15374026229625526</v>
      </c>
      <c r="BD95" s="147">
        <f t="shared" si="155"/>
        <v>15.674026229625527</v>
      </c>
      <c r="BE95" s="5"/>
      <c r="BF95" s="153">
        <f t="shared" si="179"/>
        <v>0.17261750123239339</v>
      </c>
      <c r="BG95" s="153">
        <f t="shared" si="156"/>
        <v>0.18630924501006704</v>
      </c>
      <c r="BH95" s="153"/>
      <c r="BI95" s="463">
        <f t="shared" si="157"/>
        <v>1.0428880606100366E-2</v>
      </c>
      <c r="BJ95" s="463">
        <f t="shared" si="158"/>
        <v>3.1040290307920767E-2</v>
      </c>
      <c r="BK95" s="463">
        <f t="shared" si="159"/>
        <v>4.3749999999999995E-3</v>
      </c>
      <c r="BL95" s="463">
        <f t="shared" si="160"/>
        <v>2.8449792000000005E-2</v>
      </c>
      <c r="BM95">
        <f t="shared" si="161"/>
        <v>5.7999999999999996E-3</v>
      </c>
      <c r="BN95">
        <f t="shared" si="162"/>
        <v>1.3124999999999999E-5</v>
      </c>
      <c r="BO95" s="463">
        <f t="shared" si="163"/>
        <v>8.1672134475143085E-2</v>
      </c>
      <c r="BP95" s="147">
        <f t="shared" si="180"/>
        <v>81.672134475143082</v>
      </c>
      <c r="BQ95" s="463">
        <f t="shared" si="164"/>
        <v>6.0899306969033E-2</v>
      </c>
      <c r="BR95" s="463"/>
      <c r="BT95" s="147">
        <f t="shared" si="181"/>
        <v>60.899306969032999</v>
      </c>
      <c r="BU95" s="463">
        <f t="shared" si="165"/>
        <v>2.9796801731715332E-2</v>
      </c>
      <c r="BV95" s="463">
        <f t="shared" si="166"/>
        <v>3.4711134776221189E-2</v>
      </c>
      <c r="BW95" s="463">
        <f t="shared" si="167"/>
        <v>0</v>
      </c>
      <c r="BX95" s="463">
        <f t="shared" si="168"/>
        <v>7.2623673152625121E-2</v>
      </c>
      <c r="BY95" s="463">
        <f t="shared" si="169"/>
        <v>3.386666666666667E-2</v>
      </c>
      <c r="BZ95" s="147">
        <f t="shared" si="182"/>
        <v>106.49033981929179</v>
      </c>
      <c r="CA95" s="153">
        <f t="shared" si="183"/>
        <v>0.24906178126346784</v>
      </c>
      <c r="CB95" s="5">
        <f t="shared" si="184"/>
        <v>1.8000000000000003</v>
      </c>
      <c r="CC95" s="153">
        <f t="shared" si="185"/>
        <v>0.87845081903294575</v>
      </c>
      <c r="CD95" s="5">
        <f t="shared" si="186"/>
        <v>87.84508190329457</v>
      </c>
      <c r="CG95" s="59">
        <f t="shared" si="170"/>
        <v>-50</v>
      </c>
      <c r="CH95">
        <f t="shared" si="171"/>
        <v>-50</v>
      </c>
    </row>
    <row r="96" spans="5:86" x14ac:dyDescent="0.25">
      <c r="E96" s="150">
        <v>91</v>
      </c>
      <c r="F96" s="191">
        <f t="shared" si="172"/>
        <v>9.1000000000000011E-2</v>
      </c>
      <c r="G96" s="191"/>
      <c r="H96" s="191">
        <f t="shared" si="120"/>
        <v>1.8200000000000003</v>
      </c>
      <c r="I96" s="472">
        <f t="shared" si="121"/>
        <v>20</v>
      </c>
      <c r="J96" s="152">
        <f t="shared" si="122"/>
        <v>20.32</v>
      </c>
      <c r="K96" s="386">
        <f t="shared" si="123"/>
        <v>40.32</v>
      </c>
      <c r="L96" s="386"/>
      <c r="M96" s="191">
        <f t="shared" si="124"/>
        <v>0.50396825396825395</v>
      </c>
      <c r="N96" s="152">
        <f t="shared" si="125"/>
        <v>3.4017857142857144</v>
      </c>
      <c r="O96" s="152">
        <f t="shared" si="173"/>
        <v>1.8200000000000003</v>
      </c>
      <c r="P96" s="191">
        <f t="shared" si="126"/>
        <v>0.17008928571428572</v>
      </c>
      <c r="Q96" s="191">
        <f t="shared" si="127"/>
        <v>20</v>
      </c>
      <c r="R96" s="191">
        <f t="shared" si="128"/>
        <v>0.18898809523809523</v>
      </c>
      <c r="S96" s="152">
        <f t="shared" si="129"/>
        <v>54.293012364552503</v>
      </c>
      <c r="T96" s="191">
        <f t="shared" si="130"/>
        <v>20</v>
      </c>
      <c r="U96" s="191">
        <f t="shared" si="131"/>
        <v>0.40125984251968511</v>
      </c>
      <c r="V96" s="191">
        <f t="shared" si="132"/>
        <v>1.2037795275590553</v>
      </c>
      <c r="W96" s="191">
        <f t="shared" si="133"/>
        <v>1.1848223696447395</v>
      </c>
      <c r="X96" s="175">
        <f t="shared" si="134"/>
        <v>350</v>
      </c>
      <c r="Y96" s="386">
        <f t="shared" si="174"/>
        <v>350</v>
      </c>
      <c r="AA96" s="191">
        <f t="shared" si="135"/>
        <v>0.47996976568405147</v>
      </c>
      <c r="AB96" s="153">
        <f t="shared" si="136"/>
        <v>1.4172335600907031</v>
      </c>
      <c r="AC96" s="153">
        <f t="shared" si="137"/>
        <v>0.11904012045735404</v>
      </c>
      <c r="AD96" s="153"/>
      <c r="AE96" s="153">
        <f t="shared" si="138"/>
        <v>0.44291338582677164</v>
      </c>
      <c r="AF96" s="317">
        <f t="shared" si="139"/>
        <v>2739.437037037038</v>
      </c>
      <c r="AG96" s="463">
        <f t="shared" si="140"/>
        <v>1.1626476377952754E-2</v>
      </c>
      <c r="AI96" s="153">
        <f t="shared" si="141"/>
        <v>0.442350623458444</v>
      </c>
      <c r="AJ96" s="153">
        <f t="shared" si="142"/>
        <v>0.442350623458444</v>
      </c>
      <c r="AK96" s="153">
        <f t="shared" si="143"/>
        <v>1.3949004156389626</v>
      </c>
      <c r="AM96" s="317">
        <f t="shared" si="144"/>
        <v>91.000000000000014</v>
      </c>
      <c r="AN96" s="147">
        <f t="shared" si="145"/>
        <v>350</v>
      </c>
      <c r="AP96">
        <f t="shared" si="146"/>
        <v>91.000000000000014</v>
      </c>
      <c r="AQ96">
        <f t="shared" si="147"/>
        <v>350</v>
      </c>
      <c r="AS96" s="5">
        <f t="shared" si="175"/>
        <v>2.8571428571428572</v>
      </c>
      <c r="AT96" s="5">
        <f t="shared" si="148"/>
        <v>1.327051870375332</v>
      </c>
      <c r="AU96" s="5">
        <f t="shared" si="176"/>
        <v>1.5300909867675252</v>
      </c>
      <c r="AV96" s="5">
        <f t="shared" si="149"/>
        <v>1.306153415723752</v>
      </c>
      <c r="AW96" s="153">
        <f t="shared" si="177"/>
        <v>0.4644681546313662</v>
      </c>
      <c r="AX96" s="153">
        <f t="shared" si="150"/>
        <v>2.0545777777777787</v>
      </c>
      <c r="AY96" s="153">
        <f t="shared" si="151"/>
        <v>0.11844642284033308</v>
      </c>
      <c r="AZ96" s="153">
        <f t="shared" si="178"/>
        <v>17.346051729627746</v>
      </c>
      <c r="BA96" s="147">
        <f t="shared" si="152"/>
        <v>2.385619286777211</v>
      </c>
      <c r="BB96" s="147">
        <f t="shared" si="153"/>
        <v>11.692114761600001</v>
      </c>
      <c r="BC96" s="5">
        <f t="shared" si="154"/>
        <v>0.15470919977316089</v>
      </c>
      <c r="BD96" s="147">
        <f t="shared" si="155"/>
        <v>15.774253310649421</v>
      </c>
      <c r="BE96" s="5"/>
      <c r="BF96" s="153">
        <f t="shared" si="179"/>
        <v>0.17405399171366956</v>
      </c>
      <c r="BG96" s="153">
        <f t="shared" si="156"/>
        <v>0.18689542350352656</v>
      </c>
      <c r="BH96" s="153"/>
      <c r="BI96" s="463">
        <f t="shared" si="157"/>
        <v>1.0603177211011753E-2</v>
      </c>
      <c r="BJ96" s="463">
        <f t="shared" si="158"/>
        <v>3.1212259991227814E-2</v>
      </c>
      <c r="BK96" s="463">
        <f t="shared" si="159"/>
        <v>4.3749999999999995E-3</v>
      </c>
      <c r="BL96" s="463">
        <f t="shared" si="160"/>
        <v>2.8449792000000005E-2</v>
      </c>
      <c r="BM96">
        <f t="shared" si="161"/>
        <v>5.7999999999999996E-3</v>
      </c>
      <c r="BN96">
        <f t="shared" si="162"/>
        <v>1.3124999999999999E-5</v>
      </c>
      <c r="BO96" s="463">
        <f t="shared" si="163"/>
        <v>8.2045287188453164E-2</v>
      </c>
      <c r="BP96" s="147">
        <f t="shared" si="180"/>
        <v>82.045287188453159</v>
      </c>
      <c r="BQ96" s="463">
        <f t="shared" si="164"/>
        <v>6.1448443085493798E-2</v>
      </c>
      <c r="BR96" s="463"/>
      <c r="BT96" s="147">
        <f t="shared" si="181"/>
        <v>61.4484430854938</v>
      </c>
      <c r="BU96" s="463">
        <f t="shared" si="165"/>
        <v>3.0294792031462153E-2</v>
      </c>
      <c r="BV96" s="463">
        <f t="shared" si="166"/>
        <v>3.4929899326562548E-2</v>
      </c>
      <c r="BW96" s="463">
        <f t="shared" si="167"/>
        <v>0</v>
      </c>
      <c r="BX96" s="463">
        <f t="shared" si="168"/>
        <v>7.3434835479312899E-2</v>
      </c>
      <c r="BY96" s="463">
        <f t="shared" si="169"/>
        <v>3.4242962962962982E-2</v>
      </c>
      <c r="BZ96" s="147">
        <f t="shared" si="182"/>
        <v>107.67779844227587</v>
      </c>
      <c r="CA96" s="153">
        <f t="shared" si="183"/>
        <v>0.25117152871622284</v>
      </c>
      <c r="CB96" s="5">
        <f t="shared" si="184"/>
        <v>1.8200000000000003</v>
      </c>
      <c r="CC96" s="153">
        <f t="shared" si="185"/>
        <v>0.87872973086304107</v>
      </c>
      <c r="CD96" s="5">
        <f t="shared" si="186"/>
        <v>87.872973086304114</v>
      </c>
      <c r="CG96" s="59">
        <f t="shared" si="170"/>
        <v>-50</v>
      </c>
      <c r="CH96">
        <f t="shared" si="171"/>
        <v>-50</v>
      </c>
    </row>
    <row r="97" spans="5:86" x14ac:dyDescent="0.25">
      <c r="E97" s="150">
        <v>92</v>
      </c>
      <c r="F97" s="191">
        <f t="shared" si="172"/>
        <v>9.2000000000000012E-2</v>
      </c>
      <c r="G97" s="191"/>
      <c r="H97" s="191">
        <f t="shared" si="120"/>
        <v>1.8400000000000003</v>
      </c>
      <c r="I97" s="472">
        <f t="shared" si="121"/>
        <v>20</v>
      </c>
      <c r="J97" s="152">
        <f t="shared" si="122"/>
        <v>20.32</v>
      </c>
      <c r="K97" s="386">
        <f t="shared" si="123"/>
        <v>40.32</v>
      </c>
      <c r="L97" s="386"/>
      <c r="M97" s="191">
        <f t="shared" si="124"/>
        <v>0.50396825396825395</v>
      </c>
      <c r="N97" s="152">
        <f t="shared" si="125"/>
        <v>3.4017857142857144</v>
      </c>
      <c r="O97" s="152">
        <f t="shared" si="173"/>
        <v>1.8400000000000003</v>
      </c>
      <c r="P97" s="191">
        <f t="shared" si="126"/>
        <v>0.17008928571428572</v>
      </c>
      <c r="Q97" s="191">
        <f t="shared" si="127"/>
        <v>20</v>
      </c>
      <c r="R97" s="191">
        <f t="shared" si="128"/>
        <v>0.18898809523809523</v>
      </c>
      <c r="S97" s="152">
        <f t="shared" si="129"/>
        <v>53.48850552130785</v>
      </c>
      <c r="T97" s="467">
        <f t="shared" si="130"/>
        <v>20</v>
      </c>
      <c r="U97" s="191">
        <f t="shared" si="131"/>
        <v>0.40566929133858276</v>
      </c>
      <c r="V97" s="191">
        <f t="shared" si="132"/>
        <v>1.2170078740157484</v>
      </c>
      <c r="W97" s="191">
        <f t="shared" si="133"/>
        <v>1.1978423956847914</v>
      </c>
      <c r="X97" s="175">
        <f t="shared" si="134"/>
        <v>350</v>
      </c>
      <c r="Y97" s="386">
        <f t="shared" si="174"/>
        <v>350</v>
      </c>
      <c r="AA97" s="191">
        <f t="shared" si="135"/>
        <v>0.47996976568405147</v>
      </c>
      <c r="AB97" s="153">
        <f t="shared" si="136"/>
        <v>1.4172335600907031</v>
      </c>
      <c r="AC97" s="153">
        <f t="shared" si="137"/>
        <v>0.11904012045735404</v>
      </c>
      <c r="AD97" s="153"/>
      <c r="AE97" s="153">
        <f t="shared" si="138"/>
        <v>0.44291338582677164</v>
      </c>
      <c r="AF97" s="317">
        <f t="shared" si="139"/>
        <v>2769.5407407407415</v>
      </c>
      <c r="AG97" s="463">
        <f t="shared" si="140"/>
        <v>1.1626476377952754E-2</v>
      </c>
      <c r="AI97" s="153">
        <f t="shared" si="141"/>
        <v>0.44477448063523006</v>
      </c>
      <c r="AJ97" s="153">
        <f t="shared" si="142"/>
        <v>0.44477448063523006</v>
      </c>
      <c r="AK97" s="153">
        <f t="shared" si="143"/>
        <v>1.3965163204234867</v>
      </c>
      <c r="AM97" s="317">
        <f t="shared" si="144"/>
        <v>92.000000000000014</v>
      </c>
      <c r="AN97" s="147">
        <f t="shared" si="145"/>
        <v>350</v>
      </c>
      <c r="AP97">
        <f t="shared" si="146"/>
        <v>92.000000000000014</v>
      </c>
      <c r="AQ97">
        <f t="shared" si="147"/>
        <v>350</v>
      </c>
      <c r="AS97" s="5">
        <f t="shared" si="175"/>
        <v>2.8571428571428572</v>
      </c>
      <c r="AT97" s="5">
        <f t="shared" si="148"/>
        <v>1.3343234419056902</v>
      </c>
      <c r="AU97" s="5">
        <f t="shared" si="176"/>
        <v>1.522819415237167</v>
      </c>
      <c r="AV97" s="5">
        <f t="shared" si="149"/>
        <v>1.3133104743166242</v>
      </c>
      <c r="AW97" s="153">
        <f t="shared" si="177"/>
        <v>0.46701320466699153</v>
      </c>
      <c r="AX97" s="153">
        <f t="shared" si="150"/>
        <v>2.0771555555555556</v>
      </c>
      <c r="AY97" s="153">
        <f t="shared" si="151"/>
        <v>0.11852946253983726</v>
      </c>
      <c r="AZ97" s="153">
        <f t="shared" si="178"/>
        <v>17.524381795432781</v>
      </c>
      <c r="BA97" s="147">
        <f t="shared" si="152"/>
        <v>2.385619286777211</v>
      </c>
      <c r="BB97" s="147">
        <f t="shared" si="153"/>
        <v>11.947463270400004</v>
      </c>
      <c r="BC97" s="5">
        <f t="shared" si="154"/>
        <v>0.15566598466868822</v>
      </c>
      <c r="BD97" s="147">
        <f t="shared" si="155"/>
        <v>15.873265133535487</v>
      </c>
      <c r="BE97" s="5"/>
      <c r="BF97" s="153">
        <f t="shared" si="179"/>
        <v>0.17548654111933151</v>
      </c>
      <c r="BG97" s="153">
        <f t="shared" si="156"/>
        <v>0.18747245156045206</v>
      </c>
      <c r="BH97" s="153"/>
      <c r="BI97" s="463">
        <f t="shared" si="157"/>
        <v>1.077843413990939E-2</v>
      </c>
      <c r="BJ97" s="463">
        <f t="shared" si="158"/>
        <v>3.1383287353621836E-2</v>
      </c>
      <c r="BK97" s="463">
        <f t="shared" si="159"/>
        <v>4.3749999999999995E-3</v>
      </c>
      <c r="BL97" s="463">
        <f t="shared" si="160"/>
        <v>2.8449792000000005E-2</v>
      </c>
      <c r="BM97">
        <f t="shared" si="161"/>
        <v>5.7999999999999996E-3</v>
      </c>
      <c r="BN97">
        <f t="shared" si="162"/>
        <v>1.3124999999999999E-5</v>
      </c>
      <c r="BO97" s="463">
        <f t="shared" si="163"/>
        <v>8.2418626522055977E-2</v>
      </c>
      <c r="BP97" s="147">
        <f t="shared" si="180"/>
        <v>82.418626522055973</v>
      </c>
      <c r="BQ97" s="463">
        <f t="shared" si="164"/>
        <v>6.1995482951881752E-2</v>
      </c>
      <c r="BR97" s="463"/>
      <c r="BT97" s="147">
        <f t="shared" si="181"/>
        <v>61.995482951881755</v>
      </c>
      <c r="BU97" s="463">
        <f t="shared" si="165"/>
        <v>3.079552611402683E-2</v>
      </c>
      <c r="BV97" s="463">
        <f t="shared" si="166"/>
        <v>3.5145920094086042E-2</v>
      </c>
      <c r="BW97" s="463">
        <f t="shared" si="167"/>
        <v>0</v>
      </c>
      <c r="BX97" s="463">
        <f t="shared" si="168"/>
        <v>7.4246091324063096E-2</v>
      </c>
      <c r="BY97" s="463">
        <f t="shared" si="169"/>
        <v>3.4619259259259273E-2</v>
      </c>
      <c r="BZ97" s="147">
        <f t="shared" si="182"/>
        <v>108.86535058332237</v>
      </c>
      <c r="CA97" s="153">
        <f t="shared" si="183"/>
        <v>0.2532794600572601</v>
      </c>
      <c r="CB97" s="5">
        <f t="shared" si="184"/>
        <v>1.8400000000000003</v>
      </c>
      <c r="CC97" s="153">
        <f t="shared" si="185"/>
        <v>0.87900351343898819</v>
      </c>
      <c r="CD97" s="5">
        <f t="shared" si="186"/>
        <v>87.900351343898819</v>
      </c>
      <c r="CG97" s="59">
        <f t="shared" si="170"/>
        <v>-50</v>
      </c>
      <c r="CH97">
        <f t="shared" si="171"/>
        <v>-50</v>
      </c>
    </row>
    <row r="98" spans="5:86" x14ac:dyDescent="0.25">
      <c r="E98" s="150">
        <v>93</v>
      </c>
      <c r="F98" s="191">
        <f t="shared" si="172"/>
        <v>9.3000000000000013E-2</v>
      </c>
      <c r="G98" s="191"/>
      <c r="H98" s="191">
        <f t="shared" si="120"/>
        <v>1.8600000000000003</v>
      </c>
      <c r="I98" s="472">
        <f t="shared" si="121"/>
        <v>20</v>
      </c>
      <c r="J98" s="152">
        <f t="shared" si="122"/>
        <v>20.32</v>
      </c>
      <c r="K98" s="386">
        <f t="shared" si="123"/>
        <v>40.32</v>
      </c>
      <c r="L98" s="386"/>
      <c r="M98" s="191">
        <f t="shared" si="124"/>
        <v>0.50396825396825395</v>
      </c>
      <c r="N98" s="152">
        <f t="shared" si="125"/>
        <v>3.4017857142857144</v>
      </c>
      <c r="O98" s="152">
        <f t="shared" si="173"/>
        <v>1.8600000000000003</v>
      </c>
      <c r="P98" s="191">
        <f t="shared" si="126"/>
        <v>0.17008928571428572</v>
      </c>
      <c r="Q98" s="191">
        <f t="shared" si="127"/>
        <v>20</v>
      </c>
      <c r="R98" s="191">
        <f t="shared" si="128"/>
        <v>0.18898809523809523</v>
      </c>
      <c r="S98" s="152">
        <f t="shared" si="129"/>
        <v>52.701351251364457</v>
      </c>
      <c r="T98" s="467">
        <f t="shared" si="130"/>
        <v>20</v>
      </c>
      <c r="U98" s="191">
        <f t="shared" si="131"/>
        <v>0.41007874015748041</v>
      </c>
      <c r="V98" s="191">
        <f t="shared" si="132"/>
        <v>1.2302362204724413</v>
      </c>
      <c r="W98" s="191">
        <f t="shared" si="133"/>
        <v>1.2108624217248438</v>
      </c>
      <c r="X98" s="175">
        <f t="shared" si="134"/>
        <v>350</v>
      </c>
      <c r="Y98" s="386">
        <f t="shared" si="174"/>
        <v>350</v>
      </c>
      <c r="AA98" s="191">
        <f t="shared" si="135"/>
        <v>0.47996976568405147</v>
      </c>
      <c r="AB98" s="153">
        <f t="shared" si="136"/>
        <v>1.4172335600907031</v>
      </c>
      <c r="AC98" s="153">
        <f t="shared" si="137"/>
        <v>0.11904012045735404</v>
      </c>
      <c r="AD98" s="153"/>
      <c r="AE98" s="153">
        <f t="shared" si="138"/>
        <v>0.44291338582677164</v>
      </c>
      <c r="AF98" s="317">
        <f t="shared" si="139"/>
        <v>2799.6444444444455</v>
      </c>
      <c r="AG98" s="463">
        <f t="shared" si="140"/>
        <v>1.1626476377952754E-2</v>
      </c>
      <c r="AI98" s="153">
        <f t="shared" si="141"/>
        <v>0.44718520008448759</v>
      </c>
      <c r="AJ98" s="153">
        <f t="shared" si="142"/>
        <v>0.44718520008448759</v>
      </c>
      <c r="AK98" s="153">
        <f t="shared" si="143"/>
        <v>1.3981234667229918</v>
      </c>
      <c r="AM98" s="317">
        <f t="shared" si="144"/>
        <v>93.000000000000014</v>
      </c>
      <c r="AN98" s="147">
        <f t="shared" si="145"/>
        <v>350</v>
      </c>
      <c r="AP98">
        <f t="shared" si="146"/>
        <v>93.000000000000014</v>
      </c>
      <c r="AQ98">
        <f t="shared" si="147"/>
        <v>350</v>
      </c>
      <c r="AS98" s="5">
        <f t="shared" si="175"/>
        <v>2.8571428571428572</v>
      </c>
      <c r="AT98" s="5">
        <f t="shared" si="148"/>
        <v>1.3415556002534628</v>
      </c>
      <c r="AU98" s="5">
        <f t="shared" si="176"/>
        <v>1.5155872568893944</v>
      </c>
      <c r="AV98" s="5">
        <f t="shared" si="149"/>
        <v>1.3204287404069517</v>
      </c>
      <c r="AW98" s="153">
        <f t="shared" si="177"/>
        <v>0.46954446008871198</v>
      </c>
      <c r="AX98" s="153">
        <f t="shared" si="150"/>
        <v>2.0997333333333335</v>
      </c>
      <c r="AY98" s="153">
        <f t="shared" si="151"/>
        <v>0.11860593337557711</v>
      </c>
      <c r="AZ98" s="153">
        <f t="shared" si="178"/>
        <v>17.703442598308516</v>
      </c>
      <c r="BA98" s="147">
        <f t="shared" si="152"/>
        <v>2.385619286777211</v>
      </c>
      <c r="BB98" s="147">
        <f t="shared" si="153"/>
        <v>12.205569686400004</v>
      </c>
      <c r="BC98" s="5">
        <f t="shared" si="154"/>
        <v>0.15661068321190411</v>
      </c>
      <c r="BD98" s="147">
        <f t="shared" si="155"/>
        <v>15.971068321190412</v>
      </c>
      <c r="BE98" s="5"/>
      <c r="BF98" s="153">
        <f t="shared" si="179"/>
        <v>0.17691520292602847</v>
      </c>
      <c r="BG98" s="153">
        <f t="shared" si="156"/>
        <v>0.1880404531792115</v>
      </c>
      <c r="BH98" s="153"/>
      <c r="BI98" s="463">
        <f t="shared" si="157"/>
        <v>1.0954646159225241E-2</v>
      </c>
      <c r="BJ98" s="463">
        <f t="shared" si="158"/>
        <v>3.1553387717961449E-2</v>
      </c>
      <c r="BK98" s="463">
        <f t="shared" si="159"/>
        <v>4.3749999999999995E-3</v>
      </c>
      <c r="BL98" s="463">
        <f t="shared" si="160"/>
        <v>2.8449792000000005E-2</v>
      </c>
      <c r="BM98">
        <f t="shared" si="161"/>
        <v>5.7999999999999996E-3</v>
      </c>
      <c r="BN98">
        <f t="shared" si="162"/>
        <v>1.3124999999999999E-5</v>
      </c>
      <c r="BO98" s="463">
        <f t="shared" si="163"/>
        <v>8.2792162014593301E-2</v>
      </c>
      <c r="BP98" s="147">
        <f t="shared" si="180"/>
        <v>82.792162014593302</v>
      </c>
      <c r="BQ98" s="463">
        <f t="shared" si="164"/>
        <v>6.2540437992328238E-2</v>
      </c>
      <c r="BR98" s="463"/>
      <c r="BT98" s="147">
        <f t="shared" si="181"/>
        <v>62.540437992328236</v>
      </c>
      <c r="BU98" s="463">
        <f t="shared" si="165"/>
        <v>3.1298989026357832E-2</v>
      </c>
      <c r="BV98" s="463">
        <f t="shared" si="166"/>
        <v>3.535921203184323E-2</v>
      </c>
      <c r="BW98" s="463">
        <f t="shared" si="167"/>
        <v>0</v>
      </c>
      <c r="BX98" s="463">
        <f t="shared" si="168"/>
        <v>7.5057440703049011E-2</v>
      </c>
      <c r="BY98" s="463">
        <f t="shared" si="169"/>
        <v>3.4995555555555564E-2</v>
      </c>
      <c r="BZ98" s="147">
        <f t="shared" si="182"/>
        <v>110.05299625860457</v>
      </c>
      <c r="CA98" s="153">
        <f t="shared" si="183"/>
        <v>0.25538559626552615</v>
      </c>
      <c r="CB98" s="5">
        <f t="shared" si="184"/>
        <v>1.8600000000000003</v>
      </c>
      <c r="CC98" s="153">
        <f t="shared" si="185"/>
        <v>0.8792723195636859</v>
      </c>
      <c r="CD98" s="5">
        <f t="shared" si="186"/>
        <v>87.927231956368587</v>
      </c>
      <c r="CG98" s="59">
        <f t="shared" si="170"/>
        <v>-50</v>
      </c>
      <c r="CH98">
        <f t="shared" si="171"/>
        <v>-50</v>
      </c>
    </row>
    <row r="99" spans="5:86" x14ac:dyDescent="0.25">
      <c r="E99" s="150">
        <v>94</v>
      </c>
      <c r="F99" s="191">
        <f t="shared" si="172"/>
        <v>9.4E-2</v>
      </c>
      <c r="G99" s="191"/>
      <c r="H99" s="191">
        <f t="shared" si="120"/>
        <v>1.88</v>
      </c>
      <c r="I99" s="472">
        <f t="shared" si="121"/>
        <v>20</v>
      </c>
      <c r="J99" s="152">
        <f t="shared" si="122"/>
        <v>20.32</v>
      </c>
      <c r="K99" s="386">
        <f t="shared" si="123"/>
        <v>40.32</v>
      </c>
      <c r="L99" s="386"/>
      <c r="M99" s="191">
        <f t="shared" si="124"/>
        <v>0.50396825396825395</v>
      </c>
      <c r="N99" s="152">
        <f t="shared" si="125"/>
        <v>3.4017857142857144</v>
      </c>
      <c r="O99" s="152">
        <f t="shared" si="173"/>
        <v>1.88</v>
      </c>
      <c r="P99" s="191">
        <f t="shared" si="126"/>
        <v>0.17008928571428572</v>
      </c>
      <c r="Q99" s="191">
        <f t="shared" si="127"/>
        <v>20</v>
      </c>
      <c r="R99" s="191">
        <f t="shared" si="128"/>
        <v>0.18898809523809523</v>
      </c>
      <c r="S99" s="152">
        <f t="shared" si="129"/>
        <v>51.930996340929092</v>
      </c>
      <c r="T99" s="467">
        <f t="shared" si="130"/>
        <v>20</v>
      </c>
      <c r="U99" s="191">
        <f t="shared" si="131"/>
        <v>0.41448818897637796</v>
      </c>
      <c r="V99" s="191">
        <f t="shared" si="132"/>
        <v>1.243464566929134</v>
      </c>
      <c r="W99" s="191">
        <f t="shared" si="133"/>
        <v>1.2238824477648955</v>
      </c>
      <c r="X99" s="175">
        <f t="shared" si="134"/>
        <v>350</v>
      </c>
      <c r="Y99" s="386">
        <f t="shared" si="174"/>
        <v>350</v>
      </c>
      <c r="AA99" s="191">
        <f t="shared" si="135"/>
        <v>0.47996976568405147</v>
      </c>
      <c r="AB99" s="153">
        <f t="shared" si="136"/>
        <v>1.4172335600907031</v>
      </c>
      <c r="AC99" s="153">
        <f t="shared" si="137"/>
        <v>0.11904012045735404</v>
      </c>
      <c r="AD99" s="153"/>
      <c r="AE99" s="153">
        <f t="shared" si="138"/>
        <v>0.44291338582677164</v>
      </c>
      <c r="AF99" s="317">
        <f t="shared" si="139"/>
        <v>2829.7481481481486</v>
      </c>
      <c r="AG99" s="463">
        <f t="shared" si="140"/>
        <v>1.1626476377952754E-2</v>
      </c>
      <c r="AI99" s="153">
        <f t="shared" si="141"/>
        <v>0.44958299314461142</v>
      </c>
      <c r="AJ99" s="153">
        <f t="shared" si="142"/>
        <v>0.44958299314461142</v>
      </c>
      <c r="AK99" s="153">
        <f t="shared" si="143"/>
        <v>1.3997219954297409</v>
      </c>
      <c r="AM99" s="317">
        <f t="shared" si="144"/>
        <v>94</v>
      </c>
      <c r="AN99" s="147">
        <f t="shared" si="145"/>
        <v>350</v>
      </c>
      <c r="AP99">
        <f t="shared" si="146"/>
        <v>94</v>
      </c>
      <c r="AQ99">
        <f t="shared" si="147"/>
        <v>350</v>
      </c>
      <c r="AS99" s="5">
        <f t="shared" si="175"/>
        <v>2.8571428571428572</v>
      </c>
      <c r="AT99" s="5">
        <f t="shared" si="148"/>
        <v>1.3487489794338341</v>
      </c>
      <c r="AU99" s="5">
        <f t="shared" si="176"/>
        <v>1.5083938777090231</v>
      </c>
      <c r="AV99" s="5">
        <f t="shared" si="149"/>
        <v>1.3275088380254274</v>
      </c>
      <c r="AW99" s="153">
        <f t="shared" si="177"/>
        <v>0.47206214280184194</v>
      </c>
      <c r="AX99" s="153">
        <f t="shared" si="150"/>
        <v>2.1223111111111113</v>
      </c>
      <c r="AY99" s="153">
        <f t="shared" si="151"/>
        <v>0.11867594101675018</v>
      </c>
      <c r="AZ99" s="153">
        <f t="shared" si="178"/>
        <v>17.883246536141336</v>
      </c>
      <c r="BA99" s="147">
        <f t="shared" si="152"/>
        <v>2.385619286777211</v>
      </c>
      <c r="BB99" s="147">
        <f t="shared" si="153"/>
        <v>12.466434009599999</v>
      </c>
      <c r="BC99" s="5">
        <f t="shared" si="154"/>
        <v>0.15754336056072016</v>
      </c>
      <c r="BD99" s="147">
        <f t="shared" si="155"/>
        <v>16.067669389405353</v>
      </c>
      <c r="BE99" s="5"/>
      <c r="BF99" s="153">
        <f t="shared" si="179"/>
        <v>0.17834002931828469</v>
      </c>
      <c r="BG99" s="153">
        <f t="shared" si="156"/>
        <v>0.18859954891526809</v>
      </c>
      <c r="BH99" s="153"/>
      <c r="BI99" s="463">
        <f t="shared" si="157"/>
        <v>1.1131808120036323E-2</v>
      </c>
      <c r="BJ99" s="463">
        <f t="shared" si="158"/>
        <v>3.1722575996283781E-2</v>
      </c>
      <c r="BK99" s="463">
        <f t="shared" si="159"/>
        <v>4.3749999999999995E-3</v>
      </c>
      <c r="BL99" s="463">
        <f t="shared" si="160"/>
        <v>2.8449792000000005E-2</v>
      </c>
      <c r="BM99">
        <f t="shared" si="161"/>
        <v>5.7999999999999996E-3</v>
      </c>
      <c r="BN99">
        <f t="shared" si="162"/>
        <v>1.3124999999999999E-5</v>
      </c>
      <c r="BO99" s="463">
        <f t="shared" si="163"/>
        <v>8.3165902890613416E-2</v>
      </c>
      <c r="BP99" s="147">
        <f t="shared" si="180"/>
        <v>83.16590289061341</v>
      </c>
      <c r="BQ99" s="463">
        <f t="shared" si="164"/>
        <v>6.3083319446196551E-2</v>
      </c>
      <c r="BR99" s="463"/>
      <c r="BT99" s="147">
        <f t="shared" si="181"/>
        <v>63.083319446196548</v>
      </c>
      <c r="BU99" s="463">
        <f t="shared" si="165"/>
        <v>3.1805166057246641E-2</v>
      </c>
      <c r="BV99" s="463">
        <f t="shared" si="166"/>
        <v>3.5569789851042602E-2</v>
      </c>
      <c r="BW99" s="463">
        <f t="shared" si="167"/>
        <v>0</v>
      </c>
      <c r="BX99" s="463">
        <f t="shared" si="168"/>
        <v>7.5868883632447745E-2</v>
      </c>
      <c r="BY99" s="463">
        <f t="shared" si="169"/>
        <v>3.5371851851851856E-2</v>
      </c>
      <c r="BZ99" s="147">
        <f t="shared" si="182"/>
        <v>111.24073548429961</v>
      </c>
      <c r="CA99" s="153">
        <f t="shared" si="183"/>
        <v>0.25748995782110962</v>
      </c>
      <c r="CB99" s="5">
        <f t="shared" si="184"/>
        <v>1.88</v>
      </c>
      <c r="CC99" s="153">
        <f t="shared" si="185"/>
        <v>0.87953629588810478</v>
      </c>
      <c r="CD99" s="5">
        <f t="shared" si="186"/>
        <v>87.953629588810472</v>
      </c>
      <c r="CG99" s="59">
        <f t="shared" si="170"/>
        <v>-50</v>
      </c>
      <c r="CH99">
        <f t="shared" si="171"/>
        <v>-50</v>
      </c>
    </row>
    <row r="100" spans="5:86" x14ac:dyDescent="0.25">
      <c r="E100" s="150">
        <v>95</v>
      </c>
      <c r="F100" s="191">
        <f t="shared" si="172"/>
        <v>9.5000000000000001E-2</v>
      </c>
      <c r="G100" s="191"/>
      <c r="H100" s="191">
        <f t="shared" si="120"/>
        <v>1.9</v>
      </c>
      <c r="I100" s="472">
        <f t="shared" si="121"/>
        <v>20</v>
      </c>
      <c r="J100" s="152">
        <f t="shared" si="122"/>
        <v>20.32</v>
      </c>
      <c r="K100" s="386">
        <f t="shared" si="123"/>
        <v>40.32</v>
      </c>
      <c r="L100" s="386"/>
      <c r="M100" s="191">
        <f t="shared" si="124"/>
        <v>0.50396825396825395</v>
      </c>
      <c r="N100" s="152">
        <f t="shared" si="125"/>
        <v>3.4017857142857144</v>
      </c>
      <c r="O100" s="152">
        <f t="shared" si="173"/>
        <v>1.9</v>
      </c>
      <c r="P100" s="191">
        <f t="shared" si="126"/>
        <v>0.17008928571428572</v>
      </c>
      <c r="Q100" s="191">
        <f t="shared" si="127"/>
        <v>20</v>
      </c>
      <c r="R100" s="191">
        <f t="shared" si="128"/>
        <v>0.18898809523809523</v>
      </c>
      <c r="S100" s="152">
        <f t="shared" si="129"/>
        <v>51.17691087824614</v>
      </c>
      <c r="T100" s="467">
        <f t="shared" si="130"/>
        <v>20</v>
      </c>
      <c r="U100" s="191">
        <f t="shared" si="131"/>
        <v>0.41889763779527556</v>
      </c>
      <c r="V100" s="191">
        <f t="shared" si="132"/>
        <v>1.2566929133858267</v>
      </c>
      <c r="W100" s="191">
        <f t="shared" si="133"/>
        <v>1.2369024738049477</v>
      </c>
      <c r="X100" s="175">
        <f t="shared" si="134"/>
        <v>350</v>
      </c>
      <c r="Y100" s="386">
        <f t="shared" si="174"/>
        <v>350</v>
      </c>
      <c r="AA100" s="191">
        <f t="shared" si="135"/>
        <v>0.47996976568405147</v>
      </c>
      <c r="AB100" s="153">
        <f t="shared" si="136"/>
        <v>1.4172335600907031</v>
      </c>
      <c r="AC100" s="153">
        <f t="shared" si="137"/>
        <v>0.11904012045735404</v>
      </c>
      <c r="AD100" s="153"/>
      <c r="AE100" s="153">
        <f t="shared" si="138"/>
        <v>0.44291338582677164</v>
      </c>
      <c r="AF100" s="317">
        <f t="shared" si="139"/>
        <v>2859.8518518518522</v>
      </c>
      <c r="AG100" s="463">
        <f t="shared" si="140"/>
        <v>1.1626476377952754E-2</v>
      </c>
      <c r="AI100" s="153">
        <f t="shared" si="141"/>
        <v>0.45196806554792374</v>
      </c>
      <c r="AJ100" s="153">
        <f t="shared" si="142"/>
        <v>0.45196806554792374</v>
      </c>
      <c r="AK100" s="153">
        <f t="shared" si="143"/>
        <v>1.4013120436986157</v>
      </c>
      <c r="AM100" s="317">
        <f t="shared" si="144"/>
        <v>95</v>
      </c>
      <c r="AN100" s="147">
        <f t="shared" si="145"/>
        <v>350</v>
      </c>
      <c r="AP100">
        <f t="shared" si="146"/>
        <v>95</v>
      </c>
      <c r="AQ100">
        <f t="shared" si="147"/>
        <v>350</v>
      </c>
      <c r="AS100" s="5">
        <f t="shared" si="175"/>
        <v>2.8571428571428572</v>
      </c>
      <c r="AT100" s="5">
        <f t="shared" si="148"/>
        <v>1.3559041966437713</v>
      </c>
      <c r="AU100" s="5">
        <f t="shared" si="176"/>
        <v>1.5012386604990859</v>
      </c>
      <c r="AV100" s="5">
        <f t="shared" si="149"/>
        <v>1.3345513746493811</v>
      </c>
      <c r="AW100" s="153">
        <f t="shared" si="177"/>
        <v>0.47456646882531994</v>
      </c>
      <c r="AX100" s="153">
        <f t="shared" si="150"/>
        <v>2.1448888888888891</v>
      </c>
      <c r="AY100" s="153">
        <f t="shared" si="151"/>
        <v>0.11873958832951741</v>
      </c>
      <c r="AZ100" s="153">
        <f t="shared" si="178"/>
        <v>18.063806006607926</v>
      </c>
      <c r="BA100" s="147">
        <f t="shared" si="152"/>
        <v>2.385619286777211</v>
      </c>
      <c r="BB100" s="147">
        <f t="shared" si="153"/>
        <v>12.73005624</v>
      </c>
      <c r="BC100" s="5">
        <f t="shared" si="154"/>
        <v>0.15846408083045907</v>
      </c>
      <c r="BD100" s="147">
        <f t="shared" si="155"/>
        <v>16.163074749712571</v>
      </c>
      <c r="BE100" s="5"/>
      <c r="BF100" s="153">
        <f t="shared" si="179"/>
        <v>0.1797610712331183</v>
      </c>
      <c r="BG100" s="153">
        <f t="shared" si="156"/>
        <v>0.18914985600708029</v>
      </c>
      <c r="BH100" s="153"/>
      <c r="BI100" s="463">
        <f t="shared" si="157"/>
        <v>1.1309914955807378E-2</v>
      </c>
      <c r="BJ100" s="463">
        <f t="shared" si="158"/>
        <v>3.1890866705061499E-2</v>
      </c>
      <c r="BK100" s="463">
        <f t="shared" si="159"/>
        <v>4.3749999999999995E-3</v>
      </c>
      <c r="BL100" s="463">
        <f t="shared" si="160"/>
        <v>2.8449792000000005E-2</v>
      </c>
      <c r="BM100">
        <f t="shared" si="161"/>
        <v>5.7999999999999996E-3</v>
      </c>
      <c r="BN100">
        <f t="shared" si="162"/>
        <v>1.3124999999999999E-5</v>
      </c>
      <c r="BO100" s="463">
        <f t="shared" si="163"/>
        <v>8.3539858073250081E-2</v>
      </c>
      <c r="BP100" s="147">
        <f t="shared" si="180"/>
        <v>83.539858073250088</v>
      </c>
      <c r="BQ100" s="463">
        <f t="shared" si="164"/>
        <v>6.3624138373009398E-2</v>
      </c>
      <c r="BR100" s="463"/>
      <c r="BT100" s="147">
        <f t="shared" si="181"/>
        <v>63.624138373009401</v>
      </c>
      <c r="BU100" s="463">
        <f t="shared" si="165"/>
        <v>3.2314042730878227E-2</v>
      </c>
      <c r="BV100" s="463">
        <f t="shared" si="166"/>
        <v>3.5777668027499203E-2</v>
      </c>
      <c r="BW100" s="463">
        <f t="shared" si="167"/>
        <v>0</v>
      </c>
      <c r="BX100" s="463">
        <f t="shared" si="168"/>
        <v>7.6680420128440063E-2</v>
      </c>
      <c r="BY100" s="463">
        <f t="shared" si="169"/>
        <v>3.5748148148148154E-2</v>
      </c>
      <c r="BZ100" s="147">
        <f t="shared" si="182"/>
        <v>112.42856827658822</v>
      </c>
      <c r="CA100" s="153">
        <f t="shared" si="183"/>
        <v>0.2595925647228477</v>
      </c>
      <c r="CB100" s="5">
        <f t="shared" si="184"/>
        <v>1.9</v>
      </c>
      <c r="CC100" s="153">
        <f t="shared" si="185"/>
        <v>0.87979558322096618</v>
      </c>
      <c r="CD100" s="5">
        <f t="shared" si="186"/>
        <v>87.979558322096622</v>
      </c>
      <c r="CG100" s="59">
        <f t="shared" si="170"/>
        <v>-50</v>
      </c>
      <c r="CH100">
        <f t="shared" si="171"/>
        <v>-50</v>
      </c>
    </row>
    <row r="101" spans="5:86" x14ac:dyDescent="0.25">
      <c r="E101" s="150">
        <v>96</v>
      </c>
      <c r="F101" s="191">
        <f t="shared" si="172"/>
        <v>9.6000000000000002E-2</v>
      </c>
      <c r="G101" s="191"/>
      <c r="H101" s="191">
        <f t="shared" ref="H101:H105" si="187">F101*Vout</f>
        <v>1.92</v>
      </c>
      <c r="I101" s="472">
        <f t="shared" si="121"/>
        <v>20</v>
      </c>
      <c r="J101" s="152">
        <f t="shared" si="122"/>
        <v>20.32</v>
      </c>
      <c r="K101" s="386">
        <f t="shared" si="123"/>
        <v>40.32</v>
      </c>
      <c r="L101" s="386"/>
      <c r="M101" s="191">
        <f t="shared" si="124"/>
        <v>0.50396825396825395</v>
      </c>
      <c r="N101" s="152">
        <f t="shared" ref="N101:N105" si="188">M101*I101*Isw_max*0.5*Efficiency</f>
        <v>3.4017857142857144</v>
      </c>
      <c r="O101" s="152">
        <f t="shared" si="173"/>
        <v>1.92</v>
      </c>
      <c r="P101" s="191">
        <f t="shared" ref="P101:P105" si="189">N101/Vout</f>
        <v>0.17008928571428572</v>
      </c>
      <c r="Q101" s="191">
        <f t="shared" si="127"/>
        <v>20</v>
      </c>
      <c r="R101" s="191">
        <f t="shared" ref="R101:R105" si="190">Isw_max/2*I101*Nps*(Q101+Vfwd1)/Q101/(I101+Nps*(Q101+Vfwd1))</f>
        <v>0.18898809523809523</v>
      </c>
      <c r="S101" s="152">
        <f t="shared" si="129"/>
        <v>50.438587040108956</v>
      </c>
      <c r="T101" s="467">
        <f t="shared" ref="T101:T105" si="191">MIN(Vout, S101)</f>
        <v>20</v>
      </c>
      <c r="U101" s="191">
        <f t="shared" si="131"/>
        <v>0.42330708661417321</v>
      </c>
      <c r="V101" s="191">
        <f t="shared" ref="V101:V105" si="192">L*U101/I101*1000000</f>
        <v>1.2699212598425198</v>
      </c>
      <c r="W101" s="191">
        <f t="shared" si="133"/>
        <v>1.2499224998449998</v>
      </c>
      <c r="X101" s="175">
        <f t="shared" si="134"/>
        <v>350</v>
      </c>
      <c r="Y101" s="386">
        <f t="shared" si="174"/>
        <v>350</v>
      </c>
      <c r="AA101" s="191">
        <f t="shared" si="135"/>
        <v>0.47996976568405147</v>
      </c>
      <c r="AB101" s="153">
        <f t="shared" ref="AB101:AB105" si="193">L*AA101/J101*1000000</f>
        <v>1.4172335600907031</v>
      </c>
      <c r="AC101" s="153">
        <f t="shared" ref="AC101:AC105" si="194">0.5*AB101*AA101*Nps*X101/1000</f>
        <v>0.11904012045735404</v>
      </c>
      <c r="AD101" s="153"/>
      <c r="AE101" s="153">
        <f t="shared" si="138"/>
        <v>0.44291338582677164</v>
      </c>
      <c r="AF101" s="317">
        <f t="shared" ref="AF101:AF105" si="195">MAX(12, F101/(0.5*AE101/1000000*Isw_min*Nps)/1000)</f>
        <v>2889.9555555555557</v>
      </c>
      <c r="AG101" s="463">
        <f t="shared" si="140"/>
        <v>1.1626476377952754E-2</v>
      </c>
      <c r="AI101" s="153">
        <f t="shared" si="141"/>
        <v>0.45434061762668415</v>
      </c>
      <c r="AJ101" s="153">
        <f t="shared" ref="AJ101:AJ105" si="196">MAX(IF(F101&gt;AC101,U101,AI101),Isw_min)</f>
        <v>0.45434061762668415</v>
      </c>
      <c r="AK101" s="153">
        <f t="shared" ref="AK101:AK105" si="197">IF(F101&gt;AG101, (AJ101-Isw_min)/1.2*0.8+1.2, AF101*0.2/350+1)</f>
        <v>1.4028937450844561</v>
      </c>
      <c r="AM101" s="317">
        <f t="shared" si="144"/>
        <v>96</v>
      </c>
      <c r="AN101" s="147">
        <f t="shared" si="145"/>
        <v>350</v>
      </c>
      <c r="AP101">
        <f t="shared" si="146"/>
        <v>96</v>
      </c>
      <c r="AQ101">
        <f t="shared" si="147"/>
        <v>350</v>
      </c>
      <c r="AS101" s="5">
        <f t="shared" si="175"/>
        <v>2.8571428571428572</v>
      </c>
      <c r="AT101" s="5">
        <f t="shared" si="148"/>
        <v>1.3630218528800526</v>
      </c>
      <c r="AU101" s="5">
        <f t="shared" si="176"/>
        <v>1.4941210042628046</v>
      </c>
      <c r="AV101" s="5">
        <f t="shared" si="149"/>
        <v>1.3415569418110753</v>
      </c>
      <c r="AW101" s="153">
        <f t="shared" si="177"/>
        <v>0.47705764850801841</v>
      </c>
      <c r="AX101" s="153">
        <f t="shared" si="150"/>
        <v>2.1674666666666664</v>
      </c>
      <c r="AY101" s="153">
        <f t="shared" si="151"/>
        <v>0.11879697548000873</v>
      </c>
      <c r="AZ101" s="153">
        <f t="shared" si="178"/>
        <v>18.245133412772869</v>
      </c>
      <c r="BA101" s="147">
        <f t="shared" si="152"/>
        <v>2.385619286777211</v>
      </c>
      <c r="BB101" s="147">
        <f t="shared" si="153"/>
        <v>12.996436377599998</v>
      </c>
      <c r="BC101" s="5">
        <f t="shared" si="154"/>
        <v>0.15937290712136581</v>
      </c>
      <c r="BD101" s="147">
        <f t="shared" si="155"/>
        <v>16.257290712136584</v>
      </c>
      <c r="BE101" s="5"/>
      <c r="BF101" s="153">
        <f t="shared" si="179"/>
        <v>0.18117837840266554</v>
      </c>
      <c r="BG101" s="153">
        <f t="shared" si="156"/>
        <v>0.18969148849604756</v>
      </c>
      <c r="BH101" s="153"/>
      <c r="BI101" s="463">
        <f t="shared" si="157"/>
        <v>1.1488961680216811E-2</v>
      </c>
      <c r="BJ101" s="463">
        <f t="shared" si="158"/>
        <v>3.2058273979738837E-2</v>
      </c>
      <c r="BK101" s="463">
        <f t="shared" si="159"/>
        <v>4.3749999999999995E-3</v>
      </c>
      <c r="BL101" s="463">
        <f t="shared" si="160"/>
        <v>2.8449792000000005E-2</v>
      </c>
      <c r="BM101">
        <f t="shared" si="161"/>
        <v>5.7999999999999996E-3</v>
      </c>
      <c r="BN101">
        <f t="shared" si="162"/>
        <v>1.3124999999999999E-5</v>
      </c>
      <c r="BO101" s="463">
        <f t="shared" ref="BO101:BO105" si="198">(BJ101+BK101+BL101+BM101+BN101+BI101*(1+RdsonTC*(Ta-25)))/(1-BI101*RdsonTC*ThetaJA)</f>
        <v>8.3914036196275674E-2</v>
      </c>
      <c r="BP101" s="147">
        <f t="shared" si="180"/>
        <v>83.914036196275674</v>
      </c>
      <c r="BQ101" s="463">
        <f t="shared" si="164"/>
        <v>6.4162905657194472E-2</v>
      </c>
      <c r="BR101" s="463"/>
      <c r="BT101" s="147">
        <f t="shared" si="181"/>
        <v>64.162905657194472</v>
      </c>
      <c r="BU101" s="463">
        <f t="shared" si="165"/>
        <v>3.2825604800619461E-2</v>
      </c>
      <c r="BV101" s="463">
        <f t="shared" si="166"/>
        <v>3.5982860807846143E-2</v>
      </c>
      <c r="BW101" s="463">
        <f t="shared" si="167"/>
        <v>0</v>
      </c>
      <c r="BX101" s="463">
        <f t="shared" ref="BX101:BX105" si="199">(BW101+(BU101+BV101)*(1+Ltc*(Ta-25)))/(1-(BU101+BV101)*Ltc*ThetaCa)</f>
        <v>7.749205020721045E-2</v>
      </c>
      <c r="BY101" s="463">
        <f t="shared" si="169"/>
        <v>3.6124444444444445E-2</v>
      </c>
      <c r="BZ101" s="147">
        <f t="shared" si="182"/>
        <v>113.61649465165489</v>
      </c>
      <c r="CA101" s="153">
        <f t="shared" si="183"/>
        <v>0.26169343650512505</v>
      </c>
      <c r="CB101" s="5">
        <f t="shared" si="184"/>
        <v>1.92</v>
      </c>
      <c r="CC101" s="153">
        <f t="shared" si="185"/>
        <v>0.88005031681979373</v>
      </c>
      <c r="CD101" s="5">
        <f t="shared" si="186"/>
        <v>88.005031681979375</v>
      </c>
      <c r="CG101" s="59">
        <f t="shared" si="170"/>
        <v>-50</v>
      </c>
      <c r="CH101">
        <f t="shared" si="171"/>
        <v>-50</v>
      </c>
    </row>
    <row r="102" spans="5:86" x14ac:dyDescent="0.25">
      <c r="E102" s="150">
        <v>97</v>
      </c>
      <c r="F102" s="191">
        <f t="shared" ref="F102:F105" si="200">IF(PLOT_TYPE=1, E102/100*Iout_max, min_I*EXP(N102*rr/100))</f>
        <v>9.7000000000000003E-2</v>
      </c>
      <c r="G102" s="191"/>
      <c r="H102" s="191">
        <f t="shared" si="187"/>
        <v>1.94</v>
      </c>
      <c r="I102" s="472">
        <f t="shared" si="121"/>
        <v>20</v>
      </c>
      <c r="J102" s="152">
        <f t="shared" si="122"/>
        <v>20.32</v>
      </c>
      <c r="K102" s="386">
        <f t="shared" si="123"/>
        <v>40.32</v>
      </c>
      <c r="L102" s="386"/>
      <c r="M102" s="191">
        <f t="shared" si="124"/>
        <v>0.50396825396825395</v>
      </c>
      <c r="N102" s="152">
        <f t="shared" si="188"/>
        <v>3.4017857142857144</v>
      </c>
      <c r="O102" s="152">
        <f t="shared" si="173"/>
        <v>1.94</v>
      </c>
      <c r="P102" s="191">
        <f t="shared" si="189"/>
        <v>0.17008928571428572</v>
      </c>
      <c r="Q102" s="191">
        <f t="shared" si="127"/>
        <v>20</v>
      </c>
      <c r="R102" s="191">
        <f t="shared" si="190"/>
        <v>0.18898809523809523</v>
      </c>
      <c r="S102" s="152">
        <f t="shared" si="129"/>
        <v>49.715537953435501</v>
      </c>
      <c r="T102" s="467">
        <f t="shared" si="191"/>
        <v>20</v>
      </c>
      <c r="U102" s="191">
        <f t="shared" si="131"/>
        <v>0.42771653543307087</v>
      </c>
      <c r="V102" s="191">
        <f t="shared" si="192"/>
        <v>1.2831496062992125</v>
      </c>
      <c r="W102" s="191">
        <f t="shared" si="133"/>
        <v>1.2629425258850517</v>
      </c>
      <c r="X102" s="175">
        <f t="shared" si="134"/>
        <v>350</v>
      </c>
      <c r="Y102" s="386">
        <f t="shared" si="174"/>
        <v>350</v>
      </c>
      <c r="AA102" s="191">
        <f t="shared" si="135"/>
        <v>0.47996976568405147</v>
      </c>
      <c r="AB102" s="153">
        <f t="shared" si="193"/>
        <v>1.4172335600907031</v>
      </c>
      <c r="AC102" s="153">
        <f t="shared" si="194"/>
        <v>0.11904012045735404</v>
      </c>
      <c r="AD102" s="153"/>
      <c r="AE102" s="153">
        <f t="shared" si="138"/>
        <v>0.44291338582677164</v>
      </c>
      <c r="AF102" s="317">
        <f t="shared" si="195"/>
        <v>2920.0592592592598</v>
      </c>
      <c r="AG102" s="463">
        <f t="shared" si="140"/>
        <v>1.1626476377952754E-2</v>
      </c>
      <c r="AI102" s="153">
        <f t="shared" si="141"/>
        <v>0.45670084450946813</v>
      </c>
      <c r="AJ102" s="153">
        <f t="shared" si="196"/>
        <v>0.45670084450946813</v>
      </c>
      <c r="AK102" s="153">
        <f t="shared" si="197"/>
        <v>1.4044672296729788</v>
      </c>
      <c r="AM102" s="317">
        <f t="shared" si="144"/>
        <v>97</v>
      </c>
      <c r="AN102" s="147">
        <f t="shared" si="145"/>
        <v>350</v>
      </c>
      <c r="AP102">
        <f t="shared" si="146"/>
        <v>97</v>
      </c>
      <c r="AQ102">
        <f t="shared" si="147"/>
        <v>350</v>
      </c>
      <c r="AS102" s="5">
        <f t="shared" si="175"/>
        <v>2.8571428571428572</v>
      </c>
      <c r="AT102" s="5">
        <f t="shared" si="148"/>
        <v>1.3701025335284045</v>
      </c>
      <c r="AU102" s="5">
        <f t="shared" si="176"/>
        <v>1.4870403236144527</v>
      </c>
      <c r="AV102" s="5">
        <f t="shared" si="149"/>
        <v>1.3485261156775634</v>
      </c>
      <c r="AW102" s="153">
        <f t="shared" si="177"/>
        <v>0.47953588673494157</v>
      </c>
      <c r="AX102" s="153">
        <f t="shared" si="150"/>
        <v>2.1900444444444442</v>
      </c>
      <c r="AY102" s="153">
        <f t="shared" si="151"/>
        <v>0.11884820003251184</v>
      </c>
      <c r="AZ102" s="153">
        <f t="shared" si="178"/>
        <v>18.427241168527086</v>
      </c>
      <c r="BA102" s="147">
        <f t="shared" si="152"/>
        <v>2.385619286777211</v>
      </c>
      <c r="BB102" s="147">
        <f t="shared" si="153"/>
        <v>13.265574422400002</v>
      </c>
      <c r="BC102" s="5">
        <f t="shared" si="154"/>
        <v>0.16026990154511322</v>
      </c>
      <c r="BD102" s="147">
        <f t="shared" si="155"/>
        <v>16.350323487844655</v>
      </c>
      <c r="BE102" s="5"/>
      <c r="BF102" s="153">
        <f t="shared" si="179"/>
        <v>0.18259199939492118</v>
      </c>
      <c r="BG102" s="153">
        <f t="shared" si="156"/>
        <v>0.19022455734084101</v>
      </c>
      <c r="BH102" s="153"/>
      <c r="BI102" s="463">
        <f t="shared" si="157"/>
        <v>1.1668943385062214E-2</v>
      </c>
      <c r="BJ102" s="463">
        <f t="shared" si="158"/>
        <v>3.2224811588588066E-2</v>
      </c>
      <c r="BK102" s="463">
        <f t="shared" si="159"/>
        <v>4.3749999999999995E-3</v>
      </c>
      <c r="BL102" s="463">
        <f t="shared" si="160"/>
        <v>2.8449792000000005E-2</v>
      </c>
      <c r="BM102">
        <f t="shared" si="161"/>
        <v>5.7999999999999996E-3</v>
      </c>
      <c r="BN102">
        <f t="shared" si="162"/>
        <v>1.3124999999999999E-5</v>
      </c>
      <c r="BO102" s="463">
        <f t="shared" si="198"/>
        <v>8.4288445615565769E-2</v>
      </c>
      <c r="BP102" s="147">
        <f t="shared" si="180"/>
        <v>84.288445615565763</v>
      </c>
      <c r="BQ102" s="463">
        <f t="shared" si="164"/>
        <v>6.4699632012656452E-2</v>
      </c>
      <c r="BR102" s="463"/>
      <c r="BT102" s="147">
        <f t="shared" si="181"/>
        <v>64.699632012656451</v>
      </c>
      <c r="BU102" s="463">
        <f t="shared" si="165"/>
        <v>3.3339838243034901E-2</v>
      </c>
      <c r="BV102" s="463">
        <f t="shared" si="166"/>
        <v>3.618538221551891E-2</v>
      </c>
      <c r="BW102" s="463">
        <f t="shared" si="167"/>
        <v>0</v>
      </c>
      <c r="BX102" s="463">
        <f t="shared" si="199"/>
        <v>7.8303773884947289E-2</v>
      </c>
      <c r="BY102" s="463">
        <f t="shared" si="169"/>
        <v>3.650074074074075E-2</v>
      </c>
      <c r="BZ102" s="147">
        <f t="shared" si="182"/>
        <v>114.80451462568804</v>
      </c>
      <c r="CA102" s="153">
        <f t="shared" si="183"/>
        <v>0.26379259225391027</v>
      </c>
      <c r="CB102" s="5">
        <f t="shared" si="184"/>
        <v>1.94</v>
      </c>
      <c r="CC102" s="153">
        <f t="shared" si="185"/>
        <v>0.88030062666463604</v>
      </c>
      <c r="CD102" s="5">
        <f t="shared" si="186"/>
        <v>88.030062666463607</v>
      </c>
      <c r="CG102" s="59">
        <f t="shared" si="170"/>
        <v>-50</v>
      </c>
      <c r="CH102">
        <f t="shared" si="171"/>
        <v>-50</v>
      </c>
    </row>
    <row r="103" spans="5:86" x14ac:dyDescent="0.25">
      <c r="E103" s="150">
        <v>98</v>
      </c>
      <c r="F103" s="191">
        <f t="shared" si="200"/>
        <v>9.8000000000000004E-2</v>
      </c>
      <c r="G103" s="191"/>
      <c r="H103" s="191">
        <f t="shared" si="187"/>
        <v>1.96</v>
      </c>
      <c r="I103" s="472">
        <f t="shared" si="121"/>
        <v>20</v>
      </c>
      <c r="J103" s="152">
        <f t="shared" si="122"/>
        <v>20.32</v>
      </c>
      <c r="K103" s="386">
        <f t="shared" si="123"/>
        <v>40.32</v>
      </c>
      <c r="L103" s="386"/>
      <c r="M103" s="191">
        <f t="shared" si="124"/>
        <v>0.50396825396825395</v>
      </c>
      <c r="N103" s="152">
        <f t="shared" si="188"/>
        <v>3.4017857142857144</v>
      </c>
      <c r="O103" s="152">
        <f t="shared" si="173"/>
        <v>1.96</v>
      </c>
      <c r="P103" s="191">
        <f t="shared" si="189"/>
        <v>0.17008928571428572</v>
      </c>
      <c r="Q103" s="191">
        <f t="shared" si="127"/>
        <v>20</v>
      </c>
      <c r="R103" s="191">
        <f t="shared" si="190"/>
        <v>0.18898809523809523</v>
      </c>
      <c r="S103" s="152">
        <f t="shared" si="129"/>
        <v>49.00729662654696</v>
      </c>
      <c r="T103" s="467">
        <f t="shared" si="191"/>
        <v>20</v>
      </c>
      <c r="U103" s="191">
        <f t="shared" si="131"/>
        <v>0.43212598425196852</v>
      </c>
      <c r="V103" s="191">
        <f t="shared" si="192"/>
        <v>1.2963779527559056</v>
      </c>
      <c r="W103" s="191">
        <f t="shared" si="133"/>
        <v>1.2759625519251039</v>
      </c>
      <c r="X103" s="175">
        <f t="shared" si="134"/>
        <v>350</v>
      </c>
      <c r="Y103" s="386">
        <f t="shared" si="174"/>
        <v>350</v>
      </c>
      <c r="AA103" s="191">
        <f t="shared" si="135"/>
        <v>0.47996976568405147</v>
      </c>
      <c r="AB103" s="153">
        <f t="shared" si="193"/>
        <v>1.4172335600907031</v>
      </c>
      <c r="AC103" s="153">
        <f t="shared" si="194"/>
        <v>0.11904012045735404</v>
      </c>
      <c r="AD103" s="153"/>
      <c r="AE103" s="153">
        <f t="shared" si="138"/>
        <v>0.44291338582677164</v>
      </c>
      <c r="AF103" s="317">
        <f t="shared" si="195"/>
        <v>2950.1629629629638</v>
      </c>
      <c r="AG103" s="463">
        <f t="shared" si="140"/>
        <v>1.1626476377952754E-2</v>
      </c>
      <c r="AI103" s="153">
        <f t="shared" si="141"/>
        <v>0.45904893630845717</v>
      </c>
      <c r="AJ103" s="153">
        <f t="shared" si="196"/>
        <v>0.45904893630845717</v>
      </c>
      <c r="AK103" s="153">
        <f t="shared" si="197"/>
        <v>1.406032624205638</v>
      </c>
      <c r="AM103" s="317">
        <f t="shared" si="144"/>
        <v>98</v>
      </c>
      <c r="AN103" s="147">
        <f t="shared" si="145"/>
        <v>350</v>
      </c>
      <c r="AP103">
        <f t="shared" si="146"/>
        <v>98</v>
      </c>
      <c r="AQ103">
        <f t="shared" si="147"/>
        <v>350</v>
      </c>
      <c r="AS103" s="5">
        <f t="shared" si="175"/>
        <v>2.8571428571428572</v>
      </c>
      <c r="AT103" s="5">
        <f t="shared" si="148"/>
        <v>1.3771468089253716</v>
      </c>
      <c r="AU103" s="5">
        <f t="shared" si="176"/>
        <v>1.4799960482174856</v>
      </c>
      <c r="AV103" s="5">
        <f t="shared" si="149"/>
        <v>1.3554594576037122</v>
      </c>
      <c r="AW103" s="153">
        <f t="shared" si="177"/>
        <v>0.48200138312388002</v>
      </c>
      <c r="AX103" s="153">
        <f t="shared" si="150"/>
        <v>2.2126222222222229</v>
      </c>
      <c r="AY103" s="153">
        <f t="shared" si="151"/>
        <v>0.11889335704311745</v>
      </c>
      <c r="AZ103" s="153">
        <f t="shared" si="178"/>
        <v>18.610141703878387</v>
      </c>
      <c r="BA103" s="147">
        <f t="shared" si="152"/>
        <v>2.385619286777211</v>
      </c>
      <c r="BB103" s="147">
        <f t="shared" si="153"/>
        <v>13.537470374400003</v>
      </c>
      <c r="BC103" s="5">
        <f t="shared" si="154"/>
        <v>0.16115512525034842</v>
      </c>
      <c r="BD103" s="147">
        <f t="shared" si="155"/>
        <v>16.442179191701509</v>
      </c>
      <c r="BE103" s="5"/>
      <c r="BF103" s="153">
        <f t="shared" si="179"/>
        <v>0.18400198165269543</v>
      </c>
      <c r="BG103" s="153">
        <f t="shared" si="156"/>
        <v>0.19074917052643536</v>
      </c>
      <c r="BH103" s="153"/>
      <c r="BI103" s="463">
        <f t="shared" si="157"/>
        <v>1.1849855238241603E-2</v>
      </c>
      <c r="BJ103" s="463">
        <f t="shared" si="158"/>
        <v>3.2390492945924734E-2</v>
      </c>
      <c r="BK103" s="463">
        <f t="shared" si="159"/>
        <v>4.3749999999999995E-3</v>
      </c>
      <c r="BL103" s="463">
        <f t="shared" si="160"/>
        <v>2.8449792000000005E-2</v>
      </c>
      <c r="BM103">
        <f t="shared" si="161"/>
        <v>5.7999999999999996E-3</v>
      </c>
      <c r="BN103">
        <f t="shared" si="162"/>
        <v>1.3124999999999999E-5</v>
      </c>
      <c r="BO103" s="463">
        <f t="shared" si="198"/>
        <v>8.4663094420008772E-2</v>
      </c>
      <c r="BP103" s="147">
        <f t="shared" si="180"/>
        <v>84.663094420008775</v>
      </c>
      <c r="BQ103" s="463">
        <f t="shared" si="164"/>
        <v>6.5234327987183677E-2</v>
      </c>
      <c r="BR103" s="463"/>
      <c r="BT103" s="147">
        <f t="shared" si="181"/>
        <v>65.234327987183676</v>
      </c>
      <c r="BU103" s="463">
        <f t="shared" si="165"/>
        <v>3.385672925211887E-2</v>
      </c>
      <c r="BV103" s="463">
        <f t="shared" si="166"/>
        <v>3.6385246056523116E-2</v>
      </c>
      <c r="BW103" s="463">
        <f t="shared" si="167"/>
        <v>0</v>
      </c>
      <c r="BX103" s="463">
        <f t="shared" si="199"/>
        <v>7.9115591177842434E-2</v>
      </c>
      <c r="BY103" s="463">
        <f t="shared" si="169"/>
        <v>3.6877037037037042E-2</v>
      </c>
      <c r="BZ103" s="147">
        <f t="shared" si="182"/>
        <v>115.99262821487947</v>
      </c>
      <c r="CA103" s="153">
        <f t="shared" si="183"/>
        <v>0.26589005062207194</v>
      </c>
      <c r="CB103" s="5">
        <f t="shared" si="184"/>
        <v>1.96</v>
      </c>
      <c r="CC103" s="153">
        <f t="shared" si="185"/>
        <v>0.88054663771565744</v>
      </c>
      <c r="CD103" s="5">
        <f t="shared" si="186"/>
        <v>88.054663771565743</v>
      </c>
      <c r="CG103" s="59">
        <f t="shared" si="170"/>
        <v>-50</v>
      </c>
      <c r="CH103">
        <f t="shared" si="171"/>
        <v>-50</v>
      </c>
    </row>
    <row r="104" spans="5:86" x14ac:dyDescent="0.25">
      <c r="E104" s="150">
        <v>99</v>
      </c>
      <c r="F104" s="191">
        <f t="shared" si="200"/>
        <v>9.9000000000000005E-2</v>
      </c>
      <c r="G104" s="191"/>
      <c r="H104" s="191">
        <f t="shared" si="187"/>
        <v>1.98</v>
      </c>
      <c r="I104" s="472">
        <f t="shared" si="121"/>
        <v>20</v>
      </c>
      <c r="J104" s="152">
        <f t="shared" si="122"/>
        <v>20.32</v>
      </c>
      <c r="K104" s="386">
        <f t="shared" si="123"/>
        <v>40.32</v>
      </c>
      <c r="L104" s="386"/>
      <c r="M104" s="191">
        <f t="shared" si="124"/>
        <v>0.50396825396825395</v>
      </c>
      <c r="N104" s="152">
        <f t="shared" si="188"/>
        <v>3.4017857142857144</v>
      </c>
      <c r="O104" s="152">
        <f t="shared" si="173"/>
        <v>1.98</v>
      </c>
      <c r="P104" s="191">
        <f t="shared" si="189"/>
        <v>0.17008928571428572</v>
      </c>
      <c r="Q104" s="191">
        <f t="shared" si="127"/>
        <v>20</v>
      </c>
      <c r="R104" s="191">
        <f t="shared" si="190"/>
        <v>0.18898809523809523</v>
      </c>
      <c r="S104" s="152">
        <f t="shared" si="129"/>
        <v>48.313414945220643</v>
      </c>
      <c r="T104" s="467">
        <f t="shared" si="191"/>
        <v>20</v>
      </c>
      <c r="U104" s="191">
        <f t="shared" si="131"/>
        <v>0.43653543307086617</v>
      </c>
      <c r="V104" s="191">
        <f t="shared" si="192"/>
        <v>1.3096062992125985</v>
      </c>
      <c r="W104" s="191">
        <f t="shared" si="133"/>
        <v>1.288982577965156</v>
      </c>
      <c r="X104" s="175">
        <f t="shared" si="134"/>
        <v>350</v>
      </c>
      <c r="Y104" s="386">
        <f t="shared" si="174"/>
        <v>350</v>
      </c>
      <c r="AA104" s="191">
        <f t="shared" si="135"/>
        <v>0.47996976568405147</v>
      </c>
      <c r="AB104" s="153">
        <f t="shared" si="193"/>
        <v>1.4172335600907031</v>
      </c>
      <c r="AC104" s="153">
        <f t="shared" si="194"/>
        <v>0.11904012045735404</v>
      </c>
      <c r="AD104" s="153"/>
      <c r="AE104" s="153">
        <f t="shared" si="138"/>
        <v>0.44291338582677164</v>
      </c>
      <c r="AF104" s="317">
        <f t="shared" si="195"/>
        <v>2980.2666666666673</v>
      </c>
      <c r="AG104" s="463">
        <f t="shared" si="140"/>
        <v>1.1626476377952754E-2</v>
      </c>
      <c r="AI104" s="153">
        <f t="shared" si="141"/>
        <v>0.46138507829815051</v>
      </c>
      <c r="AJ104" s="153">
        <f t="shared" si="196"/>
        <v>0.46138507829815051</v>
      </c>
      <c r="AK104" s="153">
        <f t="shared" si="197"/>
        <v>1.407590052198767</v>
      </c>
      <c r="AM104" s="317">
        <f t="shared" si="144"/>
        <v>99</v>
      </c>
      <c r="AN104" s="147">
        <f t="shared" si="145"/>
        <v>350</v>
      </c>
      <c r="AP104">
        <f t="shared" si="146"/>
        <v>99</v>
      </c>
      <c r="AQ104">
        <f t="shared" si="147"/>
        <v>350</v>
      </c>
      <c r="AS104" s="5">
        <f t="shared" si="175"/>
        <v>2.8571428571428572</v>
      </c>
      <c r="AT104" s="5">
        <f t="shared" si="148"/>
        <v>1.3841552348944517</v>
      </c>
      <c r="AU104" s="5">
        <f t="shared" si="176"/>
        <v>1.4729876222484055</v>
      </c>
      <c r="AV104" s="5">
        <f t="shared" si="149"/>
        <v>1.3623575146598934</v>
      </c>
      <c r="AW104" s="153">
        <f t="shared" si="177"/>
        <v>0.48445433221305806</v>
      </c>
      <c r="AX104" s="153">
        <f t="shared" si="150"/>
        <v>2.2352000000000003</v>
      </c>
      <c r="AY104" s="153">
        <f t="shared" si="151"/>
        <v>0.11893253914907524</v>
      </c>
      <c r="AZ104" s="153">
        <f t="shared" si="178"/>
        <v>18.793847470104904</v>
      </c>
      <c r="BA104" s="147">
        <f t="shared" si="152"/>
        <v>2.385619286777211</v>
      </c>
      <c r="BB104" s="147">
        <f t="shared" si="153"/>
        <v>13.812124233600001</v>
      </c>
      <c r="BC104" s="5">
        <f t="shared" si="154"/>
        <v>0.1620286384473246</v>
      </c>
      <c r="BD104" s="147">
        <f t="shared" si="155"/>
        <v>16.532863844732461</v>
      </c>
      <c r="BE104" s="5"/>
      <c r="BF104" s="153">
        <f t="shared" si="179"/>
        <v>0.18540837153088369</v>
      </c>
      <c r="BG104" s="153">
        <f t="shared" si="156"/>
        <v>0.19126543316813926</v>
      </c>
      <c r="BH104" s="153"/>
      <c r="BI104" s="463">
        <f t="shared" si="157"/>
        <v>1.2031692481806969E-2</v>
      </c>
      <c r="BJ104" s="463">
        <f t="shared" si="158"/>
        <v>3.2555331124717507E-2</v>
      </c>
      <c r="BK104" s="463">
        <f t="shared" si="159"/>
        <v>4.3749999999999995E-3</v>
      </c>
      <c r="BL104" s="463">
        <f t="shared" si="160"/>
        <v>2.8449792000000005E-2</v>
      </c>
      <c r="BM104">
        <f t="shared" si="161"/>
        <v>5.7999999999999996E-3</v>
      </c>
      <c r="BN104">
        <f t="shared" si="162"/>
        <v>1.3124999999999999E-5</v>
      </c>
      <c r="BO104" s="463">
        <f t="shared" si="198"/>
        <v>8.5037990441892808E-2</v>
      </c>
      <c r="BP104" s="147">
        <f t="shared" si="180"/>
        <v>85.037990441892802</v>
      </c>
      <c r="BQ104" s="463">
        <f t="shared" si="164"/>
        <v>6.5767003966696908E-2</v>
      </c>
      <c r="BR104" s="463"/>
      <c r="BT104" s="147">
        <f t="shared" si="181"/>
        <v>65.767003966696905</v>
      </c>
      <c r="BU104" s="463">
        <f t="shared" si="165"/>
        <v>3.4376264233734202E-2</v>
      </c>
      <c r="BV104" s="463">
        <f t="shared" si="166"/>
        <v>3.6582465924995949E-2</v>
      </c>
      <c r="BW104" s="463">
        <f t="shared" si="167"/>
        <v>0</v>
      </c>
      <c r="BX104" s="463">
        <f t="shared" si="199"/>
        <v>7.992750210209168E-2</v>
      </c>
      <c r="BY104" s="463">
        <f t="shared" si="169"/>
        <v>3.725333333333334E-2</v>
      </c>
      <c r="BZ104" s="147">
        <f t="shared" si="182"/>
        <v>117.18083543542501</v>
      </c>
      <c r="CA104" s="153">
        <f t="shared" si="183"/>
        <v>0.26798582984401476</v>
      </c>
      <c r="CB104" s="5">
        <f t="shared" si="184"/>
        <v>1.98</v>
      </c>
      <c r="CC104" s="153">
        <f t="shared" si="185"/>
        <v>0.88078847015569939</v>
      </c>
      <c r="CD104" s="5">
        <f t="shared" si="186"/>
        <v>88.078847015569934</v>
      </c>
      <c r="CG104" s="59">
        <f t="shared" si="170"/>
        <v>-50</v>
      </c>
      <c r="CH104">
        <f t="shared" si="171"/>
        <v>-50</v>
      </c>
    </row>
    <row r="105" spans="5:86" x14ac:dyDescent="0.25">
      <c r="E105" s="150">
        <v>100</v>
      </c>
      <c r="F105" s="191">
        <f t="shared" si="200"/>
        <v>0.1</v>
      </c>
      <c r="G105" s="191"/>
      <c r="H105" s="191">
        <f t="shared" si="187"/>
        <v>2</v>
      </c>
      <c r="I105" s="472">
        <f t="shared" si="121"/>
        <v>20</v>
      </c>
      <c r="J105" s="152">
        <f t="shared" si="122"/>
        <v>20.32</v>
      </c>
      <c r="K105" s="386">
        <f t="shared" si="123"/>
        <v>40.32</v>
      </c>
      <c r="L105" s="386"/>
      <c r="M105" s="191">
        <f t="shared" si="124"/>
        <v>0.50396825396825395</v>
      </c>
      <c r="N105" s="152">
        <f t="shared" si="188"/>
        <v>3.4017857142857144</v>
      </c>
      <c r="O105" s="152">
        <f t="shared" si="173"/>
        <v>2</v>
      </c>
      <c r="P105" s="191">
        <f t="shared" si="189"/>
        <v>0.17008928571428572</v>
      </c>
      <c r="Q105" s="191">
        <f t="shared" si="127"/>
        <v>20</v>
      </c>
      <c r="R105" s="191">
        <f t="shared" si="190"/>
        <v>0.18898809523809523</v>
      </c>
      <c r="S105" s="152">
        <f t="shared" si="129"/>
        <v>47.633462728983112</v>
      </c>
      <c r="T105" s="467">
        <f t="shared" si="191"/>
        <v>20</v>
      </c>
      <c r="U105" s="191">
        <f t="shared" si="131"/>
        <v>0.44094488188976377</v>
      </c>
      <c r="V105" s="191">
        <f t="shared" si="192"/>
        <v>1.3228346456692914</v>
      </c>
      <c r="W105" s="191">
        <f t="shared" si="133"/>
        <v>1.3020026040052082</v>
      </c>
      <c r="X105" s="175">
        <f t="shared" si="134"/>
        <v>350</v>
      </c>
      <c r="Y105" s="386">
        <f t="shared" si="174"/>
        <v>350</v>
      </c>
      <c r="AA105" s="191">
        <f t="shared" si="135"/>
        <v>0.47996976568405147</v>
      </c>
      <c r="AB105" s="153">
        <f t="shared" si="193"/>
        <v>1.4172335600907031</v>
      </c>
      <c r="AC105" s="153">
        <f t="shared" si="194"/>
        <v>0.11904012045735404</v>
      </c>
      <c r="AD105" s="153"/>
      <c r="AE105" s="153">
        <f t="shared" si="138"/>
        <v>0.44291338582677164</v>
      </c>
      <c r="AF105" s="317">
        <f t="shared" si="195"/>
        <v>3010.3703703703709</v>
      </c>
      <c r="AG105" s="463">
        <f t="shared" si="140"/>
        <v>1.1626476377952754E-2</v>
      </c>
      <c r="AI105" s="153">
        <f t="shared" si="141"/>
        <v>0.46370945108597372</v>
      </c>
      <c r="AJ105" s="153">
        <f t="shared" si="196"/>
        <v>0.46370945108597372</v>
      </c>
      <c r="AK105" s="153">
        <f t="shared" si="197"/>
        <v>1.4091396340573157</v>
      </c>
      <c r="AM105" s="317">
        <f t="shared" si="144"/>
        <v>100</v>
      </c>
      <c r="AN105" s="147">
        <f t="shared" si="145"/>
        <v>350</v>
      </c>
      <c r="AP105">
        <f t="shared" si="146"/>
        <v>100</v>
      </c>
      <c r="AQ105" s="3">
        <f t="shared" si="147"/>
        <v>350</v>
      </c>
      <c r="AS105" s="5">
        <f t="shared" si="175"/>
        <v>2.8571428571428572</v>
      </c>
      <c r="AT105" s="5">
        <f t="shared" si="148"/>
        <v>1.3911283532579211</v>
      </c>
      <c r="AU105" s="5">
        <f t="shared" si="176"/>
        <v>1.4660145038849361</v>
      </c>
      <c r="AV105" s="5">
        <f t="shared" si="149"/>
        <v>1.3692208201357492</v>
      </c>
      <c r="AW105" s="153">
        <f t="shared" si="177"/>
        <v>0.48689492364027237</v>
      </c>
      <c r="AX105" s="153">
        <f t="shared" si="150"/>
        <v>2.2577777777777781</v>
      </c>
      <c r="AY105" s="153">
        <f t="shared" si="151"/>
        <v>0.11896583665409795</v>
      </c>
      <c r="AZ105" s="153">
        <f t="shared" si="178"/>
        <v>18.978370944781698</v>
      </c>
      <c r="BA105" s="147">
        <f t="shared" si="152"/>
        <v>2.385619286777211</v>
      </c>
      <c r="BB105" s="147">
        <f t="shared" si="153"/>
        <v>14.089536000000004</v>
      </c>
      <c r="BC105" s="5">
        <f t="shared" si="154"/>
        <v>0.16289050043165959</v>
      </c>
      <c r="BD105" s="147">
        <f t="shared" si="155"/>
        <v>16.622383376499293</v>
      </c>
      <c r="BE105" s="5"/>
      <c r="BF105" s="153">
        <f t="shared" si="179"/>
        <v>0.18681121433213824</v>
      </c>
      <c r="BG105" s="153">
        <f t="shared" si="156"/>
        <v>0.19177344761089907</v>
      </c>
      <c r="BH105" s="153"/>
      <c r="BI105" s="463">
        <f t="shared" si="157"/>
        <v>1.2214450430086831E-2</v>
      </c>
      <c r="BJ105" s="463">
        <f t="shared" si="158"/>
        <v>3.271933886862631E-2</v>
      </c>
      <c r="BK105" s="463">
        <f t="shared" si="159"/>
        <v>4.3749999999999995E-3</v>
      </c>
      <c r="BL105" s="463">
        <f t="shared" si="160"/>
        <v>2.8449792000000005E-2</v>
      </c>
      <c r="BM105">
        <f t="shared" si="161"/>
        <v>5.7999999999999996E-3</v>
      </c>
      <c r="BN105">
        <f t="shared" si="162"/>
        <v>1.3124999999999999E-5</v>
      </c>
      <c r="BO105" s="463">
        <f t="shared" si="198"/>
        <v>8.5413141266799872E-2</v>
      </c>
      <c r="BP105" s="147">
        <f t="shared" si="180"/>
        <v>85.413141266799869</v>
      </c>
      <c r="BQ105" s="463">
        <f t="shared" si="164"/>
        <v>6.6297670179347679E-2</v>
      </c>
      <c r="BR105" s="463"/>
      <c r="BT105" s="147">
        <f t="shared" si="181"/>
        <v>66.297670179347676</v>
      </c>
      <c r="BU105" s="463">
        <f t="shared" si="165"/>
        <v>3.4898429800248092E-2</v>
      </c>
      <c r="BV105" s="463">
        <f t="shared" si="166"/>
        <v>3.6777055208570247E-2</v>
      </c>
      <c r="BW105" s="463">
        <f t="shared" si="167"/>
        <v>0</v>
      </c>
      <c r="BX105" s="463">
        <f t="shared" si="199"/>
        <v>8.0739506673894484E-2</v>
      </c>
      <c r="BY105" s="463">
        <f t="shared" si="169"/>
        <v>3.7629629629629645E-2</v>
      </c>
      <c r="BZ105" s="147">
        <f t="shared" si="182"/>
        <v>118.36913630352413</v>
      </c>
      <c r="CA105" s="153">
        <f t="shared" si="183"/>
        <v>0.2700799477496717</v>
      </c>
      <c r="CB105" s="5">
        <f t="shared" si="184"/>
        <v>2</v>
      </c>
      <c r="CC105" s="153">
        <f t="shared" si="185"/>
        <v>0.88102623961882853</v>
      </c>
      <c r="CD105" s="5">
        <f t="shared" si="186"/>
        <v>88.102623961882855</v>
      </c>
      <c r="CG105" s="59">
        <f t="shared" si="170"/>
        <v>-50</v>
      </c>
      <c r="CH105">
        <f t="shared" si="171"/>
        <v>-50</v>
      </c>
    </row>
    <row r="106" spans="5:86" x14ac:dyDescent="0.25">
      <c r="E106" s="150"/>
      <c r="F106" s="191"/>
      <c r="G106" s="191"/>
      <c r="H106" s="191"/>
      <c r="I106" s="472"/>
      <c r="J106" s="386"/>
      <c r="K106" s="386"/>
      <c r="L106" s="386"/>
      <c r="M106" s="191"/>
      <c r="N106" s="152"/>
      <c r="O106" s="152"/>
      <c r="P106" s="191"/>
      <c r="Q106" s="191"/>
      <c r="R106" s="191"/>
      <c r="S106" s="152"/>
      <c r="T106" s="152"/>
      <c r="U106" s="191"/>
      <c r="V106" s="191"/>
      <c r="W106" s="191"/>
      <c r="X106" s="175"/>
      <c r="Y106" s="386"/>
      <c r="AA106" s="191"/>
      <c r="AB106" s="153"/>
      <c r="AC106" s="153"/>
      <c r="AD106" s="153"/>
      <c r="AE106" s="153"/>
      <c r="AF106" s="317"/>
      <c r="AI106" s="153"/>
      <c r="AJ106" s="153"/>
      <c r="AK106" s="153"/>
      <c r="AM106" s="317"/>
      <c r="AN106" s="147"/>
      <c r="AQ106" s="3"/>
      <c r="AS106" s="5"/>
      <c r="AT106" s="5"/>
      <c r="AU106" s="5"/>
      <c r="AV106" s="5"/>
      <c r="AW106" s="153"/>
      <c r="AX106" s="153"/>
      <c r="AY106" s="153"/>
      <c r="AZ106" s="153"/>
      <c r="BA106" s="147"/>
      <c r="BB106" s="147"/>
      <c r="BC106" s="5"/>
      <c r="BD106" s="147"/>
      <c r="BE106" s="5"/>
      <c r="BF106" s="153"/>
      <c r="BG106" s="153"/>
      <c r="BH106" s="153"/>
      <c r="BI106" s="463"/>
      <c r="BJ106" s="463"/>
      <c r="BK106" s="463"/>
      <c r="BL106" s="463"/>
      <c r="BO106" s="463"/>
      <c r="BP106" s="147"/>
      <c r="BQ106" s="463"/>
      <c r="BR106" s="463"/>
      <c r="BT106" s="147"/>
      <c r="BU106" s="463"/>
      <c r="BV106" s="463"/>
      <c r="BW106" s="463"/>
      <c r="BX106" s="463"/>
      <c r="BY106" s="463"/>
      <c r="BZ106" s="147"/>
      <c r="CA106" s="153"/>
      <c r="CB106" s="5"/>
      <c r="CC106" s="153"/>
      <c r="CD106" s="5"/>
      <c r="CG106" s="59"/>
    </row>
    <row r="107" spans="5:86" x14ac:dyDescent="0.25">
      <c r="H107" s="191"/>
      <c r="I107" s="472"/>
      <c r="J107" s="386"/>
      <c r="K107" s="386"/>
      <c r="L107" s="386"/>
      <c r="M107" s="191"/>
      <c r="N107" s="152"/>
      <c r="O107" s="152"/>
      <c r="P107" s="191"/>
      <c r="Q107" s="191"/>
      <c r="R107" s="191"/>
      <c r="S107" s="152"/>
      <c r="T107" s="152"/>
      <c r="U107" s="191"/>
      <c r="V107" s="191"/>
      <c r="W107" s="191"/>
      <c r="X107" s="175"/>
      <c r="Y107" s="386"/>
      <c r="AA107" s="191"/>
      <c r="AB107" s="153"/>
      <c r="AC107" s="153"/>
      <c r="AD107" s="153"/>
      <c r="AE107" s="153"/>
      <c r="AF107" s="317"/>
      <c r="AI107" s="153"/>
      <c r="AJ107" s="153"/>
      <c r="AK107" s="153"/>
      <c r="AM107" s="317"/>
      <c r="AN107" s="147"/>
      <c r="AS107" s="5"/>
      <c r="AT107" s="5"/>
      <c r="AU107" s="5"/>
      <c r="AV107" s="5"/>
      <c r="AW107" s="153"/>
      <c r="AX107" s="153"/>
      <c r="AY107" s="153"/>
      <c r="AZ107" s="153"/>
      <c r="BA107" s="147"/>
      <c r="BB107" s="147"/>
      <c r="BC107" s="5"/>
      <c r="BD107" s="147"/>
      <c r="BF107" s="153"/>
      <c r="BG107" s="153"/>
      <c r="BI107" s="463"/>
      <c r="BJ107" s="463"/>
      <c r="BK107" s="463"/>
      <c r="BL107" s="463"/>
      <c r="BO107" s="463"/>
      <c r="BP107" s="147"/>
      <c r="BQ107" s="463"/>
      <c r="BT107" s="147"/>
      <c r="BU107" s="463"/>
      <c r="BV107" s="463"/>
      <c r="BW107" s="463"/>
      <c r="BX107" s="463"/>
      <c r="BY107" s="463"/>
      <c r="BZ107" s="147"/>
      <c r="CA107" s="153"/>
      <c r="CB107" s="5"/>
      <c r="CC107" s="153"/>
      <c r="CD107" s="5"/>
      <c r="CG107" s="59"/>
    </row>
    <row r="108" spans="5:86" x14ac:dyDescent="0.25">
      <c r="E108" s="162" t="s">
        <v>441</v>
      </c>
      <c r="H108" s="191"/>
      <c r="I108" s="472"/>
      <c r="J108" s="386"/>
      <c r="K108" s="386"/>
      <c r="L108" s="386"/>
      <c r="M108" s="191"/>
      <c r="N108" s="152">
        <f>Efficiency</f>
        <v>0.9</v>
      </c>
      <c r="O108" s="152"/>
      <c r="P108" s="191"/>
      <c r="Q108" s="191"/>
      <c r="R108" s="191"/>
      <c r="S108" s="152"/>
      <c r="T108" s="152"/>
      <c r="U108" s="191"/>
      <c r="V108" s="191"/>
      <c r="W108" s="191"/>
      <c r="X108" s="175"/>
      <c r="Y108" s="386"/>
      <c r="AA108" s="191"/>
      <c r="AB108" s="153"/>
      <c r="AC108" s="153"/>
      <c r="AD108" s="153"/>
      <c r="AE108" s="153"/>
      <c r="AF108" s="317"/>
      <c r="AI108" s="153"/>
      <c r="AJ108" s="153"/>
      <c r="AK108" s="153"/>
      <c r="AM108" s="317"/>
      <c r="AN108" s="147"/>
      <c r="AS108" s="5"/>
      <c r="AT108" s="5"/>
      <c r="AU108" s="5"/>
      <c r="AV108" s="5"/>
      <c r="AW108" s="153"/>
      <c r="AX108" s="153"/>
      <c r="AY108" s="153"/>
      <c r="AZ108" s="153"/>
      <c r="BA108" s="147"/>
      <c r="BB108" s="147"/>
      <c r="BC108" s="5"/>
      <c r="BD108" s="147"/>
      <c r="BF108" s="153"/>
      <c r="BG108" s="153"/>
      <c r="BI108" s="463"/>
      <c r="BJ108" s="463"/>
      <c r="BK108" s="463"/>
      <c r="BL108" s="463"/>
      <c r="BO108" s="463"/>
      <c r="BP108" s="147"/>
      <c r="BQ108" s="463"/>
      <c r="BT108" s="147"/>
      <c r="BU108" s="463"/>
      <c r="BV108" s="463"/>
      <c r="BW108" s="463"/>
      <c r="BX108" s="463"/>
      <c r="BY108" s="463"/>
      <c r="BZ108" s="147"/>
      <c r="CA108" s="153"/>
      <c r="CB108" s="5"/>
      <c r="CC108" s="153"/>
      <c r="CD108" s="5"/>
      <c r="CG108" s="59">
        <f>Ioutmax_Vinmin</f>
        <v>0.10588733287858117</v>
      </c>
    </row>
    <row r="109" spans="5:86" ht="45" customHeight="1" thickBot="1" x14ac:dyDescent="0.3">
      <c r="E109" s="214" t="s">
        <v>25</v>
      </c>
      <c r="F109" s="387" t="s">
        <v>194</v>
      </c>
      <c r="G109" s="233"/>
      <c r="H109" s="462" t="s">
        <v>223</v>
      </c>
      <c r="I109" s="215" t="s">
        <v>419</v>
      </c>
      <c r="J109" s="216" t="s">
        <v>425</v>
      </c>
      <c r="K109" s="462" t="s">
        <v>420</v>
      </c>
      <c r="L109" s="462"/>
      <c r="M109" s="217" t="s">
        <v>48</v>
      </c>
      <c r="N109" s="462" t="s">
        <v>409</v>
      </c>
      <c r="O109" s="462" t="s">
        <v>671</v>
      </c>
      <c r="P109" s="462" t="s">
        <v>410</v>
      </c>
      <c r="Q109" s="462" t="s">
        <v>440</v>
      </c>
      <c r="R109" s="462" t="s">
        <v>669</v>
      </c>
      <c r="S109" s="462" t="s">
        <v>672</v>
      </c>
      <c r="T109" s="462" t="s">
        <v>670</v>
      </c>
      <c r="U109" s="462" t="s">
        <v>421</v>
      </c>
      <c r="V109" s="462" t="s">
        <v>473</v>
      </c>
      <c r="W109" s="462" t="s">
        <v>472</v>
      </c>
      <c r="X109" s="476" t="s">
        <v>427</v>
      </c>
      <c r="Y109" s="473" t="s">
        <v>432</v>
      </c>
      <c r="AA109" s="218" t="s">
        <v>424</v>
      </c>
      <c r="AB109" s="218" t="s">
        <v>471</v>
      </c>
      <c r="AC109" s="218" t="s">
        <v>430</v>
      </c>
      <c r="AD109" s="475"/>
      <c r="AE109" s="218" t="s">
        <v>470</v>
      </c>
      <c r="AF109" s="218" t="s">
        <v>433</v>
      </c>
      <c r="AG109" s="218" t="s">
        <v>434</v>
      </c>
      <c r="AH109" s="475"/>
      <c r="AI109" s="218" t="s">
        <v>436</v>
      </c>
      <c r="AJ109" s="477" t="s">
        <v>437</v>
      </c>
      <c r="AK109" s="477" t="s">
        <v>438</v>
      </c>
      <c r="AM109" s="474" t="s">
        <v>274</v>
      </c>
      <c r="AN109" s="474" t="s">
        <v>439</v>
      </c>
      <c r="AP109" s="218" t="s">
        <v>274</v>
      </c>
      <c r="AQ109" s="218" t="s">
        <v>439</v>
      </c>
      <c r="AR109" s="478"/>
      <c r="AS109" s="218" t="s">
        <v>474</v>
      </c>
      <c r="AT109" s="218" t="s">
        <v>468</v>
      </c>
      <c r="AU109" s="218" t="s">
        <v>469</v>
      </c>
      <c r="AV109" s="218" t="s">
        <v>668</v>
      </c>
      <c r="AW109" s="218" t="s">
        <v>48</v>
      </c>
      <c r="AX109" s="478" t="s">
        <v>666</v>
      </c>
      <c r="AY109" s="475" t="s">
        <v>665</v>
      </c>
      <c r="AZ109" s="475" t="s">
        <v>667</v>
      </c>
      <c r="BA109" s="218" t="s">
        <v>489</v>
      </c>
      <c r="BB109" s="218" t="s">
        <v>794</v>
      </c>
      <c r="BC109" s="218" t="s">
        <v>525</v>
      </c>
      <c r="BD109" s="218" t="s">
        <v>795</v>
      </c>
      <c r="BE109" s="475"/>
      <c r="BF109" s="486" t="s">
        <v>463</v>
      </c>
      <c r="BG109" s="218" t="s">
        <v>464</v>
      </c>
      <c r="BH109" s="475"/>
      <c r="BI109" s="486" t="s">
        <v>481</v>
      </c>
      <c r="BJ109" s="218" t="s">
        <v>482</v>
      </c>
      <c r="BK109" s="218" t="s">
        <v>480</v>
      </c>
      <c r="BL109" s="218" t="s">
        <v>476</v>
      </c>
      <c r="BM109" s="218" t="s">
        <v>485</v>
      </c>
      <c r="BN109" s="218" t="s">
        <v>793</v>
      </c>
      <c r="BO109" s="218" t="s">
        <v>686</v>
      </c>
      <c r="BP109" s="218" t="s">
        <v>500</v>
      </c>
      <c r="BQ109" s="486" t="s">
        <v>483</v>
      </c>
      <c r="BR109" s="218" t="s">
        <v>484</v>
      </c>
      <c r="BS109" s="218" t="s">
        <v>492</v>
      </c>
      <c r="BT109" s="218" t="s">
        <v>496</v>
      </c>
      <c r="BU109" s="486" t="s">
        <v>465</v>
      </c>
      <c r="BV109" s="218" t="s">
        <v>466</v>
      </c>
      <c r="BW109" s="218" t="s">
        <v>475</v>
      </c>
      <c r="BX109" s="218"/>
      <c r="BY109" s="218" t="s">
        <v>493</v>
      </c>
      <c r="BZ109" s="218" t="s">
        <v>495</v>
      </c>
      <c r="CA109" s="486" t="s">
        <v>491</v>
      </c>
      <c r="CB109" s="218" t="s">
        <v>223</v>
      </c>
      <c r="CC109" s="218" t="s">
        <v>47</v>
      </c>
      <c r="CD109" s="218" t="s">
        <v>494</v>
      </c>
      <c r="CE109" s="218"/>
      <c r="CG109" s="59"/>
    </row>
    <row r="110" spans="5:86" x14ac:dyDescent="0.25">
      <c r="E110" s="150">
        <v>0.1</v>
      </c>
      <c r="F110" s="191">
        <v>1.0000000000000001E-9</v>
      </c>
      <c r="G110" s="191"/>
      <c r="H110" s="191">
        <f t="shared" ref="H110:H141" si="201">F110*Vout</f>
        <v>2E-8</v>
      </c>
      <c r="I110" s="472">
        <f t="shared" ref="I110:I141" si="202">VIN_min</f>
        <v>9</v>
      </c>
      <c r="J110" s="386">
        <f t="shared" ref="J110:J141" si="203">(T110+Vfwd1)*Nps</f>
        <v>20.32</v>
      </c>
      <c r="K110" s="386">
        <f t="shared" ref="K110:K141" si="204">(Vout+Vfwd1)*Nps+I110</f>
        <v>29.32</v>
      </c>
      <c r="L110" s="386"/>
      <c r="M110" s="191">
        <f t="shared" ref="M110:M141" si="205">(Vout+Vfwd1)*Nps/((Vout+Vfwd1)*Nps+I110)</f>
        <v>0.69304229195088674</v>
      </c>
      <c r="N110" s="152">
        <f t="shared" ref="N110:N141" si="206">M110*I110*(Isw_max+VIN_min/Lmag*ILIM_delay)*0.5*Efficiency</f>
        <v>2.1177466575716233</v>
      </c>
      <c r="O110" s="152">
        <f t="shared" si="173"/>
        <v>2E-8</v>
      </c>
      <c r="P110" s="191">
        <f t="shared" ref="P110:P141" si="207">N110/Vout</f>
        <v>0.10588733287858117</v>
      </c>
      <c r="Q110" s="191">
        <f t="shared" ref="Q110:Q141" si="208">MIN(Vout,N110/F110)</f>
        <v>20</v>
      </c>
      <c r="R110" s="191"/>
      <c r="S110" s="152">
        <f t="shared" ref="S110:S141" si="209">(SQRT(Isw_max^2*Nps^2*I110^2+4*Isw_max*F110/Efficiency*(Nps^2*Vfwd1*I110-Nps*I110^2)+4*(F110/Efficiency)^2*Nps^2*Vfwd1^2+8*(F110/Efficiency)^2*Nps*Vfwd1*I110+4*(F110/Efficiency)^2*I110^2)-2*F110/Efficiency*I110-2*F110/Efficiency*Nps*Vfwd1+Isw_max*Nps*I110)/(4*F110/Efficiency*Nps)</f>
        <v>3037499991</v>
      </c>
      <c r="T110" s="152">
        <f t="shared" ref="T110:T141" si="210">MIN(Vout, S110)</f>
        <v>20</v>
      </c>
      <c r="U110" s="191">
        <f t="shared" ref="U110:U141" si="211">MIN(2*Vout*F110/(Efficiency*I110*M110), Isw_max)</f>
        <v>7.125498201613688E-9</v>
      </c>
      <c r="V110" s="191">
        <f t="shared" ref="V110:V141" si="212">L*U110/I110*1000000</f>
        <v>4.7503321344091251E-8</v>
      </c>
      <c r="W110" s="191">
        <f t="shared" ref="W110:W141" si="213">L*U110/J110*1000000</f>
        <v>2.1039856894528605E-8</v>
      </c>
      <c r="X110" s="175">
        <f t="shared" ref="X110:X141" si="214">IF(1/((350000*L)*(1/I110+1/J110))&gt;Isw_min, 350, 0.001/((Isw_min*L)*(1/I110+1/J110)))</f>
        <v>350</v>
      </c>
      <c r="Y110" s="386">
        <f t="shared" ref="Y110:Y169" si="215">MIN(1/(V110+W110)*1000, 350)</f>
        <v>350</v>
      </c>
      <c r="AA110" s="191">
        <f t="shared" ref="AA110:AA141" si="216">1/((X110*1000*L)*(1/I110+1/J110))</f>
        <v>0.29701812512180864</v>
      </c>
      <c r="AB110" s="153">
        <f t="shared" ref="AB110:AB141" si="217">L*AA110/J110*1000000</f>
        <v>0.87702202299746645</v>
      </c>
      <c r="AC110" s="153">
        <f t="shared" ref="AC110:AC141" si="218">0.5*AB110*AA110*Nps*X110/1000</f>
        <v>4.5586001468217563E-2</v>
      </c>
      <c r="AD110" s="153"/>
      <c r="AE110" s="153">
        <f t="shared" ref="AE110:AE141" si="219">L*Isw_min/J110*1000000</f>
        <v>0.44291338582677164</v>
      </c>
      <c r="AF110" s="317">
        <f t="shared" ref="AF110:AF141" si="220">MAX(12000,F110/(0.5*AE110/1000000*Isw_min*Nps))/1000</f>
        <v>12</v>
      </c>
      <c r="AG110" s="463">
        <f t="shared" ref="AG110:AG141" si="221">0.5*AE110/1000000*Isw_min*Nps*X110*1000</f>
        <v>1.1626476377952754E-2</v>
      </c>
      <c r="AI110" s="153">
        <f t="shared" ref="AI110:AI141" si="222">SQRT(F110/(0.5*L/J110*Fsw_DCM*Nps))</f>
        <v>4.3991341139343498E-5</v>
      </c>
      <c r="AJ110" s="153">
        <f t="shared" ref="AJ110:AJ141" si="223">MAX(IF(F110&gt;AC110,U110,AI110),Isw_min)</f>
        <v>0.15</v>
      </c>
      <c r="AK110" s="153">
        <f t="shared" ref="AK110:AK141" si="224">IF(F110&gt;AG110, (AJ110-Isw_min)/1.2*0.8+1.2, AF110*0.2/350+1)</f>
        <v>1.0068571428571429</v>
      </c>
      <c r="AM110" s="317">
        <f t="shared" ref="AM110:AM141" si="225">F110*1000</f>
        <v>1.0000000000000002E-6</v>
      </c>
      <c r="AN110" s="147">
        <f t="shared" ref="AN110:AN141" si="226">IF(F110&gt;AG110, Y110, AF110)</f>
        <v>12</v>
      </c>
      <c r="AP110" s="147">
        <f t="shared" ref="AP110:AP141" si="227">IF(H110&gt;N110, "",AM110)</f>
        <v>1.0000000000000002E-6</v>
      </c>
      <c r="AQ110" s="147">
        <f t="shared" ref="AQ110:AQ141" si="228">IF(H110&gt;N110, "",AN110)</f>
        <v>12</v>
      </c>
      <c r="AS110" s="5">
        <f t="shared" si="175"/>
        <v>83.333333333333329</v>
      </c>
      <c r="AT110" s="5">
        <f t="shared" ref="AT110:AT141" si="229">L*AJ110/I110*1000000</f>
        <v>1</v>
      </c>
      <c r="AU110" s="5">
        <f t="shared" ref="AU110:AU169" si="230">AS110-AT110</f>
        <v>82.333333333333329</v>
      </c>
      <c r="AV110" s="5"/>
      <c r="AW110" s="153">
        <f t="shared" ref="AW110:AW169" si="231">AT110/AS110</f>
        <v>1.2E-2</v>
      </c>
      <c r="AX110" s="153">
        <f t="shared" si="150"/>
        <v>8.0999999999999996E-3</v>
      </c>
      <c r="AY110" s="153">
        <f t="shared" si="151"/>
        <v>7.4099999999999999E-2</v>
      </c>
      <c r="AZ110" s="153">
        <f t="shared" si="178"/>
        <v>0.10931174089068825</v>
      </c>
      <c r="BA110" s="147">
        <f t="shared" ref="BA110:BA141" si="232">L*Isw_max^2/(2*Vout_ripple*Vout)*1000000000*((1+M110)/2)^2</f>
        <v>3.0231480258994696</v>
      </c>
      <c r="BB110" s="147">
        <f t="shared" ref="BB110:BB141" si="233">L*F110^2/(2*Cout*Vout*Nps^2)*1000000000*((1+M110)/(1-M110))^2+F110*RCoutEsr</f>
        <v>3.0000045632029633E-9</v>
      </c>
      <c r="BC110" s="5">
        <f t="shared" ref="BC110:BC116" si="234">H110/Efficiency/I110*AU110/Vinripple1</f>
        <v>2.0329218106995887E-7</v>
      </c>
      <c r="BD110" s="147">
        <f t="shared" ref="BD110:BD141" si="235">((CB110/I110/Efficiency)*AU110/Cin+(CB110/I110/Efficiency)*RCinEsr)*1000</f>
        <v>2.0336625514403288E-5</v>
      </c>
      <c r="BF110" s="153">
        <f t="shared" si="179"/>
        <v>9.4868329805051377E-3</v>
      </c>
      <c r="BG110" s="153">
        <f t="shared" si="156"/>
        <v>8.6081356866629363E-2</v>
      </c>
      <c r="BI110" s="463">
        <f t="shared" ref="BI110:BI169" si="236">Rdson*BF110^2</f>
        <v>3.1499999999999993E-5</v>
      </c>
      <c r="BJ110" s="463">
        <f t="shared" ref="BJ110:BJ169" si="237">0.5*K110*AJ110*AN110*1000*Trise</f>
        <v>2.6387999999999997E-4</v>
      </c>
      <c r="BK110" s="463">
        <f t="shared" ref="BK110:BK169" si="238">Qg*Vdd*AN110*1000</f>
        <v>1.4999999999999999E-4</v>
      </c>
      <c r="BL110" s="463">
        <f t="shared" ref="BL110:BL169" si="239">0.5*(Coss+Csw)*K110^2*AN110*1000</f>
        <v>5.1579744E-4</v>
      </c>
      <c r="BM110">
        <f t="shared" ref="BM110:BM169" si="240">I110*IQ</f>
        <v>2.6099999999999999E-3</v>
      </c>
      <c r="BN110">
        <f t="shared" ref="BN110:BN141" si="241">(I110-Vdd)*Qg*AN110</f>
        <v>1.2000000000000002E-7</v>
      </c>
      <c r="BO110" s="463">
        <f t="shared" ref="BO110:BO141" si="242">(BJ110+BK110+BL110+BM110+BN110+BI110*(1+RdsonTC*(Ta-25)))/(1-BI110*RdsonTC*ThetaJA)</f>
        <v>3.5755707203231342E-3</v>
      </c>
      <c r="BP110" s="147">
        <f t="shared" ref="BP110:BP169" si="243">SUM(BI110:BM110)*1000</f>
        <v>3.57117744</v>
      </c>
      <c r="BQ110" s="463">
        <f t="shared" ref="BQ110:BQ141" si="244">(Vfwd2*F110+BG110^2*Rdiode)*(1+Diode_TC/1000*(Ta-25))</f>
        <v>5.6612403819999999E-3</v>
      </c>
      <c r="BT110" s="147">
        <f t="shared" ref="BT110:BT169" si="245">SUM(BQ110:BS110)*1000</f>
        <v>5.6612403819999999</v>
      </c>
      <c r="BU110" s="463">
        <f t="shared" ref="BU110:BU169" si="246">Rdcr_pri*BF110^2</f>
        <v>8.9999999999999992E-5</v>
      </c>
      <c r="BV110" s="463">
        <f t="shared" ref="BV110:BV169" si="247">Rdcr_sec*BG110^2</f>
        <v>7.4099999999999982E-3</v>
      </c>
      <c r="BW110" s="463">
        <f t="shared" ref="BW110:BW169" si="248">AJ110^2.5*AN110^2.5*k_core</f>
        <v>0</v>
      </c>
      <c r="BX110" s="463"/>
      <c r="BY110" s="463">
        <f t="shared" ref="BY110:BY169" si="249">0.5*Lleak*0.000000001*AJ110^2*AN110*1000</f>
        <v>1.3500000000000003E-4</v>
      </c>
      <c r="BZ110" s="147">
        <f t="shared" ref="BZ110:BZ169" si="250">SUM(BU110:BY110)*1000</f>
        <v>7.634999999999998</v>
      </c>
      <c r="CA110" s="153">
        <f t="shared" ref="CA110:CA169" si="251">SUM(BI110:BM110,BQ110:BS110,BU110:BY110)</f>
        <v>1.6867417821999995E-2</v>
      </c>
      <c r="CB110" s="5">
        <f t="shared" ref="CB110:CB169" si="252">MIN(H110,O110)</f>
        <v>2E-8</v>
      </c>
      <c r="CC110" s="153">
        <f t="shared" ref="CC110:CC169" si="253">CB110/(CB110+CA110)</f>
        <v>1.1857165392312424E-6</v>
      </c>
      <c r="CD110" s="5">
        <f t="shared" ref="CD110:CD169" si="254">CC110*100</f>
        <v>1.1857165392312424E-4</v>
      </c>
      <c r="CG110" s="59">
        <f t="shared" ref="CG110:CG141" si="255">IF(ABS(F110-Ioutmax_Vinmin)&lt;Iout/200, AN110, -50)</f>
        <v>-50</v>
      </c>
      <c r="CH110">
        <f t="shared" ref="CH110:CH141" si="256">IF(ABS(F110-Ioutmax_Vinmin)&lt;Iout/200, N110*CC110, -50)</f>
        <v>-50</v>
      </c>
    </row>
    <row r="111" spans="5:86" x14ac:dyDescent="0.25">
      <c r="E111" s="150">
        <v>1</v>
      </c>
      <c r="F111" s="191">
        <f t="shared" ref="F111:F142" si="257">IF(PLOT_TYPE=1, E111/100*Iout_max, min_I*EXP(N111*rr/100))</f>
        <v>1E-3</v>
      </c>
      <c r="G111" s="191"/>
      <c r="H111" s="191">
        <f t="shared" si="201"/>
        <v>0.02</v>
      </c>
      <c r="I111" s="472">
        <f t="shared" si="202"/>
        <v>9</v>
      </c>
      <c r="J111" s="386">
        <f t="shared" si="203"/>
        <v>20.32</v>
      </c>
      <c r="K111" s="386">
        <f t="shared" si="204"/>
        <v>29.32</v>
      </c>
      <c r="L111" s="386"/>
      <c r="M111" s="191">
        <f t="shared" si="205"/>
        <v>0.69304229195088674</v>
      </c>
      <c r="N111" s="152">
        <f t="shared" si="206"/>
        <v>2.1177466575716233</v>
      </c>
      <c r="O111" s="152">
        <f t="shared" si="173"/>
        <v>0.02</v>
      </c>
      <c r="P111" s="191">
        <f t="shared" si="207"/>
        <v>0.10588733287858117</v>
      </c>
      <c r="Q111" s="191">
        <f t="shared" si="208"/>
        <v>20</v>
      </c>
      <c r="R111" s="191"/>
      <c r="S111" s="152">
        <f t="shared" si="209"/>
        <v>3028.5009508650551</v>
      </c>
      <c r="T111" s="152">
        <f t="shared" si="210"/>
        <v>20</v>
      </c>
      <c r="U111" s="191">
        <f t="shared" si="211"/>
        <v>7.1254982016136876E-3</v>
      </c>
      <c r="V111" s="191">
        <f t="shared" si="212"/>
        <v>4.750332134409125E-2</v>
      </c>
      <c r="W111" s="191">
        <f t="shared" si="213"/>
        <v>2.1039856894528603E-2</v>
      </c>
      <c r="X111" s="175">
        <f t="shared" si="214"/>
        <v>350</v>
      </c>
      <c r="Y111" s="386">
        <f t="shared" si="215"/>
        <v>350</v>
      </c>
      <c r="AA111" s="191">
        <f t="shared" si="216"/>
        <v>0.29701812512180864</v>
      </c>
      <c r="AB111" s="153">
        <f t="shared" si="217"/>
        <v>0.87702202299746645</v>
      </c>
      <c r="AC111" s="153">
        <f t="shared" si="218"/>
        <v>4.5586001468217563E-2</v>
      </c>
      <c r="AD111" s="153"/>
      <c r="AE111" s="153">
        <f t="shared" si="219"/>
        <v>0.44291338582677164</v>
      </c>
      <c r="AF111" s="317">
        <f t="shared" si="220"/>
        <v>30.103703703703708</v>
      </c>
      <c r="AG111" s="463">
        <f t="shared" si="221"/>
        <v>1.1626476377952754E-2</v>
      </c>
      <c r="AI111" s="153">
        <f t="shared" si="222"/>
        <v>4.3991341139343491E-2</v>
      </c>
      <c r="AJ111" s="153">
        <f t="shared" si="223"/>
        <v>0.15</v>
      </c>
      <c r="AK111" s="153">
        <f t="shared" si="224"/>
        <v>1.0172021164021163</v>
      </c>
      <c r="AM111" s="317">
        <f t="shared" si="225"/>
        <v>1</v>
      </c>
      <c r="AN111" s="147">
        <f t="shared" si="226"/>
        <v>30.103703703703708</v>
      </c>
      <c r="AP111" s="147">
        <f t="shared" si="227"/>
        <v>1</v>
      </c>
      <c r="AQ111" s="147">
        <f t="shared" si="228"/>
        <v>30.103703703703708</v>
      </c>
      <c r="AS111" s="5">
        <f t="shared" si="175"/>
        <v>33.218503937007867</v>
      </c>
      <c r="AT111" s="5">
        <f t="shared" si="229"/>
        <v>1</v>
      </c>
      <c r="AU111" s="5">
        <f t="shared" si="230"/>
        <v>32.218503937007867</v>
      </c>
      <c r="AV111" s="5"/>
      <c r="AW111" s="153">
        <f t="shared" si="231"/>
        <v>3.0103703703703709E-2</v>
      </c>
      <c r="AX111" s="153">
        <f t="shared" si="150"/>
        <v>2.0320000000000001E-2</v>
      </c>
      <c r="AY111" s="153">
        <f t="shared" si="151"/>
        <v>7.2742222222222222E-2</v>
      </c>
      <c r="AZ111" s="153">
        <f t="shared" si="178"/>
        <v>0.27934257958086395</v>
      </c>
      <c r="BA111" s="147">
        <f t="shared" si="232"/>
        <v>3.0231480258994696</v>
      </c>
      <c r="BB111" s="147">
        <f t="shared" si="233"/>
        <v>7.5632029629629617E-3</v>
      </c>
      <c r="BC111" s="5">
        <f t="shared" si="234"/>
        <v>7.9551861572858928E-2</v>
      </c>
      <c r="BD111" s="147">
        <f t="shared" si="235"/>
        <v>7.9625935646932993</v>
      </c>
      <c r="BF111" s="153">
        <f t="shared" si="179"/>
        <v>1.5025903559446193E-2</v>
      </c>
      <c r="BG111" s="153">
        <f t="shared" si="156"/>
        <v>8.5289051010210101E-2</v>
      </c>
      <c r="BI111" s="463">
        <f t="shared" si="236"/>
        <v>7.9022222222222208E-5</v>
      </c>
      <c r="BJ111" s="463">
        <f t="shared" si="237"/>
        <v>6.6198044444444441E-4</v>
      </c>
      <c r="BK111" s="463">
        <f t="shared" si="238"/>
        <v>3.7629629629629634E-4</v>
      </c>
      <c r="BL111" s="463">
        <f t="shared" si="239"/>
        <v>1.2939511087407412E-3</v>
      </c>
      <c r="BM111">
        <f t="shared" si="240"/>
        <v>2.6099999999999999E-3</v>
      </c>
      <c r="BN111">
        <f t="shared" si="241"/>
        <v>3.010370370370371E-7</v>
      </c>
      <c r="BO111" s="463">
        <f t="shared" si="242"/>
        <v>5.032292477552147E-3</v>
      </c>
      <c r="BP111" s="147">
        <f t="shared" si="243"/>
        <v>5.0212500717037036</v>
      </c>
      <c r="BQ111" s="463">
        <f t="shared" si="244"/>
        <v>5.9395057777777774E-3</v>
      </c>
      <c r="BT111" s="147">
        <f t="shared" si="245"/>
        <v>5.9395057777777778</v>
      </c>
      <c r="BU111" s="463">
        <f t="shared" si="246"/>
        <v>2.2577777777777776E-4</v>
      </c>
      <c r="BV111" s="463">
        <f t="shared" si="247"/>
        <v>7.274222222222221E-3</v>
      </c>
      <c r="BW111" s="463">
        <f t="shared" si="248"/>
        <v>0</v>
      </c>
      <c r="BX111" s="463"/>
      <c r="BY111" s="463">
        <f t="shared" si="249"/>
        <v>3.3866666666666675E-4</v>
      </c>
      <c r="BZ111" s="147">
        <f t="shared" si="250"/>
        <v>7.8386666666666658</v>
      </c>
      <c r="CA111" s="153">
        <f t="shared" si="251"/>
        <v>1.8799422516148148E-2</v>
      </c>
      <c r="CB111" s="5">
        <f t="shared" si="252"/>
        <v>0.02</v>
      </c>
      <c r="CC111" s="153">
        <f t="shared" si="253"/>
        <v>0.51547158960100725</v>
      </c>
      <c r="CD111" s="5">
        <f t="shared" si="254"/>
        <v>51.547158960100724</v>
      </c>
      <c r="CG111" s="59">
        <f t="shared" si="255"/>
        <v>-50</v>
      </c>
      <c r="CH111">
        <f t="shared" si="256"/>
        <v>-50</v>
      </c>
    </row>
    <row r="112" spans="5:86" x14ac:dyDescent="0.25">
      <c r="E112" s="150">
        <v>2</v>
      </c>
      <c r="F112" s="191">
        <f t="shared" si="257"/>
        <v>2E-3</v>
      </c>
      <c r="G112" s="191"/>
      <c r="H112" s="191">
        <f t="shared" si="201"/>
        <v>0.04</v>
      </c>
      <c r="I112" s="472">
        <f t="shared" si="202"/>
        <v>9</v>
      </c>
      <c r="J112" s="386">
        <f t="shared" si="203"/>
        <v>20.32</v>
      </c>
      <c r="K112" s="386">
        <f t="shared" si="204"/>
        <v>29.32</v>
      </c>
      <c r="L112" s="386"/>
      <c r="M112" s="191">
        <f t="shared" si="205"/>
        <v>0.69304229195088674</v>
      </c>
      <c r="N112" s="152">
        <f t="shared" si="206"/>
        <v>2.1177466575716233</v>
      </c>
      <c r="O112" s="152">
        <f t="shared" si="173"/>
        <v>0.04</v>
      </c>
      <c r="P112" s="191">
        <f t="shared" si="207"/>
        <v>0.10588733287858117</v>
      </c>
      <c r="Q112" s="191">
        <f t="shared" si="208"/>
        <v>20</v>
      </c>
      <c r="R112" s="191"/>
      <c r="S112" s="152">
        <f t="shared" si="209"/>
        <v>1509.7519071939464</v>
      </c>
      <c r="T112" s="152">
        <f t="shared" si="210"/>
        <v>20</v>
      </c>
      <c r="U112" s="191">
        <f t="shared" si="211"/>
        <v>1.4250996403227375E-2</v>
      </c>
      <c r="V112" s="191">
        <f t="shared" si="212"/>
        <v>9.5006642688182499E-2</v>
      </c>
      <c r="W112" s="191">
        <f t="shared" si="213"/>
        <v>4.2079713789057206E-2</v>
      </c>
      <c r="X112" s="175">
        <f t="shared" si="214"/>
        <v>350</v>
      </c>
      <c r="Y112" s="386">
        <f t="shared" si="215"/>
        <v>350</v>
      </c>
      <c r="AA112" s="191">
        <f t="shared" si="216"/>
        <v>0.29701812512180864</v>
      </c>
      <c r="AB112" s="153">
        <f t="shared" si="217"/>
        <v>0.87702202299746645</v>
      </c>
      <c r="AC112" s="153">
        <f t="shared" si="218"/>
        <v>4.5586001468217563E-2</v>
      </c>
      <c r="AD112" s="153"/>
      <c r="AE112" s="153">
        <f t="shared" si="219"/>
        <v>0.44291338582677164</v>
      </c>
      <c r="AF112" s="317">
        <f t="shared" si="220"/>
        <v>60.207407407407416</v>
      </c>
      <c r="AG112" s="463">
        <f t="shared" si="221"/>
        <v>1.1626476377952754E-2</v>
      </c>
      <c r="AI112" s="153">
        <f t="shared" si="222"/>
        <v>6.2213151266241051E-2</v>
      </c>
      <c r="AJ112" s="153">
        <f t="shared" si="223"/>
        <v>0.15</v>
      </c>
      <c r="AK112" s="153">
        <f t="shared" si="224"/>
        <v>1.0344042328042329</v>
      </c>
      <c r="AM112" s="317">
        <f t="shared" si="225"/>
        <v>2</v>
      </c>
      <c r="AN112" s="147">
        <f t="shared" si="226"/>
        <v>60.207407407407416</v>
      </c>
      <c r="AP112" s="147">
        <f t="shared" si="227"/>
        <v>2</v>
      </c>
      <c r="AQ112" s="147">
        <f t="shared" si="228"/>
        <v>60.207407407407416</v>
      </c>
      <c r="AS112" s="5">
        <f t="shared" si="175"/>
        <v>16.609251968503933</v>
      </c>
      <c r="AT112" s="5">
        <f t="shared" si="229"/>
        <v>1</v>
      </c>
      <c r="AU112" s="5">
        <f t="shared" si="230"/>
        <v>15.609251968503933</v>
      </c>
      <c r="AV112" s="5"/>
      <c r="AW112" s="153">
        <f t="shared" si="231"/>
        <v>6.0207407407407418E-2</v>
      </c>
      <c r="AX112" s="153">
        <f t="shared" si="150"/>
        <v>4.0640000000000003E-2</v>
      </c>
      <c r="AY112" s="153">
        <f t="shared" si="151"/>
        <v>7.0484444444444447E-2</v>
      </c>
      <c r="AZ112" s="153">
        <f t="shared" si="178"/>
        <v>0.57658112112995774</v>
      </c>
      <c r="BA112" s="147">
        <f t="shared" si="232"/>
        <v>3.0231480258994696</v>
      </c>
      <c r="BB112" s="147">
        <f t="shared" si="233"/>
        <v>2.4252811851851845E-2</v>
      </c>
      <c r="BC112" s="5">
        <f t="shared" si="234"/>
        <v>7.7082725770389798E-2</v>
      </c>
      <c r="BD112" s="147">
        <f t="shared" si="235"/>
        <v>7.7230873918537943</v>
      </c>
      <c r="BF112" s="153">
        <f t="shared" si="179"/>
        <v>2.1249836600678969E-2</v>
      </c>
      <c r="BG112" s="153">
        <f t="shared" si="156"/>
        <v>8.3955014409172982E-2</v>
      </c>
      <c r="BI112" s="463">
        <f t="shared" si="236"/>
        <v>1.5804444444444442E-4</v>
      </c>
      <c r="BJ112" s="463">
        <f t="shared" si="237"/>
        <v>1.3239608888888888E-3</v>
      </c>
      <c r="BK112" s="463">
        <f t="shared" si="238"/>
        <v>7.5259259259259268E-4</v>
      </c>
      <c r="BL112" s="463">
        <f t="shared" si="239"/>
        <v>2.5879022174814825E-3</v>
      </c>
      <c r="BM112">
        <f t="shared" si="240"/>
        <v>2.6099999999999999E-3</v>
      </c>
      <c r="BN112">
        <f t="shared" si="241"/>
        <v>6.0207407407407419E-7</v>
      </c>
      <c r="BO112" s="463">
        <f t="shared" si="242"/>
        <v>7.4546555892747403E-3</v>
      </c>
      <c r="BP112" s="147">
        <f t="shared" si="243"/>
        <v>7.4325001434074069</v>
      </c>
      <c r="BQ112" s="463">
        <f t="shared" si="244"/>
        <v>6.1490115555555549E-3</v>
      </c>
      <c r="BT112" s="147">
        <f t="shared" si="245"/>
        <v>6.1490115555555551</v>
      </c>
      <c r="BU112" s="463">
        <f t="shared" si="246"/>
        <v>4.5155555555555552E-4</v>
      </c>
      <c r="BV112" s="463">
        <f t="shared" si="247"/>
        <v>7.0484444444444431E-3</v>
      </c>
      <c r="BW112" s="463">
        <f t="shared" si="248"/>
        <v>0</v>
      </c>
      <c r="BX112" s="463"/>
      <c r="BY112" s="463">
        <f t="shared" si="249"/>
        <v>6.773333333333335E-4</v>
      </c>
      <c r="BZ112" s="147">
        <f t="shared" si="250"/>
        <v>8.1773333333333316</v>
      </c>
      <c r="CA112" s="153">
        <f t="shared" si="251"/>
        <v>2.1758845032296293E-2</v>
      </c>
      <c r="CB112" s="5">
        <f t="shared" si="252"/>
        <v>0.04</v>
      </c>
      <c r="CC112" s="153">
        <f t="shared" si="253"/>
        <v>0.64768050599201332</v>
      </c>
      <c r="CD112" s="5">
        <f t="shared" si="254"/>
        <v>64.768050599201331</v>
      </c>
      <c r="CG112" s="59">
        <f t="shared" si="255"/>
        <v>-50</v>
      </c>
      <c r="CH112">
        <f t="shared" si="256"/>
        <v>-50</v>
      </c>
    </row>
    <row r="113" spans="5:86" x14ac:dyDescent="0.25">
      <c r="E113" s="150">
        <v>3</v>
      </c>
      <c r="F113" s="191">
        <f t="shared" si="257"/>
        <v>3.0000000000000001E-3</v>
      </c>
      <c r="G113" s="191"/>
      <c r="H113" s="191">
        <f t="shared" si="201"/>
        <v>0.06</v>
      </c>
      <c r="I113" s="472">
        <f t="shared" si="202"/>
        <v>9</v>
      </c>
      <c r="J113" s="386">
        <f t="shared" si="203"/>
        <v>20.32</v>
      </c>
      <c r="K113" s="386">
        <f t="shared" si="204"/>
        <v>29.32</v>
      </c>
      <c r="L113" s="386"/>
      <c r="M113" s="191">
        <f t="shared" si="205"/>
        <v>0.69304229195088674</v>
      </c>
      <c r="N113" s="152">
        <f t="shared" si="206"/>
        <v>2.1177466575716233</v>
      </c>
      <c r="O113" s="152">
        <f t="shared" si="173"/>
        <v>0.06</v>
      </c>
      <c r="P113" s="191">
        <f t="shared" si="207"/>
        <v>0.10588733287858117</v>
      </c>
      <c r="Q113" s="191">
        <f t="shared" si="208"/>
        <v>20</v>
      </c>
      <c r="R113" s="191"/>
      <c r="S113" s="152">
        <f t="shared" si="209"/>
        <v>1003.5028690320663</v>
      </c>
      <c r="T113" s="152">
        <f t="shared" si="210"/>
        <v>20</v>
      </c>
      <c r="U113" s="191">
        <f t="shared" si="211"/>
        <v>2.1376494604841062E-2</v>
      </c>
      <c r="V113" s="191">
        <f t="shared" si="212"/>
        <v>0.14250996403227376</v>
      </c>
      <c r="W113" s="191">
        <f t="shared" si="213"/>
        <v>6.3119570683585813E-2</v>
      </c>
      <c r="X113" s="175">
        <f t="shared" si="214"/>
        <v>350</v>
      </c>
      <c r="Y113" s="386">
        <f t="shared" si="215"/>
        <v>350</v>
      </c>
      <c r="AA113" s="191">
        <f t="shared" si="216"/>
        <v>0.29701812512180864</v>
      </c>
      <c r="AB113" s="153">
        <f t="shared" si="217"/>
        <v>0.87702202299746645</v>
      </c>
      <c r="AC113" s="153">
        <f t="shared" si="218"/>
        <v>4.5586001468217563E-2</v>
      </c>
      <c r="AD113" s="153"/>
      <c r="AE113" s="153">
        <f t="shared" si="219"/>
        <v>0.44291338582677164</v>
      </c>
      <c r="AF113" s="317">
        <f t="shared" si="220"/>
        <v>90.311111111111117</v>
      </c>
      <c r="AG113" s="463">
        <f t="shared" si="221"/>
        <v>1.1626476377952754E-2</v>
      </c>
      <c r="AI113" s="153">
        <f t="shared" si="222"/>
        <v>7.6195237946437872E-2</v>
      </c>
      <c r="AJ113" s="153">
        <f t="shared" si="223"/>
        <v>0.15</v>
      </c>
      <c r="AK113" s="153">
        <f t="shared" si="224"/>
        <v>1.0516063492063492</v>
      </c>
      <c r="AM113" s="317">
        <f t="shared" si="225"/>
        <v>3</v>
      </c>
      <c r="AN113" s="147">
        <f t="shared" si="226"/>
        <v>90.311111111111117</v>
      </c>
      <c r="AP113" s="147">
        <f t="shared" si="227"/>
        <v>3</v>
      </c>
      <c r="AQ113" s="147">
        <f t="shared" si="228"/>
        <v>90.311111111111117</v>
      </c>
      <c r="AS113" s="5">
        <f t="shared" si="175"/>
        <v>11.072834645669291</v>
      </c>
      <c r="AT113" s="5">
        <f t="shared" si="229"/>
        <v>1</v>
      </c>
      <c r="AU113" s="5">
        <f t="shared" si="230"/>
        <v>10.072834645669291</v>
      </c>
      <c r="AV113" s="5"/>
      <c r="AW113" s="153">
        <f t="shared" si="231"/>
        <v>9.031111111111112E-2</v>
      </c>
      <c r="AX113" s="153">
        <f t="shared" si="150"/>
        <v>6.0960000000000007E-2</v>
      </c>
      <c r="AY113" s="153">
        <f t="shared" si="151"/>
        <v>6.8226666666666658E-2</v>
      </c>
      <c r="AZ113" s="153">
        <f t="shared" si="178"/>
        <v>0.89349228063318376</v>
      </c>
      <c r="BA113" s="147">
        <f t="shared" si="232"/>
        <v>3.0231480258994696</v>
      </c>
      <c r="BB113" s="147">
        <f t="shared" si="233"/>
        <v>5.0068826666666656E-2</v>
      </c>
      <c r="BC113" s="5">
        <f t="shared" si="234"/>
        <v>7.4613589967920682E-2</v>
      </c>
      <c r="BD113" s="147">
        <f t="shared" si="235"/>
        <v>7.4835812190142885</v>
      </c>
      <c r="BF113" s="153">
        <f t="shared" si="179"/>
        <v>2.6025628394590848E-2</v>
      </c>
      <c r="BG113" s="153">
        <f t="shared" si="156"/>
        <v>8.2599435026316406E-2</v>
      </c>
      <c r="BI113" s="463">
        <f t="shared" si="236"/>
        <v>2.3706666666666666E-4</v>
      </c>
      <c r="BJ113" s="463">
        <f t="shared" si="237"/>
        <v>1.9859413333333333E-3</v>
      </c>
      <c r="BK113" s="463">
        <f t="shared" si="238"/>
        <v>1.1288888888888889E-3</v>
      </c>
      <c r="BL113" s="463">
        <f t="shared" si="239"/>
        <v>3.8818533262222231E-3</v>
      </c>
      <c r="BM113">
        <f t="shared" si="240"/>
        <v>2.6099999999999999E-3</v>
      </c>
      <c r="BN113">
        <f t="shared" si="241"/>
        <v>9.0311111111111119E-7</v>
      </c>
      <c r="BO113" s="463">
        <f t="shared" si="242"/>
        <v>9.8770893382573704E-3</v>
      </c>
      <c r="BP113" s="147">
        <f t="shared" si="243"/>
        <v>9.8437502151111111</v>
      </c>
      <c r="BQ113" s="463">
        <f t="shared" si="244"/>
        <v>6.3585173333333333E-3</v>
      </c>
      <c r="BT113" s="147">
        <f t="shared" si="245"/>
        <v>6.3585173333333334</v>
      </c>
      <c r="BU113" s="463">
        <f t="shared" si="246"/>
        <v>6.7733333333333339E-4</v>
      </c>
      <c r="BV113" s="463">
        <f t="shared" si="247"/>
        <v>6.8226666666666652E-3</v>
      </c>
      <c r="BW113" s="463">
        <f t="shared" si="248"/>
        <v>0</v>
      </c>
      <c r="BX113" s="463"/>
      <c r="BY113" s="463">
        <f t="shared" si="249"/>
        <v>1.0160000000000002E-3</v>
      </c>
      <c r="BZ113" s="147">
        <f t="shared" si="250"/>
        <v>8.516</v>
      </c>
      <c r="CA113" s="153">
        <f t="shared" si="251"/>
        <v>2.4718267548444441E-2</v>
      </c>
      <c r="CB113" s="5">
        <f t="shared" si="252"/>
        <v>0.06</v>
      </c>
      <c r="CC113" s="153">
        <f t="shared" si="253"/>
        <v>0.70822978014381843</v>
      </c>
      <c r="CD113" s="5">
        <f t="shared" si="254"/>
        <v>70.822978014381846</v>
      </c>
      <c r="CG113" s="59">
        <f t="shared" si="255"/>
        <v>-50</v>
      </c>
      <c r="CH113">
        <f t="shared" si="256"/>
        <v>-50</v>
      </c>
    </row>
    <row r="114" spans="5:86" x14ac:dyDescent="0.25">
      <c r="E114" s="150">
        <v>4</v>
      </c>
      <c r="F114" s="191">
        <f t="shared" si="257"/>
        <v>4.0000000000000001E-3</v>
      </c>
      <c r="G114" s="191"/>
      <c r="H114" s="191">
        <f t="shared" si="201"/>
        <v>0.08</v>
      </c>
      <c r="I114" s="472">
        <f t="shared" si="202"/>
        <v>9</v>
      </c>
      <c r="J114" s="386">
        <f t="shared" si="203"/>
        <v>20.32</v>
      </c>
      <c r="K114" s="386">
        <f t="shared" si="204"/>
        <v>29.32</v>
      </c>
      <c r="L114" s="386"/>
      <c r="M114" s="191">
        <f t="shared" si="205"/>
        <v>0.69304229195088674</v>
      </c>
      <c r="N114" s="152">
        <f t="shared" si="206"/>
        <v>2.1177466575716233</v>
      </c>
      <c r="O114" s="152">
        <f t="shared" si="173"/>
        <v>0.08</v>
      </c>
      <c r="P114" s="191">
        <f t="shared" si="207"/>
        <v>0.10588733287858117</v>
      </c>
      <c r="Q114" s="191">
        <f t="shared" si="208"/>
        <v>20</v>
      </c>
      <c r="R114" s="191"/>
      <c r="S114" s="152">
        <f t="shared" si="209"/>
        <v>750.37883642528834</v>
      </c>
      <c r="T114" s="152">
        <f t="shared" si="210"/>
        <v>20</v>
      </c>
      <c r="U114" s="191">
        <f t="shared" si="211"/>
        <v>2.8501992806454751E-2</v>
      </c>
      <c r="V114" s="191">
        <f t="shared" si="212"/>
        <v>0.190013285376365</v>
      </c>
      <c r="W114" s="191">
        <f t="shared" si="213"/>
        <v>8.4159427578114412E-2</v>
      </c>
      <c r="X114" s="175">
        <f t="shared" si="214"/>
        <v>350</v>
      </c>
      <c r="Y114" s="386">
        <f t="shared" si="215"/>
        <v>350</v>
      </c>
      <c r="AA114" s="191">
        <f t="shared" si="216"/>
        <v>0.29701812512180864</v>
      </c>
      <c r="AB114" s="153">
        <f t="shared" si="217"/>
        <v>0.87702202299746645</v>
      </c>
      <c r="AC114" s="153">
        <f t="shared" si="218"/>
        <v>4.5586001468217563E-2</v>
      </c>
      <c r="AD114" s="153"/>
      <c r="AE114" s="153">
        <f t="shared" si="219"/>
        <v>0.44291338582677164</v>
      </c>
      <c r="AF114" s="317">
        <f t="shared" si="220"/>
        <v>120.41481481481483</v>
      </c>
      <c r="AG114" s="463">
        <f t="shared" si="221"/>
        <v>1.1626476377952754E-2</v>
      </c>
      <c r="AI114" s="153">
        <f t="shared" si="222"/>
        <v>8.7982682278686983E-2</v>
      </c>
      <c r="AJ114" s="153">
        <f t="shared" si="223"/>
        <v>0.15</v>
      </c>
      <c r="AK114" s="153">
        <f t="shared" si="224"/>
        <v>1.0688084656084655</v>
      </c>
      <c r="AM114" s="317">
        <f t="shared" si="225"/>
        <v>4</v>
      </c>
      <c r="AN114" s="147">
        <f t="shared" si="226"/>
        <v>120.41481481481483</v>
      </c>
      <c r="AP114" s="147">
        <f t="shared" si="227"/>
        <v>4</v>
      </c>
      <c r="AQ114" s="147">
        <f t="shared" si="228"/>
        <v>120.41481481481483</v>
      </c>
      <c r="AS114" s="5">
        <f t="shared" si="175"/>
        <v>8.3046259842519667</v>
      </c>
      <c r="AT114" s="5">
        <f t="shared" si="229"/>
        <v>1</v>
      </c>
      <c r="AU114" s="5">
        <f t="shared" si="230"/>
        <v>7.3046259842519667</v>
      </c>
      <c r="AV114" s="5"/>
      <c r="AW114" s="153">
        <f t="shared" si="231"/>
        <v>0.12041481481481484</v>
      </c>
      <c r="AX114" s="153">
        <f t="shared" si="150"/>
        <v>8.1280000000000005E-2</v>
      </c>
      <c r="AY114" s="153">
        <f t="shared" si="151"/>
        <v>6.5968888888888882E-2</v>
      </c>
      <c r="AZ114" s="153">
        <f t="shared" si="178"/>
        <v>1.2320959374789464</v>
      </c>
      <c r="BA114" s="147">
        <f t="shared" si="232"/>
        <v>3.0231480258994696</v>
      </c>
      <c r="BB114" s="147">
        <f t="shared" si="233"/>
        <v>8.5011247407407384E-2</v>
      </c>
      <c r="BC114" s="5">
        <f t="shared" si="234"/>
        <v>7.2144454165451524E-2</v>
      </c>
      <c r="BD114" s="147">
        <f t="shared" si="235"/>
        <v>7.2440750461747818</v>
      </c>
      <c r="BF114" s="153">
        <f t="shared" si="179"/>
        <v>3.0051807118892385E-2</v>
      </c>
      <c r="BG114" s="153">
        <f t="shared" si="156"/>
        <v>8.1221234224117089E-2</v>
      </c>
      <c r="BI114" s="463">
        <f t="shared" si="236"/>
        <v>3.1608888888888883E-4</v>
      </c>
      <c r="BJ114" s="463">
        <f t="shared" si="237"/>
        <v>2.6479217777777776E-3</v>
      </c>
      <c r="BK114" s="463">
        <f t="shared" si="238"/>
        <v>1.5051851851851854E-3</v>
      </c>
      <c r="BL114" s="463">
        <f t="shared" si="239"/>
        <v>5.1758044349629649E-3</v>
      </c>
      <c r="BM114">
        <f t="shared" si="240"/>
        <v>2.6099999999999999E-3</v>
      </c>
      <c r="BN114">
        <f t="shared" si="241"/>
        <v>1.2041481481481484E-6</v>
      </c>
      <c r="BO114" s="463">
        <f t="shared" si="242"/>
        <v>1.2299593727589807E-2</v>
      </c>
      <c r="BP114" s="147">
        <f t="shared" si="243"/>
        <v>12.255000286814814</v>
      </c>
      <c r="BQ114" s="463">
        <f t="shared" si="244"/>
        <v>6.5680231111111117E-3</v>
      </c>
      <c r="BT114" s="147">
        <f t="shared" si="245"/>
        <v>6.5680231111111116</v>
      </c>
      <c r="BU114" s="463">
        <f t="shared" si="246"/>
        <v>9.0311111111111104E-4</v>
      </c>
      <c r="BV114" s="463">
        <f t="shared" si="247"/>
        <v>6.5968888888888891E-3</v>
      </c>
      <c r="BW114" s="463">
        <f t="shared" si="248"/>
        <v>0</v>
      </c>
      <c r="BX114" s="463"/>
      <c r="BY114" s="463">
        <f t="shared" si="249"/>
        <v>1.354666666666667E-3</v>
      </c>
      <c r="BZ114" s="147">
        <f t="shared" si="250"/>
        <v>8.8546666666666667</v>
      </c>
      <c r="CA114" s="153">
        <f t="shared" si="251"/>
        <v>2.7677690064592593E-2</v>
      </c>
      <c r="CB114" s="5">
        <f t="shared" si="252"/>
        <v>0.08</v>
      </c>
      <c r="CC114" s="153">
        <f t="shared" si="253"/>
        <v>0.74295798834475746</v>
      </c>
      <c r="CD114" s="5">
        <f t="shared" si="254"/>
        <v>74.295798834475747</v>
      </c>
      <c r="CG114" s="59">
        <f t="shared" si="255"/>
        <v>-50</v>
      </c>
      <c r="CH114">
        <f t="shared" si="256"/>
        <v>-50</v>
      </c>
    </row>
    <row r="115" spans="5:86" x14ac:dyDescent="0.25">
      <c r="E115" s="150">
        <v>5</v>
      </c>
      <c r="F115" s="191">
        <f t="shared" si="257"/>
        <v>5.000000000000001E-3</v>
      </c>
      <c r="G115" s="191"/>
      <c r="H115" s="191">
        <f t="shared" si="201"/>
        <v>0.10000000000000002</v>
      </c>
      <c r="I115" s="472">
        <f t="shared" si="202"/>
        <v>9</v>
      </c>
      <c r="J115" s="386">
        <f t="shared" si="203"/>
        <v>20.32</v>
      </c>
      <c r="K115" s="386">
        <f t="shared" si="204"/>
        <v>29.32</v>
      </c>
      <c r="L115" s="386"/>
      <c r="M115" s="191">
        <f t="shared" si="205"/>
        <v>0.69304229195088674</v>
      </c>
      <c r="N115" s="152">
        <f t="shared" si="206"/>
        <v>2.1177466575716233</v>
      </c>
      <c r="O115" s="152">
        <f t="shared" si="173"/>
        <v>0.10000000000000002</v>
      </c>
      <c r="P115" s="191">
        <f t="shared" si="207"/>
        <v>0.10588733287858117</v>
      </c>
      <c r="Q115" s="191">
        <f t="shared" si="208"/>
        <v>20</v>
      </c>
      <c r="R115" s="191"/>
      <c r="S115" s="152">
        <f t="shared" si="209"/>
        <v>598.504809419975</v>
      </c>
      <c r="T115" s="152">
        <f t="shared" si="210"/>
        <v>20</v>
      </c>
      <c r="U115" s="191">
        <f t="shared" si="211"/>
        <v>3.5627491008068446E-2</v>
      </c>
      <c r="V115" s="191">
        <f t="shared" si="212"/>
        <v>0.2375166067204563</v>
      </c>
      <c r="W115" s="191">
        <f t="shared" si="213"/>
        <v>0.10519928447264305</v>
      </c>
      <c r="X115" s="175">
        <f t="shared" si="214"/>
        <v>350</v>
      </c>
      <c r="Y115" s="386">
        <f t="shared" si="215"/>
        <v>350</v>
      </c>
      <c r="AA115" s="191">
        <f t="shared" si="216"/>
        <v>0.29701812512180864</v>
      </c>
      <c r="AB115" s="153">
        <f t="shared" si="217"/>
        <v>0.87702202299746645</v>
      </c>
      <c r="AC115" s="153">
        <f t="shared" si="218"/>
        <v>4.5586001468217563E-2</v>
      </c>
      <c r="AD115" s="153"/>
      <c r="AE115" s="153">
        <f t="shared" si="219"/>
        <v>0.44291338582677164</v>
      </c>
      <c r="AF115" s="317">
        <f t="shared" si="220"/>
        <v>150.51851851851856</v>
      </c>
      <c r="AG115" s="463">
        <f t="shared" si="221"/>
        <v>1.1626476377952754E-2</v>
      </c>
      <c r="AI115" s="153">
        <f t="shared" si="222"/>
        <v>9.8367629208955115E-2</v>
      </c>
      <c r="AJ115" s="153">
        <f t="shared" si="223"/>
        <v>0.15</v>
      </c>
      <c r="AK115" s="153">
        <f t="shared" si="224"/>
        <v>1.0860105820105821</v>
      </c>
      <c r="AM115" s="317">
        <f t="shared" si="225"/>
        <v>5.0000000000000009</v>
      </c>
      <c r="AN115" s="147">
        <f t="shared" si="226"/>
        <v>150.51851851851856</v>
      </c>
      <c r="AP115" s="147">
        <f t="shared" si="227"/>
        <v>5.0000000000000009</v>
      </c>
      <c r="AQ115" s="147">
        <f t="shared" si="228"/>
        <v>150.51851851851856</v>
      </c>
      <c r="AS115" s="5">
        <f t="shared" si="175"/>
        <v>6.6437007874015723</v>
      </c>
      <c r="AT115" s="5">
        <f t="shared" si="229"/>
        <v>1</v>
      </c>
      <c r="AU115" s="5">
        <f t="shared" si="230"/>
        <v>5.6437007874015723</v>
      </c>
      <c r="AV115" s="5"/>
      <c r="AW115" s="153">
        <f t="shared" si="231"/>
        <v>0.15051851851851858</v>
      </c>
      <c r="AX115" s="153">
        <f t="shared" si="150"/>
        <v>0.10160000000000002</v>
      </c>
      <c r="AY115" s="153">
        <f t="shared" si="151"/>
        <v>6.3711111111111107E-2</v>
      </c>
      <c r="AZ115" s="153">
        <f t="shared" si="178"/>
        <v>1.5946982908964078</v>
      </c>
      <c r="BA115" s="147">
        <f t="shared" si="232"/>
        <v>3.0231480258994696</v>
      </c>
      <c r="BB115" s="147">
        <f t="shared" si="233"/>
        <v>0.12908007407407415</v>
      </c>
      <c r="BC115" s="5">
        <f t="shared" si="234"/>
        <v>6.9675318362982394E-2</v>
      </c>
      <c r="BD115" s="147">
        <f t="shared" si="235"/>
        <v>7.0045688733352769</v>
      </c>
      <c r="BF115" s="153">
        <f t="shared" si="179"/>
        <v>3.3598941782277743E-2</v>
      </c>
      <c r="BG115" s="153">
        <f t="shared" si="156"/>
        <v>7.9819240231357183E-2</v>
      </c>
      <c r="BI115" s="463">
        <f t="shared" si="236"/>
        <v>3.9511111111111116E-4</v>
      </c>
      <c r="BJ115" s="463">
        <f t="shared" si="237"/>
        <v>3.3099022222222232E-3</v>
      </c>
      <c r="BK115" s="463">
        <f t="shared" si="238"/>
        <v>1.8814814814814818E-3</v>
      </c>
      <c r="BL115" s="463">
        <f t="shared" si="239"/>
        <v>6.4697555437037068E-3</v>
      </c>
      <c r="BM115">
        <f t="shared" si="240"/>
        <v>2.6099999999999999E-3</v>
      </c>
      <c r="BN115">
        <f t="shared" si="241"/>
        <v>1.5051851851851857E-6</v>
      </c>
      <c r="BO115" s="463">
        <f t="shared" si="242"/>
        <v>1.4722168760362E-2</v>
      </c>
      <c r="BP115" s="147">
        <f t="shared" si="243"/>
        <v>14.666250358518523</v>
      </c>
      <c r="BQ115" s="463">
        <f t="shared" si="244"/>
        <v>6.7775288888888884E-3</v>
      </c>
      <c r="BT115" s="147">
        <f t="shared" si="245"/>
        <v>6.777528888888888</v>
      </c>
      <c r="BU115" s="463">
        <f t="shared" si="246"/>
        <v>1.1288888888888891E-3</v>
      </c>
      <c r="BV115" s="463">
        <f t="shared" si="247"/>
        <v>6.3711111111111095E-3</v>
      </c>
      <c r="BW115" s="463">
        <f t="shared" si="248"/>
        <v>0</v>
      </c>
      <c r="BX115" s="463"/>
      <c r="BY115" s="463">
        <f t="shared" si="249"/>
        <v>1.693333333333334E-3</v>
      </c>
      <c r="BZ115" s="147">
        <f t="shared" si="250"/>
        <v>9.1933333333333334</v>
      </c>
      <c r="CA115" s="153">
        <f t="shared" si="251"/>
        <v>3.0637112580740741E-2</v>
      </c>
      <c r="CB115" s="5">
        <f t="shared" si="252"/>
        <v>0.10000000000000002</v>
      </c>
      <c r="CC115" s="153">
        <f t="shared" si="253"/>
        <v>0.76547925795737903</v>
      </c>
      <c r="CD115" s="5">
        <f t="shared" si="254"/>
        <v>76.54792579573791</v>
      </c>
      <c r="CG115" s="59">
        <f t="shared" si="255"/>
        <v>-50</v>
      </c>
      <c r="CH115">
        <f t="shared" si="256"/>
        <v>-50</v>
      </c>
    </row>
    <row r="116" spans="5:86" x14ac:dyDescent="0.25">
      <c r="E116" s="150">
        <v>6</v>
      </c>
      <c r="F116" s="191">
        <f t="shared" si="257"/>
        <v>6.0000000000000001E-3</v>
      </c>
      <c r="G116" s="191"/>
      <c r="H116" s="191">
        <f t="shared" si="201"/>
        <v>0.12</v>
      </c>
      <c r="I116" s="472">
        <f t="shared" si="202"/>
        <v>9</v>
      </c>
      <c r="J116" s="386">
        <f t="shared" si="203"/>
        <v>20.32</v>
      </c>
      <c r="K116" s="386">
        <f t="shared" si="204"/>
        <v>29.32</v>
      </c>
      <c r="L116" s="386"/>
      <c r="M116" s="191">
        <f t="shared" si="205"/>
        <v>0.69304229195088674</v>
      </c>
      <c r="N116" s="152">
        <f t="shared" si="206"/>
        <v>2.1177466575716233</v>
      </c>
      <c r="O116" s="152">
        <f t="shared" si="173"/>
        <v>0.12</v>
      </c>
      <c r="P116" s="191">
        <f t="shared" si="207"/>
        <v>0.10588733287858117</v>
      </c>
      <c r="Q116" s="191">
        <f t="shared" si="208"/>
        <v>20</v>
      </c>
      <c r="R116" s="191"/>
      <c r="S116" s="152">
        <f t="shared" si="209"/>
        <v>497.25578806298279</v>
      </c>
      <c r="T116" s="152">
        <f t="shared" si="210"/>
        <v>20</v>
      </c>
      <c r="U116" s="191">
        <f t="shared" si="211"/>
        <v>4.2752989209682124E-2</v>
      </c>
      <c r="V116" s="191">
        <f t="shared" si="212"/>
        <v>0.28501992806454751</v>
      </c>
      <c r="W116" s="191">
        <f t="shared" si="213"/>
        <v>0.12623914136717163</v>
      </c>
      <c r="X116" s="175">
        <f t="shared" si="214"/>
        <v>350</v>
      </c>
      <c r="Y116" s="386">
        <f t="shared" si="215"/>
        <v>350</v>
      </c>
      <c r="AA116" s="191">
        <f t="shared" si="216"/>
        <v>0.29701812512180864</v>
      </c>
      <c r="AB116" s="153">
        <f t="shared" si="217"/>
        <v>0.87702202299746645</v>
      </c>
      <c r="AC116" s="153">
        <f t="shared" si="218"/>
        <v>4.5586001468217563E-2</v>
      </c>
      <c r="AD116" s="153"/>
      <c r="AE116" s="153">
        <f t="shared" si="219"/>
        <v>0.44291338582677164</v>
      </c>
      <c r="AF116" s="317">
        <f t="shared" si="220"/>
        <v>180.62222222222223</v>
      </c>
      <c r="AG116" s="463">
        <f t="shared" si="221"/>
        <v>1.1626476377952754E-2</v>
      </c>
      <c r="AI116" s="153">
        <f t="shared" si="222"/>
        <v>0.10775633889209754</v>
      </c>
      <c r="AJ116" s="153">
        <f t="shared" si="223"/>
        <v>0.15</v>
      </c>
      <c r="AK116" s="153">
        <f t="shared" si="224"/>
        <v>1.1032126984126984</v>
      </c>
      <c r="AM116" s="317">
        <f t="shared" si="225"/>
        <v>6</v>
      </c>
      <c r="AN116" s="147">
        <f t="shared" si="226"/>
        <v>180.62222222222223</v>
      </c>
      <c r="AP116" s="147">
        <f t="shared" si="227"/>
        <v>6</v>
      </c>
      <c r="AQ116" s="147">
        <f t="shared" si="228"/>
        <v>180.62222222222223</v>
      </c>
      <c r="AS116" s="5">
        <f t="shared" si="175"/>
        <v>5.5364173228346454</v>
      </c>
      <c r="AT116" s="5">
        <f t="shared" si="229"/>
        <v>1</v>
      </c>
      <c r="AU116" s="5">
        <f t="shared" si="230"/>
        <v>4.5364173228346454</v>
      </c>
      <c r="AV116" s="5"/>
      <c r="AW116" s="153">
        <f t="shared" si="231"/>
        <v>0.18062222222222224</v>
      </c>
      <c r="AX116" s="153">
        <f t="shared" si="150"/>
        <v>0.12192000000000001</v>
      </c>
      <c r="AY116" s="153">
        <f t="shared" si="151"/>
        <v>6.1453333333333332E-2</v>
      </c>
      <c r="AZ116" s="153">
        <f t="shared" si="178"/>
        <v>1.9839444564981561</v>
      </c>
      <c r="BA116" s="147">
        <f t="shared" si="232"/>
        <v>3.0231480258994696</v>
      </c>
      <c r="BB116" s="147">
        <f t="shared" si="233"/>
        <v>0.18227530666666664</v>
      </c>
      <c r="BC116" s="5">
        <f t="shared" si="234"/>
        <v>6.7206182560513264E-2</v>
      </c>
      <c r="BD116" s="147">
        <f t="shared" si="235"/>
        <v>6.7650627004957702</v>
      </c>
      <c r="BF116" s="153">
        <f t="shared" si="179"/>
        <v>3.6805796644912694E-2</v>
      </c>
      <c r="BG116" s="153">
        <f t="shared" si="156"/>
        <v>7.8392176480394607E-2</v>
      </c>
      <c r="BI116" s="463">
        <f t="shared" si="236"/>
        <v>4.7413333333333328E-4</v>
      </c>
      <c r="BJ116" s="463">
        <f t="shared" si="237"/>
        <v>3.9718826666666667E-3</v>
      </c>
      <c r="BK116" s="463">
        <f t="shared" si="238"/>
        <v>2.2577777777777778E-3</v>
      </c>
      <c r="BL116" s="463">
        <f t="shared" si="239"/>
        <v>7.7637066524444461E-3</v>
      </c>
      <c r="BM116">
        <f t="shared" si="240"/>
        <v>2.6099999999999999E-3</v>
      </c>
      <c r="BN116">
        <f t="shared" si="241"/>
        <v>1.8062222222222224E-6</v>
      </c>
      <c r="BO116" s="463">
        <f t="shared" si="242"/>
        <v>1.7144814439664074E-2</v>
      </c>
      <c r="BP116" s="147">
        <f t="shared" si="243"/>
        <v>17.077500430222226</v>
      </c>
      <c r="BQ116" s="463">
        <f t="shared" si="244"/>
        <v>6.9870346666666677E-3</v>
      </c>
      <c r="BT116" s="147">
        <f t="shared" si="245"/>
        <v>6.9870346666666681</v>
      </c>
      <c r="BU116" s="463">
        <f t="shared" si="246"/>
        <v>1.3546666666666666E-3</v>
      </c>
      <c r="BV116" s="463">
        <f t="shared" si="247"/>
        <v>6.1453333333333334E-3</v>
      </c>
      <c r="BW116" s="463">
        <f t="shared" si="248"/>
        <v>0</v>
      </c>
      <c r="BX116" s="463"/>
      <c r="BY116" s="463">
        <f t="shared" si="249"/>
        <v>2.0320000000000004E-3</v>
      </c>
      <c r="BZ116" s="147">
        <f t="shared" si="250"/>
        <v>9.532</v>
      </c>
      <c r="CA116" s="153">
        <f t="shared" si="251"/>
        <v>3.359653509688889E-2</v>
      </c>
      <c r="CB116" s="5">
        <f t="shared" si="252"/>
        <v>0.12</v>
      </c>
      <c r="CC116" s="153">
        <f t="shared" si="253"/>
        <v>0.78126762380612191</v>
      </c>
      <c r="CD116" s="5">
        <f t="shared" si="254"/>
        <v>78.126762380612192</v>
      </c>
      <c r="CG116" s="59">
        <f t="shared" si="255"/>
        <v>-50</v>
      </c>
      <c r="CH116">
        <f t="shared" si="256"/>
        <v>-50</v>
      </c>
    </row>
    <row r="117" spans="5:86" x14ac:dyDescent="0.25">
      <c r="E117" s="150">
        <v>7</v>
      </c>
      <c r="F117" s="191">
        <f t="shared" si="257"/>
        <v>7.000000000000001E-3</v>
      </c>
      <c r="G117" s="191"/>
      <c r="H117" s="191">
        <f t="shared" si="201"/>
        <v>0.14000000000000001</v>
      </c>
      <c r="I117" s="472">
        <f t="shared" si="202"/>
        <v>9</v>
      </c>
      <c r="J117" s="386">
        <f t="shared" si="203"/>
        <v>20.32</v>
      </c>
      <c r="K117" s="386">
        <f t="shared" si="204"/>
        <v>29.32</v>
      </c>
      <c r="L117" s="386"/>
      <c r="M117" s="191">
        <f t="shared" si="205"/>
        <v>0.69304229195088674</v>
      </c>
      <c r="N117" s="152">
        <f t="shared" si="206"/>
        <v>2.1177466575716233</v>
      </c>
      <c r="O117" s="152">
        <f t="shared" si="173"/>
        <v>0.14000000000000001</v>
      </c>
      <c r="P117" s="191">
        <f t="shared" si="207"/>
        <v>0.10588733287858117</v>
      </c>
      <c r="Q117" s="191">
        <f t="shared" si="208"/>
        <v>20</v>
      </c>
      <c r="R117" s="191"/>
      <c r="S117" s="152">
        <f t="shared" si="209"/>
        <v>424.93534383023967</v>
      </c>
      <c r="T117" s="152">
        <f t="shared" si="210"/>
        <v>20</v>
      </c>
      <c r="U117" s="191">
        <f t="shared" si="211"/>
        <v>4.9878487411295816E-2</v>
      </c>
      <c r="V117" s="191">
        <f t="shared" si="212"/>
        <v>0.33252324940863875</v>
      </c>
      <c r="W117" s="191">
        <f t="shared" si="213"/>
        <v>0.14727899826170024</v>
      </c>
      <c r="X117" s="175">
        <f t="shared" si="214"/>
        <v>350</v>
      </c>
      <c r="Y117" s="386">
        <f t="shared" si="215"/>
        <v>350</v>
      </c>
      <c r="AA117" s="191">
        <f t="shared" si="216"/>
        <v>0.29701812512180864</v>
      </c>
      <c r="AB117" s="153">
        <f t="shared" si="217"/>
        <v>0.87702202299746645</v>
      </c>
      <c r="AC117" s="153">
        <f t="shared" si="218"/>
        <v>4.5586001468217563E-2</v>
      </c>
      <c r="AD117" s="153"/>
      <c r="AE117" s="153">
        <f t="shared" si="219"/>
        <v>0.44291338582677164</v>
      </c>
      <c r="AF117" s="317">
        <f t="shared" si="220"/>
        <v>210.72592592592599</v>
      </c>
      <c r="AG117" s="463">
        <f t="shared" si="221"/>
        <v>1.1626476377952754E-2</v>
      </c>
      <c r="AI117" s="153">
        <f t="shared" si="222"/>
        <v>0.11639014849490771</v>
      </c>
      <c r="AJ117" s="153">
        <f t="shared" si="223"/>
        <v>0.15</v>
      </c>
      <c r="AK117" s="153">
        <f t="shared" si="224"/>
        <v>1.1204148148148148</v>
      </c>
      <c r="AM117" s="317">
        <f t="shared" si="225"/>
        <v>7.0000000000000009</v>
      </c>
      <c r="AN117" s="147">
        <f t="shared" si="226"/>
        <v>210.72592592592599</v>
      </c>
      <c r="AP117" s="147">
        <f t="shared" si="227"/>
        <v>7.0000000000000009</v>
      </c>
      <c r="AQ117" s="147">
        <f t="shared" si="228"/>
        <v>210.72592592592599</v>
      </c>
      <c r="AS117" s="5">
        <f t="shared" si="175"/>
        <v>4.7455005624296946</v>
      </c>
      <c r="AT117" s="5">
        <f t="shared" si="229"/>
        <v>1</v>
      </c>
      <c r="AU117" s="5">
        <f t="shared" si="230"/>
        <v>3.7455005624296946</v>
      </c>
      <c r="AV117" s="5"/>
      <c r="AW117" s="153">
        <f t="shared" si="231"/>
        <v>0.21072592592592601</v>
      </c>
      <c r="AX117" s="153">
        <f t="shared" si="150"/>
        <v>0.14224000000000006</v>
      </c>
      <c r="AY117" s="153">
        <f t="shared" si="151"/>
        <v>5.919555555555555E-2</v>
      </c>
      <c r="AZ117" s="153">
        <f t="shared" si="178"/>
        <v>2.4028830993317829</v>
      </c>
      <c r="BA117" s="147">
        <f t="shared" si="232"/>
        <v>3.0231480258994696</v>
      </c>
      <c r="BB117" s="147">
        <f t="shared" si="233"/>
        <v>0.24459694518518516</v>
      </c>
      <c r="BC117" s="5">
        <f t="shared" ref="BC117:BC180" si="258">H117/Efficiency/I117*AU117/Vinripple1</f>
        <v>6.4737046758044106E-2</v>
      </c>
      <c r="BD117" s="147">
        <f t="shared" si="235"/>
        <v>6.5255565276562626</v>
      </c>
      <c r="BF117" s="153">
        <f t="shared" si="179"/>
        <v>3.9754804042334869E-2</v>
      </c>
      <c r="BG117" s="153">
        <f t="shared" si="156"/>
        <v>7.6938647996670412E-2</v>
      </c>
      <c r="BI117" s="463">
        <f t="shared" si="236"/>
        <v>5.5315555555555571E-4</v>
      </c>
      <c r="BJ117" s="463">
        <f t="shared" si="237"/>
        <v>4.6338631111111127E-3</v>
      </c>
      <c r="BK117" s="463">
        <f t="shared" si="238"/>
        <v>2.6340740740740747E-3</v>
      </c>
      <c r="BL117" s="463">
        <f t="shared" si="239"/>
        <v>9.0576577611851897E-3</v>
      </c>
      <c r="BM117">
        <f t="shared" si="240"/>
        <v>2.6099999999999999E-3</v>
      </c>
      <c r="BN117">
        <f t="shared" si="241"/>
        <v>2.1072592592592601E-6</v>
      </c>
      <c r="BO117" s="463">
        <f t="shared" si="242"/>
        <v>1.9567530768586347E-2</v>
      </c>
      <c r="BP117" s="147">
        <f t="shared" si="243"/>
        <v>19.488750501925935</v>
      </c>
      <c r="BQ117" s="463">
        <f t="shared" si="244"/>
        <v>7.1965404444444461E-3</v>
      </c>
      <c r="BT117" s="147">
        <f t="shared" si="245"/>
        <v>7.1965404444444463</v>
      </c>
      <c r="BU117" s="463">
        <f t="shared" si="246"/>
        <v>1.5804444444444449E-3</v>
      </c>
      <c r="BV117" s="463">
        <f t="shared" si="247"/>
        <v>5.9195555555555564E-3</v>
      </c>
      <c r="BW117" s="463">
        <f t="shared" si="248"/>
        <v>0</v>
      </c>
      <c r="BX117" s="463"/>
      <c r="BY117" s="463">
        <f t="shared" si="249"/>
        <v>2.3706666666666681E-3</v>
      </c>
      <c r="BZ117" s="147">
        <f t="shared" si="250"/>
        <v>9.8706666666666703</v>
      </c>
      <c r="CA117" s="153">
        <f t="shared" si="251"/>
        <v>3.6555957613037045E-2</v>
      </c>
      <c r="CB117" s="5">
        <f t="shared" si="252"/>
        <v>0.14000000000000001</v>
      </c>
      <c r="CC117" s="153">
        <f t="shared" si="253"/>
        <v>0.79294973612185993</v>
      </c>
      <c r="CD117" s="5">
        <f t="shared" si="254"/>
        <v>79.294973612185998</v>
      </c>
      <c r="CG117" s="59">
        <f t="shared" si="255"/>
        <v>-50</v>
      </c>
      <c r="CH117">
        <f t="shared" si="256"/>
        <v>-50</v>
      </c>
    </row>
    <row r="118" spans="5:86" x14ac:dyDescent="0.25">
      <c r="E118" s="150">
        <v>8</v>
      </c>
      <c r="F118" s="191">
        <f t="shared" si="257"/>
        <v>8.0000000000000002E-3</v>
      </c>
      <c r="G118" s="191"/>
      <c r="H118" s="191">
        <f t="shared" si="201"/>
        <v>0.16</v>
      </c>
      <c r="I118" s="472">
        <f t="shared" si="202"/>
        <v>9</v>
      </c>
      <c r="J118" s="386">
        <f t="shared" si="203"/>
        <v>20.32</v>
      </c>
      <c r="K118" s="386">
        <f t="shared" si="204"/>
        <v>29.32</v>
      </c>
      <c r="L118" s="386"/>
      <c r="M118" s="191">
        <f t="shared" si="205"/>
        <v>0.69304229195088674</v>
      </c>
      <c r="N118" s="152">
        <f t="shared" si="206"/>
        <v>2.1177466575716233</v>
      </c>
      <c r="O118" s="152">
        <f t="shared" si="173"/>
        <v>0.16</v>
      </c>
      <c r="P118" s="191">
        <f t="shared" si="207"/>
        <v>0.10588733287858117</v>
      </c>
      <c r="Q118" s="191">
        <f t="shared" si="208"/>
        <v>20</v>
      </c>
      <c r="R118" s="191"/>
      <c r="S118" s="152">
        <f t="shared" si="209"/>
        <v>370.69526248389548</v>
      </c>
      <c r="T118" s="152">
        <f t="shared" si="210"/>
        <v>20</v>
      </c>
      <c r="U118" s="191">
        <f t="shared" si="211"/>
        <v>5.7003985612909501E-2</v>
      </c>
      <c r="V118" s="191">
        <f t="shared" si="212"/>
        <v>0.38002657075273</v>
      </c>
      <c r="W118" s="191">
        <f t="shared" si="213"/>
        <v>0.16831885515622882</v>
      </c>
      <c r="X118" s="175">
        <f t="shared" si="214"/>
        <v>350</v>
      </c>
      <c r="Y118" s="386">
        <f t="shared" si="215"/>
        <v>350</v>
      </c>
      <c r="AA118" s="191">
        <f t="shared" si="216"/>
        <v>0.29701812512180864</v>
      </c>
      <c r="AB118" s="153">
        <f t="shared" si="217"/>
        <v>0.87702202299746645</v>
      </c>
      <c r="AC118" s="153">
        <f t="shared" si="218"/>
        <v>4.5586001468217563E-2</v>
      </c>
      <c r="AD118" s="153"/>
      <c r="AE118" s="153">
        <f t="shared" si="219"/>
        <v>0.44291338582677164</v>
      </c>
      <c r="AF118" s="317">
        <f t="shared" si="220"/>
        <v>240.82962962962966</v>
      </c>
      <c r="AG118" s="463">
        <f t="shared" si="221"/>
        <v>1.1626476377952754E-2</v>
      </c>
      <c r="AI118" s="153">
        <f t="shared" si="222"/>
        <v>0.1244263025324821</v>
      </c>
      <c r="AJ118" s="153">
        <f t="shared" si="223"/>
        <v>0.15</v>
      </c>
      <c r="AK118" s="153">
        <f t="shared" si="224"/>
        <v>1.1376169312169313</v>
      </c>
      <c r="AM118" s="317">
        <f t="shared" si="225"/>
        <v>8</v>
      </c>
      <c r="AN118" s="147">
        <f t="shared" si="226"/>
        <v>240.82962962962966</v>
      </c>
      <c r="AP118" s="147">
        <f t="shared" si="227"/>
        <v>8</v>
      </c>
      <c r="AQ118" s="147">
        <f t="shared" si="228"/>
        <v>240.82962962962966</v>
      </c>
      <c r="AS118" s="5">
        <f t="shared" si="175"/>
        <v>4.1523129921259834</v>
      </c>
      <c r="AT118" s="5">
        <f t="shared" si="229"/>
        <v>1</v>
      </c>
      <c r="AU118" s="5">
        <f t="shared" si="230"/>
        <v>3.1523129921259834</v>
      </c>
      <c r="AV118" s="5"/>
      <c r="AW118" s="153">
        <f t="shared" si="231"/>
        <v>0.24082962962962967</v>
      </c>
      <c r="AX118" s="153">
        <f t="shared" si="150"/>
        <v>0.16256000000000001</v>
      </c>
      <c r="AY118" s="153">
        <f t="shared" si="151"/>
        <v>5.6937777777777768E-2</v>
      </c>
      <c r="AZ118" s="153">
        <f t="shared" si="178"/>
        <v>2.8550464444617911</v>
      </c>
      <c r="BA118" s="147">
        <f t="shared" si="232"/>
        <v>3.0231480258994696</v>
      </c>
      <c r="BB118" s="147">
        <f t="shared" si="233"/>
        <v>0.31604498962962957</v>
      </c>
      <c r="BC118" s="5">
        <f t="shared" si="258"/>
        <v>6.2267910955574976E-2</v>
      </c>
      <c r="BD118" s="147">
        <f t="shared" si="235"/>
        <v>6.2860503548167559</v>
      </c>
      <c r="BF118" s="153">
        <f t="shared" si="179"/>
        <v>4.2499673201357939E-2</v>
      </c>
      <c r="BG118" s="153">
        <f t="shared" si="156"/>
        <v>7.5457125427475555E-2</v>
      </c>
      <c r="BI118" s="463">
        <f t="shared" si="236"/>
        <v>6.3217777777777766E-4</v>
      </c>
      <c r="BJ118" s="463">
        <f t="shared" si="237"/>
        <v>5.2958435555555553E-3</v>
      </c>
      <c r="BK118" s="463">
        <f t="shared" si="238"/>
        <v>3.0103703703703707E-3</v>
      </c>
      <c r="BL118" s="463">
        <f t="shared" si="239"/>
        <v>1.035160886992593E-2</v>
      </c>
      <c r="BM118">
        <f t="shared" si="240"/>
        <v>2.6099999999999999E-3</v>
      </c>
      <c r="BN118">
        <f t="shared" si="241"/>
        <v>2.4082962962962968E-6</v>
      </c>
      <c r="BO118" s="463">
        <f t="shared" si="242"/>
        <v>2.1990317750219299E-2</v>
      </c>
      <c r="BP118" s="147">
        <f t="shared" si="243"/>
        <v>21.900000573629633</v>
      </c>
      <c r="BQ118" s="463">
        <f t="shared" si="244"/>
        <v>7.4060462222222236E-3</v>
      </c>
      <c r="BT118" s="147">
        <f t="shared" si="245"/>
        <v>7.4060462222222236</v>
      </c>
      <c r="BU118" s="463">
        <f t="shared" si="246"/>
        <v>1.8062222222222221E-3</v>
      </c>
      <c r="BV118" s="463">
        <f t="shared" si="247"/>
        <v>5.6937777777777776E-3</v>
      </c>
      <c r="BW118" s="463">
        <f t="shared" si="248"/>
        <v>0</v>
      </c>
      <c r="BX118" s="463"/>
      <c r="BY118" s="463">
        <f t="shared" si="249"/>
        <v>2.709333333333334E-3</v>
      </c>
      <c r="BZ118" s="147">
        <f t="shared" si="250"/>
        <v>10.209333333333333</v>
      </c>
      <c r="CA118" s="153">
        <f t="shared" si="251"/>
        <v>3.9515380129185193E-2</v>
      </c>
      <c r="CB118" s="5">
        <f t="shared" si="252"/>
        <v>0.16</v>
      </c>
      <c r="CC118" s="153">
        <f t="shared" si="253"/>
        <v>0.80194318802089759</v>
      </c>
      <c r="CD118" s="5">
        <f t="shared" si="254"/>
        <v>80.194318802089754</v>
      </c>
      <c r="CG118" s="59">
        <f t="shared" si="255"/>
        <v>-50</v>
      </c>
      <c r="CH118">
        <f t="shared" si="256"/>
        <v>-50</v>
      </c>
    </row>
    <row r="119" spans="5:86" x14ac:dyDescent="0.25">
      <c r="E119" s="150">
        <v>9</v>
      </c>
      <c r="F119" s="191">
        <f t="shared" si="257"/>
        <v>8.9999999999999993E-3</v>
      </c>
      <c r="G119" s="191"/>
      <c r="H119" s="191">
        <f t="shared" si="201"/>
        <v>0.18</v>
      </c>
      <c r="I119" s="472">
        <f t="shared" si="202"/>
        <v>9</v>
      </c>
      <c r="J119" s="386">
        <f t="shared" si="203"/>
        <v>20.32</v>
      </c>
      <c r="K119" s="386">
        <f t="shared" si="204"/>
        <v>29.32</v>
      </c>
      <c r="L119" s="386"/>
      <c r="M119" s="191">
        <f t="shared" si="205"/>
        <v>0.69304229195088674</v>
      </c>
      <c r="N119" s="152">
        <f t="shared" si="206"/>
        <v>2.1177466575716233</v>
      </c>
      <c r="O119" s="152">
        <f t="shared" si="173"/>
        <v>0.18</v>
      </c>
      <c r="P119" s="191">
        <f t="shared" si="207"/>
        <v>0.10588733287858117</v>
      </c>
      <c r="Q119" s="191">
        <f t="shared" si="208"/>
        <v>20</v>
      </c>
      <c r="R119" s="191"/>
      <c r="S119" s="152">
        <f t="shared" si="209"/>
        <v>328.50875835804146</v>
      </c>
      <c r="T119" s="152">
        <f t="shared" si="210"/>
        <v>20</v>
      </c>
      <c r="U119" s="191">
        <f t="shared" si="211"/>
        <v>6.4129483814523186E-2</v>
      </c>
      <c r="V119" s="191">
        <f t="shared" si="212"/>
        <v>0.4275298920968213</v>
      </c>
      <c r="W119" s="191">
        <f t="shared" si="213"/>
        <v>0.18935871205075747</v>
      </c>
      <c r="X119" s="175">
        <f t="shared" si="214"/>
        <v>350</v>
      </c>
      <c r="Y119" s="386">
        <f t="shared" si="215"/>
        <v>350</v>
      </c>
      <c r="AA119" s="191">
        <f t="shared" si="216"/>
        <v>0.29701812512180864</v>
      </c>
      <c r="AB119" s="153">
        <f t="shared" si="217"/>
        <v>0.87702202299746645</v>
      </c>
      <c r="AC119" s="153">
        <f t="shared" si="218"/>
        <v>4.5586001468217563E-2</v>
      </c>
      <c r="AD119" s="153"/>
      <c r="AE119" s="153">
        <f t="shared" si="219"/>
        <v>0.44291338582677164</v>
      </c>
      <c r="AF119" s="317">
        <f t="shared" si="220"/>
        <v>270.93333333333339</v>
      </c>
      <c r="AG119" s="463">
        <f t="shared" si="221"/>
        <v>1.1626476377952754E-2</v>
      </c>
      <c r="AI119" s="153">
        <f t="shared" si="222"/>
        <v>0.13197402341803047</v>
      </c>
      <c r="AJ119" s="153">
        <f t="shared" si="223"/>
        <v>0.15</v>
      </c>
      <c r="AK119" s="153">
        <f t="shared" si="224"/>
        <v>1.1548190476190476</v>
      </c>
      <c r="AM119" s="317">
        <f t="shared" si="225"/>
        <v>9</v>
      </c>
      <c r="AN119" s="147">
        <f t="shared" si="226"/>
        <v>270.93333333333339</v>
      </c>
      <c r="AP119" s="147">
        <f t="shared" si="227"/>
        <v>9</v>
      </c>
      <c r="AQ119" s="147">
        <f t="shared" si="228"/>
        <v>270.93333333333339</v>
      </c>
      <c r="AS119" s="5">
        <f t="shared" si="175"/>
        <v>3.690944881889763</v>
      </c>
      <c r="AT119" s="5">
        <f t="shared" si="229"/>
        <v>1</v>
      </c>
      <c r="AU119" s="5">
        <f t="shared" si="230"/>
        <v>2.690944881889763</v>
      </c>
      <c r="AV119" s="5"/>
      <c r="AW119" s="153">
        <f t="shared" si="231"/>
        <v>0.27093333333333341</v>
      </c>
      <c r="AX119" s="153">
        <f t="shared" si="150"/>
        <v>0.18288000000000004</v>
      </c>
      <c r="AY119" s="153">
        <f t="shared" si="151"/>
        <v>5.4679999999999986E-2</v>
      </c>
      <c r="AZ119" s="153">
        <f t="shared" si="178"/>
        <v>3.3445501097293358</v>
      </c>
      <c r="BA119" s="147">
        <f t="shared" si="232"/>
        <v>3.0231480258994696</v>
      </c>
      <c r="BB119" s="147">
        <f t="shared" si="233"/>
        <v>0.39661943999999993</v>
      </c>
      <c r="BC119" s="5">
        <f t="shared" si="258"/>
        <v>5.9798775153105839E-2</v>
      </c>
      <c r="BD119" s="147">
        <f t="shared" si="235"/>
        <v>6.046544181977251</v>
      </c>
      <c r="BF119" s="153">
        <f t="shared" si="179"/>
        <v>4.507771067833858E-2</v>
      </c>
      <c r="BG119" s="153">
        <f t="shared" si="156"/>
        <v>7.3945926189344591E-2</v>
      </c>
      <c r="BI119" s="463">
        <f t="shared" si="236"/>
        <v>7.1119999999999994E-4</v>
      </c>
      <c r="BJ119" s="463">
        <f t="shared" si="237"/>
        <v>5.9578240000000005E-3</v>
      </c>
      <c r="BK119" s="463">
        <f t="shared" si="238"/>
        <v>3.3866666666666672E-3</v>
      </c>
      <c r="BL119" s="463">
        <f t="shared" si="239"/>
        <v>1.1645559978666672E-2</v>
      </c>
      <c r="BM119">
        <f t="shared" si="240"/>
        <v>2.6099999999999999E-3</v>
      </c>
      <c r="BN119">
        <f t="shared" si="241"/>
        <v>2.7093333333333339E-6</v>
      </c>
      <c r="BO119" s="463">
        <f t="shared" si="242"/>
        <v>2.4413175387653613E-2</v>
      </c>
      <c r="BP119" s="147">
        <f t="shared" si="243"/>
        <v>24.311250645333342</v>
      </c>
      <c r="BQ119" s="463">
        <f t="shared" si="244"/>
        <v>7.6155519999999994E-3</v>
      </c>
      <c r="BT119" s="147">
        <f t="shared" si="245"/>
        <v>7.6155519999999992</v>
      </c>
      <c r="BU119" s="463">
        <f t="shared" si="246"/>
        <v>2.032E-3</v>
      </c>
      <c r="BV119" s="463">
        <f t="shared" si="247"/>
        <v>5.467999999999998E-3</v>
      </c>
      <c r="BW119" s="463">
        <f t="shared" si="248"/>
        <v>0</v>
      </c>
      <c r="BX119" s="463"/>
      <c r="BY119" s="463">
        <f t="shared" si="249"/>
        <v>3.0480000000000012E-3</v>
      </c>
      <c r="BZ119" s="147">
        <f t="shared" si="250"/>
        <v>10.547999999999998</v>
      </c>
      <c r="CA119" s="153">
        <f t="shared" si="251"/>
        <v>4.2474802645333341E-2</v>
      </c>
      <c r="CB119" s="5">
        <f t="shared" si="252"/>
        <v>0.18</v>
      </c>
      <c r="CC119" s="153">
        <f t="shared" si="253"/>
        <v>0.80908038959788997</v>
      </c>
      <c r="CD119" s="5">
        <f t="shared" si="254"/>
        <v>80.908038959788996</v>
      </c>
      <c r="CG119" s="59">
        <f t="shared" si="255"/>
        <v>-50</v>
      </c>
      <c r="CH119">
        <f t="shared" si="256"/>
        <v>-50</v>
      </c>
    </row>
    <row r="120" spans="5:86" x14ac:dyDescent="0.25">
      <c r="E120" s="150">
        <v>10</v>
      </c>
      <c r="F120" s="191">
        <f t="shared" si="257"/>
        <v>1.0000000000000002E-2</v>
      </c>
      <c r="G120" s="191"/>
      <c r="H120" s="191">
        <f t="shared" si="201"/>
        <v>0.20000000000000004</v>
      </c>
      <c r="I120" s="472">
        <f t="shared" si="202"/>
        <v>9</v>
      </c>
      <c r="J120" s="386">
        <f t="shared" si="203"/>
        <v>20.32</v>
      </c>
      <c r="K120" s="386">
        <f t="shared" si="204"/>
        <v>29.32</v>
      </c>
      <c r="L120" s="386"/>
      <c r="M120" s="191">
        <f t="shared" si="205"/>
        <v>0.69304229195088674</v>
      </c>
      <c r="N120" s="152">
        <f t="shared" si="206"/>
        <v>2.1177466575716233</v>
      </c>
      <c r="O120" s="152">
        <f t="shared" si="173"/>
        <v>0.20000000000000004</v>
      </c>
      <c r="P120" s="191">
        <f t="shared" si="207"/>
        <v>0.10588733287858117</v>
      </c>
      <c r="Q120" s="191">
        <f t="shared" si="208"/>
        <v>20</v>
      </c>
      <c r="R120" s="191"/>
      <c r="S120" s="152">
        <f t="shared" si="209"/>
        <v>294.75976007300284</v>
      </c>
      <c r="T120" s="152">
        <f t="shared" si="210"/>
        <v>20</v>
      </c>
      <c r="U120" s="191">
        <f t="shared" si="211"/>
        <v>7.1254982016136892E-2</v>
      </c>
      <c r="V120" s="191">
        <f t="shared" si="212"/>
        <v>0.47503321344091259</v>
      </c>
      <c r="W120" s="191">
        <f t="shared" si="213"/>
        <v>0.21039856894528611</v>
      </c>
      <c r="X120" s="175">
        <f t="shared" si="214"/>
        <v>350</v>
      </c>
      <c r="Y120" s="386">
        <f t="shared" si="215"/>
        <v>350</v>
      </c>
      <c r="AA120" s="191">
        <f t="shared" si="216"/>
        <v>0.29701812512180864</v>
      </c>
      <c r="AB120" s="153">
        <f t="shared" si="217"/>
        <v>0.87702202299746645</v>
      </c>
      <c r="AC120" s="153">
        <f t="shared" si="218"/>
        <v>4.5586001468217563E-2</v>
      </c>
      <c r="AD120" s="153"/>
      <c r="AE120" s="153">
        <f t="shared" si="219"/>
        <v>0.44291338582677164</v>
      </c>
      <c r="AF120" s="317">
        <f t="shared" si="220"/>
        <v>301.03703703703712</v>
      </c>
      <c r="AG120" s="463">
        <f t="shared" si="221"/>
        <v>1.1626476377952754E-2</v>
      </c>
      <c r="AI120" s="153">
        <f t="shared" si="222"/>
        <v>0.13911283532579213</v>
      </c>
      <c r="AJ120" s="153">
        <f t="shared" si="223"/>
        <v>0.15</v>
      </c>
      <c r="AK120" s="153">
        <f t="shared" si="224"/>
        <v>1.1720211640211642</v>
      </c>
      <c r="AM120" s="317">
        <f t="shared" si="225"/>
        <v>10.000000000000002</v>
      </c>
      <c r="AN120" s="147">
        <f t="shared" si="226"/>
        <v>301.03703703703712</v>
      </c>
      <c r="AP120" s="147">
        <f t="shared" si="227"/>
        <v>10.000000000000002</v>
      </c>
      <c r="AQ120" s="147">
        <f t="shared" si="228"/>
        <v>301.03703703703712</v>
      </c>
      <c r="AS120" s="5">
        <f t="shared" si="175"/>
        <v>3.3218503937007862</v>
      </c>
      <c r="AT120" s="5">
        <f t="shared" si="229"/>
        <v>1</v>
      </c>
      <c r="AU120" s="5">
        <f t="shared" si="230"/>
        <v>2.3218503937007862</v>
      </c>
      <c r="AV120" s="5"/>
      <c r="AW120" s="153">
        <f t="shared" si="231"/>
        <v>0.30103703703703716</v>
      </c>
      <c r="AX120" s="153">
        <f t="shared" si="150"/>
        <v>0.20320000000000005</v>
      </c>
      <c r="AY120" s="153">
        <f t="shared" si="151"/>
        <v>5.242222222222221E-2</v>
      </c>
      <c r="AZ120" s="153">
        <f t="shared" si="178"/>
        <v>3.8762187367528633</v>
      </c>
      <c r="BA120" s="147">
        <f t="shared" si="232"/>
        <v>3.0231480258994696</v>
      </c>
      <c r="BB120" s="147">
        <f t="shared" si="233"/>
        <v>0.48632029629629658</v>
      </c>
      <c r="BC120" s="5">
        <f t="shared" si="258"/>
        <v>5.7329639350636709E-2</v>
      </c>
      <c r="BD120" s="147">
        <f t="shared" si="235"/>
        <v>5.807038009137746</v>
      </c>
      <c r="BF120" s="153">
        <f t="shared" si="179"/>
        <v>4.7516079149881235E-2</v>
      </c>
      <c r="BG120" s="153">
        <f t="shared" si="156"/>
        <v>7.2403192072050399E-2</v>
      </c>
      <c r="BI120" s="463">
        <f t="shared" si="236"/>
        <v>7.9022222222222232E-4</v>
      </c>
      <c r="BJ120" s="463">
        <f t="shared" si="237"/>
        <v>6.6198044444444465E-3</v>
      </c>
      <c r="BK120" s="463">
        <f t="shared" si="238"/>
        <v>3.7629629629629636E-3</v>
      </c>
      <c r="BL120" s="463">
        <f t="shared" si="239"/>
        <v>1.2939511087407414E-2</v>
      </c>
      <c r="BM120">
        <f t="shared" si="240"/>
        <v>2.6099999999999999E-3</v>
      </c>
      <c r="BN120">
        <f t="shared" si="241"/>
        <v>3.0103703703703714E-6</v>
      </c>
      <c r="BO120" s="463">
        <f t="shared" si="242"/>
        <v>2.6836103683980126E-2</v>
      </c>
      <c r="BP120" s="147">
        <f t="shared" si="243"/>
        <v>26.722500717037047</v>
      </c>
      <c r="BQ120" s="463">
        <f t="shared" si="244"/>
        <v>7.8250577777777778E-3</v>
      </c>
      <c r="BT120" s="147">
        <f t="shared" si="245"/>
        <v>7.8250577777777774</v>
      </c>
      <c r="BU120" s="463">
        <f t="shared" si="246"/>
        <v>2.2577777777777783E-3</v>
      </c>
      <c r="BV120" s="463">
        <f t="shared" si="247"/>
        <v>5.2422222222222219E-3</v>
      </c>
      <c r="BW120" s="463">
        <f t="shared" si="248"/>
        <v>0</v>
      </c>
      <c r="BX120" s="463"/>
      <c r="BY120" s="463">
        <f t="shared" si="249"/>
        <v>3.386666666666668E-3</v>
      </c>
      <c r="BZ120" s="147">
        <f t="shared" si="250"/>
        <v>10.886666666666668</v>
      </c>
      <c r="CA120" s="153">
        <f t="shared" si="251"/>
        <v>4.5434225161481497E-2</v>
      </c>
      <c r="CB120" s="5">
        <f t="shared" si="252"/>
        <v>0.20000000000000004</v>
      </c>
      <c r="CC120" s="153">
        <f t="shared" si="253"/>
        <v>0.81488227596787532</v>
      </c>
      <c r="CD120" s="5">
        <f t="shared" si="254"/>
        <v>81.488227596787539</v>
      </c>
      <c r="CG120" s="59">
        <f t="shared" si="255"/>
        <v>-50</v>
      </c>
      <c r="CH120">
        <f t="shared" si="256"/>
        <v>-50</v>
      </c>
    </row>
    <row r="121" spans="5:86" x14ac:dyDescent="0.25">
      <c r="E121" s="150">
        <v>11</v>
      </c>
      <c r="F121" s="191">
        <f t="shared" si="257"/>
        <v>1.1000000000000001E-2</v>
      </c>
      <c r="G121" s="191"/>
      <c r="H121" s="191">
        <f t="shared" si="201"/>
        <v>0.22000000000000003</v>
      </c>
      <c r="I121" s="472">
        <f t="shared" si="202"/>
        <v>9</v>
      </c>
      <c r="J121" s="386">
        <f t="shared" si="203"/>
        <v>20.32</v>
      </c>
      <c r="K121" s="386">
        <f t="shared" si="204"/>
        <v>29.32</v>
      </c>
      <c r="L121" s="386"/>
      <c r="M121" s="191">
        <f t="shared" si="205"/>
        <v>0.69304229195088674</v>
      </c>
      <c r="N121" s="152">
        <f t="shared" si="206"/>
        <v>2.1177466575716233</v>
      </c>
      <c r="O121" s="152">
        <f t="shared" si="173"/>
        <v>0.22000000000000003</v>
      </c>
      <c r="P121" s="191">
        <f t="shared" si="207"/>
        <v>0.10588733287858117</v>
      </c>
      <c r="Q121" s="191">
        <f t="shared" si="208"/>
        <v>20</v>
      </c>
      <c r="R121" s="191"/>
      <c r="S121" s="152">
        <f t="shared" si="209"/>
        <v>267.1471313145671</v>
      </c>
      <c r="T121" s="152">
        <f t="shared" si="210"/>
        <v>20</v>
      </c>
      <c r="U121" s="191">
        <f t="shared" si="211"/>
        <v>7.838048021775057E-2</v>
      </c>
      <c r="V121" s="191">
        <f t="shared" si="212"/>
        <v>0.52253653478500384</v>
      </c>
      <c r="W121" s="191">
        <f t="shared" si="213"/>
        <v>0.23143842583981469</v>
      </c>
      <c r="X121" s="175">
        <f t="shared" si="214"/>
        <v>350</v>
      </c>
      <c r="Y121" s="386">
        <f t="shared" si="215"/>
        <v>350</v>
      </c>
      <c r="AA121" s="191">
        <f t="shared" si="216"/>
        <v>0.29701812512180864</v>
      </c>
      <c r="AB121" s="153">
        <f t="shared" si="217"/>
        <v>0.87702202299746645</v>
      </c>
      <c r="AC121" s="153">
        <f t="shared" si="218"/>
        <v>4.5586001468217563E-2</v>
      </c>
      <c r="AD121" s="153"/>
      <c r="AE121" s="153">
        <f t="shared" si="219"/>
        <v>0.44291338582677164</v>
      </c>
      <c r="AF121" s="317">
        <f t="shared" si="220"/>
        <v>331.14074074074085</v>
      </c>
      <c r="AG121" s="463">
        <f t="shared" si="221"/>
        <v>1.1626476377952754E-2</v>
      </c>
      <c r="AI121" s="153">
        <f t="shared" si="222"/>
        <v>0.145902772583728</v>
      </c>
      <c r="AJ121" s="153">
        <f t="shared" si="223"/>
        <v>0.15</v>
      </c>
      <c r="AK121" s="153">
        <f t="shared" si="224"/>
        <v>1.1892232804232805</v>
      </c>
      <c r="AM121" s="317">
        <f t="shared" si="225"/>
        <v>11.000000000000002</v>
      </c>
      <c r="AN121" s="147">
        <f t="shared" si="226"/>
        <v>331.14074074074085</v>
      </c>
      <c r="AP121" s="147">
        <f t="shared" si="227"/>
        <v>11.000000000000002</v>
      </c>
      <c r="AQ121" s="147">
        <f t="shared" si="228"/>
        <v>331.14074074074085</v>
      </c>
      <c r="AS121" s="5">
        <f t="shared" si="175"/>
        <v>3.0198639942734422</v>
      </c>
      <c r="AT121" s="5">
        <f t="shared" si="229"/>
        <v>1</v>
      </c>
      <c r="AU121" s="5">
        <f t="shared" si="230"/>
        <v>2.0198639942734422</v>
      </c>
      <c r="AV121" s="5"/>
      <c r="AW121" s="153">
        <f t="shared" si="231"/>
        <v>0.33114074074074085</v>
      </c>
      <c r="AX121" s="153">
        <f t="shared" si="150"/>
        <v>0.22352000000000008</v>
      </c>
      <c r="AY121" s="153">
        <f t="shared" si="151"/>
        <v>5.0164444444444435E-2</v>
      </c>
      <c r="AZ121" s="153">
        <f t="shared" si="178"/>
        <v>4.4557455479755497</v>
      </c>
      <c r="BA121" s="147">
        <f t="shared" si="232"/>
        <v>3.0231480258994696</v>
      </c>
      <c r="BB121" s="147">
        <f t="shared" si="233"/>
        <v>0.58514755851851852</v>
      </c>
      <c r="BC121" s="5">
        <f t="shared" si="258"/>
        <v>5.4860503548167572E-2</v>
      </c>
      <c r="BD121" s="147">
        <f t="shared" si="235"/>
        <v>5.5675318362982384</v>
      </c>
      <c r="BF121" s="153">
        <f t="shared" si="179"/>
        <v>4.9835284242748697E-2</v>
      </c>
      <c r="BG121" s="153">
        <f t="shared" si="156"/>
        <v>7.0826862449528585E-2</v>
      </c>
      <c r="BI121" s="463">
        <f t="shared" si="236"/>
        <v>8.6924444444444471E-4</v>
      </c>
      <c r="BJ121" s="463">
        <f t="shared" si="237"/>
        <v>7.2817848888888908E-3</v>
      </c>
      <c r="BK121" s="463">
        <f t="shared" si="238"/>
        <v>4.1392592592592609E-3</v>
      </c>
      <c r="BL121" s="463">
        <f t="shared" si="239"/>
        <v>1.4233462196148156E-2</v>
      </c>
      <c r="BM121">
        <f t="shared" si="240"/>
        <v>2.6099999999999999E-3</v>
      </c>
      <c r="BN121">
        <f t="shared" si="241"/>
        <v>3.3114074074074085E-6</v>
      </c>
      <c r="BO121" s="463">
        <f t="shared" si="242"/>
        <v>2.9259102642289883E-2</v>
      </c>
      <c r="BP121" s="147">
        <f t="shared" si="243"/>
        <v>29.133750788740752</v>
      </c>
      <c r="BQ121" s="463">
        <f t="shared" si="244"/>
        <v>8.0345635555555545E-3</v>
      </c>
      <c r="BT121" s="147">
        <f t="shared" si="245"/>
        <v>8.0345635555555539</v>
      </c>
      <c r="BU121" s="463">
        <f t="shared" si="246"/>
        <v>2.4835555555555566E-3</v>
      </c>
      <c r="BV121" s="463">
        <f t="shared" si="247"/>
        <v>5.0164444444444423E-3</v>
      </c>
      <c r="BW121" s="463">
        <f t="shared" si="248"/>
        <v>0</v>
      </c>
      <c r="BX121" s="463"/>
      <c r="BY121" s="463">
        <f t="shared" si="249"/>
        <v>3.7253333333333353E-3</v>
      </c>
      <c r="BZ121" s="147">
        <f t="shared" si="250"/>
        <v>11.225333333333333</v>
      </c>
      <c r="CA121" s="153">
        <f t="shared" si="251"/>
        <v>4.8393647677629645E-2</v>
      </c>
      <c r="CB121" s="5">
        <f t="shared" si="252"/>
        <v>0.22000000000000003</v>
      </c>
      <c r="CC121" s="153">
        <f t="shared" si="253"/>
        <v>0.81969153109109438</v>
      </c>
      <c r="CD121" s="5">
        <f t="shared" si="254"/>
        <v>81.969153109109442</v>
      </c>
      <c r="CG121" s="59">
        <f t="shared" si="255"/>
        <v>-50</v>
      </c>
      <c r="CH121">
        <f t="shared" si="256"/>
        <v>-50</v>
      </c>
    </row>
    <row r="122" spans="5:86" x14ac:dyDescent="0.25">
      <c r="E122" s="150">
        <v>12</v>
      </c>
      <c r="F122" s="191">
        <f t="shared" si="257"/>
        <v>1.2E-2</v>
      </c>
      <c r="G122" s="191"/>
      <c r="H122" s="191">
        <f t="shared" si="201"/>
        <v>0.24</v>
      </c>
      <c r="I122" s="472">
        <f t="shared" si="202"/>
        <v>9</v>
      </c>
      <c r="J122" s="386">
        <f t="shared" si="203"/>
        <v>20.32</v>
      </c>
      <c r="K122" s="386">
        <f t="shared" si="204"/>
        <v>29.32</v>
      </c>
      <c r="L122" s="386"/>
      <c r="M122" s="191">
        <f t="shared" si="205"/>
        <v>0.69304229195088674</v>
      </c>
      <c r="N122" s="152">
        <f t="shared" si="206"/>
        <v>2.1177466575716233</v>
      </c>
      <c r="O122" s="152">
        <f t="shared" si="173"/>
        <v>0.24</v>
      </c>
      <c r="P122" s="191">
        <f t="shared" si="207"/>
        <v>0.10588733287858117</v>
      </c>
      <c r="Q122" s="191">
        <f t="shared" si="208"/>
        <v>20</v>
      </c>
      <c r="R122" s="191"/>
      <c r="S122" s="152">
        <f t="shared" si="209"/>
        <v>244.13678122359948</v>
      </c>
      <c r="T122" s="152">
        <f t="shared" si="210"/>
        <v>20</v>
      </c>
      <c r="U122" s="191">
        <f t="shared" si="211"/>
        <v>8.5505978419364248E-2</v>
      </c>
      <c r="V122" s="191">
        <f t="shared" si="212"/>
        <v>0.57003985612909502</v>
      </c>
      <c r="W122" s="191">
        <f t="shared" si="213"/>
        <v>0.25247828273434325</v>
      </c>
      <c r="X122" s="175">
        <f t="shared" si="214"/>
        <v>350</v>
      </c>
      <c r="Y122" s="386">
        <f t="shared" si="215"/>
        <v>350</v>
      </c>
      <c r="AA122" s="191">
        <f t="shared" si="216"/>
        <v>0.29701812512180864</v>
      </c>
      <c r="AB122" s="153">
        <f t="shared" si="217"/>
        <v>0.87702202299746645</v>
      </c>
      <c r="AC122" s="153">
        <f t="shared" si="218"/>
        <v>4.5586001468217563E-2</v>
      </c>
      <c r="AD122" s="153"/>
      <c r="AE122" s="153">
        <f t="shared" si="219"/>
        <v>0.44291338582677164</v>
      </c>
      <c r="AF122" s="317">
        <f t="shared" si="220"/>
        <v>361.24444444444447</v>
      </c>
      <c r="AG122" s="463">
        <f t="shared" si="221"/>
        <v>1.1626476377952754E-2</v>
      </c>
      <c r="AI122" s="153">
        <f t="shared" si="222"/>
        <v>0.15239047589287574</v>
      </c>
      <c r="AJ122" s="153">
        <f t="shared" si="223"/>
        <v>0.15239047589287574</v>
      </c>
      <c r="AK122" s="153">
        <f t="shared" si="224"/>
        <v>1.2015936505952505</v>
      </c>
      <c r="AM122" s="317">
        <f t="shared" si="225"/>
        <v>12</v>
      </c>
      <c r="AN122" s="147">
        <f t="shared" si="226"/>
        <v>350</v>
      </c>
      <c r="AP122" s="147">
        <f t="shared" si="227"/>
        <v>12</v>
      </c>
      <c r="AQ122" s="147">
        <f t="shared" si="228"/>
        <v>350</v>
      </c>
      <c r="AS122" s="5">
        <f t="shared" si="175"/>
        <v>2.8571428571428572</v>
      </c>
      <c r="AT122" s="5">
        <f t="shared" si="229"/>
        <v>1.015936505952505</v>
      </c>
      <c r="AU122" s="5">
        <f t="shared" si="230"/>
        <v>1.8412063511903523</v>
      </c>
      <c r="AV122" s="5"/>
      <c r="AW122" s="153">
        <f t="shared" si="231"/>
        <v>0.35557777708337673</v>
      </c>
      <c r="AX122" s="153">
        <f t="shared" si="150"/>
        <v>0.24384</v>
      </c>
      <c r="AY122" s="153">
        <f t="shared" si="151"/>
        <v>4.9101904613104534E-2</v>
      </c>
      <c r="AZ122" s="153">
        <f t="shared" si="178"/>
        <v>4.9659988124966317</v>
      </c>
      <c r="BA122" s="147">
        <f t="shared" si="232"/>
        <v>3.0231480258994696</v>
      </c>
      <c r="BB122" s="147">
        <f t="shared" si="233"/>
        <v>0.69310122666666651</v>
      </c>
      <c r="BC122" s="5">
        <f t="shared" si="258"/>
        <v>5.4554262257491923E-2</v>
      </c>
      <c r="BD122" s="147">
        <f t="shared" si="235"/>
        <v>5.5443151146380805</v>
      </c>
      <c r="BF122" s="153">
        <f t="shared" si="179"/>
        <v>5.2464374961752089E-2</v>
      </c>
      <c r="BG122" s="153">
        <f t="shared" si="156"/>
        <v>7.0628901597186544E-2</v>
      </c>
      <c r="BI122" s="463">
        <f t="shared" si="236"/>
        <v>9.633787240445617E-4</v>
      </c>
      <c r="BJ122" s="463">
        <f t="shared" si="237"/>
        <v>7.8191553180634553E-3</v>
      </c>
      <c r="BK122" s="463">
        <f t="shared" si="238"/>
        <v>4.3749999999999995E-3</v>
      </c>
      <c r="BL122" s="463">
        <f t="shared" si="239"/>
        <v>1.5044092000000002E-2</v>
      </c>
      <c r="BM122">
        <f t="shared" si="240"/>
        <v>2.6099999999999999E-3</v>
      </c>
      <c r="BN122">
        <f t="shared" si="241"/>
        <v>3.4999999999999999E-6</v>
      </c>
      <c r="BO122" s="463">
        <f t="shared" si="242"/>
        <v>3.0950683448775971E-2</v>
      </c>
      <c r="BP122" s="147">
        <f t="shared" si="243"/>
        <v>30.811626042108021</v>
      </c>
      <c r="BQ122" s="463">
        <f t="shared" si="244"/>
        <v>8.3951694899903461E-3</v>
      </c>
      <c r="BT122" s="147">
        <f t="shared" si="245"/>
        <v>8.3951694899903462</v>
      </c>
      <c r="BU122" s="463">
        <f t="shared" si="246"/>
        <v>2.7525106401273193E-3</v>
      </c>
      <c r="BV122" s="463">
        <f t="shared" si="247"/>
        <v>4.9884417408250599E-3</v>
      </c>
      <c r="BW122" s="463">
        <f t="shared" si="248"/>
        <v>0</v>
      </c>
      <c r="BX122" s="463"/>
      <c r="BY122" s="463">
        <f t="shared" si="249"/>
        <v>4.0640000000000008E-3</v>
      </c>
      <c r="BZ122" s="147">
        <f t="shared" si="250"/>
        <v>11.804952380952381</v>
      </c>
      <c r="CA122" s="153">
        <f t="shared" si="251"/>
        <v>5.1011747913050742E-2</v>
      </c>
      <c r="CB122" s="5">
        <f t="shared" si="252"/>
        <v>0.24</v>
      </c>
      <c r="CC122" s="153">
        <f t="shared" si="253"/>
        <v>0.82470897385114439</v>
      </c>
      <c r="CD122" s="5">
        <f t="shared" si="254"/>
        <v>82.470897385114441</v>
      </c>
      <c r="CG122" s="59">
        <f t="shared" si="255"/>
        <v>-50</v>
      </c>
      <c r="CH122">
        <f t="shared" si="256"/>
        <v>-50</v>
      </c>
    </row>
    <row r="123" spans="5:86" x14ac:dyDescent="0.25">
      <c r="E123" s="150">
        <v>13</v>
      </c>
      <c r="F123" s="191">
        <f t="shared" si="257"/>
        <v>1.3000000000000001E-2</v>
      </c>
      <c r="G123" s="191"/>
      <c r="H123" s="191">
        <f t="shared" si="201"/>
        <v>0.26</v>
      </c>
      <c r="I123" s="472">
        <f t="shared" si="202"/>
        <v>9</v>
      </c>
      <c r="J123" s="386">
        <f t="shared" si="203"/>
        <v>20.32</v>
      </c>
      <c r="K123" s="386">
        <f t="shared" si="204"/>
        <v>29.32</v>
      </c>
      <c r="L123" s="386"/>
      <c r="M123" s="191">
        <f t="shared" si="205"/>
        <v>0.69304229195088674</v>
      </c>
      <c r="N123" s="152">
        <f t="shared" si="206"/>
        <v>2.1177466575716233</v>
      </c>
      <c r="O123" s="152">
        <f t="shared" si="173"/>
        <v>0.26</v>
      </c>
      <c r="P123" s="191">
        <f t="shared" si="207"/>
        <v>0.10588733287858117</v>
      </c>
      <c r="Q123" s="191">
        <f t="shared" si="208"/>
        <v>20</v>
      </c>
      <c r="R123" s="191"/>
      <c r="S123" s="152">
        <f t="shared" si="209"/>
        <v>224.66664691353347</v>
      </c>
      <c r="T123" s="152">
        <f t="shared" si="210"/>
        <v>20</v>
      </c>
      <c r="U123" s="191">
        <f t="shared" si="211"/>
        <v>9.263147662097794E-2</v>
      </c>
      <c r="V123" s="191">
        <f t="shared" si="212"/>
        <v>0.61754317747318632</v>
      </c>
      <c r="W123" s="191">
        <f t="shared" si="213"/>
        <v>0.27351813962887189</v>
      </c>
      <c r="X123" s="175">
        <f t="shared" si="214"/>
        <v>350</v>
      </c>
      <c r="Y123" s="386">
        <f t="shared" si="215"/>
        <v>350</v>
      </c>
      <c r="AA123" s="191">
        <f t="shared" si="216"/>
        <v>0.29701812512180864</v>
      </c>
      <c r="AB123" s="153">
        <f t="shared" si="217"/>
        <v>0.87702202299746645</v>
      </c>
      <c r="AC123" s="153">
        <f t="shared" si="218"/>
        <v>4.5586001468217563E-2</v>
      </c>
      <c r="AD123" s="153"/>
      <c r="AE123" s="153">
        <f t="shared" si="219"/>
        <v>0.44291338582677164</v>
      </c>
      <c r="AF123" s="317">
        <f t="shared" si="220"/>
        <v>391.34814814814825</v>
      </c>
      <c r="AG123" s="463">
        <f t="shared" si="221"/>
        <v>1.1626476377952754E-2</v>
      </c>
      <c r="AI123" s="153">
        <f t="shared" si="222"/>
        <v>0.15861303615433142</v>
      </c>
      <c r="AJ123" s="153">
        <f t="shared" si="223"/>
        <v>0.15861303615433142</v>
      </c>
      <c r="AK123" s="153">
        <f t="shared" si="224"/>
        <v>1.2057420241028876</v>
      </c>
      <c r="AM123" s="317">
        <f t="shared" si="225"/>
        <v>13.000000000000002</v>
      </c>
      <c r="AN123" s="147">
        <f t="shared" si="226"/>
        <v>350</v>
      </c>
      <c r="AP123" s="147">
        <f t="shared" si="227"/>
        <v>13.000000000000002</v>
      </c>
      <c r="AQ123" s="147">
        <f t="shared" si="228"/>
        <v>350</v>
      </c>
      <c r="AS123" s="5">
        <f t="shared" si="175"/>
        <v>2.8571428571428572</v>
      </c>
      <c r="AT123" s="5">
        <f t="shared" si="229"/>
        <v>1.0574202410288762</v>
      </c>
      <c r="AU123" s="5">
        <f t="shared" si="230"/>
        <v>1.799722616113981</v>
      </c>
      <c r="AV123" s="5"/>
      <c r="AW123" s="153">
        <f t="shared" si="231"/>
        <v>0.37009708436010669</v>
      </c>
      <c r="AX123" s="153">
        <f t="shared" si="150"/>
        <v>0.26416000000000012</v>
      </c>
      <c r="AY123" s="153">
        <f t="shared" si="151"/>
        <v>4.9955406966054584E-2</v>
      </c>
      <c r="AZ123" s="153">
        <f t="shared" si="178"/>
        <v>5.2879160844290718</v>
      </c>
      <c r="BA123" s="147">
        <f t="shared" si="232"/>
        <v>3.0231480258994696</v>
      </c>
      <c r="BB123" s="147">
        <f t="shared" si="233"/>
        <v>0.81018130074074091</v>
      </c>
      <c r="BC123" s="5">
        <f t="shared" si="258"/>
        <v>5.7768874097485816E-2</v>
      </c>
      <c r="BD123" s="147">
        <f t="shared" si="235"/>
        <v>5.8731837060448786</v>
      </c>
      <c r="BF123" s="153">
        <f t="shared" si="179"/>
        <v>5.5710375142855081E-2</v>
      </c>
      <c r="BG123" s="153">
        <f t="shared" si="156"/>
        <v>7.2680023716796507E-2</v>
      </c>
      <c r="BI123" s="463">
        <f t="shared" si="236"/>
        <v>1.0862760644951759E-3</v>
      </c>
      <c r="BJ123" s="463">
        <f t="shared" si="237"/>
        <v>8.1384348850787464E-3</v>
      </c>
      <c r="BK123" s="463">
        <f t="shared" si="238"/>
        <v>4.3749999999999995E-3</v>
      </c>
      <c r="BL123" s="463">
        <f t="shared" si="239"/>
        <v>1.5044092000000002E-2</v>
      </c>
      <c r="BM123">
        <f t="shared" si="240"/>
        <v>2.6099999999999999E-3</v>
      </c>
      <c r="BN123">
        <f t="shared" si="241"/>
        <v>3.4999999999999999E-6</v>
      </c>
      <c r="BO123" s="463">
        <f t="shared" si="242"/>
        <v>3.1410245394766063E-2</v>
      </c>
      <c r="BP123" s="147">
        <f t="shared" si="243"/>
        <v>31.253802949573924</v>
      </c>
      <c r="BQ123" s="463">
        <f t="shared" si="244"/>
        <v>9.0017427874702158E-3</v>
      </c>
      <c r="BT123" s="147">
        <f t="shared" si="245"/>
        <v>9.0017427874702154</v>
      </c>
      <c r="BU123" s="463">
        <f t="shared" si="246"/>
        <v>3.1036458985576453E-3</v>
      </c>
      <c r="BV123" s="463">
        <f t="shared" si="247"/>
        <v>5.2823858474741027E-3</v>
      </c>
      <c r="BW123" s="463">
        <f t="shared" si="248"/>
        <v>0</v>
      </c>
      <c r="BX123" s="463"/>
      <c r="BY123" s="463">
        <f t="shared" si="249"/>
        <v>4.4026666666666684E-3</v>
      </c>
      <c r="BZ123" s="147">
        <f t="shared" si="250"/>
        <v>12.788698412698418</v>
      </c>
      <c r="CA123" s="153">
        <f t="shared" si="251"/>
        <v>5.3044244149742556E-2</v>
      </c>
      <c r="CB123" s="5">
        <f t="shared" si="252"/>
        <v>0.26</v>
      </c>
      <c r="CC123" s="153">
        <f t="shared" si="253"/>
        <v>0.83055352353206269</v>
      </c>
      <c r="CD123" s="5">
        <f t="shared" si="254"/>
        <v>83.055352353206274</v>
      </c>
      <c r="CG123" s="59">
        <f t="shared" si="255"/>
        <v>-50</v>
      </c>
      <c r="CH123">
        <f t="shared" si="256"/>
        <v>-50</v>
      </c>
    </row>
    <row r="124" spans="5:86" x14ac:dyDescent="0.25">
      <c r="E124" s="150">
        <v>14</v>
      </c>
      <c r="F124" s="191">
        <f t="shared" si="257"/>
        <v>1.4000000000000002E-2</v>
      </c>
      <c r="G124" s="191"/>
      <c r="H124" s="191">
        <f t="shared" si="201"/>
        <v>0.28000000000000003</v>
      </c>
      <c r="I124" s="472">
        <f t="shared" si="202"/>
        <v>9</v>
      </c>
      <c r="J124" s="386">
        <f t="shared" si="203"/>
        <v>20.32</v>
      </c>
      <c r="K124" s="386">
        <f t="shared" si="204"/>
        <v>29.32</v>
      </c>
      <c r="L124" s="386"/>
      <c r="M124" s="191">
        <f t="shared" si="205"/>
        <v>0.69304229195088674</v>
      </c>
      <c r="N124" s="152">
        <f t="shared" si="206"/>
        <v>2.1177466575716233</v>
      </c>
      <c r="O124" s="152">
        <f t="shared" si="173"/>
        <v>0.28000000000000003</v>
      </c>
      <c r="P124" s="191">
        <f t="shared" si="207"/>
        <v>0.10588733287858117</v>
      </c>
      <c r="Q124" s="191">
        <f t="shared" si="208"/>
        <v>20</v>
      </c>
      <c r="R124" s="191"/>
      <c r="S124" s="152">
        <f t="shared" si="209"/>
        <v>207.97811205179605</v>
      </c>
      <c r="T124" s="152">
        <f t="shared" si="210"/>
        <v>20</v>
      </c>
      <c r="U124" s="191">
        <f t="shared" si="211"/>
        <v>9.9756974822591632E-2</v>
      </c>
      <c r="V124" s="191">
        <f t="shared" si="212"/>
        <v>0.66504649881727751</v>
      </c>
      <c r="W124" s="191">
        <f t="shared" si="213"/>
        <v>0.29455799652340048</v>
      </c>
      <c r="X124" s="175">
        <f t="shared" si="214"/>
        <v>350</v>
      </c>
      <c r="Y124" s="386">
        <f t="shared" si="215"/>
        <v>350</v>
      </c>
      <c r="AA124" s="191">
        <f t="shared" si="216"/>
        <v>0.29701812512180864</v>
      </c>
      <c r="AB124" s="153">
        <f t="shared" si="217"/>
        <v>0.87702202299746645</v>
      </c>
      <c r="AC124" s="153">
        <f t="shared" si="218"/>
        <v>4.5586001468217563E-2</v>
      </c>
      <c r="AD124" s="153"/>
      <c r="AE124" s="153">
        <f t="shared" si="219"/>
        <v>0.44291338582677164</v>
      </c>
      <c r="AF124" s="317">
        <f t="shared" si="220"/>
        <v>421.45185185185198</v>
      </c>
      <c r="AG124" s="463">
        <f t="shared" si="221"/>
        <v>1.1626476377952754E-2</v>
      </c>
      <c r="AI124" s="153">
        <f t="shared" si="222"/>
        <v>0.16460052652811696</v>
      </c>
      <c r="AJ124" s="153">
        <f t="shared" si="223"/>
        <v>0.16460052652811696</v>
      </c>
      <c r="AK124" s="153">
        <f t="shared" si="224"/>
        <v>1.2097336843520778</v>
      </c>
      <c r="AM124" s="317">
        <f t="shared" si="225"/>
        <v>14.000000000000002</v>
      </c>
      <c r="AN124" s="147">
        <f t="shared" si="226"/>
        <v>350</v>
      </c>
      <c r="AP124" s="147">
        <f t="shared" si="227"/>
        <v>14.000000000000002</v>
      </c>
      <c r="AQ124" s="147">
        <f t="shared" si="228"/>
        <v>350</v>
      </c>
      <c r="AS124" s="5">
        <f t="shared" si="175"/>
        <v>2.8571428571428572</v>
      </c>
      <c r="AT124" s="5">
        <f t="shared" si="229"/>
        <v>1.0973368435207798</v>
      </c>
      <c r="AU124" s="5">
        <f t="shared" si="230"/>
        <v>1.7598060136220774</v>
      </c>
      <c r="AV124" s="5"/>
      <c r="AW124" s="153">
        <f t="shared" si="231"/>
        <v>0.38406789523227292</v>
      </c>
      <c r="AX124" s="153">
        <f t="shared" si="150"/>
        <v>0.28448000000000007</v>
      </c>
      <c r="AY124" s="153">
        <f t="shared" si="151"/>
        <v>5.0691374375169587E-2</v>
      </c>
      <c r="AZ124" s="153">
        <f t="shared" si="178"/>
        <v>5.6120001382197353</v>
      </c>
      <c r="BA124" s="147">
        <f t="shared" si="232"/>
        <v>3.0231480258994696</v>
      </c>
      <c r="BB124" s="147">
        <f t="shared" si="233"/>
        <v>0.93638778074074069</v>
      </c>
      <c r="BC124" s="5">
        <f t="shared" si="258"/>
        <v>6.0832800470886635E-2</v>
      </c>
      <c r="BD124" s="147">
        <f t="shared" si="235"/>
        <v>6.1869837507923675</v>
      </c>
      <c r="BF124" s="153">
        <f t="shared" si="179"/>
        <v>5.889448052282352E-2</v>
      </c>
      <c r="BG124" s="153">
        <f t="shared" si="156"/>
        <v>7.4582513198858308E-2</v>
      </c>
      <c r="BI124" s="463">
        <f t="shared" si="236"/>
        <v>1.2139959426186336E-3</v>
      </c>
      <c r="BJ124" s="463">
        <f t="shared" si="237"/>
        <v>8.445653016157682E-3</v>
      </c>
      <c r="BK124" s="463">
        <f t="shared" si="238"/>
        <v>4.3749999999999995E-3</v>
      </c>
      <c r="BL124" s="463">
        <f t="shared" si="239"/>
        <v>1.5044092000000002E-2</v>
      </c>
      <c r="BM124">
        <f t="shared" si="240"/>
        <v>2.6099999999999999E-3</v>
      </c>
      <c r="BN124">
        <f t="shared" si="241"/>
        <v>3.4999999999999999E-6</v>
      </c>
      <c r="BO124" s="463">
        <f t="shared" si="242"/>
        <v>3.1863267217358555E-2</v>
      </c>
      <c r="BP124" s="147">
        <f t="shared" si="243"/>
        <v>31.688740958776314</v>
      </c>
      <c r="BQ124" s="463">
        <f t="shared" si="244"/>
        <v>9.5977891741442171E-3</v>
      </c>
      <c r="BT124" s="147">
        <f t="shared" si="245"/>
        <v>9.5977891741442178</v>
      </c>
      <c r="BU124" s="463">
        <f t="shared" si="246"/>
        <v>3.4685598360532388E-3</v>
      </c>
      <c r="BV124" s="463">
        <f t="shared" si="247"/>
        <v>5.5625512750578738E-3</v>
      </c>
      <c r="BW124" s="463">
        <f t="shared" si="248"/>
        <v>0</v>
      </c>
      <c r="BX124" s="463"/>
      <c r="BY124" s="463">
        <f t="shared" si="249"/>
        <v>4.7413333333333352E-3</v>
      </c>
      <c r="BZ124" s="147">
        <f t="shared" si="250"/>
        <v>13.772444444444448</v>
      </c>
      <c r="CA124" s="153">
        <f t="shared" si="251"/>
        <v>5.5058974577364972E-2</v>
      </c>
      <c r="CB124" s="5">
        <f t="shared" si="252"/>
        <v>0.28000000000000003</v>
      </c>
      <c r="CC124" s="153">
        <f t="shared" si="253"/>
        <v>0.83567378057306185</v>
      </c>
      <c r="CD124" s="5">
        <f t="shared" si="254"/>
        <v>83.567378057306186</v>
      </c>
      <c r="CG124" s="59">
        <f t="shared" si="255"/>
        <v>-50</v>
      </c>
      <c r="CH124">
        <f t="shared" si="256"/>
        <v>-50</v>
      </c>
    </row>
    <row r="125" spans="5:86" x14ac:dyDescent="0.25">
      <c r="E125" s="150">
        <v>15</v>
      </c>
      <c r="F125" s="191">
        <f t="shared" si="257"/>
        <v>1.4999999999999999E-2</v>
      </c>
      <c r="G125" s="191"/>
      <c r="H125" s="191">
        <f t="shared" si="201"/>
        <v>0.3</v>
      </c>
      <c r="I125" s="472">
        <f t="shared" si="202"/>
        <v>9</v>
      </c>
      <c r="J125" s="386">
        <f t="shared" si="203"/>
        <v>20.32</v>
      </c>
      <c r="K125" s="386">
        <f t="shared" si="204"/>
        <v>29.32</v>
      </c>
      <c r="L125" s="386"/>
      <c r="M125" s="191">
        <f t="shared" si="205"/>
        <v>0.69304229195088674</v>
      </c>
      <c r="N125" s="152">
        <f t="shared" si="206"/>
        <v>2.1177466575716233</v>
      </c>
      <c r="O125" s="152">
        <f t="shared" si="173"/>
        <v>0.3</v>
      </c>
      <c r="P125" s="191">
        <f t="shared" si="207"/>
        <v>0.10588733287858117</v>
      </c>
      <c r="Q125" s="191">
        <f t="shared" si="208"/>
        <v>20</v>
      </c>
      <c r="R125" s="191"/>
      <c r="S125" s="152">
        <f t="shared" si="209"/>
        <v>193.51485800866567</v>
      </c>
      <c r="T125" s="152">
        <f t="shared" si="210"/>
        <v>20</v>
      </c>
      <c r="U125" s="191">
        <f t="shared" si="211"/>
        <v>0.10688247302420531</v>
      </c>
      <c r="V125" s="191">
        <f t="shared" si="212"/>
        <v>0.71254982016136881</v>
      </c>
      <c r="W125" s="191">
        <f t="shared" si="213"/>
        <v>0.31559785341792906</v>
      </c>
      <c r="X125" s="175">
        <f t="shared" si="214"/>
        <v>350</v>
      </c>
      <c r="Y125" s="386">
        <f t="shared" si="215"/>
        <v>350</v>
      </c>
      <c r="AA125" s="191">
        <f t="shared" si="216"/>
        <v>0.29701812512180864</v>
      </c>
      <c r="AB125" s="153">
        <f t="shared" si="217"/>
        <v>0.87702202299746645</v>
      </c>
      <c r="AC125" s="153">
        <f t="shared" si="218"/>
        <v>4.5586001468217563E-2</v>
      </c>
      <c r="AD125" s="153"/>
      <c r="AE125" s="153">
        <f t="shared" si="219"/>
        <v>0.44291338582677164</v>
      </c>
      <c r="AF125" s="317">
        <f t="shared" si="220"/>
        <v>451.5555555555556</v>
      </c>
      <c r="AG125" s="463">
        <f t="shared" si="221"/>
        <v>1.1626476377952754E-2</v>
      </c>
      <c r="AI125" s="153">
        <f t="shared" si="222"/>
        <v>0.17037773161000655</v>
      </c>
      <c r="AJ125" s="153">
        <f t="shared" si="223"/>
        <v>0.17037773161000655</v>
      </c>
      <c r="AK125" s="153">
        <f t="shared" si="224"/>
        <v>1.2135851544066709</v>
      </c>
      <c r="AM125" s="317">
        <f t="shared" si="225"/>
        <v>15</v>
      </c>
      <c r="AN125" s="147">
        <f t="shared" si="226"/>
        <v>350</v>
      </c>
      <c r="AP125" s="147">
        <f t="shared" si="227"/>
        <v>15</v>
      </c>
      <c r="AQ125" s="147">
        <f t="shared" si="228"/>
        <v>350</v>
      </c>
      <c r="AS125" s="5">
        <f t="shared" si="175"/>
        <v>2.8571428571428572</v>
      </c>
      <c r="AT125" s="5">
        <f t="shared" si="229"/>
        <v>1.1358515440667103</v>
      </c>
      <c r="AU125" s="5">
        <f t="shared" si="230"/>
        <v>1.7212913130761469</v>
      </c>
      <c r="AV125" s="5"/>
      <c r="AW125" s="153">
        <f t="shared" si="231"/>
        <v>0.39754804042334857</v>
      </c>
      <c r="AX125" s="153">
        <f t="shared" si="150"/>
        <v>0.30479999999999996</v>
      </c>
      <c r="AY125" s="153">
        <f t="shared" si="151"/>
        <v>5.1322199138336619E-2</v>
      </c>
      <c r="AZ125" s="153">
        <f t="shared" si="178"/>
        <v>5.9389504954459502</v>
      </c>
      <c r="BA125" s="147">
        <f t="shared" si="232"/>
        <v>3.0231480258994696</v>
      </c>
      <c r="BB125" s="147">
        <f t="shared" si="233"/>
        <v>1.0717206666666665</v>
      </c>
      <c r="BC125" s="5">
        <f t="shared" si="258"/>
        <v>6.3751530113931365E-2</v>
      </c>
      <c r="BD125" s="147">
        <f t="shared" si="235"/>
        <v>6.4862641225042479</v>
      </c>
      <c r="BF125" s="153">
        <f t="shared" si="179"/>
        <v>6.2022177989591691E-2</v>
      </c>
      <c r="BG125" s="153">
        <f t="shared" si="156"/>
        <v>7.6350768913075684E-2</v>
      </c>
      <c r="BI125" s="463">
        <f t="shared" si="236"/>
        <v>1.3463626969004072E-3</v>
      </c>
      <c r="BJ125" s="463">
        <f t="shared" si="237"/>
        <v>8.7420814089094363E-3</v>
      </c>
      <c r="BK125" s="463">
        <f t="shared" si="238"/>
        <v>4.3749999999999995E-3</v>
      </c>
      <c r="BL125" s="463">
        <f t="shared" si="239"/>
        <v>1.5044092000000002E-2</v>
      </c>
      <c r="BM125">
        <f t="shared" si="240"/>
        <v>2.6099999999999999E-3</v>
      </c>
      <c r="BN125">
        <f t="shared" si="241"/>
        <v>3.4999999999999999E-6</v>
      </c>
      <c r="BO125" s="463">
        <f t="shared" si="242"/>
        <v>3.2310821204458752E-2</v>
      </c>
      <c r="BP125" s="147">
        <f t="shared" si="243"/>
        <v>32.11753610580984</v>
      </c>
      <c r="BQ125" s="463">
        <f t="shared" si="244"/>
        <v>1.0183692094004064E-2</v>
      </c>
      <c r="BT125" s="147">
        <f t="shared" si="245"/>
        <v>10.183692094004064</v>
      </c>
      <c r="BU125" s="463">
        <f t="shared" si="246"/>
        <v>3.8467505625725922E-3</v>
      </c>
      <c r="BV125" s="463">
        <f t="shared" si="247"/>
        <v>5.8294399136178841E-3</v>
      </c>
      <c r="BW125" s="463">
        <f t="shared" si="248"/>
        <v>0</v>
      </c>
      <c r="BX125" s="463"/>
      <c r="BY125" s="463">
        <f t="shared" si="249"/>
        <v>5.0800000000000003E-3</v>
      </c>
      <c r="BZ125" s="147">
        <f t="shared" si="250"/>
        <v>14.756190476190479</v>
      </c>
      <c r="CA125" s="153">
        <f t="shared" si="251"/>
        <v>5.7057418676004376E-2</v>
      </c>
      <c r="CB125" s="5">
        <f t="shared" si="252"/>
        <v>0.3</v>
      </c>
      <c r="CC125" s="153">
        <f t="shared" si="253"/>
        <v>0.84020099935865333</v>
      </c>
      <c r="CD125" s="5">
        <f t="shared" si="254"/>
        <v>84.020099935865332</v>
      </c>
      <c r="CG125" s="59">
        <f t="shared" si="255"/>
        <v>-50</v>
      </c>
      <c r="CH125">
        <f t="shared" si="256"/>
        <v>-50</v>
      </c>
    </row>
    <row r="126" spans="5:86" x14ac:dyDescent="0.25">
      <c r="E126" s="150">
        <v>16</v>
      </c>
      <c r="F126" s="191">
        <f t="shared" si="257"/>
        <v>1.6E-2</v>
      </c>
      <c r="G126" s="191"/>
      <c r="H126" s="191">
        <f t="shared" si="201"/>
        <v>0.32</v>
      </c>
      <c r="I126" s="472">
        <f t="shared" si="202"/>
        <v>9</v>
      </c>
      <c r="J126" s="386">
        <f t="shared" si="203"/>
        <v>20.32</v>
      </c>
      <c r="K126" s="386">
        <f t="shared" si="204"/>
        <v>29.32</v>
      </c>
      <c r="L126" s="386"/>
      <c r="M126" s="191">
        <f t="shared" si="205"/>
        <v>0.69304229195088674</v>
      </c>
      <c r="N126" s="152">
        <f t="shared" si="206"/>
        <v>2.1177466575716233</v>
      </c>
      <c r="O126" s="152">
        <f t="shared" si="173"/>
        <v>0.32</v>
      </c>
      <c r="P126" s="191">
        <f t="shared" si="207"/>
        <v>0.10588733287858117</v>
      </c>
      <c r="Q126" s="191">
        <f t="shared" si="208"/>
        <v>20</v>
      </c>
      <c r="R126" s="191"/>
      <c r="S126" s="152">
        <f t="shared" si="209"/>
        <v>180.85964582531128</v>
      </c>
      <c r="T126" s="152">
        <f t="shared" si="210"/>
        <v>20</v>
      </c>
      <c r="U126" s="191">
        <f t="shared" si="211"/>
        <v>0.114007971225819</v>
      </c>
      <c r="V126" s="191">
        <f t="shared" si="212"/>
        <v>0.76005314150545999</v>
      </c>
      <c r="W126" s="191">
        <f t="shared" si="213"/>
        <v>0.33663771031245765</v>
      </c>
      <c r="X126" s="175">
        <f t="shared" si="214"/>
        <v>350</v>
      </c>
      <c r="Y126" s="386">
        <f t="shared" si="215"/>
        <v>350</v>
      </c>
      <c r="AA126" s="191">
        <f t="shared" si="216"/>
        <v>0.29701812512180864</v>
      </c>
      <c r="AB126" s="153">
        <f t="shared" si="217"/>
        <v>0.87702202299746645</v>
      </c>
      <c r="AC126" s="153">
        <f t="shared" si="218"/>
        <v>4.5586001468217563E-2</v>
      </c>
      <c r="AD126" s="153"/>
      <c r="AE126" s="153">
        <f t="shared" si="219"/>
        <v>0.44291338582677164</v>
      </c>
      <c r="AF126" s="317">
        <f t="shared" si="220"/>
        <v>481.65925925925933</v>
      </c>
      <c r="AG126" s="463">
        <f t="shared" si="221"/>
        <v>1.1626476377952754E-2</v>
      </c>
      <c r="AI126" s="153">
        <f t="shared" si="222"/>
        <v>0.17596536455737397</v>
      </c>
      <c r="AJ126" s="153">
        <f t="shared" si="223"/>
        <v>0.17596536455737397</v>
      </c>
      <c r="AK126" s="153">
        <f t="shared" si="224"/>
        <v>1.2173102430382492</v>
      </c>
      <c r="AM126" s="317">
        <f t="shared" si="225"/>
        <v>16</v>
      </c>
      <c r="AN126" s="147">
        <f t="shared" si="226"/>
        <v>350</v>
      </c>
      <c r="AP126" s="147">
        <f t="shared" si="227"/>
        <v>16</v>
      </c>
      <c r="AQ126" s="147">
        <f t="shared" si="228"/>
        <v>350</v>
      </c>
      <c r="AS126" s="5">
        <f t="shared" si="175"/>
        <v>2.8571428571428572</v>
      </c>
      <c r="AT126" s="5">
        <f t="shared" si="229"/>
        <v>1.1731024303824931</v>
      </c>
      <c r="AU126" s="5">
        <f t="shared" si="230"/>
        <v>1.6840404267603641</v>
      </c>
      <c r="AV126" s="5"/>
      <c r="AW126" s="153">
        <f t="shared" si="231"/>
        <v>0.41058585063387254</v>
      </c>
      <c r="AX126" s="153">
        <f t="shared" si="150"/>
        <v>0.32511999999999996</v>
      </c>
      <c r="AY126" s="153">
        <f t="shared" si="151"/>
        <v>5.1858237834242545E-2</v>
      </c>
      <c r="AZ126" s="153">
        <f t="shared" si="178"/>
        <v>6.2693993004390087</v>
      </c>
      <c r="BA126" s="147">
        <f t="shared" si="232"/>
        <v>3.0231480258994696</v>
      </c>
      <c r="BB126" s="147">
        <f t="shared" si="233"/>
        <v>1.2161799585185182</v>
      </c>
      <c r="BC126" s="5">
        <f t="shared" si="258"/>
        <v>6.6529992168310681E-2</v>
      </c>
      <c r="BD126" s="147">
        <f t="shared" si="235"/>
        <v>6.7715177353495868</v>
      </c>
      <c r="BF126" s="153">
        <f t="shared" si="179"/>
        <v>6.509813635888137E-2</v>
      </c>
      <c r="BG126" s="153">
        <f t="shared" si="156"/>
        <v>7.7996810728838961E-2</v>
      </c>
      <c r="BI126" s="463">
        <f t="shared" si="236"/>
        <v>1.4832185750898294E-3</v>
      </c>
      <c r="BJ126" s="463">
        <f t="shared" si="237"/>
        <v>9.0287828554388577E-3</v>
      </c>
      <c r="BK126" s="463">
        <f t="shared" si="238"/>
        <v>4.3749999999999995E-3</v>
      </c>
      <c r="BL126" s="463">
        <f t="shared" si="239"/>
        <v>1.5044092000000002E-2</v>
      </c>
      <c r="BM126">
        <f t="shared" si="240"/>
        <v>2.6099999999999999E-3</v>
      </c>
      <c r="BN126">
        <f t="shared" si="241"/>
        <v>3.4999999999999999E-6</v>
      </c>
      <c r="BO126" s="463">
        <f t="shared" si="242"/>
        <v>3.275379113846303E-2</v>
      </c>
      <c r="BP126" s="147">
        <f t="shared" si="243"/>
        <v>32.54109343052869</v>
      </c>
      <c r="BQ126" s="463">
        <f t="shared" si="244"/>
        <v>1.0759795897676932E-2</v>
      </c>
      <c r="BT126" s="147">
        <f t="shared" si="245"/>
        <v>10.759795897676932</v>
      </c>
      <c r="BU126" s="463">
        <f t="shared" si="246"/>
        <v>4.2377673573995127E-3</v>
      </c>
      <c r="BV126" s="463">
        <f t="shared" si="247"/>
        <v>6.0835024838703285E-3</v>
      </c>
      <c r="BW126" s="463">
        <f t="shared" si="248"/>
        <v>0</v>
      </c>
      <c r="BX126" s="463"/>
      <c r="BY126" s="463">
        <f t="shared" si="249"/>
        <v>5.418666666666668E-3</v>
      </c>
      <c r="BZ126" s="147">
        <f t="shared" si="250"/>
        <v>15.739936507936509</v>
      </c>
      <c r="CA126" s="153">
        <f t="shared" si="251"/>
        <v>5.904082583614214E-2</v>
      </c>
      <c r="CB126" s="5">
        <f t="shared" si="252"/>
        <v>0.32</v>
      </c>
      <c r="CC126" s="153">
        <f t="shared" si="253"/>
        <v>0.84423623575138251</v>
      </c>
      <c r="CD126" s="5">
        <f t="shared" si="254"/>
        <v>84.423623575138251</v>
      </c>
      <c r="CG126" s="59">
        <f t="shared" si="255"/>
        <v>-50</v>
      </c>
      <c r="CH126">
        <f t="shared" si="256"/>
        <v>-50</v>
      </c>
    </row>
    <row r="127" spans="5:86" x14ac:dyDescent="0.25">
      <c r="E127" s="150">
        <v>17</v>
      </c>
      <c r="F127" s="191">
        <f t="shared" si="257"/>
        <v>1.7000000000000001E-2</v>
      </c>
      <c r="G127" s="191"/>
      <c r="H127" s="191">
        <f t="shared" si="201"/>
        <v>0.34</v>
      </c>
      <c r="I127" s="472">
        <f t="shared" si="202"/>
        <v>9</v>
      </c>
      <c r="J127" s="386">
        <f t="shared" si="203"/>
        <v>20.32</v>
      </c>
      <c r="K127" s="386">
        <f t="shared" si="204"/>
        <v>29.32</v>
      </c>
      <c r="L127" s="386"/>
      <c r="M127" s="191">
        <f t="shared" si="205"/>
        <v>0.69304229195088674</v>
      </c>
      <c r="N127" s="152">
        <f t="shared" si="206"/>
        <v>2.1177466575716233</v>
      </c>
      <c r="O127" s="152">
        <f t="shared" si="173"/>
        <v>0.34</v>
      </c>
      <c r="P127" s="191">
        <f t="shared" si="207"/>
        <v>0.10588733287858117</v>
      </c>
      <c r="Q127" s="191">
        <f t="shared" si="208"/>
        <v>20</v>
      </c>
      <c r="R127" s="191"/>
      <c r="S127" s="152">
        <f t="shared" si="209"/>
        <v>169.69341042840875</v>
      </c>
      <c r="T127" s="152">
        <f t="shared" si="210"/>
        <v>20</v>
      </c>
      <c r="U127" s="191">
        <f t="shared" si="211"/>
        <v>0.12113346942743269</v>
      </c>
      <c r="V127" s="191">
        <f t="shared" si="212"/>
        <v>0.80755646284955129</v>
      </c>
      <c r="W127" s="191">
        <f t="shared" si="213"/>
        <v>0.35767756720698635</v>
      </c>
      <c r="X127" s="175">
        <f t="shared" si="214"/>
        <v>350</v>
      </c>
      <c r="Y127" s="386">
        <f t="shared" si="215"/>
        <v>350</v>
      </c>
      <c r="AA127" s="191">
        <f t="shared" si="216"/>
        <v>0.29701812512180864</v>
      </c>
      <c r="AB127" s="153">
        <f t="shared" si="217"/>
        <v>0.87702202299746645</v>
      </c>
      <c r="AC127" s="153">
        <f t="shared" si="218"/>
        <v>4.5586001468217563E-2</v>
      </c>
      <c r="AD127" s="153"/>
      <c r="AE127" s="153">
        <f t="shared" si="219"/>
        <v>0.44291338582677164</v>
      </c>
      <c r="AF127" s="317">
        <f t="shared" si="220"/>
        <v>511.76296296296312</v>
      </c>
      <c r="AG127" s="463">
        <f t="shared" si="221"/>
        <v>1.1626476377952754E-2</v>
      </c>
      <c r="AI127" s="153">
        <f t="shared" si="222"/>
        <v>0.18138094613009281</v>
      </c>
      <c r="AJ127" s="153">
        <f t="shared" si="223"/>
        <v>0.18138094613009281</v>
      </c>
      <c r="AK127" s="153">
        <f t="shared" si="224"/>
        <v>1.2209206307533951</v>
      </c>
      <c r="AM127" s="317">
        <f t="shared" si="225"/>
        <v>17</v>
      </c>
      <c r="AN127" s="147">
        <f t="shared" si="226"/>
        <v>350</v>
      </c>
      <c r="AP127" s="147">
        <f t="shared" si="227"/>
        <v>17</v>
      </c>
      <c r="AQ127" s="147">
        <f t="shared" si="228"/>
        <v>350</v>
      </c>
      <c r="AS127" s="5">
        <f t="shared" si="175"/>
        <v>2.8571428571428572</v>
      </c>
      <c r="AT127" s="5">
        <f t="shared" si="229"/>
        <v>1.2092063075339521</v>
      </c>
      <c r="AU127" s="5">
        <f t="shared" si="230"/>
        <v>1.6479365496089051</v>
      </c>
      <c r="AV127" s="5"/>
      <c r="AW127" s="153">
        <f t="shared" si="231"/>
        <v>0.42322220763688323</v>
      </c>
      <c r="AX127" s="153">
        <f t="shared" si="150"/>
        <v>0.34544000000000019</v>
      </c>
      <c r="AY127" s="153">
        <f t="shared" si="151"/>
        <v>5.2308250842824172E-2</v>
      </c>
      <c r="AZ127" s="153">
        <f t="shared" si="178"/>
        <v>6.6039294840498162</v>
      </c>
      <c r="BA127" s="147">
        <f t="shared" si="232"/>
        <v>3.0231480258994696</v>
      </c>
      <c r="BB127" s="147">
        <f t="shared" si="233"/>
        <v>1.3697656562962963</v>
      </c>
      <c r="BC127" s="5">
        <f t="shared" si="258"/>
        <v>6.9172645292225651E-2</v>
      </c>
      <c r="BD127" s="147">
        <f t="shared" si="235"/>
        <v>7.0431904551484914</v>
      </c>
      <c r="BF127" s="153">
        <f t="shared" si="179"/>
        <v>6.812637169869018E-2</v>
      </c>
      <c r="BG127" s="153">
        <f t="shared" si="156"/>
        <v>7.9530790801557574E-2</v>
      </c>
      <c r="BI127" s="463">
        <f t="shared" si="236"/>
        <v>1.6244208822898331E-3</v>
      </c>
      <c r="BJ127" s="463">
        <f t="shared" si="237"/>
        <v>9.3066563459350618E-3</v>
      </c>
      <c r="BK127" s="463">
        <f t="shared" si="238"/>
        <v>4.3749999999999995E-3</v>
      </c>
      <c r="BL127" s="463">
        <f t="shared" si="239"/>
        <v>1.5044092000000002E-2</v>
      </c>
      <c r="BM127">
        <f t="shared" si="240"/>
        <v>2.6099999999999999E-3</v>
      </c>
      <c r="BN127">
        <f t="shared" si="241"/>
        <v>3.4999999999999999E-6</v>
      </c>
      <c r="BO127" s="463">
        <f t="shared" si="242"/>
        <v>3.3192914151337502E-2</v>
      </c>
      <c r="BP127" s="147">
        <f t="shared" si="243"/>
        <v>32.960169228224892</v>
      </c>
      <c r="BQ127" s="463">
        <f t="shared" si="244"/>
        <v>1.1326412067738132E-2</v>
      </c>
      <c r="BT127" s="147">
        <f t="shared" si="245"/>
        <v>11.326412067738133</v>
      </c>
      <c r="BU127" s="463">
        <f t="shared" si="246"/>
        <v>4.6412025208280947E-3</v>
      </c>
      <c r="BV127" s="463">
        <f t="shared" si="247"/>
        <v>6.3251466855211149E-3</v>
      </c>
      <c r="BW127" s="463">
        <f t="shared" si="248"/>
        <v>0</v>
      </c>
      <c r="BX127" s="463"/>
      <c r="BY127" s="463">
        <f t="shared" si="249"/>
        <v>5.7573333333333365E-3</v>
      </c>
      <c r="BZ127" s="147">
        <f t="shared" si="250"/>
        <v>16.723682539682546</v>
      </c>
      <c r="CA127" s="153">
        <f t="shared" si="251"/>
        <v>6.1010263835645569E-2</v>
      </c>
      <c r="CB127" s="5">
        <f t="shared" si="252"/>
        <v>0.34</v>
      </c>
      <c r="CC127" s="153">
        <f t="shared" si="253"/>
        <v>0.84785859780224804</v>
      </c>
      <c r="CD127" s="5">
        <f t="shared" si="254"/>
        <v>84.785859780224797</v>
      </c>
      <c r="CG127" s="59">
        <f t="shared" si="255"/>
        <v>-50</v>
      </c>
      <c r="CH127">
        <f t="shared" si="256"/>
        <v>-50</v>
      </c>
    </row>
    <row r="128" spans="5:86" x14ac:dyDescent="0.25">
      <c r="E128" s="150">
        <v>18</v>
      </c>
      <c r="F128" s="191">
        <f t="shared" si="257"/>
        <v>1.7999999999999999E-2</v>
      </c>
      <c r="G128" s="191"/>
      <c r="H128" s="191">
        <f t="shared" si="201"/>
        <v>0.36</v>
      </c>
      <c r="I128" s="472">
        <f t="shared" si="202"/>
        <v>9</v>
      </c>
      <c r="J128" s="386">
        <f t="shared" si="203"/>
        <v>20.32</v>
      </c>
      <c r="K128" s="386">
        <f t="shared" si="204"/>
        <v>29.32</v>
      </c>
      <c r="L128" s="386"/>
      <c r="M128" s="191">
        <f t="shared" si="205"/>
        <v>0.69304229195088674</v>
      </c>
      <c r="N128" s="152">
        <f t="shared" si="206"/>
        <v>2.1177466575716233</v>
      </c>
      <c r="O128" s="152">
        <f t="shared" si="173"/>
        <v>0.36</v>
      </c>
      <c r="P128" s="191">
        <f t="shared" si="207"/>
        <v>0.10588733287858117</v>
      </c>
      <c r="Q128" s="191">
        <f t="shared" si="208"/>
        <v>20</v>
      </c>
      <c r="R128" s="191"/>
      <c r="S128" s="152">
        <f t="shared" si="209"/>
        <v>159.76799010655384</v>
      </c>
      <c r="T128" s="152">
        <f t="shared" si="210"/>
        <v>20</v>
      </c>
      <c r="U128" s="191">
        <f t="shared" si="211"/>
        <v>0.12825896762904637</v>
      </c>
      <c r="V128" s="191">
        <f t="shared" si="212"/>
        <v>0.85505978419364259</v>
      </c>
      <c r="W128" s="191">
        <f t="shared" si="213"/>
        <v>0.37871742410151493</v>
      </c>
      <c r="X128" s="175">
        <f t="shared" si="214"/>
        <v>350</v>
      </c>
      <c r="Y128" s="386">
        <f t="shared" si="215"/>
        <v>350</v>
      </c>
      <c r="AA128" s="191">
        <f t="shared" si="216"/>
        <v>0.29701812512180864</v>
      </c>
      <c r="AB128" s="153">
        <f t="shared" si="217"/>
        <v>0.87702202299746645</v>
      </c>
      <c r="AC128" s="153">
        <f t="shared" si="218"/>
        <v>4.5586001468217563E-2</v>
      </c>
      <c r="AD128" s="153"/>
      <c r="AE128" s="153">
        <f t="shared" si="219"/>
        <v>0.44291338582677164</v>
      </c>
      <c r="AF128" s="317">
        <f t="shared" si="220"/>
        <v>541.86666666666679</v>
      </c>
      <c r="AG128" s="463">
        <f t="shared" si="221"/>
        <v>1.1626476377952754E-2</v>
      </c>
      <c r="AI128" s="153">
        <f t="shared" si="222"/>
        <v>0.18663945379872315</v>
      </c>
      <c r="AJ128" s="153">
        <f t="shared" si="223"/>
        <v>0.18663945379872315</v>
      </c>
      <c r="AK128" s="153">
        <f t="shared" si="224"/>
        <v>1.224426302532482</v>
      </c>
      <c r="AM128" s="317">
        <f t="shared" si="225"/>
        <v>18</v>
      </c>
      <c r="AN128" s="147">
        <f t="shared" si="226"/>
        <v>350</v>
      </c>
      <c r="AP128" s="147">
        <f t="shared" si="227"/>
        <v>18</v>
      </c>
      <c r="AQ128" s="147">
        <f t="shared" si="228"/>
        <v>350</v>
      </c>
      <c r="AS128" s="5">
        <f t="shared" si="175"/>
        <v>2.8571428571428572</v>
      </c>
      <c r="AT128" s="5">
        <f t="shared" si="229"/>
        <v>1.244263025324821</v>
      </c>
      <c r="AU128" s="5">
        <f t="shared" si="230"/>
        <v>1.6128798318180362</v>
      </c>
      <c r="AV128" s="5"/>
      <c r="AW128" s="153">
        <f t="shared" si="231"/>
        <v>0.43549205886368736</v>
      </c>
      <c r="AX128" s="153">
        <f t="shared" si="150"/>
        <v>0.36576000000000003</v>
      </c>
      <c r="AY128" s="153">
        <f t="shared" si="151"/>
        <v>5.2679726899361574E-2</v>
      </c>
      <c r="AZ128" s="153">
        <f t="shared" si="178"/>
        <v>6.943088385760646</v>
      </c>
      <c r="BA128" s="147">
        <f t="shared" si="232"/>
        <v>3.0231480258994696</v>
      </c>
      <c r="BB128" s="147">
        <f t="shared" si="233"/>
        <v>1.5324777599999997</v>
      </c>
      <c r="BC128" s="5">
        <f t="shared" si="258"/>
        <v>7.1683548080801601E-2</v>
      </c>
      <c r="BD128" s="147">
        <f t="shared" si="235"/>
        <v>7.3016881414134955</v>
      </c>
      <c r="BF128" s="153">
        <f t="shared" si="179"/>
        <v>7.111037150036606E-2</v>
      </c>
      <c r="BG128" s="153">
        <f t="shared" si="156"/>
        <v>8.0961371261290396E-2</v>
      </c>
      <c r="BI128" s="463">
        <f t="shared" si="236"/>
        <v>1.7698397272220255E-3</v>
      </c>
      <c r="BJ128" s="463">
        <f t="shared" si="237"/>
        <v>9.5764703744124838E-3</v>
      </c>
      <c r="BK128" s="463">
        <f t="shared" si="238"/>
        <v>4.3749999999999995E-3</v>
      </c>
      <c r="BL128" s="463">
        <f t="shared" si="239"/>
        <v>1.5044092000000002E-2</v>
      </c>
      <c r="BM128">
        <f t="shared" si="240"/>
        <v>2.6099999999999999E-3</v>
      </c>
      <c r="BN128">
        <f t="shared" si="241"/>
        <v>3.4999999999999999E-6</v>
      </c>
      <c r="BO128" s="463">
        <f t="shared" si="242"/>
        <v>3.3628811463209986E-2</v>
      </c>
      <c r="BP128" s="147">
        <f t="shared" si="243"/>
        <v>33.375402101634513</v>
      </c>
      <c r="BQ128" s="463">
        <f t="shared" si="244"/>
        <v>1.1883824138292493E-2</v>
      </c>
      <c r="BT128" s="147">
        <f t="shared" si="245"/>
        <v>11.883824138292493</v>
      </c>
      <c r="BU128" s="463">
        <f t="shared" si="246"/>
        <v>5.0566849349200733E-3</v>
      </c>
      <c r="BV128" s="463">
        <f t="shared" si="247"/>
        <v>6.5547436365084987E-3</v>
      </c>
      <c r="BW128" s="463">
        <f t="shared" si="248"/>
        <v>0</v>
      </c>
      <c r="BX128" s="463"/>
      <c r="BY128" s="463">
        <f t="shared" si="249"/>
        <v>6.0960000000000007E-3</v>
      </c>
      <c r="BZ128" s="147">
        <f t="shared" si="250"/>
        <v>17.707428571428572</v>
      </c>
      <c r="CA128" s="153">
        <f t="shared" si="251"/>
        <v>6.2966654811355577E-2</v>
      </c>
      <c r="CB128" s="5">
        <f t="shared" si="252"/>
        <v>0.36</v>
      </c>
      <c r="CC128" s="153">
        <f t="shared" si="253"/>
        <v>0.85113092463650852</v>
      </c>
      <c r="CD128" s="5">
        <f t="shared" si="254"/>
        <v>85.113092463650858</v>
      </c>
      <c r="CG128" s="59">
        <f t="shared" si="255"/>
        <v>-50</v>
      </c>
      <c r="CH128">
        <f t="shared" si="256"/>
        <v>-50</v>
      </c>
    </row>
    <row r="129" spans="5:86" x14ac:dyDescent="0.25">
      <c r="E129" s="150">
        <v>19</v>
      </c>
      <c r="F129" s="191">
        <f t="shared" si="257"/>
        <v>1.9000000000000003E-2</v>
      </c>
      <c r="G129" s="191"/>
      <c r="H129" s="191">
        <f t="shared" si="201"/>
        <v>0.38000000000000006</v>
      </c>
      <c r="I129" s="472">
        <f t="shared" si="202"/>
        <v>9</v>
      </c>
      <c r="J129" s="386">
        <f t="shared" si="203"/>
        <v>20.32</v>
      </c>
      <c r="K129" s="386">
        <f t="shared" si="204"/>
        <v>29.32</v>
      </c>
      <c r="L129" s="386"/>
      <c r="M129" s="191">
        <f t="shared" si="205"/>
        <v>0.69304229195088674</v>
      </c>
      <c r="N129" s="152">
        <f t="shared" si="206"/>
        <v>2.1177466575716233</v>
      </c>
      <c r="O129" s="152">
        <f t="shared" si="173"/>
        <v>0.38000000000000006</v>
      </c>
      <c r="P129" s="191">
        <f t="shared" si="207"/>
        <v>0.10588733287858117</v>
      </c>
      <c r="Q129" s="191">
        <f t="shared" si="208"/>
        <v>20</v>
      </c>
      <c r="R129" s="191"/>
      <c r="S129" s="152">
        <f t="shared" si="209"/>
        <v>150.88746773096838</v>
      </c>
      <c r="T129" s="152">
        <f t="shared" si="210"/>
        <v>20</v>
      </c>
      <c r="U129" s="191">
        <f t="shared" si="211"/>
        <v>0.13538446583066008</v>
      </c>
      <c r="V129" s="191">
        <f t="shared" si="212"/>
        <v>0.90256310553773378</v>
      </c>
      <c r="W129" s="191">
        <f t="shared" si="213"/>
        <v>0.39975728099604352</v>
      </c>
      <c r="X129" s="175">
        <f t="shared" si="214"/>
        <v>350</v>
      </c>
      <c r="Y129" s="386">
        <f t="shared" si="215"/>
        <v>350</v>
      </c>
      <c r="AA129" s="191">
        <f t="shared" si="216"/>
        <v>0.29701812512180864</v>
      </c>
      <c r="AB129" s="153">
        <f t="shared" si="217"/>
        <v>0.87702202299746645</v>
      </c>
      <c r="AC129" s="153">
        <f t="shared" si="218"/>
        <v>4.5586001468217563E-2</v>
      </c>
      <c r="AD129" s="153"/>
      <c r="AE129" s="153">
        <f t="shared" si="219"/>
        <v>0.44291338582677164</v>
      </c>
      <c r="AF129" s="317">
        <f t="shared" si="220"/>
        <v>571.97037037037057</v>
      </c>
      <c r="AG129" s="463">
        <f t="shared" si="221"/>
        <v>1.1626476377952754E-2</v>
      </c>
      <c r="AI129" s="153">
        <f t="shared" si="222"/>
        <v>0.19175381041722173</v>
      </c>
      <c r="AJ129" s="153">
        <f t="shared" si="223"/>
        <v>0.19175381041722173</v>
      </c>
      <c r="AK129" s="153">
        <f t="shared" si="224"/>
        <v>1.2278358736114812</v>
      </c>
      <c r="AM129" s="317">
        <f t="shared" si="225"/>
        <v>19.000000000000004</v>
      </c>
      <c r="AN129" s="147">
        <f t="shared" si="226"/>
        <v>350</v>
      </c>
      <c r="AP129" s="147">
        <f t="shared" si="227"/>
        <v>19.000000000000004</v>
      </c>
      <c r="AQ129" s="147">
        <f t="shared" si="228"/>
        <v>350</v>
      </c>
      <c r="AS129" s="5">
        <f t="shared" si="175"/>
        <v>2.8571428571428572</v>
      </c>
      <c r="AT129" s="5">
        <f t="shared" si="229"/>
        <v>1.2783587361148117</v>
      </c>
      <c r="AU129" s="5">
        <f t="shared" si="230"/>
        <v>1.5787841210280456</v>
      </c>
      <c r="AV129" s="5"/>
      <c r="AW129" s="153">
        <f t="shared" si="231"/>
        <v>0.44742555764018405</v>
      </c>
      <c r="AX129" s="153">
        <f t="shared" si="150"/>
        <v>0.38608000000000009</v>
      </c>
      <c r="AY129" s="153">
        <f t="shared" si="151"/>
        <v>5.2979127430833085E-2</v>
      </c>
      <c r="AZ129" s="153">
        <f t="shared" si="178"/>
        <v>7.2873982400719406</v>
      </c>
      <c r="BA129" s="147">
        <f t="shared" si="232"/>
        <v>3.0231480258994696</v>
      </c>
      <c r="BB129" s="147">
        <f t="shared" si="233"/>
        <v>1.7043162696296299</v>
      </c>
      <c r="BC129" s="5">
        <f t="shared" si="258"/>
        <v>7.4066415554402146E-2</v>
      </c>
      <c r="BD129" s="147">
        <f t="shared" si="235"/>
        <v>7.547382296180956</v>
      </c>
      <c r="BF129" s="153">
        <f t="shared" si="179"/>
        <v>7.4053189655904808E-2</v>
      </c>
      <c r="BG129" s="153">
        <f t="shared" si="156"/>
        <v>8.2296008641334073E-2</v>
      </c>
      <c r="BI129" s="463">
        <f t="shared" si="236"/>
        <v>1.9193562143746924E-3</v>
      </c>
      <c r="BJ129" s="463">
        <f t="shared" si="237"/>
        <v>9.8388880125076447E-3</v>
      </c>
      <c r="BK129" s="463">
        <f t="shared" si="238"/>
        <v>4.3749999999999995E-3</v>
      </c>
      <c r="BL129" s="463">
        <f t="shared" si="239"/>
        <v>1.5044092000000002E-2</v>
      </c>
      <c r="BM129">
        <f t="shared" si="240"/>
        <v>2.6099999999999999E-3</v>
      </c>
      <c r="BN129">
        <f t="shared" si="241"/>
        <v>3.4999999999999999E-6</v>
      </c>
      <c r="BO129" s="463">
        <f t="shared" si="242"/>
        <v>3.4062011396907316E-2</v>
      </c>
      <c r="BP129" s="147">
        <f t="shared" si="243"/>
        <v>33.787336226882339</v>
      </c>
      <c r="BQ129" s="463">
        <f t="shared" si="244"/>
        <v>1.2432291641257025E-2</v>
      </c>
      <c r="BT129" s="147">
        <f t="shared" si="245"/>
        <v>12.432291641257025</v>
      </c>
      <c r="BU129" s="463">
        <f t="shared" si="246"/>
        <v>5.483874898213407E-3</v>
      </c>
      <c r="BV129" s="463">
        <f t="shared" si="247"/>
        <v>6.7726330382945326E-3</v>
      </c>
      <c r="BW129" s="463">
        <f t="shared" si="248"/>
        <v>0</v>
      </c>
      <c r="BX129" s="463"/>
      <c r="BY129" s="463">
        <f t="shared" si="249"/>
        <v>6.4346666666666684E-3</v>
      </c>
      <c r="BZ129" s="147">
        <f t="shared" si="250"/>
        <v>18.691174603174609</v>
      </c>
      <c r="CA129" s="153">
        <f t="shared" si="251"/>
        <v>6.4910802471313978E-2</v>
      </c>
      <c r="CB129" s="5">
        <f t="shared" si="252"/>
        <v>0.38000000000000006</v>
      </c>
      <c r="CC129" s="153">
        <f t="shared" si="253"/>
        <v>0.85410378415008448</v>
      </c>
      <c r="CD129" s="5">
        <f t="shared" si="254"/>
        <v>85.410378415008452</v>
      </c>
      <c r="CG129" s="59">
        <f t="shared" si="255"/>
        <v>-50</v>
      </c>
      <c r="CH129">
        <f t="shared" si="256"/>
        <v>-50</v>
      </c>
    </row>
    <row r="130" spans="5:86" x14ac:dyDescent="0.25">
      <c r="E130" s="150">
        <v>20</v>
      </c>
      <c r="F130" s="191">
        <f t="shared" si="257"/>
        <v>2.0000000000000004E-2</v>
      </c>
      <c r="G130" s="191"/>
      <c r="H130" s="191">
        <f t="shared" si="201"/>
        <v>0.40000000000000008</v>
      </c>
      <c r="I130" s="472">
        <f t="shared" si="202"/>
        <v>9</v>
      </c>
      <c r="J130" s="386">
        <f t="shared" si="203"/>
        <v>20.32</v>
      </c>
      <c r="K130" s="386">
        <f t="shared" si="204"/>
        <v>29.32</v>
      </c>
      <c r="L130" s="386"/>
      <c r="M130" s="191">
        <f t="shared" si="205"/>
        <v>0.69304229195088674</v>
      </c>
      <c r="N130" s="152">
        <f t="shared" si="206"/>
        <v>2.1177466575716233</v>
      </c>
      <c r="O130" s="152">
        <f t="shared" si="173"/>
        <v>0.40000000000000008</v>
      </c>
      <c r="P130" s="191">
        <f t="shared" si="207"/>
        <v>0.10588733287858117</v>
      </c>
      <c r="Q130" s="191">
        <f t="shared" si="208"/>
        <v>20</v>
      </c>
      <c r="R130" s="191"/>
      <c r="S130" s="152">
        <f t="shared" si="209"/>
        <v>142.89510960999743</v>
      </c>
      <c r="T130" s="152">
        <f t="shared" si="210"/>
        <v>20</v>
      </c>
      <c r="U130" s="191">
        <f t="shared" si="211"/>
        <v>0.14250996403227378</v>
      </c>
      <c r="V130" s="191">
        <f t="shared" si="212"/>
        <v>0.95006642688182519</v>
      </c>
      <c r="W130" s="191">
        <f t="shared" si="213"/>
        <v>0.42079713789057221</v>
      </c>
      <c r="X130" s="175">
        <f t="shared" si="214"/>
        <v>350</v>
      </c>
      <c r="Y130" s="386">
        <f t="shared" si="215"/>
        <v>350</v>
      </c>
      <c r="AA130" s="191">
        <f t="shared" si="216"/>
        <v>0.29701812512180864</v>
      </c>
      <c r="AB130" s="153">
        <f t="shared" si="217"/>
        <v>0.87702202299746645</v>
      </c>
      <c r="AC130" s="153">
        <f t="shared" si="218"/>
        <v>4.5586001468217563E-2</v>
      </c>
      <c r="AD130" s="153"/>
      <c r="AE130" s="153">
        <f t="shared" si="219"/>
        <v>0.44291338582677164</v>
      </c>
      <c r="AF130" s="317">
        <f t="shared" si="220"/>
        <v>602.07407407407425</v>
      </c>
      <c r="AG130" s="463">
        <f t="shared" si="221"/>
        <v>1.1626476377952754E-2</v>
      </c>
      <c r="AI130" s="153">
        <f t="shared" si="222"/>
        <v>0.19673525841791023</v>
      </c>
      <c r="AJ130" s="153">
        <f t="shared" si="223"/>
        <v>0.19673525841791023</v>
      </c>
      <c r="AK130" s="153">
        <f t="shared" si="224"/>
        <v>1.2311568389452734</v>
      </c>
      <c r="AM130" s="317">
        <f t="shared" si="225"/>
        <v>20.000000000000004</v>
      </c>
      <c r="AN130" s="147">
        <f t="shared" si="226"/>
        <v>350</v>
      </c>
      <c r="AP130" s="147">
        <f t="shared" si="227"/>
        <v>20.000000000000004</v>
      </c>
      <c r="AQ130" s="147">
        <f t="shared" si="228"/>
        <v>350</v>
      </c>
      <c r="AS130" s="5">
        <f t="shared" si="175"/>
        <v>2.8571428571428572</v>
      </c>
      <c r="AT130" s="5">
        <f t="shared" si="229"/>
        <v>1.3115683894527348</v>
      </c>
      <c r="AU130" s="5">
        <f t="shared" si="230"/>
        <v>1.5455744676901224</v>
      </c>
      <c r="AV130" s="5"/>
      <c r="AW130" s="153">
        <f t="shared" si="231"/>
        <v>0.45904893630845717</v>
      </c>
      <c r="AX130" s="153">
        <f t="shared" si="150"/>
        <v>0.40640000000000009</v>
      </c>
      <c r="AY130" s="153">
        <f t="shared" si="151"/>
        <v>5.3212073653399555E-2</v>
      </c>
      <c r="AZ130" s="153">
        <f t="shared" si="178"/>
        <v>7.6373644569297188</v>
      </c>
      <c r="BA130" s="147">
        <f t="shared" si="232"/>
        <v>3.0231480258994696</v>
      </c>
      <c r="BB130" s="147">
        <f t="shared" si="233"/>
        <v>1.8852811851851863</v>
      </c>
      <c r="BC130" s="5">
        <f t="shared" si="258"/>
        <v>7.6324665071117168E-2</v>
      </c>
      <c r="BD130" s="147">
        <f t="shared" si="235"/>
        <v>7.780614655259865</v>
      </c>
      <c r="BF130" s="153">
        <f t="shared" si="179"/>
        <v>7.6957520278945771E-2</v>
      </c>
      <c r="BG130" s="153">
        <f t="shared" si="156"/>
        <v>8.3541171730488417E-2</v>
      </c>
      <c r="BI130" s="463">
        <f t="shared" si="236"/>
        <v>2.072860974619522E-3</v>
      </c>
      <c r="BJ130" s="463">
        <f t="shared" si="237"/>
        <v>1.0094486109422974E-2</v>
      </c>
      <c r="BK130" s="463">
        <f t="shared" si="238"/>
        <v>4.3749999999999995E-3</v>
      </c>
      <c r="BL130" s="463">
        <f t="shared" si="239"/>
        <v>1.5044092000000002E-2</v>
      </c>
      <c r="BM130">
        <f t="shared" si="240"/>
        <v>2.6099999999999999E-3</v>
      </c>
      <c r="BN130">
        <f t="shared" si="241"/>
        <v>3.4999999999999999E-6</v>
      </c>
      <c r="BO130" s="463">
        <f t="shared" si="242"/>
        <v>3.4492966904177622E-2</v>
      </c>
      <c r="BP130" s="147">
        <f t="shared" si="243"/>
        <v>34.196439084042495</v>
      </c>
      <c r="BQ130" s="463">
        <f t="shared" si="244"/>
        <v>1.2972053313814661E-2</v>
      </c>
      <c r="BT130" s="147">
        <f t="shared" si="245"/>
        <v>12.97205331381466</v>
      </c>
      <c r="BU130" s="463">
        <f t="shared" si="246"/>
        <v>5.9224599274843494E-3</v>
      </c>
      <c r="BV130" s="463">
        <f t="shared" si="247"/>
        <v>6.9791273741029568E-3</v>
      </c>
      <c r="BW130" s="463">
        <f t="shared" si="248"/>
        <v>0</v>
      </c>
      <c r="BX130" s="463"/>
      <c r="BY130" s="463">
        <f t="shared" si="249"/>
        <v>6.7733333333333369E-3</v>
      </c>
      <c r="BZ130" s="147">
        <f t="shared" si="250"/>
        <v>19.674920634920642</v>
      </c>
      <c r="CA130" s="153">
        <f t="shared" si="251"/>
        <v>6.6843413032777799E-2</v>
      </c>
      <c r="CB130" s="5">
        <f t="shared" si="252"/>
        <v>0.40000000000000008</v>
      </c>
      <c r="CC130" s="153">
        <f t="shared" si="253"/>
        <v>0.85681834386708033</v>
      </c>
      <c r="CD130" s="5">
        <f t="shared" si="254"/>
        <v>85.681834386708033</v>
      </c>
      <c r="CG130" s="59">
        <f t="shared" si="255"/>
        <v>-50</v>
      </c>
      <c r="CH130">
        <f t="shared" si="256"/>
        <v>-50</v>
      </c>
    </row>
    <row r="131" spans="5:86" x14ac:dyDescent="0.25">
      <c r="E131" s="150">
        <v>21</v>
      </c>
      <c r="F131" s="191">
        <f t="shared" si="257"/>
        <v>2.1000000000000001E-2</v>
      </c>
      <c r="G131" s="191"/>
      <c r="H131" s="191">
        <f t="shared" si="201"/>
        <v>0.42000000000000004</v>
      </c>
      <c r="I131" s="472">
        <f t="shared" si="202"/>
        <v>9</v>
      </c>
      <c r="J131" s="386">
        <f t="shared" si="203"/>
        <v>20.32</v>
      </c>
      <c r="K131" s="386">
        <f t="shared" si="204"/>
        <v>29.32</v>
      </c>
      <c r="L131" s="386"/>
      <c r="M131" s="191">
        <f t="shared" si="205"/>
        <v>0.69304229195088674</v>
      </c>
      <c r="N131" s="152">
        <f t="shared" si="206"/>
        <v>2.1177466575716233</v>
      </c>
      <c r="O131" s="152">
        <f t="shared" si="173"/>
        <v>0.42000000000000004</v>
      </c>
      <c r="P131" s="191">
        <f t="shared" si="207"/>
        <v>0.10588733287858117</v>
      </c>
      <c r="Q131" s="191">
        <f t="shared" si="208"/>
        <v>20</v>
      </c>
      <c r="R131" s="191"/>
      <c r="S131" s="152">
        <f t="shared" si="209"/>
        <v>135.66403609946565</v>
      </c>
      <c r="T131" s="152">
        <f t="shared" si="210"/>
        <v>20</v>
      </c>
      <c r="U131" s="191">
        <f t="shared" si="211"/>
        <v>0.14963546223388746</v>
      </c>
      <c r="V131" s="191">
        <f t="shared" si="212"/>
        <v>0.9975697482259166</v>
      </c>
      <c r="W131" s="191">
        <f t="shared" si="213"/>
        <v>0.4418369947851008</v>
      </c>
      <c r="X131" s="175">
        <f t="shared" si="214"/>
        <v>350</v>
      </c>
      <c r="Y131" s="386">
        <f t="shared" si="215"/>
        <v>350</v>
      </c>
      <c r="AA131" s="191">
        <f t="shared" si="216"/>
        <v>0.29701812512180864</v>
      </c>
      <c r="AB131" s="153">
        <f t="shared" si="217"/>
        <v>0.87702202299746645</v>
      </c>
      <c r="AC131" s="153">
        <f t="shared" si="218"/>
        <v>4.5586001468217563E-2</v>
      </c>
      <c r="AD131" s="153"/>
      <c r="AE131" s="153">
        <f t="shared" si="219"/>
        <v>0.44291338582677164</v>
      </c>
      <c r="AF131" s="317">
        <f t="shared" si="220"/>
        <v>632.17777777777792</v>
      </c>
      <c r="AG131" s="463">
        <f t="shared" si="221"/>
        <v>1.1626476377952754E-2</v>
      </c>
      <c r="AI131" s="153">
        <f t="shared" si="222"/>
        <v>0.20159365069366644</v>
      </c>
      <c r="AJ131" s="153">
        <f t="shared" si="223"/>
        <v>0.20159365069366644</v>
      </c>
      <c r="AK131" s="153">
        <f t="shared" si="224"/>
        <v>1.234395767129111</v>
      </c>
      <c r="AM131" s="317">
        <f t="shared" si="225"/>
        <v>21</v>
      </c>
      <c r="AN131" s="147">
        <f t="shared" si="226"/>
        <v>350</v>
      </c>
      <c r="AP131" s="147">
        <f t="shared" si="227"/>
        <v>21</v>
      </c>
      <c r="AQ131" s="147">
        <f t="shared" si="228"/>
        <v>350</v>
      </c>
      <c r="AS131" s="5">
        <f t="shared" si="175"/>
        <v>2.8571428571428572</v>
      </c>
      <c r="AT131" s="5">
        <f t="shared" si="229"/>
        <v>1.3439576712911097</v>
      </c>
      <c r="AU131" s="5">
        <f t="shared" si="230"/>
        <v>1.5131851858517475</v>
      </c>
      <c r="AV131" s="5"/>
      <c r="AW131" s="153">
        <f t="shared" si="231"/>
        <v>0.47038518495188836</v>
      </c>
      <c r="AX131" s="153">
        <f t="shared" si="150"/>
        <v>0.42672000000000004</v>
      </c>
      <c r="AY131" s="153">
        <f t="shared" si="151"/>
        <v>5.3383492013499893E-2</v>
      </c>
      <c r="AZ131" s="153">
        <f t="shared" si="178"/>
        <v>7.9934823276845375</v>
      </c>
      <c r="BA131" s="147">
        <f t="shared" si="232"/>
        <v>3.0231480258994696</v>
      </c>
      <c r="BB131" s="147">
        <f t="shared" si="233"/>
        <v>2.0753725066666671</v>
      </c>
      <c r="BC131" s="5">
        <f t="shared" si="258"/>
        <v>7.8461454081201726E-2</v>
      </c>
      <c r="BD131" s="147">
        <f t="shared" si="235"/>
        <v>8.001700963675729</v>
      </c>
      <c r="BF131" s="153">
        <f t="shared" si="179"/>
        <v>7.9825755902976456E-2</v>
      </c>
      <c r="BG131" s="153">
        <f t="shared" si="156"/>
        <v>8.4702510949706128E-2</v>
      </c>
      <c r="BI131" s="463">
        <f t="shared" si="236"/>
        <v>2.2302529569185529E-3</v>
      </c>
      <c r="BJ131" s="463">
        <f t="shared" si="237"/>
        <v>1.0343770217092025E-2</v>
      </c>
      <c r="BK131" s="463">
        <f t="shared" si="238"/>
        <v>4.3749999999999995E-3</v>
      </c>
      <c r="BL131" s="463">
        <f t="shared" si="239"/>
        <v>1.5044092000000002E-2</v>
      </c>
      <c r="BM131">
        <f t="shared" si="240"/>
        <v>2.6099999999999999E-3</v>
      </c>
      <c r="BN131">
        <f t="shared" si="241"/>
        <v>3.4999999999999999E-6</v>
      </c>
      <c r="BO131" s="463">
        <f t="shared" si="242"/>
        <v>3.4922069114532946E-2</v>
      </c>
      <c r="BP131" s="147">
        <f t="shared" si="243"/>
        <v>34.603115174010583</v>
      </c>
      <c r="BQ131" s="463">
        <f t="shared" si="244"/>
        <v>1.3503329735945408E-2</v>
      </c>
      <c r="BT131" s="147">
        <f t="shared" si="245"/>
        <v>13.503329735945409</v>
      </c>
      <c r="BU131" s="463">
        <f t="shared" si="246"/>
        <v>6.3721513054815805E-3</v>
      </c>
      <c r="BV131" s="463">
        <f t="shared" si="247"/>
        <v>7.1745153611850864E-3</v>
      </c>
      <c r="BW131" s="463">
        <f t="shared" si="248"/>
        <v>0</v>
      </c>
      <c r="BX131" s="463"/>
      <c r="BY131" s="463">
        <f t="shared" si="249"/>
        <v>7.112000000000002E-3</v>
      </c>
      <c r="BZ131" s="147">
        <f t="shared" si="250"/>
        <v>20.658666666666669</v>
      </c>
      <c r="CA131" s="153">
        <f t="shared" si="251"/>
        <v>6.876511157662267E-2</v>
      </c>
      <c r="CB131" s="5">
        <f t="shared" si="252"/>
        <v>0.42000000000000004</v>
      </c>
      <c r="CC131" s="153">
        <f t="shared" si="253"/>
        <v>0.85930846955339091</v>
      </c>
      <c r="CD131" s="5">
        <f t="shared" si="254"/>
        <v>85.930846955339092</v>
      </c>
      <c r="CG131" s="59">
        <f t="shared" si="255"/>
        <v>-50</v>
      </c>
      <c r="CH131">
        <f t="shared" si="256"/>
        <v>-50</v>
      </c>
    </row>
    <row r="132" spans="5:86" x14ac:dyDescent="0.25">
      <c r="E132" s="150">
        <v>22</v>
      </c>
      <c r="F132" s="191">
        <f t="shared" si="257"/>
        <v>2.2000000000000002E-2</v>
      </c>
      <c r="G132" s="191"/>
      <c r="H132" s="191">
        <f t="shared" si="201"/>
        <v>0.44000000000000006</v>
      </c>
      <c r="I132" s="472">
        <f t="shared" si="202"/>
        <v>9</v>
      </c>
      <c r="J132" s="386">
        <f t="shared" si="203"/>
        <v>20.32</v>
      </c>
      <c r="K132" s="386">
        <f t="shared" si="204"/>
        <v>29.32</v>
      </c>
      <c r="L132" s="386"/>
      <c r="M132" s="191">
        <f t="shared" si="205"/>
        <v>0.69304229195088674</v>
      </c>
      <c r="N132" s="152">
        <f t="shared" si="206"/>
        <v>2.1177466575716233</v>
      </c>
      <c r="O132" s="152">
        <f t="shared" si="173"/>
        <v>0.44000000000000006</v>
      </c>
      <c r="P132" s="191">
        <f t="shared" si="207"/>
        <v>0.10588733287858117</v>
      </c>
      <c r="Q132" s="191">
        <f t="shared" si="208"/>
        <v>20</v>
      </c>
      <c r="R132" s="191"/>
      <c r="S132" s="152">
        <f t="shared" si="209"/>
        <v>129.09043659203039</v>
      </c>
      <c r="T132" s="152">
        <f t="shared" si="210"/>
        <v>20</v>
      </c>
      <c r="U132" s="191">
        <f t="shared" si="211"/>
        <v>0.15676096043550114</v>
      </c>
      <c r="V132" s="191">
        <f t="shared" si="212"/>
        <v>1.0450730695700077</v>
      </c>
      <c r="W132" s="191">
        <f t="shared" si="213"/>
        <v>0.46287685167962939</v>
      </c>
      <c r="X132" s="175">
        <f t="shared" si="214"/>
        <v>350</v>
      </c>
      <c r="Y132" s="386">
        <f t="shared" si="215"/>
        <v>350</v>
      </c>
      <c r="AA132" s="191">
        <f t="shared" si="216"/>
        <v>0.29701812512180864</v>
      </c>
      <c r="AB132" s="153">
        <f t="shared" si="217"/>
        <v>0.87702202299746645</v>
      </c>
      <c r="AC132" s="153">
        <f t="shared" si="218"/>
        <v>4.5586001468217563E-2</v>
      </c>
      <c r="AD132" s="153"/>
      <c r="AE132" s="153">
        <f t="shared" si="219"/>
        <v>0.44291338582677164</v>
      </c>
      <c r="AF132" s="317">
        <f t="shared" si="220"/>
        <v>662.28148148148171</v>
      </c>
      <c r="AG132" s="463">
        <f t="shared" si="221"/>
        <v>1.1626476377952754E-2</v>
      </c>
      <c r="AI132" s="153">
        <f t="shared" si="222"/>
        <v>0.20633767977574552</v>
      </c>
      <c r="AJ132" s="153">
        <f t="shared" si="223"/>
        <v>0.20633767977574552</v>
      </c>
      <c r="AK132" s="153">
        <f t="shared" si="224"/>
        <v>1.2375584531838304</v>
      </c>
      <c r="AM132" s="317">
        <f t="shared" si="225"/>
        <v>22.000000000000004</v>
      </c>
      <c r="AN132" s="147">
        <f t="shared" si="226"/>
        <v>350</v>
      </c>
      <c r="AP132" s="147">
        <f t="shared" si="227"/>
        <v>22.000000000000004</v>
      </c>
      <c r="AQ132" s="147">
        <f t="shared" si="228"/>
        <v>350</v>
      </c>
      <c r="AS132" s="5">
        <f t="shared" si="175"/>
        <v>2.8571428571428572</v>
      </c>
      <c r="AT132" s="5">
        <f t="shared" si="229"/>
        <v>1.3755845318383035</v>
      </c>
      <c r="AU132" s="5">
        <f t="shared" si="230"/>
        <v>1.4815583253045537</v>
      </c>
      <c r="AV132" s="5"/>
      <c r="AW132" s="153">
        <f t="shared" si="231"/>
        <v>0.48145458614340625</v>
      </c>
      <c r="AX132" s="153">
        <f t="shared" si="150"/>
        <v>0.4470400000000001</v>
      </c>
      <c r="AY132" s="153">
        <f t="shared" si="151"/>
        <v>5.3497728776761629E-2</v>
      </c>
      <c r="AZ132" s="153">
        <f t="shared" si="178"/>
        <v>8.3562425961190634</v>
      </c>
      <c r="BA132" s="147">
        <f t="shared" si="232"/>
        <v>3.0231480258994696</v>
      </c>
      <c r="BB132" s="147">
        <f t="shared" si="233"/>
        <v>2.2745902340740738</v>
      </c>
      <c r="BC132" s="5">
        <f t="shared" si="258"/>
        <v>8.0479711498025144E-2</v>
      </c>
      <c r="BD132" s="147">
        <f t="shared" si="235"/>
        <v>8.2109341127654787</v>
      </c>
      <c r="BF132" s="153">
        <f t="shared" si="179"/>
        <v>8.2660033948496622E-2</v>
      </c>
      <c r="BG132" s="153">
        <f t="shared" si="156"/>
        <v>8.5784991807305186E-2</v>
      </c>
      <c r="BI132" s="463">
        <f t="shared" si="236"/>
        <v>2.3914384243283147E-3</v>
      </c>
      <c r="BJ132" s="463">
        <f t="shared" si="237"/>
        <v>1.0587186349293501E-2</v>
      </c>
      <c r="BK132" s="463">
        <f t="shared" si="238"/>
        <v>4.3749999999999995E-3</v>
      </c>
      <c r="BL132" s="463">
        <f t="shared" si="239"/>
        <v>1.5044092000000002E-2</v>
      </c>
      <c r="BM132">
        <f t="shared" si="240"/>
        <v>2.6099999999999999E-3</v>
      </c>
      <c r="BN132">
        <f t="shared" si="241"/>
        <v>3.4999999999999999E-6</v>
      </c>
      <c r="BO132" s="463">
        <f t="shared" si="242"/>
        <v>3.5349657950748382E-2</v>
      </c>
      <c r="BP132" s="147">
        <f t="shared" si="243"/>
        <v>35.007716773621816</v>
      </c>
      <c r="BQ132" s="463">
        <f t="shared" si="244"/>
        <v>1.4026325522005877E-2</v>
      </c>
      <c r="BT132" s="147">
        <f t="shared" si="245"/>
        <v>14.026325522005877</v>
      </c>
      <c r="BU132" s="463">
        <f t="shared" si="246"/>
        <v>6.832681212366614E-3</v>
      </c>
      <c r="BV132" s="463">
        <f t="shared" si="247"/>
        <v>7.3590648193794178E-3</v>
      </c>
      <c r="BW132" s="463">
        <f t="shared" si="248"/>
        <v>0</v>
      </c>
      <c r="BX132" s="463"/>
      <c r="BY132" s="463">
        <f t="shared" si="249"/>
        <v>7.4506666666666697E-3</v>
      </c>
      <c r="BZ132" s="147">
        <f t="shared" si="250"/>
        <v>21.642412698412702</v>
      </c>
      <c r="CA132" s="153">
        <f t="shared" si="251"/>
        <v>7.0676454994040405E-2</v>
      </c>
      <c r="CB132" s="5">
        <f t="shared" si="252"/>
        <v>0.44000000000000006</v>
      </c>
      <c r="CC132" s="153">
        <f t="shared" si="253"/>
        <v>0.86160228398455296</v>
      </c>
      <c r="CD132" s="5">
        <f t="shared" si="254"/>
        <v>86.160228398455303</v>
      </c>
      <c r="CG132" s="59">
        <f t="shared" si="255"/>
        <v>-50</v>
      </c>
      <c r="CH132">
        <f t="shared" si="256"/>
        <v>-50</v>
      </c>
    </row>
    <row r="133" spans="5:86" x14ac:dyDescent="0.25">
      <c r="E133" s="150">
        <v>23</v>
      </c>
      <c r="F133" s="191">
        <f t="shared" si="257"/>
        <v>2.3000000000000003E-2</v>
      </c>
      <c r="G133" s="191"/>
      <c r="H133" s="191">
        <f t="shared" si="201"/>
        <v>0.46000000000000008</v>
      </c>
      <c r="I133" s="472">
        <f t="shared" si="202"/>
        <v>9</v>
      </c>
      <c r="J133" s="386">
        <f t="shared" si="203"/>
        <v>20.32</v>
      </c>
      <c r="K133" s="386">
        <f t="shared" si="204"/>
        <v>29.32</v>
      </c>
      <c r="L133" s="386"/>
      <c r="M133" s="191">
        <f t="shared" si="205"/>
        <v>0.69304229195088674</v>
      </c>
      <c r="N133" s="152">
        <f t="shared" si="206"/>
        <v>2.1177466575716233</v>
      </c>
      <c r="O133" s="152">
        <f t="shared" si="173"/>
        <v>0.46000000000000008</v>
      </c>
      <c r="P133" s="191">
        <f t="shared" si="207"/>
        <v>0.10588733287858117</v>
      </c>
      <c r="Q133" s="191">
        <f t="shared" si="208"/>
        <v>20</v>
      </c>
      <c r="R133" s="191"/>
      <c r="S133" s="152">
        <f t="shared" si="209"/>
        <v>123.08855450931411</v>
      </c>
      <c r="T133" s="152">
        <f t="shared" si="210"/>
        <v>20</v>
      </c>
      <c r="U133" s="191">
        <f t="shared" si="211"/>
        <v>0.16388645863711485</v>
      </c>
      <c r="V133" s="191">
        <f t="shared" si="212"/>
        <v>1.0925763909140989</v>
      </c>
      <c r="W133" s="191">
        <f t="shared" si="213"/>
        <v>0.48391670857415797</v>
      </c>
      <c r="X133" s="175">
        <f t="shared" si="214"/>
        <v>350</v>
      </c>
      <c r="Y133" s="386">
        <f t="shared" si="215"/>
        <v>350</v>
      </c>
      <c r="AA133" s="191">
        <f t="shared" si="216"/>
        <v>0.29701812512180864</v>
      </c>
      <c r="AB133" s="153">
        <f t="shared" si="217"/>
        <v>0.87702202299746645</v>
      </c>
      <c r="AC133" s="153">
        <f t="shared" si="218"/>
        <v>4.5586001468217563E-2</v>
      </c>
      <c r="AD133" s="153"/>
      <c r="AE133" s="153">
        <f t="shared" si="219"/>
        <v>0.44291338582677164</v>
      </c>
      <c r="AF133" s="317">
        <f t="shared" si="220"/>
        <v>692.38518518518538</v>
      </c>
      <c r="AG133" s="463">
        <f t="shared" si="221"/>
        <v>1.1626476377952754E-2</v>
      </c>
      <c r="AI133" s="153">
        <f t="shared" si="222"/>
        <v>0.21097506058886722</v>
      </c>
      <c r="AJ133" s="153">
        <f t="shared" si="223"/>
        <v>0.21097506058886722</v>
      </c>
      <c r="AK133" s="153">
        <f t="shared" si="224"/>
        <v>1.2406500403925782</v>
      </c>
      <c r="AM133" s="317">
        <f t="shared" si="225"/>
        <v>23.000000000000004</v>
      </c>
      <c r="AN133" s="147">
        <f t="shared" si="226"/>
        <v>350</v>
      </c>
      <c r="AP133" s="147">
        <f t="shared" si="227"/>
        <v>23.000000000000004</v>
      </c>
      <c r="AQ133" s="147">
        <f t="shared" si="228"/>
        <v>350</v>
      </c>
      <c r="AS133" s="5">
        <f t="shared" si="175"/>
        <v>2.8571428571428572</v>
      </c>
      <c r="AT133" s="5">
        <f t="shared" si="229"/>
        <v>1.4065004039257816</v>
      </c>
      <c r="AU133" s="5">
        <f t="shared" si="230"/>
        <v>1.4506424532170756</v>
      </c>
      <c r="AV133" s="5"/>
      <c r="AW133" s="153">
        <f t="shared" si="231"/>
        <v>0.49227514137402356</v>
      </c>
      <c r="AX133" s="153">
        <f t="shared" ref="AX133:AX196" si="259">0.5*L*AJ133^2*AN133*1000</f>
        <v>0.46736000000000005</v>
      </c>
      <c r="AY133" s="153">
        <f t="shared" ref="AY133:AY196" si="260">AJ133*Nps/2*(1-AW133)</f>
        <v>5.3558641405544706E-2</v>
      </c>
      <c r="AZ133" s="153">
        <f t="shared" si="178"/>
        <v>8.726136207622627</v>
      </c>
      <c r="BA133" s="147">
        <f t="shared" si="232"/>
        <v>3.0231480258994696</v>
      </c>
      <c r="BB133" s="147">
        <f t="shared" si="233"/>
        <v>2.4829343674074082</v>
      </c>
      <c r="BC133" s="5">
        <f t="shared" si="258"/>
        <v>8.2382164009858622E-2</v>
      </c>
      <c r="BD133" s="147">
        <f t="shared" si="235"/>
        <v>8.4085867713562337</v>
      </c>
      <c r="BF133" s="153">
        <f t="shared" si="179"/>
        <v>8.5462274248722908E-2</v>
      </c>
      <c r="BG133" s="153">
        <f t="shared" ref="BG133:BG196" si="261">AJ133*Nps*SQRT((1-AW133)/3)</f>
        <v>8.67930013138241E-2</v>
      </c>
      <c r="BI133" s="463">
        <f t="shared" si="236"/>
        <v>2.5563301119173741E-3</v>
      </c>
      <c r="BJ133" s="463">
        <f t="shared" si="237"/>
        <v>1.0825130358814779E-2</v>
      </c>
      <c r="BK133" s="463">
        <f t="shared" si="238"/>
        <v>4.3749999999999995E-3</v>
      </c>
      <c r="BL133" s="463">
        <f t="shared" si="239"/>
        <v>1.5044092000000002E-2</v>
      </c>
      <c r="BM133">
        <f t="shared" si="240"/>
        <v>2.6099999999999999E-3</v>
      </c>
      <c r="BN133">
        <f t="shared" si="241"/>
        <v>3.4999999999999999E-6</v>
      </c>
      <c r="BO133" s="463">
        <f t="shared" si="242"/>
        <v>3.5776030546840684E-2</v>
      </c>
      <c r="BP133" s="147">
        <f t="shared" si="243"/>
        <v>35.410552470732156</v>
      </c>
      <c r="BQ133" s="463">
        <f t="shared" si="244"/>
        <v>1.4541231158874965E-2</v>
      </c>
      <c r="BT133" s="147">
        <f t="shared" si="245"/>
        <v>14.541231158874965</v>
      </c>
      <c r="BU133" s="463">
        <f t="shared" si="246"/>
        <v>7.3038003197639263E-3</v>
      </c>
      <c r="BV133" s="463">
        <f t="shared" si="247"/>
        <v>7.5330250770614723E-3</v>
      </c>
      <c r="BW133" s="463">
        <f t="shared" si="248"/>
        <v>0</v>
      </c>
      <c r="BX133" s="463"/>
      <c r="BY133" s="463">
        <f t="shared" si="249"/>
        <v>7.7893333333333356E-3</v>
      </c>
      <c r="BZ133" s="147">
        <f t="shared" si="250"/>
        <v>22.626158730158732</v>
      </c>
      <c r="CA133" s="153">
        <f t="shared" si="251"/>
        <v>7.2577942359765862E-2</v>
      </c>
      <c r="CB133" s="5">
        <f t="shared" si="252"/>
        <v>0.46000000000000008</v>
      </c>
      <c r="CC133" s="153">
        <f t="shared" si="253"/>
        <v>0.86372334152972075</v>
      </c>
      <c r="CD133" s="5">
        <f t="shared" si="254"/>
        <v>86.372334152972073</v>
      </c>
      <c r="CG133" s="59">
        <f t="shared" si="255"/>
        <v>-50</v>
      </c>
      <c r="CH133">
        <f t="shared" si="256"/>
        <v>-50</v>
      </c>
    </row>
    <row r="134" spans="5:86" x14ac:dyDescent="0.25">
      <c r="E134" s="150">
        <v>24</v>
      </c>
      <c r="F134" s="191">
        <f t="shared" si="257"/>
        <v>2.4E-2</v>
      </c>
      <c r="G134" s="191"/>
      <c r="H134" s="191">
        <f t="shared" si="201"/>
        <v>0.48</v>
      </c>
      <c r="I134" s="472">
        <f t="shared" si="202"/>
        <v>9</v>
      </c>
      <c r="J134" s="386">
        <f t="shared" si="203"/>
        <v>20.32</v>
      </c>
      <c r="K134" s="386">
        <f t="shared" si="204"/>
        <v>29.32</v>
      </c>
      <c r="L134" s="386"/>
      <c r="M134" s="191">
        <f t="shared" si="205"/>
        <v>0.69304229195088674</v>
      </c>
      <c r="N134" s="152">
        <f t="shared" si="206"/>
        <v>2.1177466575716233</v>
      </c>
      <c r="O134" s="152">
        <f t="shared" ref="O134:O197" si="262">T134*F134</f>
        <v>0.48</v>
      </c>
      <c r="P134" s="191">
        <f t="shared" si="207"/>
        <v>0.10588733287858117</v>
      </c>
      <c r="Q134" s="191">
        <f t="shared" si="208"/>
        <v>20</v>
      </c>
      <c r="R134" s="191"/>
      <c r="S134" s="152">
        <f t="shared" si="209"/>
        <v>117.5869260460058</v>
      </c>
      <c r="T134" s="152">
        <f t="shared" si="210"/>
        <v>20</v>
      </c>
      <c r="U134" s="191">
        <f t="shared" si="211"/>
        <v>0.1710119568387285</v>
      </c>
      <c r="V134" s="191">
        <f t="shared" si="212"/>
        <v>1.14007971225819</v>
      </c>
      <c r="W134" s="191">
        <f t="shared" si="213"/>
        <v>0.5049565654686865</v>
      </c>
      <c r="X134" s="175">
        <f t="shared" si="214"/>
        <v>350</v>
      </c>
      <c r="Y134" s="386">
        <f t="shared" si="215"/>
        <v>350</v>
      </c>
      <c r="AA134" s="191">
        <f t="shared" si="216"/>
        <v>0.29701812512180864</v>
      </c>
      <c r="AB134" s="153">
        <f t="shared" si="217"/>
        <v>0.87702202299746645</v>
      </c>
      <c r="AC134" s="153">
        <f t="shared" si="218"/>
        <v>4.5586001468217563E-2</v>
      </c>
      <c r="AD134" s="153"/>
      <c r="AE134" s="153">
        <f t="shared" si="219"/>
        <v>0.44291338582677164</v>
      </c>
      <c r="AF134" s="317">
        <f t="shared" si="220"/>
        <v>722.48888888888894</v>
      </c>
      <c r="AG134" s="463">
        <f t="shared" si="221"/>
        <v>1.1626476377952754E-2</v>
      </c>
      <c r="AI134" s="153">
        <f t="shared" si="222"/>
        <v>0.21551267778419508</v>
      </c>
      <c r="AJ134" s="153">
        <f t="shared" si="223"/>
        <v>0.21551267778419508</v>
      </c>
      <c r="AK134" s="153">
        <f t="shared" si="224"/>
        <v>1.2436751185227968</v>
      </c>
      <c r="AM134" s="317">
        <f t="shared" si="225"/>
        <v>24</v>
      </c>
      <c r="AN134" s="147">
        <f t="shared" si="226"/>
        <v>350</v>
      </c>
      <c r="AP134" s="147">
        <f t="shared" si="227"/>
        <v>24</v>
      </c>
      <c r="AQ134" s="147">
        <f t="shared" si="228"/>
        <v>350</v>
      </c>
      <c r="AS134" s="5">
        <f t="shared" ref="AS134:AS197" si="263">1/AN134*1000</f>
        <v>2.8571428571428572</v>
      </c>
      <c r="AT134" s="5">
        <f t="shared" si="229"/>
        <v>1.4367511852279673</v>
      </c>
      <c r="AU134" s="5">
        <f t="shared" si="230"/>
        <v>1.4203916719148899</v>
      </c>
      <c r="AV134" s="5"/>
      <c r="AW134" s="153">
        <f t="shared" si="231"/>
        <v>0.50286291482978851</v>
      </c>
      <c r="AX134" s="153">
        <f t="shared" si="259"/>
        <v>0.48768000000000006</v>
      </c>
      <c r="AY134" s="153">
        <f t="shared" si="260"/>
        <v>5.3569672225430867E-2</v>
      </c>
      <c r="AZ134" s="153">
        <f t="shared" ref="AZ134:AZ197" si="264">AX134/AY134</f>
        <v>9.1036584645833649</v>
      </c>
      <c r="BA134" s="147">
        <f t="shared" si="232"/>
        <v>3.0231480258994696</v>
      </c>
      <c r="BB134" s="147">
        <f t="shared" si="233"/>
        <v>2.700404906666666</v>
      </c>
      <c r="BC134" s="5">
        <f t="shared" si="258"/>
        <v>8.417135833569718E-2</v>
      </c>
      <c r="BD134" s="147">
        <f t="shared" si="235"/>
        <v>8.5949136113474935</v>
      </c>
      <c r="BF134" s="153">
        <f t="shared" ref="BF134:BF197" si="265">AJ134*SQRT(AW134/3)</f>
        <v>8.8234209667728158E-2</v>
      </c>
      <c r="BG134" s="153">
        <f t="shared" si="261"/>
        <v>8.7730433751441989E-2</v>
      </c>
      <c r="BI134" s="463">
        <f t="shared" si="236"/>
        <v>2.7248465144910144E-3</v>
      </c>
      <c r="BJ134" s="463">
        <f t="shared" si="237"/>
        <v>1.1057955497107049E-2</v>
      </c>
      <c r="BK134" s="463">
        <f t="shared" si="238"/>
        <v>4.3749999999999995E-3</v>
      </c>
      <c r="BL134" s="463">
        <f t="shared" si="239"/>
        <v>1.5044092000000002E-2</v>
      </c>
      <c r="BM134">
        <f t="shared" si="240"/>
        <v>2.6099999999999999E-3</v>
      </c>
      <c r="BN134">
        <f t="shared" si="241"/>
        <v>3.4999999999999999E-6</v>
      </c>
      <c r="BO134" s="463">
        <f t="shared" si="242"/>
        <v>3.6201447996397268E-2</v>
      </c>
      <c r="BP134" s="147">
        <f t="shared" si="243"/>
        <v>35.811894011598064</v>
      </c>
      <c r="BQ134" s="463">
        <f t="shared" si="244"/>
        <v>1.5048224560749142E-2</v>
      </c>
      <c r="BT134" s="147">
        <f t="shared" si="245"/>
        <v>15.048224560749142</v>
      </c>
      <c r="BU134" s="463">
        <f t="shared" si="246"/>
        <v>7.7852757556886136E-3</v>
      </c>
      <c r="BV134" s="463">
        <f t="shared" si="247"/>
        <v>7.6966290062161517E-3</v>
      </c>
      <c r="BW134" s="463">
        <f t="shared" si="248"/>
        <v>0</v>
      </c>
      <c r="BX134" s="463"/>
      <c r="BY134" s="463">
        <f t="shared" si="249"/>
        <v>8.1280000000000033E-3</v>
      </c>
      <c r="BZ134" s="147">
        <f t="shared" si="250"/>
        <v>23.609904761904769</v>
      </c>
      <c r="CA134" s="153">
        <f t="shared" si="251"/>
        <v>7.4470023334251984E-2</v>
      </c>
      <c r="CB134" s="5">
        <f t="shared" si="252"/>
        <v>0.48</v>
      </c>
      <c r="CC134" s="153">
        <f t="shared" si="253"/>
        <v>0.86569152487913825</v>
      </c>
      <c r="CD134" s="5">
        <f t="shared" si="254"/>
        <v>86.569152487913826</v>
      </c>
      <c r="CG134" s="59">
        <f t="shared" si="255"/>
        <v>-50</v>
      </c>
      <c r="CH134">
        <f t="shared" si="256"/>
        <v>-50</v>
      </c>
    </row>
    <row r="135" spans="5:86" x14ac:dyDescent="0.25">
      <c r="E135" s="150">
        <v>25</v>
      </c>
      <c r="F135" s="191">
        <f t="shared" si="257"/>
        <v>2.5000000000000001E-2</v>
      </c>
      <c r="G135" s="191"/>
      <c r="H135" s="191">
        <f t="shared" si="201"/>
        <v>0.5</v>
      </c>
      <c r="I135" s="472">
        <f t="shared" si="202"/>
        <v>9</v>
      </c>
      <c r="J135" s="386">
        <f t="shared" si="203"/>
        <v>20.32</v>
      </c>
      <c r="K135" s="386">
        <f t="shared" si="204"/>
        <v>29.32</v>
      </c>
      <c r="L135" s="386"/>
      <c r="M135" s="191">
        <f t="shared" si="205"/>
        <v>0.69304229195088674</v>
      </c>
      <c r="N135" s="152">
        <f t="shared" si="206"/>
        <v>2.1177466575716233</v>
      </c>
      <c r="O135" s="152">
        <f t="shared" si="262"/>
        <v>0.5</v>
      </c>
      <c r="P135" s="191">
        <f t="shared" si="207"/>
        <v>0.10588733287858117</v>
      </c>
      <c r="Q135" s="191">
        <f t="shared" si="208"/>
        <v>20</v>
      </c>
      <c r="R135" s="191"/>
      <c r="S135" s="152">
        <f t="shared" si="209"/>
        <v>112.5255216153798</v>
      </c>
      <c r="T135" s="152">
        <f t="shared" si="210"/>
        <v>20</v>
      </c>
      <c r="U135" s="191">
        <f t="shared" si="211"/>
        <v>0.1781374550403422</v>
      </c>
      <c r="V135" s="191">
        <f t="shared" si="212"/>
        <v>1.1875830336022812</v>
      </c>
      <c r="W135" s="191">
        <f t="shared" si="213"/>
        <v>0.5259964223632152</v>
      </c>
      <c r="X135" s="175">
        <f t="shared" si="214"/>
        <v>350</v>
      </c>
      <c r="Y135" s="386">
        <f t="shared" si="215"/>
        <v>350</v>
      </c>
      <c r="AA135" s="191">
        <f t="shared" si="216"/>
        <v>0.29701812512180864</v>
      </c>
      <c r="AB135" s="153">
        <f t="shared" si="217"/>
        <v>0.87702202299746645</v>
      </c>
      <c r="AC135" s="153">
        <f t="shared" si="218"/>
        <v>4.5586001468217563E-2</v>
      </c>
      <c r="AD135" s="153"/>
      <c r="AE135" s="153">
        <f t="shared" si="219"/>
        <v>0.44291338582677164</v>
      </c>
      <c r="AF135" s="317">
        <f t="shared" si="220"/>
        <v>752.59259259259272</v>
      </c>
      <c r="AG135" s="463">
        <f t="shared" si="221"/>
        <v>1.1626476377952754E-2</v>
      </c>
      <c r="AI135" s="153">
        <f t="shared" si="222"/>
        <v>0.21995670569671746</v>
      </c>
      <c r="AJ135" s="153">
        <f t="shared" si="223"/>
        <v>0.21995670569671746</v>
      </c>
      <c r="AK135" s="153">
        <f t="shared" si="224"/>
        <v>1.2466378037978116</v>
      </c>
      <c r="AM135" s="317">
        <f t="shared" si="225"/>
        <v>25</v>
      </c>
      <c r="AN135" s="147">
        <f t="shared" si="226"/>
        <v>350</v>
      </c>
      <c r="AP135" s="147">
        <f t="shared" si="227"/>
        <v>25</v>
      </c>
      <c r="AQ135" s="147">
        <f t="shared" si="228"/>
        <v>350</v>
      </c>
      <c r="AS135" s="5">
        <f t="shared" si="263"/>
        <v>2.8571428571428572</v>
      </c>
      <c r="AT135" s="5">
        <f t="shared" si="229"/>
        <v>1.4663780379781164</v>
      </c>
      <c r="AU135" s="5">
        <f t="shared" si="230"/>
        <v>1.3907648191647408</v>
      </c>
      <c r="AV135" s="5"/>
      <c r="AW135" s="153">
        <f t="shared" si="231"/>
        <v>0.51323231329234076</v>
      </c>
      <c r="AX135" s="153">
        <f t="shared" si="259"/>
        <v>0.50800000000000001</v>
      </c>
      <c r="AY135" s="153">
        <f t="shared" si="260"/>
        <v>5.3533908403914289E-2</v>
      </c>
      <c r="AZ135" s="153">
        <f t="shared" si="264"/>
        <v>9.4893127579464398</v>
      </c>
      <c r="BA135" s="147">
        <f t="shared" si="232"/>
        <v>3.0231480258994696</v>
      </c>
      <c r="BB135" s="147">
        <f t="shared" si="233"/>
        <v>2.9270018518518524</v>
      </c>
      <c r="BC135" s="5">
        <f t="shared" si="258"/>
        <v>8.5849680195354383E-2</v>
      </c>
      <c r="BD135" s="147">
        <f t="shared" si="235"/>
        <v>8.7701532047206232</v>
      </c>
      <c r="BF135" s="153">
        <f t="shared" si="265"/>
        <v>9.0977411316880877E-2</v>
      </c>
      <c r="BG135" s="153">
        <f t="shared" si="261"/>
        <v>8.8600760476776966E-2</v>
      </c>
      <c r="BI135" s="463">
        <f t="shared" si="236"/>
        <v>2.8969112794723236E-3</v>
      </c>
      <c r="BJ135" s="463">
        <f t="shared" si="237"/>
        <v>1.1285978569298574E-2</v>
      </c>
      <c r="BK135" s="463">
        <f t="shared" si="238"/>
        <v>4.3749999999999995E-3</v>
      </c>
      <c r="BL135" s="463">
        <f t="shared" si="239"/>
        <v>1.5044092000000002E-2</v>
      </c>
      <c r="BM135">
        <f t="shared" si="240"/>
        <v>2.6099999999999999E-3</v>
      </c>
      <c r="BN135">
        <f t="shared" si="241"/>
        <v>3.4999999999999999E-6</v>
      </c>
      <c r="BO135" s="463">
        <f t="shared" si="242"/>
        <v>3.6626140816043332E-2</v>
      </c>
      <c r="BP135" s="147">
        <f t="shared" si="243"/>
        <v>36.211981848770904</v>
      </c>
      <c r="BQ135" s="463">
        <f t="shared" si="244"/>
        <v>1.554747239439629E-2</v>
      </c>
      <c r="BT135" s="147">
        <f t="shared" si="245"/>
        <v>15.547472394396289</v>
      </c>
      <c r="BU135" s="463">
        <f t="shared" si="246"/>
        <v>8.2768893699209246E-3</v>
      </c>
      <c r="BV135" s="463">
        <f t="shared" si="247"/>
        <v>7.850094757063204E-3</v>
      </c>
      <c r="BW135" s="463">
        <f t="shared" si="248"/>
        <v>0</v>
      </c>
      <c r="BX135" s="463"/>
      <c r="BY135" s="463">
        <f t="shared" si="249"/>
        <v>8.4666666666666675E-3</v>
      </c>
      <c r="BZ135" s="147">
        <f t="shared" si="250"/>
        <v>24.593650793650795</v>
      </c>
      <c r="CA135" s="153">
        <f t="shared" si="251"/>
        <v>7.6353105036817984E-2</v>
      </c>
      <c r="CB135" s="5">
        <f t="shared" si="252"/>
        <v>0.5</v>
      </c>
      <c r="CC135" s="153">
        <f t="shared" si="253"/>
        <v>0.86752373784480519</v>
      </c>
      <c r="CD135" s="5">
        <f t="shared" si="254"/>
        <v>86.752373784480525</v>
      </c>
      <c r="CG135" s="59">
        <f t="shared" si="255"/>
        <v>-50</v>
      </c>
      <c r="CH135">
        <f t="shared" si="256"/>
        <v>-50</v>
      </c>
    </row>
    <row r="136" spans="5:86" x14ac:dyDescent="0.25">
      <c r="E136" s="150">
        <v>26</v>
      </c>
      <c r="F136" s="191">
        <f t="shared" si="257"/>
        <v>2.6000000000000002E-2</v>
      </c>
      <c r="G136" s="191"/>
      <c r="H136" s="191">
        <f t="shared" si="201"/>
        <v>0.52</v>
      </c>
      <c r="I136" s="472">
        <f t="shared" si="202"/>
        <v>9</v>
      </c>
      <c r="J136" s="386">
        <f t="shared" si="203"/>
        <v>20.32</v>
      </c>
      <c r="K136" s="386">
        <f t="shared" si="204"/>
        <v>29.32</v>
      </c>
      <c r="L136" s="386"/>
      <c r="M136" s="191">
        <f t="shared" si="205"/>
        <v>0.69304229195088674</v>
      </c>
      <c r="N136" s="152">
        <f t="shared" si="206"/>
        <v>2.1177466575716233</v>
      </c>
      <c r="O136" s="152">
        <f t="shared" si="262"/>
        <v>0.52</v>
      </c>
      <c r="P136" s="191">
        <f t="shared" si="207"/>
        <v>0.10588733287858117</v>
      </c>
      <c r="Q136" s="191">
        <f t="shared" si="208"/>
        <v>20</v>
      </c>
      <c r="R136" s="191"/>
      <c r="S136" s="152">
        <f t="shared" si="209"/>
        <v>107.85354696123586</v>
      </c>
      <c r="T136" s="152">
        <f t="shared" si="210"/>
        <v>20</v>
      </c>
      <c r="U136" s="191">
        <f t="shared" si="211"/>
        <v>0.18526295324195588</v>
      </c>
      <c r="V136" s="191">
        <f t="shared" si="212"/>
        <v>1.2350863549463726</v>
      </c>
      <c r="W136" s="191">
        <f t="shared" si="213"/>
        <v>0.54703627925774378</v>
      </c>
      <c r="X136" s="175">
        <f t="shared" si="214"/>
        <v>350</v>
      </c>
      <c r="Y136" s="386">
        <f t="shared" si="215"/>
        <v>350</v>
      </c>
      <c r="AA136" s="191">
        <f t="shared" si="216"/>
        <v>0.29701812512180864</v>
      </c>
      <c r="AB136" s="153">
        <f t="shared" si="217"/>
        <v>0.87702202299746645</v>
      </c>
      <c r="AC136" s="153">
        <f t="shared" si="218"/>
        <v>4.5586001468217563E-2</v>
      </c>
      <c r="AD136" s="153"/>
      <c r="AE136" s="153">
        <f t="shared" si="219"/>
        <v>0.44291338582677164</v>
      </c>
      <c r="AF136" s="317">
        <f t="shared" si="220"/>
        <v>782.69629629629651</v>
      </c>
      <c r="AG136" s="463">
        <f t="shared" si="221"/>
        <v>1.1626476377952754E-2</v>
      </c>
      <c r="AI136" s="153">
        <f t="shared" si="222"/>
        <v>0.22431270689862953</v>
      </c>
      <c r="AJ136" s="153">
        <f t="shared" si="223"/>
        <v>0.22431270689862953</v>
      </c>
      <c r="AK136" s="153">
        <f t="shared" si="224"/>
        <v>1.2495418045990863</v>
      </c>
      <c r="AM136" s="317">
        <f t="shared" si="225"/>
        <v>26.000000000000004</v>
      </c>
      <c r="AN136" s="147">
        <f t="shared" si="226"/>
        <v>350</v>
      </c>
      <c r="AP136" s="147">
        <f t="shared" si="227"/>
        <v>26.000000000000004</v>
      </c>
      <c r="AQ136" s="147">
        <f t="shared" si="228"/>
        <v>350</v>
      </c>
      <c r="AS136" s="5">
        <f t="shared" si="263"/>
        <v>2.8571428571428572</v>
      </c>
      <c r="AT136" s="5">
        <f t="shared" si="229"/>
        <v>1.4954180459908637</v>
      </c>
      <c r="AU136" s="5">
        <f t="shared" si="230"/>
        <v>1.3617248111519935</v>
      </c>
      <c r="AV136" s="5"/>
      <c r="AW136" s="153">
        <f t="shared" si="231"/>
        <v>0.52339631609680226</v>
      </c>
      <c r="AX136" s="153">
        <f t="shared" si="259"/>
        <v>0.52832000000000001</v>
      </c>
      <c r="AY136" s="153">
        <f t="shared" si="260"/>
        <v>5.3454131227092534E-2</v>
      </c>
      <c r="AZ136" s="153">
        <f t="shared" si="264"/>
        <v>9.8836140046034053</v>
      </c>
      <c r="BA136" s="147">
        <f t="shared" si="232"/>
        <v>3.0231480258994696</v>
      </c>
      <c r="BB136" s="147">
        <f t="shared" si="233"/>
        <v>3.1627252029629633</v>
      </c>
      <c r="BC136" s="5">
        <f t="shared" si="258"/>
        <v>8.7419370592473664E-2</v>
      </c>
      <c r="BD136" s="147">
        <f t="shared" si="235"/>
        <v>8.9345296518399593</v>
      </c>
      <c r="BF136" s="153">
        <f t="shared" si="265"/>
        <v>9.3693309500132937E-2</v>
      </c>
      <c r="BG136" s="153">
        <f t="shared" si="261"/>
        <v>8.9407087230128413E-2</v>
      </c>
      <c r="BI136" s="463">
        <f t="shared" si="236"/>
        <v>3.0724526857806951E-3</v>
      </c>
      <c r="BJ136" s="463">
        <f t="shared" si="237"/>
        <v>1.1509484990968681E-2</v>
      </c>
      <c r="BK136" s="463">
        <f t="shared" si="238"/>
        <v>4.3749999999999995E-3</v>
      </c>
      <c r="BL136" s="463">
        <f t="shared" si="239"/>
        <v>1.5044092000000002E-2</v>
      </c>
      <c r="BM136">
        <f t="shared" si="240"/>
        <v>2.6099999999999999E-3</v>
      </c>
      <c r="BN136">
        <f t="shared" si="241"/>
        <v>3.4999999999999999E-6</v>
      </c>
      <c r="BO136" s="463">
        <f t="shared" si="242"/>
        <v>3.7050313408626454E-2</v>
      </c>
      <c r="BP136" s="147">
        <f t="shared" si="243"/>
        <v>36.611029676749382</v>
      </c>
      <c r="BQ136" s="463">
        <f t="shared" si="244"/>
        <v>1.6039131216689505E-2</v>
      </c>
      <c r="BT136" s="147">
        <f t="shared" si="245"/>
        <v>16.039131216689505</v>
      </c>
      <c r="BU136" s="463">
        <f t="shared" si="246"/>
        <v>8.7784362450877007E-3</v>
      </c>
      <c r="BV136" s="463">
        <f t="shared" si="247"/>
        <v>7.9936272469757902E-3</v>
      </c>
      <c r="BW136" s="463">
        <f t="shared" si="248"/>
        <v>0</v>
      </c>
      <c r="BX136" s="463"/>
      <c r="BY136" s="463">
        <f t="shared" si="249"/>
        <v>8.8053333333333351E-3</v>
      </c>
      <c r="BZ136" s="147">
        <f t="shared" si="250"/>
        <v>25.577396825396825</v>
      </c>
      <c r="CA136" s="153">
        <f t="shared" si="251"/>
        <v>7.8227557718835716E-2</v>
      </c>
      <c r="CB136" s="5">
        <f t="shared" si="252"/>
        <v>0.52</v>
      </c>
      <c r="CC136" s="153">
        <f t="shared" si="253"/>
        <v>0.86923444647529546</v>
      </c>
      <c r="CD136" s="5">
        <f t="shared" si="254"/>
        <v>86.92344464752955</v>
      </c>
      <c r="CG136" s="59">
        <f t="shared" si="255"/>
        <v>-50</v>
      </c>
      <c r="CH136">
        <f t="shared" si="256"/>
        <v>-50</v>
      </c>
    </row>
    <row r="137" spans="5:86" x14ac:dyDescent="0.25">
      <c r="E137" s="150">
        <v>27</v>
      </c>
      <c r="F137" s="191">
        <f t="shared" si="257"/>
        <v>2.7000000000000003E-2</v>
      </c>
      <c r="G137" s="191"/>
      <c r="H137" s="191">
        <f t="shared" si="201"/>
        <v>0.54</v>
      </c>
      <c r="I137" s="472">
        <f t="shared" si="202"/>
        <v>9</v>
      </c>
      <c r="J137" s="386">
        <f t="shared" si="203"/>
        <v>20.32</v>
      </c>
      <c r="K137" s="386">
        <f t="shared" si="204"/>
        <v>29.32</v>
      </c>
      <c r="L137" s="386"/>
      <c r="M137" s="191">
        <f t="shared" si="205"/>
        <v>0.69304229195088674</v>
      </c>
      <c r="N137" s="152">
        <f t="shared" si="206"/>
        <v>2.1177466575716233</v>
      </c>
      <c r="O137" s="152">
        <f t="shared" si="262"/>
        <v>0.54</v>
      </c>
      <c r="P137" s="191">
        <f t="shared" si="207"/>
        <v>0.10588733287858117</v>
      </c>
      <c r="Q137" s="191">
        <f t="shared" si="208"/>
        <v>20</v>
      </c>
      <c r="R137" s="191"/>
      <c r="S137" s="152">
        <f t="shared" si="209"/>
        <v>103.52773291163179</v>
      </c>
      <c r="T137" s="152">
        <f t="shared" si="210"/>
        <v>20</v>
      </c>
      <c r="U137" s="191">
        <f t="shared" si="211"/>
        <v>0.19238845144356959</v>
      </c>
      <c r="V137" s="191">
        <f t="shared" si="212"/>
        <v>1.2825896762904641</v>
      </c>
      <c r="W137" s="191">
        <f t="shared" si="213"/>
        <v>0.56807613615227237</v>
      </c>
      <c r="X137" s="175">
        <f t="shared" si="214"/>
        <v>350</v>
      </c>
      <c r="Y137" s="386">
        <f t="shared" si="215"/>
        <v>350</v>
      </c>
      <c r="AA137" s="191">
        <f t="shared" si="216"/>
        <v>0.29701812512180864</v>
      </c>
      <c r="AB137" s="153">
        <f t="shared" si="217"/>
        <v>0.87702202299746645</v>
      </c>
      <c r="AC137" s="153">
        <f t="shared" si="218"/>
        <v>4.5586001468217563E-2</v>
      </c>
      <c r="AD137" s="153"/>
      <c r="AE137" s="153">
        <f t="shared" si="219"/>
        <v>0.44291338582677164</v>
      </c>
      <c r="AF137" s="317">
        <f t="shared" si="220"/>
        <v>812.80000000000018</v>
      </c>
      <c r="AG137" s="463">
        <f t="shared" si="221"/>
        <v>1.1626476377952754E-2</v>
      </c>
      <c r="AI137" s="153">
        <f t="shared" si="222"/>
        <v>0.22858571383931364</v>
      </c>
      <c r="AJ137" s="153">
        <f t="shared" si="223"/>
        <v>0.22858571383931364</v>
      </c>
      <c r="AK137" s="153">
        <f t="shared" si="224"/>
        <v>1.2523904758928757</v>
      </c>
      <c r="AM137" s="317">
        <f t="shared" si="225"/>
        <v>27.000000000000004</v>
      </c>
      <c r="AN137" s="147">
        <f t="shared" si="226"/>
        <v>350</v>
      </c>
      <c r="AP137" s="147">
        <f t="shared" si="227"/>
        <v>27.000000000000004</v>
      </c>
      <c r="AQ137" s="147">
        <f t="shared" si="228"/>
        <v>350</v>
      </c>
      <c r="AS137" s="5">
        <f t="shared" si="263"/>
        <v>2.8571428571428572</v>
      </c>
      <c r="AT137" s="5">
        <f t="shared" si="229"/>
        <v>1.5239047589287578</v>
      </c>
      <c r="AU137" s="5">
        <f t="shared" si="230"/>
        <v>1.3332380982140994</v>
      </c>
      <c r="AV137" s="5"/>
      <c r="AW137" s="153">
        <f t="shared" si="231"/>
        <v>0.53336666562506518</v>
      </c>
      <c r="AX137" s="153">
        <f t="shared" si="259"/>
        <v>0.54864000000000024</v>
      </c>
      <c r="AY137" s="153">
        <f t="shared" si="260"/>
        <v>5.3332856919656807E-2</v>
      </c>
      <c r="AZ137" s="153">
        <f t="shared" si="264"/>
        <v>10.2870918920863</v>
      </c>
      <c r="BA137" s="147">
        <f t="shared" si="232"/>
        <v>3.0231480258994696</v>
      </c>
      <c r="BB137" s="147">
        <f t="shared" si="233"/>
        <v>3.4075749600000007</v>
      </c>
      <c r="BC137" s="5">
        <f t="shared" si="258"/>
        <v>8.8882539880939956E-2</v>
      </c>
      <c r="BD137" s="147">
        <f t="shared" si="235"/>
        <v>9.0882539880939959</v>
      </c>
      <c r="BF137" s="153">
        <f t="shared" si="265"/>
        <v>9.6383211247756784E-2</v>
      </c>
      <c r="BG137" s="153">
        <f t="shared" si="261"/>
        <v>9.0152201563318199E-2</v>
      </c>
      <c r="BI137" s="463">
        <f t="shared" si="236"/>
        <v>3.2514031936503982E-3</v>
      </c>
      <c r="BJ137" s="463">
        <f t="shared" si="237"/>
        <v>1.1728732977095183E-2</v>
      </c>
      <c r="BK137" s="463">
        <f t="shared" si="238"/>
        <v>4.3749999999999995E-3</v>
      </c>
      <c r="BL137" s="463">
        <f t="shared" si="239"/>
        <v>1.5044092000000002E-2</v>
      </c>
      <c r="BM137">
        <f t="shared" si="240"/>
        <v>2.6099999999999999E-3</v>
      </c>
      <c r="BN137">
        <f t="shared" si="241"/>
        <v>3.4999999999999999E-6</v>
      </c>
      <c r="BO137" s="463">
        <f t="shared" si="242"/>
        <v>3.74741477393798E-2</v>
      </c>
      <c r="BP137" s="147">
        <f t="shared" si="243"/>
        <v>37.00922817074558</v>
      </c>
      <c r="BQ137" s="463">
        <f t="shared" si="244"/>
        <v>1.6523348457288853E-2</v>
      </c>
      <c r="BT137" s="147">
        <f t="shared" si="245"/>
        <v>16.523348457288854</v>
      </c>
      <c r="BU137" s="463">
        <f t="shared" si="246"/>
        <v>9.289723410429709E-3</v>
      </c>
      <c r="BV137" s="463">
        <f t="shared" si="247"/>
        <v>8.1274194467131529E-3</v>
      </c>
      <c r="BW137" s="463">
        <f t="shared" si="248"/>
        <v>0</v>
      </c>
      <c r="BX137" s="463"/>
      <c r="BY137" s="463">
        <f t="shared" si="249"/>
        <v>9.1440000000000046E-3</v>
      </c>
      <c r="BZ137" s="147">
        <f t="shared" si="250"/>
        <v>26.561142857142865</v>
      </c>
      <c r="CA137" s="153">
        <f t="shared" si="251"/>
        <v>8.0093719485177295E-2</v>
      </c>
      <c r="CB137" s="5">
        <f t="shared" si="252"/>
        <v>0.54</v>
      </c>
      <c r="CC137" s="153">
        <f t="shared" si="253"/>
        <v>0.87083610594915584</v>
      </c>
      <c r="CD137" s="5">
        <f t="shared" si="254"/>
        <v>87.083610594915584</v>
      </c>
      <c r="CG137" s="59">
        <f t="shared" si="255"/>
        <v>-50</v>
      </c>
      <c r="CH137">
        <f t="shared" si="256"/>
        <v>-50</v>
      </c>
    </row>
    <row r="138" spans="5:86" x14ac:dyDescent="0.25">
      <c r="E138" s="150">
        <v>28</v>
      </c>
      <c r="F138" s="191">
        <f t="shared" si="257"/>
        <v>2.8000000000000004E-2</v>
      </c>
      <c r="G138" s="191"/>
      <c r="H138" s="191">
        <f t="shared" si="201"/>
        <v>0.56000000000000005</v>
      </c>
      <c r="I138" s="472">
        <f t="shared" si="202"/>
        <v>9</v>
      </c>
      <c r="J138" s="386">
        <f t="shared" si="203"/>
        <v>20.32</v>
      </c>
      <c r="K138" s="386">
        <f t="shared" si="204"/>
        <v>29.32</v>
      </c>
      <c r="L138" s="386"/>
      <c r="M138" s="191">
        <f t="shared" si="205"/>
        <v>0.69304229195088674</v>
      </c>
      <c r="N138" s="152">
        <f t="shared" si="206"/>
        <v>2.1177466575716233</v>
      </c>
      <c r="O138" s="152">
        <f t="shared" si="262"/>
        <v>0.56000000000000005</v>
      </c>
      <c r="P138" s="191">
        <f t="shared" si="207"/>
        <v>0.10588733287858117</v>
      </c>
      <c r="Q138" s="191">
        <f t="shared" si="208"/>
        <v>20</v>
      </c>
      <c r="R138" s="191"/>
      <c r="S138" s="152">
        <f t="shared" si="209"/>
        <v>99.510991613961139</v>
      </c>
      <c r="T138" s="152">
        <f t="shared" si="210"/>
        <v>20</v>
      </c>
      <c r="U138" s="191">
        <f t="shared" si="211"/>
        <v>0.19951394964518326</v>
      </c>
      <c r="V138" s="191">
        <f t="shared" si="212"/>
        <v>1.330092997634555</v>
      </c>
      <c r="W138" s="191">
        <f t="shared" si="213"/>
        <v>0.58911599304680096</v>
      </c>
      <c r="X138" s="175">
        <f t="shared" si="214"/>
        <v>350</v>
      </c>
      <c r="Y138" s="386">
        <f t="shared" si="215"/>
        <v>350</v>
      </c>
      <c r="AA138" s="191">
        <f t="shared" si="216"/>
        <v>0.29701812512180864</v>
      </c>
      <c r="AB138" s="153">
        <f t="shared" si="217"/>
        <v>0.87702202299746645</v>
      </c>
      <c r="AC138" s="153">
        <f t="shared" si="218"/>
        <v>4.5586001468217563E-2</v>
      </c>
      <c r="AD138" s="153"/>
      <c r="AE138" s="153">
        <f t="shared" si="219"/>
        <v>0.44291338582677164</v>
      </c>
      <c r="AF138" s="317">
        <f t="shared" si="220"/>
        <v>842.90370370370397</v>
      </c>
      <c r="AG138" s="463">
        <f t="shared" si="221"/>
        <v>1.1626476377952754E-2</v>
      </c>
      <c r="AI138" s="153">
        <f t="shared" si="222"/>
        <v>0.23278029698981542</v>
      </c>
      <c r="AJ138" s="153">
        <f t="shared" si="223"/>
        <v>0.23278029698981542</v>
      </c>
      <c r="AK138" s="153">
        <f t="shared" si="224"/>
        <v>1.2551868646598769</v>
      </c>
      <c r="AM138" s="317">
        <f t="shared" si="225"/>
        <v>28.000000000000004</v>
      </c>
      <c r="AN138" s="147">
        <f t="shared" si="226"/>
        <v>350</v>
      </c>
      <c r="AP138" s="147">
        <f t="shared" si="227"/>
        <v>28.000000000000004</v>
      </c>
      <c r="AQ138" s="147">
        <f t="shared" si="228"/>
        <v>350</v>
      </c>
      <c r="AS138" s="5">
        <f t="shared" si="263"/>
        <v>2.8571428571428572</v>
      </c>
      <c r="AT138" s="5">
        <f t="shared" si="229"/>
        <v>1.5518686465987697</v>
      </c>
      <c r="AU138" s="5">
        <f t="shared" si="230"/>
        <v>1.3052742105440875</v>
      </c>
      <c r="AV138" s="5"/>
      <c r="AW138" s="153">
        <f t="shared" si="231"/>
        <v>0.54315402630956933</v>
      </c>
      <c r="AX138" s="153">
        <f t="shared" si="259"/>
        <v>0.56896000000000013</v>
      </c>
      <c r="AY138" s="153">
        <f t="shared" si="260"/>
        <v>5.3172370717129928E-2</v>
      </c>
      <c r="AZ138" s="153">
        <f t="shared" si="264"/>
        <v>10.700294012219111</v>
      </c>
      <c r="BA138" s="147">
        <f t="shared" si="232"/>
        <v>3.0231480258994696</v>
      </c>
      <c r="BB138" s="147">
        <f t="shared" si="233"/>
        <v>3.6615511229629627</v>
      </c>
      <c r="BC138" s="5">
        <f t="shared" si="258"/>
        <v>9.0241179988233222E-2</v>
      </c>
      <c r="BD138" s="147">
        <f t="shared" si="235"/>
        <v>9.2315254062307304</v>
      </c>
      <c r="BF138" s="153">
        <f t="shared" si="265"/>
        <v>9.9048315099744003E-2</v>
      </c>
      <c r="BG138" s="153">
        <f t="shared" si="261"/>
        <v>9.0838612374496586E-2</v>
      </c>
      <c r="BI138" s="463">
        <f t="shared" si="236"/>
        <v>3.4336990534343612E-3</v>
      </c>
      <c r="BJ138" s="463">
        <f t="shared" si="237"/>
        <v>1.1943957038547429E-2</v>
      </c>
      <c r="BK138" s="463">
        <f t="shared" si="238"/>
        <v>4.3749999999999995E-3</v>
      </c>
      <c r="BL138" s="463">
        <f t="shared" si="239"/>
        <v>1.5044092000000002E-2</v>
      </c>
      <c r="BM138">
        <f t="shared" si="240"/>
        <v>2.6099999999999999E-3</v>
      </c>
      <c r="BN138">
        <f t="shared" si="241"/>
        <v>3.4999999999999999E-6</v>
      </c>
      <c r="BO138" s="463">
        <f t="shared" si="242"/>
        <v>3.7897806386819242E-2</v>
      </c>
      <c r="BP138" s="147">
        <f t="shared" si="243"/>
        <v>37.406748091981797</v>
      </c>
      <c r="BQ138" s="463">
        <f t="shared" si="244"/>
        <v>1.7000263272566773E-2</v>
      </c>
      <c r="BT138" s="147">
        <f t="shared" si="245"/>
        <v>17.000263272566773</v>
      </c>
      <c r="BU138" s="463">
        <f t="shared" si="246"/>
        <v>9.8105687240981759E-3</v>
      </c>
      <c r="BV138" s="463">
        <f t="shared" si="247"/>
        <v>8.2516534981240449E-3</v>
      </c>
      <c r="BW138" s="463">
        <f t="shared" si="248"/>
        <v>0</v>
      </c>
      <c r="BX138" s="463"/>
      <c r="BY138" s="463">
        <f t="shared" si="249"/>
        <v>9.4826666666666688E-3</v>
      </c>
      <c r="BZ138" s="147">
        <f t="shared" si="250"/>
        <v>27.544888888888888</v>
      </c>
      <c r="CA138" s="153">
        <f t="shared" si="251"/>
        <v>8.1951900253437446E-2</v>
      </c>
      <c r="CB138" s="5">
        <f t="shared" si="252"/>
        <v>0.56000000000000005</v>
      </c>
      <c r="CC138" s="153">
        <f t="shared" si="253"/>
        <v>0.87233950048113651</v>
      </c>
      <c r="CD138" s="5">
        <f t="shared" si="254"/>
        <v>87.233950048113655</v>
      </c>
      <c r="CG138" s="59">
        <f t="shared" si="255"/>
        <v>-50</v>
      </c>
      <c r="CH138">
        <f t="shared" si="256"/>
        <v>-50</v>
      </c>
    </row>
    <row r="139" spans="5:86" x14ac:dyDescent="0.25">
      <c r="E139" s="150">
        <v>29</v>
      </c>
      <c r="F139" s="191">
        <f t="shared" si="257"/>
        <v>2.8999999999999998E-2</v>
      </c>
      <c r="G139" s="191"/>
      <c r="H139" s="191">
        <f t="shared" si="201"/>
        <v>0.57999999999999996</v>
      </c>
      <c r="I139" s="472">
        <f t="shared" si="202"/>
        <v>9</v>
      </c>
      <c r="J139" s="386">
        <f t="shared" si="203"/>
        <v>20.32</v>
      </c>
      <c r="K139" s="386">
        <f t="shared" si="204"/>
        <v>29.32</v>
      </c>
      <c r="L139" s="386"/>
      <c r="M139" s="191">
        <f t="shared" si="205"/>
        <v>0.69304229195088674</v>
      </c>
      <c r="N139" s="152">
        <f t="shared" si="206"/>
        <v>2.1177466575716233</v>
      </c>
      <c r="O139" s="152">
        <f t="shared" si="262"/>
        <v>0.57999999999999996</v>
      </c>
      <c r="P139" s="191">
        <f t="shared" si="207"/>
        <v>0.10588733287858117</v>
      </c>
      <c r="Q139" s="191">
        <f t="shared" si="208"/>
        <v>20</v>
      </c>
      <c r="R139" s="191"/>
      <c r="S139" s="152">
        <f t="shared" si="209"/>
        <v>95.771350790361623</v>
      </c>
      <c r="T139" s="152">
        <f t="shared" si="210"/>
        <v>20</v>
      </c>
      <c r="U139" s="191">
        <f t="shared" si="211"/>
        <v>0.20663944784679694</v>
      </c>
      <c r="V139" s="191">
        <f t="shared" si="212"/>
        <v>1.3775963189786464</v>
      </c>
      <c r="W139" s="191">
        <f t="shared" si="213"/>
        <v>0.61015584994132954</v>
      </c>
      <c r="X139" s="175">
        <f t="shared" si="214"/>
        <v>350</v>
      </c>
      <c r="Y139" s="386">
        <f t="shared" si="215"/>
        <v>350</v>
      </c>
      <c r="AA139" s="191">
        <f t="shared" si="216"/>
        <v>0.29701812512180864</v>
      </c>
      <c r="AB139" s="153">
        <f t="shared" si="217"/>
        <v>0.87702202299746645</v>
      </c>
      <c r="AC139" s="153">
        <f t="shared" si="218"/>
        <v>4.5586001468217563E-2</v>
      </c>
      <c r="AD139" s="153"/>
      <c r="AE139" s="153">
        <f t="shared" si="219"/>
        <v>0.44291338582677164</v>
      </c>
      <c r="AF139" s="317">
        <f t="shared" si="220"/>
        <v>873.00740740740753</v>
      </c>
      <c r="AG139" s="463">
        <f t="shared" si="221"/>
        <v>1.1626476377952754E-2</v>
      </c>
      <c r="AI139" s="153">
        <f t="shared" si="222"/>
        <v>0.23690062212224086</v>
      </c>
      <c r="AJ139" s="153">
        <f t="shared" si="223"/>
        <v>0.23690062212224086</v>
      </c>
      <c r="AK139" s="153">
        <f t="shared" si="224"/>
        <v>1.2579337480814938</v>
      </c>
      <c r="AM139" s="317">
        <f t="shared" si="225"/>
        <v>28.999999999999996</v>
      </c>
      <c r="AN139" s="147">
        <f t="shared" si="226"/>
        <v>350</v>
      </c>
      <c r="AP139" s="147">
        <f t="shared" si="227"/>
        <v>28.999999999999996</v>
      </c>
      <c r="AQ139" s="147">
        <f t="shared" si="228"/>
        <v>350</v>
      </c>
      <c r="AS139" s="5">
        <f t="shared" si="263"/>
        <v>2.8571428571428572</v>
      </c>
      <c r="AT139" s="5">
        <f t="shared" si="229"/>
        <v>1.5793374808149392</v>
      </c>
      <c r="AU139" s="5">
        <f t="shared" si="230"/>
        <v>1.277805376327918</v>
      </c>
      <c r="AV139" s="5"/>
      <c r="AW139" s="153">
        <f t="shared" si="231"/>
        <v>0.55276811828522865</v>
      </c>
      <c r="AX139" s="153">
        <f t="shared" si="259"/>
        <v>0.58927999999999991</v>
      </c>
      <c r="AY139" s="153">
        <f t="shared" si="260"/>
        <v>5.2974755505564887E-2</v>
      </c>
      <c r="AZ139" s="153">
        <f t="shared" si="264"/>
        <v>11.123788951477035</v>
      </c>
      <c r="BA139" s="147">
        <f t="shared" si="232"/>
        <v>3.0231480258994696</v>
      </c>
      <c r="BB139" s="147">
        <f t="shared" si="233"/>
        <v>3.9246536918518511</v>
      </c>
      <c r="BC139" s="5">
        <f t="shared" si="258"/>
        <v>9.1497175095085467E-2</v>
      </c>
      <c r="BD139" s="147">
        <f t="shared" si="235"/>
        <v>9.3645323243233651</v>
      </c>
      <c r="BF139" s="153">
        <f t="shared" si="265"/>
        <v>0.10168972365291867</v>
      </c>
      <c r="BG139" s="153">
        <f t="shared" si="261"/>
        <v>9.1468583080173582E-2</v>
      </c>
      <c r="BI139" s="463">
        <f t="shared" si="236"/>
        <v>3.6192799638124383E-3</v>
      </c>
      <c r="BJ139" s="463">
        <f t="shared" si="237"/>
        <v>1.2155370921092179E-2</v>
      </c>
      <c r="BK139" s="463">
        <f t="shared" si="238"/>
        <v>4.3749999999999995E-3</v>
      </c>
      <c r="BL139" s="463">
        <f t="shared" si="239"/>
        <v>1.5044092000000002E-2</v>
      </c>
      <c r="BM139">
        <f t="shared" si="240"/>
        <v>2.6099999999999999E-3</v>
      </c>
      <c r="BN139">
        <f t="shared" si="241"/>
        <v>3.4999999999999999E-6</v>
      </c>
      <c r="BO139" s="463">
        <f t="shared" si="242"/>
        <v>3.8321435092427879E-2</v>
      </c>
      <c r="BP139" s="147">
        <f t="shared" si="243"/>
        <v>37.803742884904622</v>
      </c>
      <c r="BQ139" s="463">
        <f t="shared" si="244"/>
        <v>1.7470007291690688E-2</v>
      </c>
      <c r="BT139" s="147">
        <f t="shared" si="245"/>
        <v>17.470007291690688</v>
      </c>
      <c r="BU139" s="463">
        <f t="shared" si="246"/>
        <v>1.0340799896606967E-2</v>
      </c>
      <c r="BV139" s="463">
        <f t="shared" si="247"/>
        <v>8.3665016906946162E-3</v>
      </c>
      <c r="BW139" s="463">
        <f t="shared" si="248"/>
        <v>0</v>
      </c>
      <c r="BX139" s="463"/>
      <c r="BY139" s="463">
        <f t="shared" si="249"/>
        <v>9.821333333333333E-3</v>
      </c>
      <c r="BZ139" s="147">
        <f t="shared" si="250"/>
        <v>28.528634920634918</v>
      </c>
      <c r="CA139" s="153">
        <f t="shared" si="251"/>
        <v>8.3802385097230217E-2</v>
      </c>
      <c r="CB139" s="5">
        <f t="shared" si="252"/>
        <v>0.57999999999999996</v>
      </c>
      <c r="CC139" s="153">
        <f t="shared" si="253"/>
        <v>0.8737540162876104</v>
      </c>
      <c r="CD139" s="5">
        <f t="shared" si="254"/>
        <v>87.37540162876104</v>
      </c>
      <c r="CG139" s="59">
        <f t="shared" si="255"/>
        <v>-50</v>
      </c>
      <c r="CH139">
        <f t="shared" si="256"/>
        <v>-50</v>
      </c>
    </row>
    <row r="140" spans="5:86" x14ac:dyDescent="0.25">
      <c r="E140" s="150">
        <v>30</v>
      </c>
      <c r="F140" s="191">
        <f t="shared" si="257"/>
        <v>0.03</v>
      </c>
      <c r="G140" s="191"/>
      <c r="H140" s="191">
        <f t="shared" si="201"/>
        <v>0.6</v>
      </c>
      <c r="I140" s="472">
        <f t="shared" si="202"/>
        <v>9</v>
      </c>
      <c r="J140" s="386">
        <f t="shared" si="203"/>
        <v>20.32</v>
      </c>
      <c r="K140" s="386">
        <f t="shared" si="204"/>
        <v>29.32</v>
      </c>
      <c r="L140" s="386"/>
      <c r="M140" s="191">
        <f t="shared" si="205"/>
        <v>0.69304229195088674</v>
      </c>
      <c r="N140" s="152">
        <f t="shared" si="206"/>
        <v>2.1177466575716233</v>
      </c>
      <c r="O140" s="152">
        <f t="shared" si="262"/>
        <v>0.6</v>
      </c>
      <c r="P140" s="191">
        <f t="shared" si="207"/>
        <v>0.10588733287858117</v>
      </c>
      <c r="Q140" s="191">
        <f t="shared" si="208"/>
        <v>20</v>
      </c>
      <c r="R140" s="191"/>
      <c r="S140" s="152">
        <f t="shared" si="209"/>
        <v>92.281101142043454</v>
      </c>
      <c r="T140" s="152">
        <f t="shared" si="210"/>
        <v>20</v>
      </c>
      <c r="U140" s="191">
        <f t="shared" si="211"/>
        <v>0.21376494604841062</v>
      </c>
      <c r="V140" s="191">
        <f t="shared" si="212"/>
        <v>1.4250996403227376</v>
      </c>
      <c r="W140" s="191">
        <f t="shared" si="213"/>
        <v>0.63119570683585813</v>
      </c>
      <c r="X140" s="175">
        <f t="shared" si="214"/>
        <v>350</v>
      </c>
      <c r="Y140" s="386">
        <f t="shared" si="215"/>
        <v>350</v>
      </c>
      <c r="AA140" s="191">
        <f t="shared" si="216"/>
        <v>0.29701812512180864</v>
      </c>
      <c r="AB140" s="153">
        <f t="shared" si="217"/>
        <v>0.87702202299746645</v>
      </c>
      <c r="AC140" s="153">
        <f t="shared" si="218"/>
        <v>4.5586001468217563E-2</v>
      </c>
      <c r="AD140" s="153"/>
      <c r="AE140" s="153">
        <f t="shared" si="219"/>
        <v>0.44291338582677164</v>
      </c>
      <c r="AF140" s="317">
        <f t="shared" si="220"/>
        <v>903.1111111111112</v>
      </c>
      <c r="AG140" s="463">
        <f t="shared" si="221"/>
        <v>1.1626476377952754E-2</v>
      </c>
      <c r="AI140" s="153">
        <f t="shared" si="222"/>
        <v>0.24095049876923447</v>
      </c>
      <c r="AJ140" s="153">
        <f t="shared" si="223"/>
        <v>0.24095049876923447</v>
      </c>
      <c r="AK140" s="153">
        <f t="shared" si="224"/>
        <v>1.2606336658461563</v>
      </c>
      <c r="AM140" s="317">
        <f t="shared" si="225"/>
        <v>30</v>
      </c>
      <c r="AN140" s="147">
        <f t="shared" si="226"/>
        <v>350</v>
      </c>
      <c r="AP140" s="147">
        <f t="shared" si="227"/>
        <v>30</v>
      </c>
      <c r="AQ140" s="147">
        <f t="shared" si="228"/>
        <v>350</v>
      </c>
      <c r="AS140" s="5">
        <f t="shared" si="263"/>
        <v>2.8571428571428572</v>
      </c>
      <c r="AT140" s="5">
        <f t="shared" si="229"/>
        <v>1.606336658461563</v>
      </c>
      <c r="AU140" s="5">
        <f t="shared" si="230"/>
        <v>1.2508061986812942</v>
      </c>
      <c r="AV140" s="5"/>
      <c r="AW140" s="153">
        <f t="shared" si="231"/>
        <v>0.56221783046154705</v>
      </c>
      <c r="AX140" s="153">
        <f t="shared" si="259"/>
        <v>0.60960000000000003</v>
      </c>
      <c r="AY140" s="153">
        <f t="shared" si="260"/>
        <v>5.2741916051283901E-2</v>
      </c>
      <c r="AZ140" s="153">
        <f t="shared" si="264"/>
        <v>11.558169396182953</v>
      </c>
      <c r="BA140" s="147">
        <f t="shared" si="232"/>
        <v>3.0231480258994696</v>
      </c>
      <c r="BB140" s="147">
        <f t="shared" si="233"/>
        <v>4.1968826666666663</v>
      </c>
      <c r="BC140" s="5">
        <f t="shared" si="258"/>
        <v>9.2652311013429189E-2</v>
      </c>
      <c r="BD140" s="147">
        <f t="shared" si="235"/>
        <v>9.4874533235651413</v>
      </c>
      <c r="BF140" s="153">
        <f t="shared" si="265"/>
        <v>0.10430845427535097</v>
      </c>
      <c r="BG140" s="153">
        <f t="shared" si="261"/>
        <v>9.2044159614111123E-2</v>
      </c>
      <c r="BI140" s="463">
        <f t="shared" si="236"/>
        <v>3.8080887716595443E-3</v>
      </c>
      <c r="BJ140" s="463">
        <f t="shared" si="237"/>
        <v>1.2363170091849418E-2</v>
      </c>
      <c r="BK140" s="463">
        <f t="shared" si="238"/>
        <v>4.3749999999999995E-3</v>
      </c>
      <c r="BL140" s="463">
        <f t="shared" si="239"/>
        <v>1.5044092000000002E-2</v>
      </c>
      <c r="BM140">
        <f t="shared" si="240"/>
        <v>2.6099999999999999E-3</v>
      </c>
      <c r="BN140">
        <f t="shared" si="241"/>
        <v>3.4999999999999999E-6</v>
      </c>
      <c r="BO140" s="463">
        <f t="shared" si="242"/>
        <v>3.8745164905244163E-2</v>
      </c>
      <c r="BP140" s="147">
        <f t="shared" si="243"/>
        <v>38.200350863508966</v>
      </c>
      <c r="BQ140" s="463">
        <f t="shared" si="244"/>
        <v>1.7932705271767928E-2</v>
      </c>
      <c r="BT140" s="147">
        <f t="shared" si="245"/>
        <v>17.932705271767929</v>
      </c>
      <c r="BU140" s="463">
        <f t="shared" si="246"/>
        <v>1.0880253633312985E-2</v>
      </c>
      <c r="BV140" s="463">
        <f t="shared" si="247"/>
        <v>8.4721273190679659E-3</v>
      </c>
      <c r="BW140" s="463">
        <f t="shared" si="248"/>
        <v>0</v>
      </c>
      <c r="BX140" s="463"/>
      <c r="BY140" s="463">
        <f t="shared" si="249"/>
        <v>1.0160000000000002E-2</v>
      </c>
      <c r="BZ140" s="147">
        <f t="shared" si="250"/>
        <v>29.512380952380955</v>
      </c>
      <c r="CA140" s="153">
        <f t="shared" si="251"/>
        <v>8.5645437087657844E-2</v>
      </c>
      <c r="CB140" s="5">
        <f t="shared" si="252"/>
        <v>0.6</v>
      </c>
      <c r="CC140" s="153">
        <f t="shared" si="253"/>
        <v>0.87508786253804194</v>
      </c>
      <c r="CD140" s="5">
        <f t="shared" si="254"/>
        <v>87.508786253804189</v>
      </c>
      <c r="CG140" s="59">
        <f t="shared" si="255"/>
        <v>-50</v>
      </c>
      <c r="CH140">
        <f t="shared" si="256"/>
        <v>-50</v>
      </c>
    </row>
    <row r="141" spans="5:86" x14ac:dyDescent="0.25">
      <c r="E141" s="150">
        <v>31</v>
      </c>
      <c r="F141" s="191">
        <f t="shared" si="257"/>
        <v>3.1E-2</v>
      </c>
      <c r="G141" s="191"/>
      <c r="H141" s="191">
        <f t="shared" si="201"/>
        <v>0.62</v>
      </c>
      <c r="I141" s="472">
        <f t="shared" si="202"/>
        <v>9</v>
      </c>
      <c r="J141" s="386">
        <f t="shared" si="203"/>
        <v>20.32</v>
      </c>
      <c r="K141" s="386">
        <f t="shared" si="204"/>
        <v>29.32</v>
      </c>
      <c r="L141" s="386"/>
      <c r="M141" s="191">
        <f t="shared" si="205"/>
        <v>0.69304229195088674</v>
      </c>
      <c r="N141" s="152">
        <f t="shared" si="206"/>
        <v>2.1177466575716233</v>
      </c>
      <c r="O141" s="152">
        <f t="shared" si="262"/>
        <v>0.62</v>
      </c>
      <c r="P141" s="191">
        <f t="shared" si="207"/>
        <v>0.10588733287858117</v>
      </c>
      <c r="Q141" s="191">
        <f t="shared" si="208"/>
        <v>20</v>
      </c>
      <c r="R141" s="191"/>
      <c r="S141" s="152">
        <f t="shared" si="209"/>
        <v>89.01610877213686</v>
      </c>
      <c r="T141" s="152">
        <f t="shared" si="210"/>
        <v>20</v>
      </c>
      <c r="U141" s="191">
        <f t="shared" si="211"/>
        <v>0.22089044425002433</v>
      </c>
      <c r="V141" s="191">
        <f t="shared" si="212"/>
        <v>1.4726029616668288</v>
      </c>
      <c r="W141" s="191">
        <f t="shared" si="213"/>
        <v>0.65223556373038682</v>
      </c>
      <c r="X141" s="175">
        <f t="shared" si="214"/>
        <v>350</v>
      </c>
      <c r="Y141" s="386">
        <f t="shared" si="215"/>
        <v>350</v>
      </c>
      <c r="AA141" s="191">
        <f t="shared" si="216"/>
        <v>0.29701812512180864</v>
      </c>
      <c r="AB141" s="153">
        <f t="shared" si="217"/>
        <v>0.87702202299746645</v>
      </c>
      <c r="AC141" s="153">
        <f t="shared" si="218"/>
        <v>4.5586001468217563E-2</v>
      </c>
      <c r="AD141" s="153"/>
      <c r="AE141" s="153">
        <f t="shared" si="219"/>
        <v>0.44291338582677164</v>
      </c>
      <c r="AF141" s="317">
        <f t="shared" si="220"/>
        <v>933.21481481481499</v>
      </c>
      <c r="AG141" s="463">
        <f t="shared" si="221"/>
        <v>1.1626476377952754E-2</v>
      </c>
      <c r="AI141" s="153">
        <f t="shared" si="222"/>
        <v>0.24493342146873495</v>
      </c>
      <c r="AJ141" s="153">
        <f t="shared" si="223"/>
        <v>0.24493342146873495</v>
      </c>
      <c r="AK141" s="153">
        <f t="shared" si="224"/>
        <v>1.2632889476458233</v>
      </c>
      <c r="AM141" s="317">
        <f t="shared" si="225"/>
        <v>31</v>
      </c>
      <c r="AN141" s="147">
        <f t="shared" si="226"/>
        <v>350</v>
      </c>
      <c r="AP141" s="147">
        <f t="shared" si="227"/>
        <v>31</v>
      </c>
      <c r="AQ141" s="147">
        <f t="shared" si="228"/>
        <v>350</v>
      </c>
      <c r="AS141" s="5">
        <f t="shared" si="263"/>
        <v>2.8571428571428572</v>
      </c>
      <c r="AT141" s="5">
        <f t="shared" si="229"/>
        <v>1.6328894764582331</v>
      </c>
      <c r="AU141" s="5">
        <f t="shared" si="230"/>
        <v>1.2242533806846241</v>
      </c>
      <c r="AV141" s="5"/>
      <c r="AW141" s="153">
        <f t="shared" si="231"/>
        <v>0.57151131676038158</v>
      </c>
      <c r="AX141" s="153">
        <f t="shared" si="259"/>
        <v>0.62991999999999992</v>
      </c>
      <c r="AY141" s="153">
        <f t="shared" si="260"/>
        <v>5.2475599623256361E-2</v>
      </c>
      <c r="AZ141" s="153">
        <f t="shared" si="264"/>
        <v>12.004055304226181</v>
      </c>
      <c r="BA141" s="147">
        <f t="shared" si="232"/>
        <v>3.0231480258994696</v>
      </c>
      <c r="BB141" s="147">
        <f t="shared" si="233"/>
        <v>4.4782380474074071</v>
      </c>
      <c r="BC141" s="5">
        <f t="shared" si="258"/>
        <v>9.3708283459810734E-2</v>
      </c>
      <c r="BD141" s="147">
        <f t="shared" si="235"/>
        <v>9.6004579756107038</v>
      </c>
      <c r="BF141" s="153">
        <f t="shared" si="265"/>
        <v>0.10690544830781649</v>
      </c>
      <c r="BG141" s="153">
        <f t="shared" si="261"/>
        <v>9.2567194186521026E-2</v>
      </c>
      <c r="BI141" s="463">
        <f t="shared" si="236"/>
        <v>4.000071207263328E-3</v>
      </c>
      <c r="BJ141" s="463">
        <f t="shared" si="237"/>
        <v>1.2567533855560793E-2</v>
      </c>
      <c r="BK141" s="463">
        <f t="shared" si="238"/>
        <v>4.3749999999999995E-3</v>
      </c>
      <c r="BL141" s="463">
        <f t="shared" si="239"/>
        <v>1.5044092000000002E-2</v>
      </c>
      <c r="BM141">
        <f t="shared" si="240"/>
        <v>2.6099999999999999E-3</v>
      </c>
      <c r="BN141">
        <f t="shared" si="241"/>
        <v>3.4999999999999999E-6</v>
      </c>
      <c r="BO141" s="463">
        <f t="shared" si="242"/>
        <v>3.9169113996527748E-2</v>
      </c>
      <c r="BP141" s="147">
        <f t="shared" si="243"/>
        <v>38.59669706282412</v>
      </c>
      <c r="BQ141" s="463">
        <f t="shared" si="244"/>
        <v>1.8388475675827732E-2</v>
      </c>
      <c r="BT141" s="147">
        <f t="shared" si="245"/>
        <v>18.388475675827731</v>
      </c>
      <c r="BU141" s="463">
        <f t="shared" si="246"/>
        <v>1.1428774877895224E-2</v>
      </c>
      <c r="BV141" s="463">
        <f t="shared" si="247"/>
        <v>8.5686854395650922E-3</v>
      </c>
      <c r="BW141" s="463">
        <f t="shared" si="248"/>
        <v>0</v>
      </c>
      <c r="BX141" s="463"/>
      <c r="BY141" s="463">
        <f t="shared" si="249"/>
        <v>1.0498666666666668E-2</v>
      </c>
      <c r="BZ141" s="147">
        <f t="shared" si="250"/>
        <v>30.496126984126988</v>
      </c>
      <c r="CA141" s="153">
        <f t="shared" si="251"/>
        <v>8.7481299722778835E-2</v>
      </c>
      <c r="CB141" s="5">
        <f t="shared" si="252"/>
        <v>0.62</v>
      </c>
      <c r="CC141" s="153">
        <f t="shared" si="253"/>
        <v>0.87634825152684925</v>
      </c>
      <c r="CD141" s="5">
        <f t="shared" si="254"/>
        <v>87.634825152684925</v>
      </c>
      <c r="CG141" s="59">
        <f t="shared" si="255"/>
        <v>-50</v>
      </c>
      <c r="CH141">
        <f t="shared" si="256"/>
        <v>-50</v>
      </c>
    </row>
    <row r="142" spans="5:86" x14ac:dyDescent="0.25">
      <c r="E142" s="150">
        <v>32</v>
      </c>
      <c r="F142" s="191">
        <f t="shared" si="257"/>
        <v>3.2000000000000001E-2</v>
      </c>
      <c r="G142" s="191"/>
      <c r="H142" s="191">
        <f t="shared" ref="H142:H173" si="266">F142*Vout</f>
        <v>0.64</v>
      </c>
      <c r="I142" s="472">
        <f t="shared" ref="I142:I173" si="267">VIN_min</f>
        <v>9</v>
      </c>
      <c r="J142" s="386">
        <f t="shared" ref="J142:J173" si="268">(T142+Vfwd1)*Nps</f>
        <v>20.32</v>
      </c>
      <c r="K142" s="386">
        <f t="shared" ref="K142:K173" si="269">(Vout+Vfwd1)*Nps+I142</f>
        <v>29.32</v>
      </c>
      <c r="L142" s="386"/>
      <c r="M142" s="191">
        <f t="shared" ref="M142:M173" si="270">(Vout+Vfwd1)*Nps/((Vout+Vfwd1)*Nps+I142)</f>
        <v>0.69304229195088674</v>
      </c>
      <c r="N142" s="152">
        <f t="shared" ref="N142:N173" si="271">M142*I142*(Isw_max+VIN_min/Lmag*ILIM_delay)*0.5*Efficiency</f>
        <v>2.1177466575716233</v>
      </c>
      <c r="O142" s="152">
        <f t="shared" si="262"/>
        <v>0.64</v>
      </c>
      <c r="P142" s="191">
        <f t="shared" ref="P142:P173" si="272">N142/Vout</f>
        <v>0.10588733287858117</v>
      </c>
      <c r="Q142" s="191">
        <f t="shared" ref="Q142:Q173" si="273">MIN(Vout,N142/F142)</f>
        <v>20</v>
      </c>
      <c r="R142" s="191"/>
      <c r="S142" s="152">
        <f t="shared" ref="S142:S173" si="274">(SQRT(Isw_max^2*Nps^2*I142^2+4*Isw_max*F142/Efficiency*(Nps^2*Vfwd1*I142-Nps*I142^2)+4*(F142/Efficiency)^2*Nps^2*Vfwd1^2+8*(F142/Efficiency)^2*Nps*Vfwd1*I142+4*(F142/Efficiency)^2*I142^2)-2*F142/Efficiency*I142-2*F142/Efficiency*Nps*Vfwd1+Isw_max*Nps*I142)/(4*F142/Efficiency*Nps)</f>
        <v>85.955256529257156</v>
      </c>
      <c r="T142" s="152">
        <f t="shared" ref="T142:T173" si="275">MIN(Vout, S142)</f>
        <v>20</v>
      </c>
      <c r="U142" s="191">
        <f t="shared" ref="U142:U173" si="276">MIN(2*Vout*F142/(Efficiency*I142*M142), Isw_max)</f>
        <v>0.228015942451638</v>
      </c>
      <c r="V142" s="191">
        <f t="shared" ref="V142:V173" si="277">L*U142/I142*1000000</f>
        <v>1.52010628301092</v>
      </c>
      <c r="W142" s="191">
        <f t="shared" ref="W142:W173" si="278">L*U142/J142*1000000</f>
        <v>0.6732754206249153</v>
      </c>
      <c r="X142" s="175">
        <f t="shared" ref="X142:X173" si="279">IF(1/((350000*L)*(1/I142+1/J142))&gt;Isw_min, 350, 0.001/((Isw_min*L)*(1/I142+1/J142)))</f>
        <v>350</v>
      </c>
      <c r="Y142" s="386">
        <f t="shared" si="215"/>
        <v>350</v>
      </c>
      <c r="AA142" s="191">
        <f t="shared" ref="AA142:AA173" si="280">1/((X142*1000*L)*(1/I142+1/J142))</f>
        <v>0.29701812512180864</v>
      </c>
      <c r="AB142" s="153">
        <f t="shared" ref="AB142:AB173" si="281">L*AA142/J142*1000000</f>
        <v>0.87702202299746645</v>
      </c>
      <c r="AC142" s="153">
        <f t="shared" ref="AC142:AC173" si="282">0.5*AB142*AA142*Nps*X142/1000</f>
        <v>4.5586001468217563E-2</v>
      </c>
      <c r="AD142" s="153"/>
      <c r="AE142" s="153">
        <f t="shared" ref="AE142:AE173" si="283">L*Isw_min/J142*1000000</f>
        <v>0.44291338582677164</v>
      </c>
      <c r="AF142" s="317">
        <f t="shared" ref="AF142:AF173" si="284">MAX(12000,F142/(0.5*AE142/1000000*Isw_min*Nps))/1000</f>
        <v>963.31851851851866</v>
      </c>
      <c r="AG142" s="463">
        <f t="shared" ref="AG142:AG173" si="285">0.5*AE142/1000000*Isw_min*Nps*X142*1000</f>
        <v>1.1626476377952754E-2</v>
      </c>
      <c r="AI142" s="153">
        <f t="shared" ref="AI142:AI173" si="286">SQRT(F142/(0.5*L/J142*Fsw_DCM*Nps))</f>
        <v>0.24885260506496421</v>
      </c>
      <c r="AJ142" s="153">
        <f t="shared" ref="AJ142:AJ173" si="287">MAX(IF(F142&gt;AC142,U142,AI142),Isw_min)</f>
        <v>0.24885260506496421</v>
      </c>
      <c r="AK142" s="153">
        <f t="shared" ref="AK142:AK173" si="288">IF(F142&gt;AG142, (AJ142-Isw_min)/1.2*0.8+1.2, AF142*0.2/350+1)</f>
        <v>1.2659017367099761</v>
      </c>
      <c r="AM142" s="317">
        <f t="shared" ref="AM142:AM173" si="289">F142*1000</f>
        <v>32</v>
      </c>
      <c r="AN142" s="147">
        <f t="shared" ref="AN142:AN173" si="290">IF(F142&gt;AG142, Y142, AF142)</f>
        <v>350</v>
      </c>
      <c r="AP142" s="147">
        <f t="shared" ref="AP142:AP173" si="291">IF(H142&gt;N142, "",AM142)</f>
        <v>32</v>
      </c>
      <c r="AQ142" s="147">
        <f t="shared" ref="AQ142:AQ173" si="292">IF(H142&gt;N142, "",AN142)</f>
        <v>350</v>
      </c>
      <c r="AS142" s="5">
        <f t="shared" si="263"/>
        <v>2.8571428571428572</v>
      </c>
      <c r="AT142" s="5">
        <f t="shared" ref="AT142:AT173" si="293">L*AJ142/I142*1000000</f>
        <v>1.6590173670997614</v>
      </c>
      <c r="AU142" s="5">
        <f t="shared" si="230"/>
        <v>1.1981254900430958</v>
      </c>
      <c r="AV142" s="5"/>
      <c r="AW142" s="153">
        <f t="shared" si="231"/>
        <v>0.58065607848491652</v>
      </c>
      <c r="AX142" s="153">
        <f t="shared" si="259"/>
        <v>0.65024000000000004</v>
      </c>
      <c r="AY142" s="153">
        <f t="shared" si="260"/>
        <v>5.2177413643593205E-2</v>
      </c>
      <c r="AZ142" s="153">
        <f t="shared" si="264"/>
        <v>12.462097190971868</v>
      </c>
      <c r="BA142" s="147">
        <f t="shared" ref="BA142:BA173" si="294">L*Isw_max^2/(2*Vout_ripple*Vout)*1000000000*((1+M142)/2)^2</f>
        <v>3.0231480258994696</v>
      </c>
      <c r="BB142" s="147">
        <f t="shared" ref="BB142:BB173" si="295">L*F142^2/(2*Cout*Vout*Nps^2)*1000000000*((1+M142)/(1-M142))^2+F142*RCoutEsr</f>
        <v>4.7687198340740728</v>
      </c>
      <c r="BC142" s="5">
        <f t="shared" si="258"/>
        <v>9.4666705386121139E-2</v>
      </c>
      <c r="BD142" s="147">
        <f t="shared" ref="BD142:BD173" si="296">((CB142/I142/Efficiency)*AU142/Cin+(CB142/I142/Efficiency)*RCinEsr)*1000</f>
        <v>9.7037075756491511</v>
      </c>
      <c r="BF142" s="153">
        <f t="shared" si="265"/>
        <v>0.10948157900776169</v>
      </c>
      <c r="BG142" s="153">
        <f t="shared" si="261"/>
        <v>9.3039365542263441E-2</v>
      </c>
      <c r="BI142" s="463">
        <f t="shared" si="236"/>
        <v>4.1951756497114676E-3</v>
      </c>
      <c r="BJ142" s="463">
        <f t="shared" si="237"/>
        <v>1.2768627165883317E-2</v>
      </c>
      <c r="BK142" s="463">
        <f t="shared" si="238"/>
        <v>4.3749999999999995E-3</v>
      </c>
      <c r="BL142" s="463">
        <f t="shared" si="239"/>
        <v>1.5044092000000002E-2</v>
      </c>
      <c r="BM142">
        <f t="shared" si="240"/>
        <v>2.6099999999999999E-3</v>
      </c>
      <c r="BN142">
        <f t="shared" ref="BN142:BN173" si="297">(I142-Vdd)*Qg*AN142</f>
        <v>3.4999999999999999E-6</v>
      </c>
      <c r="BO142" s="463">
        <f t="shared" ref="BO142:BO173" si="298">(BJ142+BK142+BL142+BM142+BN142+BI142*(1+RdsonTC*(Ta-25)))/(1-BI142*RdsonTC*ThetaJA)</f>
        <v>3.9593389203816012E-2</v>
      </c>
      <c r="BP142" s="147">
        <f t="shared" si="243"/>
        <v>38.992894815594788</v>
      </c>
      <c r="BQ142" s="463">
        <f t="shared" ref="BQ142:BQ173" si="299">(Vfwd2*F142+BG142^2*Rdiode)*(1+Diode_TC/1000*(Ta-25))</f>
        <v>1.8837431184947288E-2</v>
      </c>
      <c r="BT142" s="147">
        <f t="shared" si="245"/>
        <v>18.837431184947288</v>
      </c>
      <c r="BU142" s="463">
        <f t="shared" si="246"/>
        <v>1.1986216142032765E-2</v>
      </c>
      <c r="BV142" s="463">
        <f t="shared" si="247"/>
        <v>8.6563235405069175E-3</v>
      </c>
      <c r="BW142" s="463">
        <f t="shared" si="248"/>
        <v>0</v>
      </c>
      <c r="BX142" s="463"/>
      <c r="BY142" s="463">
        <f t="shared" si="249"/>
        <v>1.0837333333333336E-2</v>
      </c>
      <c r="BZ142" s="147">
        <f t="shared" si="250"/>
        <v>31.479873015873018</v>
      </c>
      <c r="CA142" s="153">
        <f t="shared" si="251"/>
        <v>8.9310199016415098E-2</v>
      </c>
      <c r="CB142" s="5">
        <f t="shared" si="252"/>
        <v>0.64</v>
      </c>
      <c r="CC142" s="153">
        <f t="shared" si="253"/>
        <v>0.87754154660545891</v>
      </c>
      <c r="CD142" s="5">
        <f t="shared" si="254"/>
        <v>87.754154660545893</v>
      </c>
      <c r="CG142" s="59">
        <f t="shared" ref="CG142:CG173" si="300">IF(ABS(F142-Ioutmax_Vinmin)&lt;Iout/200, AN142, -50)</f>
        <v>-50</v>
      </c>
      <c r="CH142">
        <f t="shared" ref="CH142:CH173" si="301">IF(ABS(F142-Ioutmax_Vinmin)&lt;Iout/200, N142*CC142, -50)</f>
        <v>-50</v>
      </c>
    </row>
    <row r="143" spans="5:86" x14ac:dyDescent="0.25">
      <c r="E143" s="150">
        <v>33</v>
      </c>
      <c r="F143" s="191">
        <f t="shared" ref="F143:F174" si="302">IF(PLOT_TYPE=1, E143/100*Iout_max, min_I*EXP(N143*rr/100))</f>
        <v>3.3000000000000002E-2</v>
      </c>
      <c r="G143" s="191"/>
      <c r="H143" s="191">
        <f t="shared" si="266"/>
        <v>0.66</v>
      </c>
      <c r="I143" s="472">
        <f t="shared" si="267"/>
        <v>9</v>
      </c>
      <c r="J143" s="386">
        <f t="shared" si="268"/>
        <v>20.32</v>
      </c>
      <c r="K143" s="386">
        <f t="shared" si="269"/>
        <v>29.32</v>
      </c>
      <c r="L143" s="386"/>
      <c r="M143" s="191">
        <f t="shared" si="270"/>
        <v>0.69304229195088674</v>
      </c>
      <c r="N143" s="152">
        <f t="shared" si="271"/>
        <v>2.1177466575716233</v>
      </c>
      <c r="O143" s="152">
        <f t="shared" si="262"/>
        <v>0.66</v>
      </c>
      <c r="P143" s="191">
        <f t="shared" si="272"/>
        <v>0.10588733287858117</v>
      </c>
      <c r="Q143" s="191">
        <f t="shared" si="273"/>
        <v>20</v>
      </c>
      <c r="R143" s="191"/>
      <c r="S143" s="152">
        <f t="shared" si="274"/>
        <v>83.079986924969077</v>
      </c>
      <c r="T143" s="152">
        <f t="shared" si="275"/>
        <v>20</v>
      </c>
      <c r="U143" s="191">
        <f t="shared" si="276"/>
        <v>0.23514144065325171</v>
      </c>
      <c r="V143" s="191">
        <f t="shared" si="277"/>
        <v>1.5676096043550116</v>
      </c>
      <c r="W143" s="191">
        <f t="shared" si="278"/>
        <v>0.694315277519444</v>
      </c>
      <c r="X143" s="175">
        <f t="shared" si="279"/>
        <v>350</v>
      </c>
      <c r="Y143" s="386">
        <f t="shared" si="215"/>
        <v>350</v>
      </c>
      <c r="AA143" s="191">
        <f t="shared" si="280"/>
        <v>0.29701812512180864</v>
      </c>
      <c r="AB143" s="153">
        <f t="shared" si="281"/>
        <v>0.87702202299746645</v>
      </c>
      <c r="AC143" s="153">
        <f t="shared" si="282"/>
        <v>4.5586001468217563E-2</v>
      </c>
      <c r="AD143" s="153"/>
      <c r="AE143" s="153">
        <f t="shared" si="283"/>
        <v>0.44291338582677164</v>
      </c>
      <c r="AF143" s="317">
        <f t="shared" si="284"/>
        <v>993.42222222222233</v>
      </c>
      <c r="AG143" s="463">
        <f t="shared" si="285"/>
        <v>1.1626476377952754E-2</v>
      </c>
      <c r="AI143" s="153">
        <f t="shared" si="286"/>
        <v>0.25271101508018434</v>
      </c>
      <c r="AJ143" s="153">
        <f t="shared" si="287"/>
        <v>0.25271101508018434</v>
      </c>
      <c r="AK143" s="153">
        <f t="shared" si="288"/>
        <v>1.2684740100534562</v>
      </c>
      <c r="AM143" s="317">
        <f t="shared" si="289"/>
        <v>33</v>
      </c>
      <c r="AN143" s="147">
        <f t="shared" si="290"/>
        <v>350</v>
      </c>
      <c r="AP143" s="147">
        <f t="shared" si="291"/>
        <v>33</v>
      </c>
      <c r="AQ143" s="147">
        <f t="shared" si="292"/>
        <v>350</v>
      </c>
      <c r="AS143" s="5">
        <f t="shared" si="263"/>
        <v>2.8571428571428572</v>
      </c>
      <c r="AT143" s="5">
        <f t="shared" si="293"/>
        <v>1.6847401005345621</v>
      </c>
      <c r="AU143" s="5">
        <f t="shared" si="230"/>
        <v>1.1724027566082951</v>
      </c>
      <c r="AV143" s="5"/>
      <c r="AW143" s="153">
        <f t="shared" si="231"/>
        <v>0.58965903518709673</v>
      </c>
      <c r="AX143" s="153">
        <f t="shared" si="259"/>
        <v>0.67056000000000004</v>
      </c>
      <c r="AY143" s="153">
        <f t="shared" si="260"/>
        <v>5.1848840873425499E-2</v>
      </c>
      <c r="AZ143" s="153">
        <f t="shared" si="264"/>
        <v>12.932979574933709</v>
      </c>
      <c r="BA143" s="147">
        <f t="shared" si="294"/>
        <v>3.0231480258994696</v>
      </c>
      <c r="BB143" s="147">
        <f t="shared" si="295"/>
        <v>5.0683280266666673</v>
      </c>
      <c r="BC143" s="5">
        <f t="shared" si="258"/>
        <v>9.5529113501416643E-2</v>
      </c>
      <c r="BD143" s="147">
        <f t="shared" si="296"/>
        <v>9.7973557945861085</v>
      </c>
      <c r="BF143" s="153">
        <f t="shared" si="265"/>
        <v>0.11203765844147902</v>
      </c>
      <c r="BG143" s="153">
        <f t="shared" si="261"/>
        <v>9.3462196307221135E-2</v>
      </c>
      <c r="BI143" s="463">
        <f t="shared" si="236"/>
        <v>4.39335291816733E-3</v>
      </c>
      <c r="BJ143" s="463">
        <f t="shared" si="237"/>
        <v>1.296660218376426E-2</v>
      </c>
      <c r="BK143" s="463">
        <f t="shared" si="238"/>
        <v>4.3749999999999995E-3</v>
      </c>
      <c r="BL143" s="463">
        <f t="shared" si="239"/>
        <v>1.5044092000000002E-2</v>
      </c>
      <c r="BM143">
        <f t="shared" si="240"/>
        <v>2.6099999999999999E-3</v>
      </c>
      <c r="BN143">
        <f t="shared" si="297"/>
        <v>3.4999999999999999E-6</v>
      </c>
      <c r="BO143" s="463">
        <f t="shared" si="298"/>
        <v>4.0018087351550158E-2</v>
      </c>
      <c r="BP143" s="147">
        <f t="shared" si="243"/>
        <v>39.389047101931595</v>
      </c>
      <c r="BQ143" s="463">
        <f t="shared" si="299"/>
        <v>1.9279679153867132E-2</v>
      </c>
      <c r="BT143" s="147">
        <f t="shared" si="245"/>
        <v>19.279679153867132</v>
      </c>
      <c r="BU143" s="463">
        <f t="shared" si="246"/>
        <v>1.2552436909049515E-2</v>
      </c>
      <c r="BV143" s="463">
        <f t="shared" si="247"/>
        <v>8.7351821385695406E-3</v>
      </c>
      <c r="BW143" s="463">
        <f t="shared" si="248"/>
        <v>0</v>
      </c>
      <c r="BX143" s="463"/>
      <c r="BY143" s="463">
        <f t="shared" si="249"/>
        <v>1.1176000000000004E-2</v>
      </c>
      <c r="BZ143" s="147">
        <f t="shared" si="250"/>
        <v>32.463619047619062</v>
      </c>
      <c r="CA143" s="153">
        <f t="shared" si="251"/>
        <v>9.1132345303417794E-2</v>
      </c>
      <c r="CB143" s="5">
        <f t="shared" si="252"/>
        <v>0.66</v>
      </c>
      <c r="CC143" s="153">
        <f t="shared" si="253"/>
        <v>0.87867338442654197</v>
      </c>
      <c r="CD143" s="5">
        <f t="shared" si="254"/>
        <v>87.867338442654201</v>
      </c>
      <c r="CG143" s="59">
        <f t="shared" si="300"/>
        <v>-50</v>
      </c>
      <c r="CH143">
        <f t="shared" si="301"/>
        <v>-50</v>
      </c>
    </row>
    <row r="144" spans="5:86" x14ac:dyDescent="0.25">
      <c r="E144" s="150">
        <v>34</v>
      </c>
      <c r="F144" s="191">
        <f t="shared" si="302"/>
        <v>3.4000000000000002E-2</v>
      </c>
      <c r="G144" s="191"/>
      <c r="H144" s="191">
        <f t="shared" si="266"/>
        <v>0.68</v>
      </c>
      <c r="I144" s="472">
        <f t="shared" si="267"/>
        <v>9</v>
      </c>
      <c r="J144" s="386">
        <f t="shared" si="268"/>
        <v>20.32</v>
      </c>
      <c r="K144" s="386">
        <f t="shared" si="269"/>
        <v>29.32</v>
      </c>
      <c r="L144" s="386"/>
      <c r="M144" s="191">
        <f t="shared" si="270"/>
        <v>0.69304229195088674</v>
      </c>
      <c r="N144" s="152">
        <f t="shared" si="271"/>
        <v>2.1177466575716233</v>
      </c>
      <c r="O144" s="152">
        <f t="shared" si="262"/>
        <v>0.68</v>
      </c>
      <c r="P144" s="191">
        <f t="shared" si="272"/>
        <v>0.10588733287858117</v>
      </c>
      <c r="Q144" s="191">
        <f t="shared" si="273"/>
        <v>20</v>
      </c>
      <c r="R144" s="191"/>
      <c r="S144" s="152">
        <f t="shared" si="274"/>
        <v>80.373925712876641</v>
      </c>
      <c r="T144" s="152">
        <f t="shared" si="275"/>
        <v>20</v>
      </c>
      <c r="U144" s="191">
        <f t="shared" si="276"/>
        <v>0.24226693885486539</v>
      </c>
      <c r="V144" s="191">
        <f t="shared" si="277"/>
        <v>1.6151129256991026</v>
      </c>
      <c r="W144" s="191">
        <f t="shared" si="278"/>
        <v>0.71535513441397269</v>
      </c>
      <c r="X144" s="175">
        <f t="shared" si="279"/>
        <v>350</v>
      </c>
      <c r="Y144" s="386">
        <f t="shared" si="215"/>
        <v>350</v>
      </c>
      <c r="AA144" s="191">
        <f t="shared" si="280"/>
        <v>0.29701812512180864</v>
      </c>
      <c r="AB144" s="153">
        <f t="shared" si="281"/>
        <v>0.87702202299746645</v>
      </c>
      <c r="AC144" s="153">
        <f t="shared" si="282"/>
        <v>4.5586001468217563E-2</v>
      </c>
      <c r="AD144" s="153"/>
      <c r="AE144" s="153">
        <f t="shared" si="283"/>
        <v>0.44291338582677164</v>
      </c>
      <c r="AF144" s="317">
        <f t="shared" si="284"/>
        <v>1023.5259259259262</v>
      </c>
      <c r="AG144" s="463">
        <f t="shared" si="285"/>
        <v>1.1626476377952754E-2</v>
      </c>
      <c r="AI144" s="153">
        <f t="shared" si="286"/>
        <v>0.25651139397324096</v>
      </c>
      <c r="AJ144" s="153">
        <f t="shared" si="287"/>
        <v>0.25651139397324096</v>
      </c>
      <c r="AK144" s="153">
        <f t="shared" si="288"/>
        <v>1.2710075959821605</v>
      </c>
      <c r="AM144" s="317">
        <f t="shared" si="289"/>
        <v>34</v>
      </c>
      <c r="AN144" s="147">
        <f t="shared" si="290"/>
        <v>350</v>
      </c>
      <c r="AP144" s="147">
        <f t="shared" si="291"/>
        <v>34</v>
      </c>
      <c r="AQ144" s="147">
        <f t="shared" si="292"/>
        <v>350</v>
      </c>
      <c r="AS144" s="5">
        <f t="shared" si="263"/>
        <v>2.8571428571428572</v>
      </c>
      <c r="AT144" s="5">
        <f t="shared" si="293"/>
        <v>1.7100759598216067</v>
      </c>
      <c r="AU144" s="5">
        <f t="shared" si="230"/>
        <v>1.1470668973212506</v>
      </c>
      <c r="AV144" s="5"/>
      <c r="AW144" s="153">
        <f t="shared" si="231"/>
        <v>0.59852658593756236</v>
      </c>
      <c r="AX144" s="153">
        <f t="shared" si="259"/>
        <v>0.69088000000000005</v>
      </c>
      <c r="AY144" s="153">
        <f t="shared" si="260"/>
        <v>5.1491252542176021E-2</v>
      </c>
      <c r="AZ144" s="153">
        <f t="shared" si="264"/>
        <v>13.417424628272666</v>
      </c>
      <c r="BA144" s="147">
        <f t="shared" si="294"/>
        <v>3.0231480258994696</v>
      </c>
      <c r="BB144" s="147">
        <f t="shared" si="295"/>
        <v>5.3770626251851859</v>
      </c>
      <c r="BC144" s="5">
        <f t="shared" si="258"/>
        <v>9.6296974096104992E-2</v>
      </c>
      <c r="BD144" s="147">
        <f t="shared" si="296"/>
        <v>9.8815492614623519</v>
      </c>
      <c r="BF144" s="153">
        <f t="shared" si="265"/>
        <v>0.11457444349134135</v>
      </c>
      <c r="BG144" s="153">
        <f t="shared" si="261"/>
        <v>9.3837067896156257E-2</v>
      </c>
      <c r="BI144" s="463">
        <f t="shared" si="236"/>
        <v>4.5945560854727006E-3</v>
      </c>
      <c r="BJ144" s="463">
        <f t="shared" si="237"/>
        <v>1.3161599624766995E-2</v>
      </c>
      <c r="BK144" s="463">
        <f t="shared" si="238"/>
        <v>4.3749999999999995E-3</v>
      </c>
      <c r="BL144" s="463">
        <f t="shared" si="239"/>
        <v>1.5044092000000002E-2</v>
      </c>
      <c r="BM144">
        <f t="shared" si="240"/>
        <v>2.6099999999999999E-3</v>
      </c>
      <c r="BN144">
        <f t="shared" si="297"/>
        <v>3.4999999999999999E-6</v>
      </c>
      <c r="BO144" s="463">
        <f t="shared" si="298"/>
        <v>4.0443296386084293E-2</v>
      </c>
      <c r="BP144" s="147">
        <f t="shared" si="243"/>
        <v>39.785247710239695</v>
      </c>
      <c r="BQ144" s="463">
        <f t="shared" si="299"/>
        <v>1.9715322017869751E-2</v>
      </c>
      <c r="BT144" s="147">
        <f t="shared" si="245"/>
        <v>19.715322017869752</v>
      </c>
      <c r="BU144" s="463">
        <f t="shared" si="246"/>
        <v>1.3127303101350574E-2</v>
      </c>
      <c r="BV144" s="463">
        <f t="shared" si="247"/>
        <v>8.8053953113478387E-3</v>
      </c>
      <c r="BW144" s="463">
        <f t="shared" si="248"/>
        <v>0</v>
      </c>
      <c r="BX144" s="463"/>
      <c r="BY144" s="463">
        <f t="shared" si="249"/>
        <v>1.1514666666666668E-2</v>
      </c>
      <c r="BZ144" s="147">
        <f t="shared" si="250"/>
        <v>33.447365079365078</v>
      </c>
      <c r="CA144" s="153">
        <f t="shared" si="251"/>
        <v>9.2947934807474542E-2</v>
      </c>
      <c r="CB144" s="5">
        <f t="shared" si="252"/>
        <v>0.68</v>
      </c>
      <c r="CC144" s="153">
        <f t="shared" si="253"/>
        <v>0.87974877657105588</v>
      </c>
      <c r="CD144" s="5">
        <f t="shared" si="254"/>
        <v>87.974877657105594</v>
      </c>
      <c r="CG144" s="59">
        <f t="shared" si="300"/>
        <v>-50</v>
      </c>
      <c r="CH144">
        <f t="shared" si="301"/>
        <v>-50</v>
      </c>
    </row>
    <row r="145" spans="5:86" x14ac:dyDescent="0.25">
      <c r="E145" s="150">
        <v>35</v>
      </c>
      <c r="F145" s="191">
        <f t="shared" si="302"/>
        <v>3.4999999999999996E-2</v>
      </c>
      <c r="G145" s="191"/>
      <c r="H145" s="191">
        <f t="shared" si="266"/>
        <v>0.7</v>
      </c>
      <c r="I145" s="472">
        <f t="shared" si="267"/>
        <v>9</v>
      </c>
      <c r="J145" s="386">
        <f t="shared" si="268"/>
        <v>20.32</v>
      </c>
      <c r="K145" s="386">
        <f t="shared" si="269"/>
        <v>29.32</v>
      </c>
      <c r="L145" s="386"/>
      <c r="M145" s="191">
        <f t="shared" si="270"/>
        <v>0.69304229195088674</v>
      </c>
      <c r="N145" s="152">
        <f t="shared" si="271"/>
        <v>2.1177466575716233</v>
      </c>
      <c r="O145" s="152">
        <f t="shared" si="262"/>
        <v>0.7</v>
      </c>
      <c r="P145" s="191">
        <f t="shared" si="272"/>
        <v>0.10588733287858117</v>
      </c>
      <c r="Q145" s="191">
        <f t="shared" si="273"/>
        <v>20</v>
      </c>
      <c r="R145" s="191"/>
      <c r="S145" s="152">
        <f t="shared" si="274"/>
        <v>77.822569997013659</v>
      </c>
      <c r="T145" s="152">
        <f t="shared" si="275"/>
        <v>20</v>
      </c>
      <c r="U145" s="191">
        <f t="shared" si="276"/>
        <v>0.24939243705647907</v>
      </c>
      <c r="V145" s="191">
        <f t="shared" si="277"/>
        <v>1.6626162470431938</v>
      </c>
      <c r="W145" s="191">
        <f t="shared" si="278"/>
        <v>0.73639499130850117</v>
      </c>
      <c r="X145" s="175">
        <f t="shared" si="279"/>
        <v>350</v>
      </c>
      <c r="Y145" s="386">
        <f t="shared" si="215"/>
        <v>350</v>
      </c>
      <c r="AA145" s="191">
        <f t="shared" si="280"/>
        <v>0.29701812512180864</v>
      </c>
      <c r="AB145" s="153">
        <f t="shared" si="281"/>
        <v>0.87702202299746645</v>
      </c>
      <c r="AC145" s="153">
        <f t="shared" si="282"/>
        <v>4.5586001468217563E-2</v>
      </c>
      <c r="AD145" s="153"/>
      <c r="AE145" s="153">
        <f t="shared" si="283"/>
        <v>0.44291338582677164</v>
      </c>
      <c r="AF145" s="317">
        <f t="shared" si="284"/>
        <v>1053.6296296296296</v>
      </c>
      <c r="AG145" s="463">
        <f t="shared" si="285"/>
        <v>1.1626476377952754E-2</v>
      </c>
      <c r="AI145" s="153">
        <f t="shared" si="286"/>
        <v>0.26025628394590844</v>
      </c>
      <c r="AJ145" s="153">
        <f t="shared" si="287"/>
        <v>0.26025628394590844</v>
      </c>
      <c r="AK145" s="153">
        <f t="shared" si="288"/>
        <v>1.2735041892972723</v>
      </c>
      <c r="AM145" s="317">
        <f t="shared" si="289"/>
        <v>34.999999999999993</v>
      </c>
      <c r="AN145" s="147">
        <f t="shared" si="290"/>
        <v>350</v>
      </c>
      <c r="AP145" s="147">
        <f t="shared" si="291"/>
        <v>34.999999999999993</v>
      </c>
      <c r="AQ145" s="147">
        <f t="shared" si="292"/>
        <v>350</v>
      </c>
      <c r="AS145" s="5">
        <f t="shared" si="263"/>
        <v>2.8571428571428572</v>
      </c>
      <c r="AT145" s="5">
        <f t="shared" si="293"/>
        <v>1.7350418929727232</v>
      </c>
      <c r="AU145" s="5">
        <f t="shared" si="230"/>
        <v>1.1221009641701341</v>
      </c>
      <c r="AV145" s="5"/>
      <c r="AW145" s="153">
        <f t="shared" si="231"/>
        <v>0.60726466254045308</v>
      </c>
      <c r="AX145" s="153">
        <f t="shared" si="259"/>
        <v>0.71119999999999994</v>
      </c>
      <c r="AY145" s="153">
        <f t="shared" si="260"/>
        <v>5.1105919750732004E-2</v>
      </c>
      <c r="AZ145" s="153">
        <f t="shared" si="264"/>
        <v>13.916196078044623</v>
      </c>
      <c r="BA145" s="147">
        <f t="shared" si="294"/>
        <v>3.0231480258994696</v>
      </c>
      <c r="BB145" s="147">
        <f t="shared" si="295"/>
        <v>5.6949236296296295</v>
      </c>
      <c r="BC145" s="5">
        <f t="shared" si="258"/>
        <v>9.697168826161652E-2</v>
      </c>
      <c r="BD145" s="147">
        <f t="shared" si="296"/>
        <v>9.956428085420912</v>
      </c>
      <c r="BF145" s="153">
        <f t="shared" si="265"/>
        <v>0.11709264111435681</v>
      </c>
      <c r="BG145" s="153">
        <f t="shared" si="261"/>
        <v>9.4165233364773296E-2</v>
      </c>
      <c r="BI145" s="463">
        <f t="shared" si="236"/>
        <v>4.7987403110974474E-3</v>
      </c>
      <c r="BJ145" s="463">
        <f t="shared" si="237"/>
        <v>1.3353749929264563E-2</v>
      </c>
      <c r="BK145" s="463">
        <f t="shared" si="238"/>
        <v>4.3749999999999995E-3</v>
      </c>
      <c r="BL145" s="463">
        <f t="shared" si="239"/>
        <v>1.5044092000000002E-2</v>
      </c>
      <c r="BM145">
        <f t="shared" si="240"/>
        <v>2.6099999999999999E-3</v>
      </c>
      <c r="BN145">
        <f t="shared" si="297"/>
        <v>3.4999999999999999E-6</v>
      </c>
      <c r="BO145" s="463">
        <f t="shared" si="298"/>
        <v>4.0869096355599641E-2</v>
      </c>
      <c r="BP145" s="147">
        <f t="shared" si="243"/>
        <v>40.181582240362019</v>
      </c>
      <c r="BQ145" s="463">
        <f t="shared" si="299"/>
        <v>2.0144457657426652E-2</v>
      </c>
      <c r="BT145" s="147">
        <f t="shared" si="245"/>
        <v>20.144457657426653</v>
      </c>
      <c r="BU145" s="463">
        <f t="shared" si="246"/>
        <v>1.3710686603135564E-2</v>
      </c>
      <c r="BV145" s="463">
        <f t="shared" si="247"/>
        <v>8.8670911746422144E-3</v>
      </c>
      <c r="BW145" s="463">
        <f t="shared" si="248"/>
        <v>0</v>
      </c>
      <c r="BX145" s="463"/>
      <c r="BY145" s="463">
        <f t="shared" si="249"/>
        <v>1.1853333333333332E-2</v>
      </c>
      <c r="BZ145" s="147">
        <f t="shared" si="250"/>
        <v>34.431111111111115</v>
      </c>
      <c r="CA145" s="153">
        <f t="shared" si="251"/>
        <v>9.4757151008899768E-2</v>
      </c>
      <c r="CB145" s="5">
        <f t="shared" si="252"/>
        <v>0.7</v>
      </c>
      <c r="CC145" s="153">
        <f t="shared" si="253"/>
        <v>0.8807721945142476</v>
      </c>
      <c r="CD145" s="5">
        <f t="shared" si="254"/>
        <v>88.077219451424753</v>
      </c>
      <c r="CG145" s="59">
        <f t="shared" si="300"/>
        <v>-50</v>
      </c>
      <c r="CH145">
        <f t="shared" si="301"/>
        <v>-50</v>
      </c>
    </row>
    <row r="146" spans="5:86" x14ac:dyDescent="0.25">
      <c r="E146" s="150">
        <v>36</v>
      </c>
      <c r="F146" s="191">
        <f t="shared" si="302"/>
        <v>3.5999999999999997E-2</v>
      </c>
      <c r="G146" s="191"/>
      <c r="H146" s="191">
        <f t="shared" si="266"/>
        <v>0.72</v>
      </c>
      <c r="I146" s="472">
        <f t="shared" si="267"/>
        <v>9</v>
      </c>
      <c r="J146" s="386">
        <f t="shared" si="268"/>
        <v>20.32</v>
      </c>
      <c r="K146" s="386">
        <f t="shared" si="269"/>
        <v>29.32</v>
      </c>
      <c r="L146" s="386"/>
      <c r="M146" s="191">
        <f t="shared" si="270"/>
        <v>0.69304229195088674</v>
      </c>
      <c r="N146" s="152">
        <f t="shared" si="271"/>
        <v>2.1177466575716233</v>
      </c>
      <c r="O146" s="152">
        <f t="shared" si="262"/>
        <v>0.72</v>
      </c>
      <c r="P146" s="191">
        <f t="shared" si="272"/>
        <v>0.10588733287858117</v>
      </c>
      <c r="Q146" s="191">
        <f t="shared" si="273"/>
        <v>20</v>
      </c>
      <c r="R146" s="191"/>
      <c r="S146" s="152">
        <f t="shared" si="274"/>
        <v>75.413028322170746</v>
      </c>
      <c r="T146" s="152">
        <f t="shared" si="275"/>
        <v>20</v>
      </c>
      <c r="U146" s="191">
        <f t="shared" si="276"/>
        <v>0.25651793525809274</v>
      </c>
      <c r="V146" s="191">
        <f t="shared" si="277"/>
        <v>1.7101195683872852</v>
      </c>
      <c r="W146" s="191">
        <f t="shared" si="278"/>
        <v>0.75743484820302986</v>
      </c>
      <c r="X146" s="175">
        <f t="shared" si="279"/>
        <v>350</v>
      </c>
      <c r="Y146" s="386">
        <f t="shared" si="215"/>
        <v>350</v>
      </c>
      <c r="AA146" s="191">
        <f t="shared" si="280"/>
        <v>0.29701812512180864</v>
      </c>
      <c r="AB146" s="153">
        <f t="shared" si="281"/>
        <v>0.87702202299746645</v>
      </c>
      <c r="AC146" s="153">
        <f t="shared" si="282"/>
        <v>4.5586001468217563E-2</v>
      </c>
      <c r="AD146" s="153"/>
      <c r="AE146" s="153">
        <f t="shared" si="283"/>
        <v>0.44291338582677164</v>
      </c>
      <c r="AF146" s="317">
        <f t="shared" si="284"/>
        <v>1083.7333333333336</v>
      </c>
      <c r="AG146" s="463">
        <f t="shared" si="285"/>
        <v>1.1626476377952754E-2</v>
      </c>
      <c r="AI146" s="153">
        <f t="shared" si="286"/>
        <v>0.26394804683606093</v>
      </c>
      <c r="AJ146" s="153">
        <f t="shared" si="287"/>
        <v>0.26394804683606093</v>
      </c>
      <c r="AK146" s="153">
        <f t="shared" si="288"/>
        <v>1.2759653645573739</v>
      </c>
      <c r="AM146" s="317">
        <f t="shared" si="289"/>
        <v>36</v>
      </c>
      <c r="AN146" s="147">
        <f t="shared" si="290"/>
        <v>350</v>
      </c>
      <c r="AP146" s="147">
        <f t="shared" si="291"/>
        <v>36</v>
      </c>
      <c r="AQ146" s="147">
        <f t="shared" si="292"/>
        <v>350</v>
      </c>
      <c r="AS146" s="5">
        <f t="shared" si="263"/>
        <v>2.8571428571428572</v>
      </c>
      <c r="AT146" s="5">
        <f t="shared" si="293"/>
        <v>1.7596536455737399</v>
      </c>
      <c r="AU146" s="5">
        <f t="shared" si="230"/>
        <v>1.0974892115691173</v>
      </c>
      <c r="AV146" s="5"/>
      <c r="AW146" s="153">
        <f t="shared" si="231"/>
        <v>0.61587877595080898</v>
      </c>
      <c r="AX146" s="153">
        <f t="shared" si="259"/>
        <v>0.73151999999999995</v>
      </c>
      <c r="AY146" s="153">
        <f t="shared" si="260"/>
        <v>5.0694023418030462E-2</v>
      </c>
      <c r="AZ146" s="153">
        <f t="shared" si="264"/>
        <v>14.430103406229511</v>
      </c>
      <c r="BA146" s="147">
        <f t="shared" si="294"/>
        <v>3.0231480258994696</v>
      </c>
      <c r="BB146" s="147">
        <f t="shared" si="295"/>
        <v>6.0219110399999982</v>
      </c>
      <c r="BC146" s="5">
        <f t="shared" si="258"/>
        <v>9.755459658392153E-2</v>
      </c>
      <c r="BD146" s="147">
        <f t="shared" si="296"/>
        <v>10.022126325058821</v>
      </c>
      <c r="BF146" s="153">
        <f t="shared" si="265"/>
        <v>0.11959291296403544</v>
      </c>
      <c r="BG146" s="153">
        <f t="shared" si="261"/>
        <v>9.4447828517302532E-2</v>
      </c>
      <c r="BI146" s="463">
        <f t="shared" si="236"/>
        <v>5.0058626909281747E-3</v>
      </c>
      <c r="BJ146" s="463">
        <f t="shared" si="237"/>
        <v>1.3543174283158288E-2</v>
      </c>
      <c r="BK146" s="463">
        <f t="shared" si="238"/>
        <v>4.3749999999999995E-3</v>
      </c>
      <c r="BL146" s="463">
        <f t="shared" si="239"/>
        <v>1.5044092000000002E-2</v>
      </c>
      <c r="BM146">
        <f t="shared" si="240"/>
        <v>2.6099999999999999E-3</v>
      </c>
      <c r="BN146">
        <f t="shared" si="297"/>
        <v>3.4999999999999999E-6</v>
      </c>
      <c r="BO146" s="463">
        <f t="shared" si="298"/>
        <v>4.1295560259724515E-2</v>
      </c>
      <c r="BP146" s="147">
        <f t="shared" si="243"/>
        <v>40.578128974086468</v>
      </c>
      <c r="BQ146" s="463">
        <f t="shared" si="299"/>
        <v>2.0567179726088212E-2</v>
      </c>
      <c r="BT146" s="147">
        <f t="shared" si="245"/>
        <v>20.567179726088213</v>
      </c>
      <c r="BU146" s="463">
        <f t="shared" si="246"/>
        <v>1.4302464831223357E-2</v>
      </c>
      <c r="BV146" s="463">
        <f t="shared" si="247"/>
        <v>8.9203923116337857E-3</v>
      </c>
      <c r="BW146" s="463">
        <f t="shared" si="248"/>
        <v>0</v>
      </c>
      <c r="BX146" s="463"/>
      <c r="BY146" s="463">
        <f t="shared" si="249"/>
        <v>1.2192E-2</v>
      </c>
      <c r="BZ146" s="147">
        <f t="shared" si="250"/>
        <v>35.414857142857144</v>
      </c>
      <c r="CA146" s="153">
        <f t="shared" si="251"/>
        <v>9.6560165843031814E-2</v>
      </c>
      <c r="CB146" s="5">
        <f t="shared" si="252"/>
        <v>0.72</v>
      </c>
      <c r="CC146" s="153">
        <f t="shared" si="253"/>
        <v>0.88174764104082726</v>
      </c>
      <c r="CD146" s="5">
        <f t="shared" si="254"/>
        <v>88.174764104082726</v>
      </c>
      <c r="CG146" s="59">
        <f t="shared" si="300"/>
        <v>-50</v>
      </c>
      <c r="CH146">
        <f t="shared" si="301"/>
        <v>-50</v>
      </c>
    </row>
    <row r="147" spans="5:86" x14ac:dyDescent="0.25">
      <c r="E147" s="150">
        <v>37</v>
      </c>
      <c r="F147" s="191">
        <f t="shared" si="302"/>
        <v>3.6999999999999998E-2</v>
      </c>
      <c r="G147" s="191"/>
      <c r="H147" s="191">
        <f t="shared" si="266"/>
        <v>0.74</v>
      </c>
      <c r="I147" s="472">
        <f t="shared" si="267"/>
        <v>9</v>
      </c>
      <c r="J147" s="386">
        <f t="shared" si="268"/>
        <v>20.32</v>
      </c>
      <c r="K147" s="386">
        <f t="shared" si="269"/>
        <v>29.32</v>
      </c>
      <c r="L147" s="386"/>
      <c r="M147" s="191">
        <f t="shared" si="270"/>
        <v>0.69304229195088674</v>
      </c>
      <c r="N147" s="152">
        <f t="shared" si="271"/>
        <v>2.1177466575716233</v>
      </c>
      <c r="O147" s="152">
        <f t="shared" si="262"/>
        <v>0.74</v>
      </c>
      <c r="P147" s="191">
        <f t="shared" si="272"/>
        <v>0.10588733287858117</v>
      </c>
      <c r="Q147" s="191">
        <f t="shared" si="273"/>
        <v>20</v>
      </c>
      <c r="R147" s="191"/>
      <c r="S147" s="152">
        <f t="shared" si="274"/>
        <v>73.13380291173867</v>
      </c>
      <c r="T147" s="152">
        <f t="shared" si="275"/>
        <v>20</v>
      </c>
      <c r="U147" s="191">
        <f t="shared" si="276"/>
        <v>0.26364343345970642</v>
      </c>
      <c r="V147" s="191">
        <f t="shared" si="277"/>
        <v>1.7576228897313761</v>
      </c>
      <c r="W147" s="191">
        <f t="shared" si="278"/>
        <v>0.77847470509755834</v>
      </c>
      <c r="X147" s="175">
        <f t="shared" si="279"/>
        <v>350</v>
      </c>
      <c r="Y147" s="386">
        <f t="shared" si="215"/>
        <v>350</v>
      </c>
      <c r="AA147" s="191">
        <f t="shared" si="280"/>
        <v>0.29701812512180864</v>
      </c>
      <c r="AB147" s="153">
        <f t="shared" si="281"/>
        <v>0.87702202299746645</v>
      </c>
      <c r="AC147" s="153">
        <f t="shared" si="282"/>
        <v>4.5586001468217563E-2</v>
      </c>
      <c r="AD147" s="153"/>
      <c r="AE147" s="153">
        <f t="shared" si="283"/>
        <v>0.44291338582677164</v>
      </c>
      <c r="AF147" s="317">
        <f t="shared" si="284"/>
        <v>1113.8370370370371</v>
      </c>
      <c r="AG147" s="463">
        <f t="shared" si="285"/>
        <v>1.1626476377952754E-2</v>
      </c>
      <c r="AI147" s="153">
        <f t="shared" si="286"/>
        <v>0.26758888153996518</v>
      </c>
      <c r="AJ147" s="153">
        <f t="shared" si="287"/>
        <v>0.26758888153996518</v>
      </c>
      <c r="AK147" s="153">
        <f t="shared" si="288"/>
        <v>1.2783925876933102</v>
      </c>
      <c r="AM147" s="317">
        <f t="shared" si="289"/>
        <v>37</v>
      </c>
      <c r="AN147" s="147">
        <f t="shared" si="290"/>
        <v>350</v>
      </c>
      <c r="AP147" s="147">
        <f t="shared" si="291"/>
        <v>37</v>
      </c>
      <c r="AQ147" s="147">
        <f t="shared" si="292"/>
        <v>350</v>
      </c>
      <c r="AS147" s="5">
        <f t="shared" si="263"/>
        <v>2.8571428571428572</v>
      </c>
      <c r="AT147" s="5">
        <f t="shared" si="293"/>
        <v>1.783925876933101</v>
      </c>
      <c r="AU147" s="5">
        <f t="shared" si="230"/>
        <v>1.0732169802097562</v>
      </c>
      <c r="AV147" s="5"/>
      <c r="AW147" s="153">
        <f t="shared" si="231"/>
        <v>0.62437405692658532</v>
      </c>
      <c r="AX147" s="153">
        <f t="shared" si="259"/>
        <v>0.75183999999999995</v>
      </c>
      <c r="AY147" s="153">
        <f t="shared" si="260"/>
        <v>5.0256662992204833E-2</v>
      </c>
      <c r="AZ147" s="153">
        <f t="shared" si="264"/>
        <v>14.960006399880065</v>
      </c>
      <c r="BA147" s="147">
        <f t="shared" si="294"/>
        <v>3.0231480258994696</v>
      </c>
      <c r="BB147" s="147">
        <f t="shared" si="295"/>
        <v>6.3580248562962955</v>
      </c>
      <c r="BC147" s="5">
        <f t="shared" si="258"/>
        <v>9.8046983377187605E-2</v>
      </c>
      <c r="BD147" s="147">
        <f t="shared" si="296"/>
        <v>10.078772411792833</v>
      </c>
      <c r="BF147" s="153">
        <f t="shared" si="265"/>
        <v>0.12207587946816714</v>
      </c>
      <c r="BG147" s="153">
        <f t="shared" si="261"/>
        <v>9.4685881524174634E-2</v>
      </c>
      <c r="BI147" s="463">
        <f t="shared" si="236"/>
        <v>5.215882121774265E-3</v>
      </c>
      <c r="BJ147" s="463">
        <f t="shared" si="237"/>
        <v>1.3729985511815613E-2</v>
      </c>
      <c r="BK147" s="463">
        <f t="shared" si="238"/>
        <v>4.3749999999999995E-3</v>
      </c>
      <c r="BL147" s="463">
        <f t="shared" si="239"/>
        <v>1.5044092000000002E-2</v>
      </c>
      <c r="BM147">
        <f t="shared" si="240"/>
        <v>2.6099999999999999E-3</v>
      </c>
      <c r="BN147">
        <f t="shared" si="297"/>
        <v>3.4999999999999999E-6</v>
      </c>
      <c r="BO147" s="463">
        <f t="shared" si="298"/>
        <v>4.1722754789137541E-2</v>
      </c>
      <c r="BP147" s="147">
        <f t="shared" si="243"/>
        <v>40.974959633589883</v>
      </c>
      <c r="BQ147" s="463">
        <f t="shared" si="299"/>
        <v>2.0983577946247667E-2</v>
      </c>
      <c r="BT147" s="147">
        <f t="shared" si="245"/>
        <v>20.983577946247667</v>
      </c>
      <c r="BU147" s="463">
        <f t="shared" si="246"/>
        <v>1.4902520347926471E-2</v>
      </c>
      <c r="BV147" s="463">
        <f t="shared" si="247"/>
        <v>8.9654161600100351E-3</v>
      </c>
      <c r="BW147" s="463">
        <f t="shared" si="248"/>
        <v>0</v>
      </c>
      <c r="BX147" s="463"/>
      <c r="BY147" s="463">
        <f t="shared" si="249"/>
        <v>1.2530666666666667E-2</v>
      </c>
      <c r="BZ147" s="147">
        <f t="shared" si="250"/>
        <v>36.398603174603174</v>
      </c>
      <c r="CA147" s="153">
        <f t="shared" si="251"/>
        <v>9.8357140754440714E-2</v>
      </c>
      <c r="CB147" s="5">
        <f t="shared" si="252"/>
        <v>0.74</v>
      </c>
      <c r="CC147" s="153">
        <f t="shared" si="253"/>
        <v>0.88267871057204961</v>
      </c>
      <c r="CD147" s="5">
        <f t="shared" si="254"/>
        <v>88.267871057204957</v>
      </c>
      <c r="CG147" s="59">
        <f t="shared" si="300"/>
        <v>-50</v>
      </c>
      <c r="CH147">
        <f t="shared" si="301"/>
        <v>-50</v>
      </c>
    </row>
    <row r="148" spans="5:86" x14ac:dyDescent="0.25">
      <c r="E148" s="150">
        <v>38</v>
      </c>
      <c r="F148" s="191">
        <f t="shared" si="302"/>
        <v>3.8000000000000006E-2</v>
      </c>
      <c r="G148" s="191"/>
      <c r="H148" s="191">
        <f t="shared" si="266"/>
        <v>0.76000000000000012</v>
      </c>
      <c r="I148" s="472">
        <f t="shared" si="267"/>
        <v>9</v>
      </c>
      <c r="J148" s="386">
        <f t="shared" si="268"/>
        <v>20.32</v>
      </c>
      <c r="K148" s="386">
        <f t="shared" si="269"/>
        <v>29.32</v>
      </c>
      <c r="L148" s="386"/>
      <c r="M148" s="191">
        <f t="shared" si="270"/>
        <v>0.69304229195088674</v>
      </c>
      <c r="N148" s="152">
        <f t="shared" si="271"/>
        <v>2.1177466575716233</v>
      </c>
      <c r="O148" s="152">
        <f t="shared" si="262"/>
        <v>0.76000000000000012</v>
      </c>
      <c r="P148" s="191">
        <f t="shared" si="272"/>
        <v>0.10588733287858117</v>
      </c>
      <c r="Q148" s="191">
        <f t="shared" si="273"/>
        <v>20</v>
      </c>
      <c r="R148" s="191"/>
      <c r="S148" s="152">
        <f t="shared" si="274"/>
        <v>70.97460628905165</v>
      </c>
      <c r="T148" s="152">
        <f t="shared" si="275"/>
        <v>20</v>
      </c>
      <c r="U148" s="191">
        <f t="shared" si="276"/>
        <v>0.27076893166132016</v>
      </c>
      <c r="V148" s="191">
        <f t="shared" si="277"/>
        <v>1.8051262110754676</v>
      </c>
      <c r="W148" s="191">
        <f t="shared" si="278"/>
        <v>0.79951456199208704</v>
      </c>
      <c r="X148" s="175">
        <f t="shared" si="279"/>
        <v>350</v>
      </c>
      <c r="Y148" s="386">
        <f t="shared" si="215"/>
        <v>350</v>
      </c>
      <c r="AA148" s="191">
        <f t="shared" si="280"/>
        <v>0.29701812512180864</v>
      </c>
      <c r="AB148" s="153">
        <f t="shared" si="281"/>
        <v>0.87702202299746645</v>
      </c>
      <c r="AC148" s="153">
        <f t="shared" si="282"/>
        <v>4.5586001468217563E-2</v>
      </c>
      <c r="AD148" s="153"/>
      <c r="AE148" s="153">
        <f t="shared" si="283"/>
        <v>0.44291338582677164</v>
      </c>
      <c r="AF148" s="317">
        <f t="shared" si="284"/>
        <v>1143.9407407407411</v>
      </c>
      <c r="AG148" s="463">
        <f t="shared" si="285"/>
        <v>1.1626476377952754E-2</v>
      </c>
      <c r="AI148" s="153">
        <f t="shared" si="286"/>
        <v>0.27118083932875425</v>
      </c>
      <c r="AJ148" s="153">
        <f t="shared" si="287"/>
        <v>0.27118083932875425</v>
      </c>
      <c r="AK148" s="153">
        <f t="shared" si="288"/>
        <v>1.2807872262191695</v>
      </c>
      <c r="AM148" s="317">
        <f t="shared" si="289"/>
        <v>38.000000000000007</v>
      </c>
      <c r="AN148" s="147">
        <f t="shared" si="290"/>
        <v>350</v>
      </c>
      <c r="AP148" s="147">
        <f t="shared" si="291"/>
        <v>38.000000000000007</v>
      </c>
      <c r="AQ148" s="147">
        <f t="shared" si="292"/>
        <v>350</v>
      </c>
      <c r="AS148" s="5">
        <f t="shared" si="263"/>
        <v>2.8571428571428572</v>
      </c>
      <c r="AT148" s="5">
        <f t="shared" si="293"/>
        <v>1.8078722621916952</v>
      </c>
      <c r="AU148" s="5">
        <f t="shared" si="230"/>
        <v>1.049270594951162</v>
      </c>
      <c r="AV148" s="5"/>
      <c r="AW148" s="153">
        <f t="shared" si="231"/>
        <v>0.63275529176709333</v>
      </c>
      <c r="AX148" s="153">
        <f t="shared" si="259"/>
        <v>0.77216000000000018</v>
      </c>
      <c r="AY148" s="153">
        <f t="shared" si="260"/>
        <v>4.979486410882155E-2</v>
      </c>
      <c r="AZ148" s="153">
        <f t="shared" si="264"/>
        <v>15.506820107240859</v>
      </c>
      <c r="BA148" s="147">
        <f t="shared" si="294"/>
        <v>3.0231480258994696</v>
      </c>
      <c r="BB148" s="147">
        <f t="shared" si="295"/>
        <v>6.7032650785185197</v>
      </c>
      <c r="BC148" s="5">
        <f t="shared" si="258"/>
        <v>9.8450080513936195E-2</v>
      </c>
      <c r="BD148" s="147">
        <f t="shared" si="296"/>
        <v>10.126489532875102</v>
      </c>
      <c r="BF148" s="153">
        <f t="shared" si="265"/>
        <v>0.12454212343950762</v>
      </c>
      <c r="BG148" s="153">
        <f t="shared" si="261"/>
        <v>9.4880321258911868E-2</v>
      </c>
      <c r="BI148" s="463">
        <f t="shared" si="236"/>
        <v>5.4287591787875429E-3</v>
      </c>
      <c r="BJ148" s="463">
        <f t="shared" si="237"/>
        <v>1.391428886595838E-2</v>
      </c>
      <c r="BK148" s="463">
        <f t="shared" si="238"/>
        <v>4.3749999999999995E-3</v>
      </c>
      <c r="BL148" s="463">
        <f t="shared" si="239"/>
        <v>1.5044092000000002E-2</v>
      </c>
      <c r="BM148">
        <f t="shared" si="240"/>
        <v>2.6099999999999999E-3</v>
      </c>
      <c r="BN148">
        <f t="shared" si="297"/>
        <v>3.4999999999999999E-6</v>
      </c>
      <c r="BO148" s="463">
        <f t="shared" si="298"/>
        <v>4.2150740971830823E-2</v>
      </c>
      <c r="BP148" s="147">
        <f t="shared" si="243"/>
        <v>41.372140044745933</v>
      </c>
      <c r="BQ148" s="463">
        <f t="shared" si="299"/>
        <v>2.1393738376716469E-2</v>
      </c>
      <c r="BT148" s="147">
        <f t="shared" si="245"/>
        <v>21.39373837671647</v>
      </c>
      <c r="BU148" s="463">
        <f t="shared" si="246"/>
        <v>1.5510740510821552E-2</v>
      </c>
      <c r="BV148" s="463">
        <f t="shared" si="247"/>
        <v>9.0022753621943237E-3</v>
      </c>
      <c r="BW148" s="463">
        <f t="shared" si="248"/>
        <v>0</v>
      </c>
      <c r="BX148" s="463"/>
      <c r="BY148" s="463">
        <f t="shared" si="249"/>
        <v>1.2869333333333337E-2</v>
      </c>
      <c r="BZ148" s="147">
        <f t="shared" si="250"/>
        <v>37.382349206349211</v>
      </c>
      <c r="CA148" s="153">
        <f t="shared" si="251"/>
        <v>0.10014822762781161</v>
      </c>
      <c r="CB148" s="5">
        <f t="shared" si="252"/>
        <v>0.76000000000000012</v>
      </c>
      <c r="CC148" s="153">
        <f t="shared" si="253"/>
        <v>0.88356864036794136</v>
      </c>
      <c r="CD148" s="5">
        <f t="shared" si="254"/>
        <v>88.356864036794136</v>
      </c>
      <c r="CG148" s="59">
        <f t="shared" si="300"/>
        <v>-50</v>
      </c>
      <c r="CH148">
        <f t="shared" si="301"/>
        <v>-50</v>
      </c>
    </row>
    <row r="149" spans="5:86" x14ac:dyDescent="0.25">
      <c r="E149" s="150">
        <v>39</v>
      </c>
      <c r="F149" s="191">
        <f t="shared" si="302"/>
        <v>3.9000000000000007E-2</v>
      </c>
      <c r="G149" s="191"/>
      <c r="H149" s="191">
        <f t="shared" si="266"/>
        <v>0.78000000000000014</v>
      </c>
      <c r="I149" s="472">
        <f t="shared" si="267"/>
        <v>9</v>
      </c>
      <c r="J149" s="386">
        <f t="shared" si="268"/>
        <v>20.32</v>
      </c>
      <c r="K149" s="386">
        <f t="shared" si="269"/>
        <v>29.32</v>
      </c>
      <c r="L149" s="386"/>
      <c r="M149" s="191">
        <f t="shared" si="270"/>
        <v>0.69304229195088674</v>
      </c>
      <c r="N149" s="152">
        <f t="shared" si="271"/>
        <v>2.1177466575716233</v>
      </c>
      <c r="O149" s="152">
        <f t="shared" si="262"/>
        <v>0.78000000000000014</v>
      </c>
      <c r="P149" s="191">
        <f t="shared" si="272"/>
        <v>0.10588733287858117</v>
      </c>
      <c r="Q149" s="191">
        <f t="shared" si="273"/>
        <v>20</v>
      </c>
      <c r="R149" s="191"/>
      <c r="S149" s="152">
        <f t="shared" si="274"/>
        <v>68.926206110833505</v>
      </c>
      <c r="T149" s="152">
        <f t="shared" si="275"/>
        <v>20</v>
      </c>
      <c r="U149" s="191">
        <f t="shared" si="276"/>
        <v>0.27789442986293389</v>
      </c>
      <c r="V149" s="191">
        <f t="shared" si="277"/>
        <v>1.8526295324195594</v>
      </c>
      <c r="W149" s="191">
        <f t="shared" si="278"/>
        <v>0.82055441888661595</v>
      </c>
      <c r="X149" s="175">
        <f t="shared" si="279"/>
        <v>350</v>
      </c>
      <c r="Y149" s="386">
        <f t="shared" si="215"/>
        <v>350</v>
      </c>
      <c r="AA149" s="191">
        <f t="shared" si="280"/>
        <v>0.29701812512180864</v>
      </c>
      <c r="AB149" s="153">
        <f t="shared" si="281"/>
        <v>0.87702202299746645</v>
      </c>
      <c r="AC149" s="153">
        <f t="shared" si="282"/>
        <v>4.5586001468217563E-2</v>
      </c>
      <c r="AD149" s="153"/>
      <c r="AE149" s="153">
        <f t="shared" si="283"/>
        <v>0.44291338582677164</v>
      </c>
      <c r="AF149" s="317">
        <f t="shared" si="284"/>
        <v>1174.0444444444447</v>
      </c>
      <c r="AG149" s="463">
        <f t="shared" si="285"/>
        <v>1.1626476377952754E-2</v>
      </c>
      <c r="AI149" s="153">
        <f t="shared" si="286"/>
        <v>0.27472583736206124</v>
      </c>
      <c r="AJ149" s="153">
        <f t="shared" si="287"/>
        <v>0.27472583736206124</v>
      </c>
      <c r="AK149" s="153">
        <f t="shared" si="288"/>
        <v>1.283150558241374</v>
      </c>
      <c r="AM149" s="317">
        <f t="shared" si="289"/>
        <v>39.000000000000007</v>
      </c>
      <c r="AN149" s="147">
        <f t="shared" si="290"/>
        <v>350</v>
      </c>
      <c r="AP149" s="147">
        <f t="shared" si="291"/>
        <v>39.000000000000007</v>
      </c>
      <c r="AQ149" s="147">
        <f t="shared" si="292"/>
        <v>350</v>
      </c>
      <c r="AS149" s="5">
        <f t="shared" si="263"/>
        <v>2.8571428571428572</v>
      </c>
      <c r="AT149" s="5">
        <f t="shared" si="293"/>
        <v>1.8315055824137418</v>
      </c>
      <c r="AU149" s="5">
        <f t="shared" si="230"/>
        <v>1.0256372747291154</v>
      </c>
      <c r="AV149" s="5"/>
      <c r="AW149" s="153">
        <f t="shared" si="231"/>
        <v>0.64102695384480968</v>
      </c>
      <c r="AX149" s="153">
        <f t="shared" si="259"/>
        <v>0.79248000000000018</v>
      </c>
      <c r="AY149" s="153">
        <f t="shared" si="260"/>
        <v>4.9309585347697263E-2</v>
      </c>
      <c r="AZ149" s="153">
        <f t="shared" si="264"/>
        <v>16.071520261465931</v>
      </c>
      <c r="BA149" s="147">
        <f t="shared" si="294"/>
        <v>3.0231480258994696</v>
      </c>
      <c r="BB149" s="147">
        <f t="shared" si="295"/>
        <v>7.0576317066666672</v>
      </c>
      <c r="BC149" s="5">
        <f t="shared" si="258"/>
        <v>9.8765070899840754E-2</v>
      </c>
      <c r="BD149" s="147">
        <f t="shared" si="296"/>
        <v>10.165395978872965</v>
      </c>
      <c r="BF149" s="153">
        <f t="shared" si="265"/>
        <v>0.12699219328373618</v>
      </c>
      <c r="BG149" s="153">
        <f t="shared" si="261"/>
        <v>9.5031984526692051E-2</v>
      </c>
      <c r="BI149" s="463">
        <f t="shared" si="236"/>
        <v>5.6444560042548325E-3</v>
      </c>
      <c r="BJ149" s="463">
        <f t="shared" si="237"/>
        <v>1.4096182715047364E-2</v>
      </c>
      <c r="BK149" s="463">
        <f t="shared" si="238"/>
        <v>4.3749999999999995E-3</v>
      </c>
      <c r="BL149" s="463">
        <f t="shared" si="239"/>
        <v>1.5044092000000002E-2</v>
      </c>
      <c r="BM149">
        <f t="shared" si="240"/>
        <v>2.6099999999999999E-3</v>
      </c>
      <c r="BN149">
        <f t="shared" si="297"/>
        <v>3.4999999999999999E-6</v>
      </c>
      <c r="BO149" s="463">
        <f t="shared" si="298"/>
        <v>4.2579574739823732E-2</v>
      </c>
      <c r="BP149" s="147">
        <f t="shared" si="243"/>
        <v>41.769730719302196</v>
      </c>
      <c r="BQ149" s="463">
        <f t="shared" si="299"/>
        <v>2.1797743655474221E-2</v>
      </c>
      <c r="BT149" s="147">
        <f t="shared" si="245"/>
        <v>21.797743655474221</v>
      </c>
      <c r="BU149" s="463">
        <f t="shared" si="246"/>
        <v>1.6127017155013808E-2</v>
      </c>
      <c r="BV149" s="463">
        <f t="shared" si="247"/>
        <v>9.0310780830814372E-3</v>
      </c>
      <c r="BW149" s="463">
        <f t="shared" si="248"/>
        <v>0</v>
      </c>
      <c r="BX149" s="463"/>
      <c r="BY149" s="463">
        <f t="shared" si="249"/>
        <v>1.3208000000000004E-2</v>
      </c>
      <c r="BZ149" s="147">
        <f t="shared" si="250"/>
        <v>38.366095238095248</v>
      </c>
      <c r="CA149" s="153">
        <f t="shared" si="251"/>
        <v>0.10193356961287167</v>
      </c>
      <c r="CB149" s="5">
        <f t="shared" si="252"/>
        <v>0.78000000000000014</v>
      </c>
      <c r="CC149" s="153">
        <f t="shared" si="253"/>
        <v>0.8844203541797192</v>
      </c>
      <c r="CD149" s="5">
        <f t="shared" si="254"/>
        <v>88.442035417971923</v>
      </c>
      <c r="CG149" s="59">
        <f t="shared" si="300"/>
        <v>-50</v>
      </c>
      <c r="CH149">
        <f t="shared" si="301"/>
        <v>-50</v>
      </c>
    </row>
    <row r="150" spans="5:86" x14ac:dyDescent="0.25">
      <c r="E150" s="150">
        <v>40</v>
      </c>
      <c r="F150" s="191">
        <f t="shared" si="302"/>
        <v>4.0000000000000008E-2</v>
      </c>
      <c r="G150" s="191"/>
      <c r="H150" s="191">
        <f t="shared" si="266"/>
        <v>0.80000000000000016</v>
      </c>
      <c r="I150" s="472">
        <f t="shared" si="267"/>
        <v>9</v>
      </c>
      <c r="J150" s="386">
        <f t="shared" si="268"/>
        <v>20.32</v>
      </c>
      <c r="K150" s="386">
        <f t="shared" si="269"/>
        <v>29.32</v>
      </c>
      <c r="L150" s="386"/>
      <c r="M150" s="191">
        <f t="shared" si="270"/>
        <v>0.69304229195088674</v>
      </c>
      <c r="N150" s="152">
        <f t="shared" si="271"/>
        <v>2.1177466575716233</v>
      </c>
      <c r="O150" s="152">
        <f t="shared" si="262"/>
        <v>0.80000000000000016</v>
      </c>
      <c r="P150" s="191">
        <f t="shared" si="272"/>
        <v>0.10588733287858117</v>
      </c>
      <c r="Q150" s="191">
        <f t="shared" si="273"/>
        <v>20</v>
      </c>
      <c r="R150" s="191"/>
      <c r="S150" s="152">
        <f t="shared" si="274"/>
        <v>66.980293275628142</v>
      </c>
      <c r="T150" s="152">
        <f t="shared" si="275"/>
        <v>20</v>
      </c>
      <c r="U150" s="191">
        <f t="shared" si="276"/>
        <v>0.28501992806454757</v>
      </c>
      <c r="V150" s="191">
        <f t="shared" si="277"/>
        <v>1.9001328537636504</v>
      </c>
      <c r="W150" s="191">
        <f t="shared" si="278"/>
        <v>0.84159427578114443</v>
      </c>
      <c r="X150" s="175">
        <f t="shared" si="279"/>
        <v>350</v>
      </c>
      <c r="Y150" s="386">
        <f t="shared" si="215"/>
        <v>350</v>
      </c>
      <c r="AA150" s="191">
        <f t="shared" si="280"/>
        <v>0.29701812512180864</v>
      </c>
      <c r="AB150" s="153">
        <f t="shared" si="281"/>
        <v>0.87702202299746645</v>
      </c>
      <c r="AC150" s="153">
        <f t="shared" si="282"/>
        <v>4.5586001468217563E-2</v>
      </c>
      <c r="AD150" s="153"/>
      <c r="AE150" s="153">
        <f t="shared" si="283"/>
        <v>0.44291338582677164</v>
      </c>
      <c r="AF150" s="317">
        <f t="shared" si="284"/>
        <v>1204.1481481481485</v>
      </c>
      <c r="AG150" s="463">
        <f t="shared" si="285"/>
        <v>1.1626476377952754E-2</v>
      </c>
      <c r="AI150" s="153">
        <f t="shared" si="286"/>
        <v>0.27822567065158427</v>
      </c>
      <c r="AJ150" s="153">
        <f t="shared" si="287"/>
        <v>0.27822567065158427</v>
      </c>
      <c r="AK150" s="153">
        <f t="shared" si="288"/>
        <v>1.2854837804343895</v>
      </c>
      <c r="AM150" s="317">
        <f t="shared" si="289"/>
        <v>40.000000000000007</v>
      </c>
      <c r="AN150" s="147">
        <f t="shared" si="290"/>
        <v>350</v>
      </c>
      <c r="AP150" s="147">
        <f t="shared" si="291"/>
        <v>40.000000000000007</v>
      </c>
      <c r="AQ150" s="147">
        <f t="shared" si="292"/>
        <v>350</v>
      </c>
      <c r="AS150" s="5">
        <f t="shared" si="263"/>
        <v>2.8571428571428572</v>
      </c>
      <c r="AT150" s="5">
        <f t="shared" si="293"/>
        <v>1.8548378043438953</v>
      </c>
      <c r="AU150" s="5">
        <f t="shared" si="230"/>
        <v>1.0023050527989619</v>
      </c>
      <c r="AV150" s="5"/>
      <c r="AW150" s="153">
        <f t="shared" si="231"/>
        <v>0.64919323152036335</v>
      </c>
      <c r="AX150" s="153">
        <f t="shared" si="259"/>
        <v>0.81280000000000041</v>
      </c>
      <c r="AY150" s="153">
        <f t="shared" si="260"/>
        <v>4.8801724214680979E-2</v>
      </c>
      <c r="AZ150" s="153">
        <f t="shared" si="264"/>
        <v>16.655149240720608</v>
      </c>
      <c r="BA150" s="147">
        <f t="shared" si="294"/>
        <v>3.0231480258994696</v>
      </c>
      <c r="BB150" s="147">
        <f t="shared" si="295"/>
        <v>7.421124740740745</v>
      </c>
      <c r="BC150" s="5">
        <f t="shared" si="258"/>
        <v>9.8993091634465388E-2</v>
      </c>
      <c r="BD150" s="147">
        <f t="shared" si="296"/>
        <v>10.195605459742836</v>
      </c>
      <c r="BF150" s="153">
        <f t="shared" si="265"/>
        <v>0.12942660585876112</v>
      </c>
      <c r="BG150" s="153">
        <f t="shared" si="261"/>
        <v>9.5141622327220787E-2</v>
      </c>
      <c r="BI150" s="463">
        <f t="shared" si="236"/>
        <v>5.8629362064416841E-3</v>
      </c>
      <c r="BJ150" s="463">
        <f t="shared" si="237"/>
        <v>1.4275759161132787E-2</v>
      </c>
      <c r="BK150" s="463">
        <f t="shared" si="238"/>
        <v>4.3749999999999995E-3</v>
      </c>
      <c r="BL150" s="463">
        <f t="shared" si="239"/>
        <v>1.5044092000000002E-2</v>
      </c>
      <c r="BM150">
        <f t="shared" si="240"/>
        <v>2.6099999999999999E-3</v>
      </c>
      <c r="BN150">
        <f t="shared" si="297"/>
        <v>3.4999999999999999E-6</v>
      </c>
      <c r="BO150" s="463">
        <f t="shared" si="298"/>
        <v>4.3009307427791722E-2</v>
      </c>
      <c r="BP150" s="147">
        <f t="shared" si="243"/>
        <v>42.167787367574469</v>
      </c>
      <c r="BQ150" s="463">
        <f t="shared" si="299"/>
        <v>2.2195673220478419E-2</v>
      </c>
      <c r="BT150" s="147">
        <f t="shared" si="245"/>
        <v>22.195673220478419</v>
      </c>
      <c r="BU150" s="463">
        <f t="shared" si="246"/>
        <v>1.6751246304119099E-2</v>
      </c>
      <c r="BV150" s="463">
        <f t="shared" si="247"/>
        <v>9.0519282990555172E-3</v>
      </c>
      <c r="BW150" s="463">
        <f t="shared" si="248"/>
        <v>0</v>
      </c>
      <c r="BX150" s="463"/>
      <c r="BY150" s="463">
        <f t="shared" si="249"/>
        <v>1.3546666666666676E-2</v>
      </c>
      <c r="BZ150" s="147">
        <f t="shared" si="250"/>
        <v>39.349841269841292</v>
      </c>
      <c r="CA150" s="153">
        <f t="shared" si="251"/>
        <v>0.10371330185789419</v>
      </c>
      <c r="CB150" s="5">
        <f t="shared" si="252"/>
        <v>0.80000000000000016</v>
      </c>
      <c r="CC150" s="153">
        <f t="shared" si="253"/>
        <v>0.88523649962363538</v>
      </c>
      <c r="CD150" s="5">
        <f t="shared" si="254"/>
        <v>88.523649962363535</v>
      </c>
      <c r="CG150" s="59">
        <f t="shared" si="300"/>
        <v>-50</v>
      </c>
      <c r="CH150">
        <f t="shared" si="301"/>
        <v>-50</v>
      </c>
    </row>
    <row r="151" spans="5:86" x14ac:dyDescent="0.25">
      <c r="E151" s="150">
        <v>41</v>
      </c>
      <c r="F151" s="191">
        <f t="shared" si="302"/>
        <v>4.1000000000000002E-2</v>
      </c>
      <c r="G151" s="191"/>
      <c r="H151" s="191">
        <f t="shared" si="266"/>
        <v>0.82000000000000006</v>
      </c>
      <c r="I151" s="472">
        <f t="shared" si="267"/>
        <v>9</v>
      </c>
      <c r="J151" s="386">
        <f t="shared" si="268"/>
        <v>20.32</v>
      </c>
      <c r="K151" s="386">
        <f t="shared" si="269"/>
        <v>29.32</v>
      </c>
      <c r="L151" s="386"/>
      <c r="M151" s="191">
        <f t="shared" si="270"/>
        <v>0.69304229195088674</v>
      </c>
      <c r="N151" s="152">
        <f t="shared" si="271"/>
        <v>2.1177466575716233</v>
      </c>
      <c r="O151" s="152">
        <f t="shared" si="262"/>
        <v>0.82000000000000006</v>
      </c>
      <c r="P151" s="191">
        <f t="shared" si="272"/>
        <v>0.10588733287858117</v>
      </c>
      <c r="Q151" s="191">
        <f t="shared" si="273"/>
        <v>20</v>
      </c>
      <c r="R151" s="191"/>
      <c r="S151" s="152">
        <f t="shared" si="274"/>
        <v>65.129369333437353</v>
      </c>
      <c r="T151" s="152">
        <f t="shared" si="275"/>
        <v>20</v>
      </c>
      <c r="U151" s="191">
        <f t="shared" si="276"/>
        <v>0.29214542626616125</v>
      </c>
      <c r="V151" s="191">
        <f t="shared" si="277"/>
        <v>1.9476361751077416</v>
      </c>
      <c r="W151" s="191">
        <f t="shared" si="278"/>
        <v>0.8626341326756729</v>
      </c>
      <c r="X151" s="175">
        <f t="shared" si="279"/>
        <v>350</v>
      </c>
      <c r="Y151" s="386">
        <f t="shared" si="215"/>
        <v>350</v>
      </c>
      <c r="AA151" s="191">
        <f t="shared" si="280"/>
        <v>0.29701812512180864</v>
      </c>
      <c r="AB151" s="153">
        <f t="shared" si="281"/>
        <v>0.87702202299746645</v>
      </c>
      <c r="AC151" s="153">
        <f t="shared" si="282"/>
        <v>4.5586001468217563E-2</v>
      </c>
      <c r="AD151" s="153"/>
      <c r="AE151" s="153">
        <f t="shared" si="283"/>
        <v>0.44291338582677164</v>
      </c>
      <c r="AF151" s="317">
        <f t="shared" si="284"/>
        <v>1234.2518518518521</v>
      </c>
      <c r="AG151" s="463">
        <f t="shared" si="285"/>
        <v>1.1626476377952754E-2</v>
      </c>
      <c r="AI151" s="153">
        <f t="shared" si="286"/>
        <v>0.28168202268650711</v>
      </c>
      <c r="AJ151" s="153">
        <f t="shared" si="287"/>
        <v>0.28168202268650711</v>
      </c>
      <c r="AK151" s="153">
        <f t="shared" si="288"/>
        <v>1.2877880151243382</v>
      </c>
      <c r="AM151" s="317">
        <f t="shared" si="289"/>
        <v>41</v>
      </c>
      <c r="AN151" s="147">
        <f t="shared" si="290"/>
        <v>350</v>
      </c>
      <c r="AP151" s="147">
        <f t="shared" si="291"/>
        <v>41</v>
      </c>
      <c r="AQ151" s="147">
        <f t="shared" si="292"/>
        <v>350</v>
      </c>
      <c r="AS151" s="5">
        <f t="shared" si="263"/>
        <v>2.8571428571428572</v>
      </c>
      <c r="AT151" s="5">
        <f t="shared" si="293"/>
        <v>1.8778801512433809</v>
      </c>
      <c r="AU151" s="5">
        <f t="shared" si="230"/>
        <v>0.97926270589947628</v>
      </c>
      <c r="AV151" s="5"/>
      <c r="AW151" s="153">
        <f t="shared" si="231"/>
        <v>0.65725805293518336</v>
      </c>
      <c r="AX151" s="153">
        <f t="shared" si="259"/>
        <v>0.83311999999999986</v>
      </c>
      <c r="AY151" s="153">
        <f t="shared" si="260"/>
        <v>4.8272122454364651E-2</v>
      </c>
      <c r="AZ151" s="153">
        <f t="shared" si="264"/>
        <v>17.258822642149457</v>
      </c>
      <c r="BA151" s="147">
        <f t="shared" si="294"/>
        <v>3.0231480258994696</v>
      </c>
      <c r="BB151" s="147">
        <f t="shared" si="295"/>
        <v>7.7937441807407417</v>
      </c>
      <c r="BC151" s="5">
        <f t="shared" si="258"/>
        <v>9.913523689352724E-2</v>
      </c>
      <c r="BD151" s="147">
        <f t="shared" si="296"/>
        <v>10.217227393056426</v>
      </c>
      <c r="BF151" s="153">
        <f t="shared" si="265"/>
        <v>0.13184584903101743</v>
      </c>
      <c r="BG151" s="153">
        <f t="shared" si="261"/>
        <v>9.5209905270114248E-2</v>
      </c>
      <c r="BI151" s="463">
        <f t="shared" si="236"/>
        <v>6.0841647673484439E-3</v>
      </c>
      <c r="BJ151" s="463">
        <f t="shared" si="237"/>
        <v>1.4453104584044682E-2</v>
      </c>
      <c r="BK151" s="463">
        <f t="shared" si="238"/>
        <v>4.3749999999999995E-3</v>
      </c>
      <c r="BL151" s="463">
        <f t="shared" si="239"/>
        <v>1.5044092000000002E-2</v>
      </c>
      <c r="BM151">
        <f t="shared" si="240"/>
        <v>2.6099999999999999E-3</v>
      </c>
      <c r="BN151">
        <f t="shared" si="297"/>
        <v>3.4999999999999999E-6</v>
      </c>
      <c r="BO151" s="463">
        <f t="shared" si="298"/>
        <v>4.3439986213186649E-2</v>
      </c>
      <c r="BP151" s="147">
        <f t="shared" si="243"/>
        <v>42.566361351393134</v>
      </c>
      <c r="BQ151" s="463">
        <f t="shared" si="299"/>
        <v>2.2587603511019714E-2</v>
      </c>
      <c r="BT151" s="147">
        <f t="shared" si="245"/>
        <v>22.587603511019715</v>
      </c>
      <c r="BU151" s="463">
        <f t="shared" si="246"/>
        <v>1.738332790670984E-2</v>
      </c>
      <c r="BV151" s="463">
        <f t="shared" si="247"/>
        <v>9.0649260615441284E-3</v>
      </c>
      <c r="BW151" s="463">
        <f t="shared" si="248"/>
        <v>0</v>
      </c>
      <c r="BX151" s="463"/>
      <c r="BY151" s="463">
        <f t="shared" si="249"/>
        <v>1.3885333333333336E-2</v>
      </c>
      <c r="BZ151" s="147">
        <f t="shared" si="250"/>
        <v>40.333587301587301</v>
      </c>
      <c r="CA151" s="153">
        <f t="shared" si="251"/>
        <v>0.10548755216400015</v>
      </c>
      <c r="CB151" s="5">
        <f t="shared" si="252"/>
        <v>0.82000000000000006</v>
      </c>
      <c r="CC151" s="153">
        <f t="shared" si="253"/>
        <v>0.88601948030813993</v>
      </c>
      <c r="CD151" s="5">
        <f t="shared" si="254"/>
        <v>88.601948030813986</v>
      </c>
      <c r="CG151" s="59">
        <f t="shared" si="300"/>
        <v>-50</v>
      </c>
      <c r="CH151">
        <f t="shared" si="301"/>
        <v>-50</v>
      </c>
    </row>
    <row r="152" spans="5:86" x14ac:dyDescent="0.25">
      <c r="E152" s="150">
        <v>42</v>
      </c>
      <c r="F152" s="191">
        <f t="shared" si="302"/>
        <v>4.2000000000000003E-2</v>
      </c>
      <c r="G152" s="191"/>
      <c r="H152" s="191">
        <f t="shared" si="266"/>
        <v>0.84000000000000008</v>
      </c>
      <c r="I152" s="472">
        <f t="shared" si="267"/>
        <v>9</v>
      </c>
      <c r="J152" s="386">
        <f t="shared" si="268"/>
        <v>20.32</v>
      </c>
      <c r="K152" s="386">
        <f t="shared" si="269"/>
        <v>29.32</v>
      </c>
      <c r="L152" s="386"/>
      <c r="M152" s="191">
        <f t="shared" si="270"/>
        <v>0.69304229195088674</v>
      </c>
      <c r="N152" s="152">
        <f t="shared" si="271"/>
        <v>2.1177466575716233</v>
      </c>
      <c r="O152" s="152">
        <f t="shared" si="262"/>
        <v>0.84000000000000008</v>
      </c>
      <c r="P152" s="191">
        <f t="shared" si="272"/>
        <v>0.10588733287858117</v>
      </c>
      <c r="Q152" s="191">
        <f t="shared" si="273"/>
        <v>20</v>
      </c>
      <c r="R152" s="191"/>
      <c r="S152" s="152">
        <f t="shared" si="274"/>
        <v>63.366649979697307</v>
      </c>
      <c r="T152" s="152">
        <f t="shared" si="275"/>
        <v>20</v>
      </c>
      <c r="U152" s="191">
        <f t="shared" si="276"/>
        <v>0.29927092446777492</v>
      </c>
      <c r="V152" s="191">
        <f t="shared" si="277"/>
        <v>1.9951394964518332</v>
      </c>
      <c r="W152" s="191">
        <f t="shared" si="278"/>
        <v>0.8836739895702016</v>
      </c>
      <c r="X152" s="175">
        <f t="shared" si="279"/>
        <v>350</v>
      </c>
      <c r="Y152" s="386">
        <f t="shared" si="215"/>
        <v>347.36533118781767</v>
      </c>
      <c r="AA152" s="191">
        <f t="shared" si="280"/>
        <v>0.29701812512180864</v>
      </c>
      <c r="AB152" s="153">
        <f t="shared" si="281"/>
        <v>0.87702202299746645</v>
      </c>
      <c r="AC152" s="153">
        <f t="shared" si="282"/>
        <v>4.5586001468217563E-2</v>
      </c>
      <c r="AD152" s="153"/>
      <c r="AE152" s="153">
        <f t="shared" si="283"/>
        <v>0.44291338582677164</v>
      </c>
      <c r="AF152" s="317">
        <f t="shared" si="284"/>
        <v>1264.3555555555558</v>
      </c>
      <c r="AG152" s="463">
        <f t="shared" si="285"/>
        <v>1.1626476377952754E-2</v>
      </c>
      <c r="AI152" s="153">
        <f t="shared" si="286"/>
        <v>0.28509647489928741</v>
      </c>
      <c r="AJ152" s="153">
        <f t="shared" si="287"/>
        <v>0.28509647489928741</v>
      </c>
      <c r="AK152" s="153">
        <f t="shared" si="288"/>
        <v>1.2900643165995249</v>
      </c>
      <c r="AM152" s="317">
        <f t="shared" si="289"/>
        <v>42</v>
      </c>
      <c r="AN152" s="147">
        <f t="shared" si="290"/>
        <v>347.36533118781767</v>
      </c>
      <c r="AP152" s="147">
        <f t="shared" si="291"/>
        <v>42</v>
      </c>
      <c r="AQ152" s="147">
        <f t="shared" si="292"/>
        <v>347.36533118781767</v>
      </c>
      <c r="AS152" s="5">
        <f t="shared" si="263"/>
        <v>2.8788134860220347</v>
      </c>
      <c r="AT152" s="5">
        <f t="shared" si="293"/>
        <v>1.9006431659952496</v>
      </c>
      <c r="AU152" s="5">
        <f t="shared" si="230"/>
        <v>0.97817032002678506</v>
      </c>
      <c r="AV152" s="5"/>
      <c r="AW152" s="153">
        <f t="shared" si="231"/>
        <v>0.66021754282580225</v>
      </c>
      <c r="AX152" s="153">
        <f t="shared" si="259"/>
        <v>0.8470156235683749</v>
      </c>
      <c r="AY152" s="153">
        <f t="shared" si="260"/>
        <v>4.8435390386490931E-2</v>
      </c>
      <c r="AZ152" s="153">
        <f t="shared" si="264"/>
        <v>17.487535804080466</v>
      </c>
      <c r="BA152" s="147">
        <f t="shared" si="294"/>
        <v>3.0231480258994696</v>
      </c>
      <c r="BB152" s="147">
        <f t="shared" si="295"/>
        <v>8.175490026666667</v>
      </c>
      <c r="BC152" s="5">
        <f t="shared" si="258"/>
        <v>0.10143988503981474</v>
      </c>
      <c r="BD152" s="147">
        <f t="shared" si="296"/>
        <v>10.455099615092585</v>
      </c>
      <c r="BF152" s="153">
        <f t="shared" si="265"/>
        <v>0.1337441361716234</v>
      </c>
      <c r="BG152" s="153">
        <f t="shared" si="261"/>
        <v>9.5947065473830917E-2</v>
      </c>
      <c r="BI152" s="463">
        <f t="shared" si="236"/>
        <v>6.2606228861028087E-3</v>
      </c>
      <c r="BJ152" s="463">
        <f t="shared" si="237"/>
        <v>1.4518183766739389E-2</v>
      </c>
      <c r="BK152" s="463">
        <f t="shared" si="238"/>
        <v>4.3420666398477211E-3</v>
      </c>
      <c r="BL152" s="463">
        <f t="shared" si="239"/>
        <v>1.4930845714285712E-2</v>
      </c>
      <c r="BM152">
        <f t="shared" si="240"/>
        <v>2.6099999999999999E-3</v>
      </c>
      <c r="BN152">
        <f t="shared" si="297"/>
        <v>3.4736533118781767E-6</v>
      </c>
      <c r="BO152" s="463">
        <f t="shared" si="298"/>
        <v>4.3560693049666095E-2</v>
      </c>
      <c r="BP152" s="147">
        <f t="shared" si="243"/>
        <v>42.66171900697563</v>
      </c>
      <c r="BQ152" s="463">
        <f t="shared" si="299"/>
        <v>2.3077261281002254E-2</v>
      </c>
      <c r="BT152" s="147">
        <f t="shared" si="245"/>
        <v>23.077261281002254</v>
      </c>
      <c r="BU152" s="463">
        <f t="shared" si="246"/>
        <v>1.7887493960293741E-2</v>
      </c>
      <c r="BV152" s="463">
        <f t="shared" si="247"/>
        <v>9.2058393730395961E-3</v>
      </c>
      <c r="BW152" s="463">
        <f t="shared" si="248"/>
        <v>0</v>
      </c>
      <c r="BX152" s="463"/>
      <c r="BY152" s="463">
        <f t="shared" si="249"/>
        <v>1.4116927059472916E-2</v>
      </c>
      <c r="BZ152" s="147">
        <f t="shared" si="250"/>
        <v>41.210260392806248</v>
      </c>
      <c r="CA152" s="153">
        <f t="shared" si="251"/>
        <v>0.10694924068078412</v>
      </c>
      <c r="CB152" s="5">
        <f t="shared" si="252"/>
        <v>0.84000000000000008</v>
      </c>
      <c r="CC152" s="153">
        <f t="shared" si="253"/>
        <v>0.88705916211105906</v>
      </c>
      <c r="CD152" s="5">
        <f t="shared" si="254"/>
        <v>88.705916211105901</v>
      </c>
      <c r="CG152" s="59">
        <f t="shared" si="300"/>
        <v>-50</v>
      </c>
      <c r="CH152">
        <f t="shared" si="301"/>
        <v>-50</v>
      </c>
    </row>
    <row r="153" spans="5:86" x14ac:dyDescent="0.25">
      <c r="E153" s="150">
        <v>43</v>
      </c>
      <c r="F153" s="191">
        <f t="shared" si="302"/>
        <v>4.3000000000000003E-2</v>
      </c>
      <c r="G153" s="191"/>
      <c r="H153" s="191">
        <f t="shared" si="266"/>
        <v>0.8600000000000001</v>
      </c>
      <c r="I153" s="472">
        <f t="shared" si="267"/>
        <v>9</v>
      </c>
      <c r="J153" s="386">
        <f t="shared" si="268"/>
        <v>20.32</v>
      </c>
      <c r="K153" s="386">
        <f t="shared" si="269"/>
        <v>29.32</v>
      </c>
      <c r="L153" s="386"/>
      <c r="M153" s="191">
        <f t="shared" si="270"/>
        <v>0.69304229195088674</v>
      </c>
      <c r="N153" s="152">
        <f t="shared" si="271"/>
        <v>2.1177466575716233</v>
      </c>
      <c r="O153" s="152">
        <f t="shared" si="262"/>
        <v>0.8600000000000001</v>
      </c>
      <c r="P153" s="191">
        <f t="shared" si="272"/>
        <v>0.10588733287858117</v>
      </c>
      <c r="Q153" s="191">
        <f t="shared" si="273"/>
        <v>20</v>
      </c>
      <c r="R153" s="191"/>
      <c r="S153" s="152">
        <f t="shared" si="274"/>
        <v>61.685982015213717</v>
      </c>
      <c r="T153" s="152">
        <f t="shared" si="275"/>
        <v>20</v>
      </c>
      <c r="U153" s="191">
        <f t="shared" si="276"/>
        <v>0.3063964226693886</v>
      </c>
      <c r="V153" s="191">
        <f t="shared" si="277"/>
        <v>2.0426428177959242</v>
      </c>
      <c r="W153" s="191">
        <f t="shared" si="278"/>
        <v>0.90471384646473008</v>
      </c>
      <c r="X153" s="175">
        <f t="shared" si="279"/>
        <v>350</v>
      </c>
      <c r="Y153" s="386">
        <f t="shared" si="215"/>
        <v>339.287067671822</v>
      </c>
      <c r="AA153" s="191">
        <f t="shared" si="280"/>
        <v>0.29701812512180864</v>
      </c>
      <c r="AB153" s="153">
        <f t="shared" si="281"/>
        <v>0.87702202299746645</v>
      </c>
      <c r="AC153" s="153">
        <f t="shared" si="282"/>
        <v>4.5586001468217563E-2</v>
      </c>
      <c r="AD153" s="153"/>
      <c r="AE153" s="153">
        <f t="shared" si="283"/>
        <v>0.44291338582677164</v>
      </c>
      <c r="AF153" s="317">
        <f t="shared" si="284"/>
        <v>1294.4592592592596</v>
      </c>
      <c r="AG153" s="463">
        <f t="shared" si="285"/>
        <v>1.1626476377952754E-2</v>
      </c>
      <c r="AI153" s="153">
        <f t="shared" si="286"/>
        <v>0.2884705151228425</v>
      </c>
      <c r="AJ153" s="153">
        <f t="shared" si="287"/>
        <v>0.2884705151228425</v>
      </c>
      <c r="AK153" s="153">
        <f t="shared" si="288"/>
        <v>1.2923136767485617</v>
      </c>
      <c r="AM153" s="317">
        <f t="shared" si="289"/>
        <v>43</v>
      </c>
      <c r="AN153" s="147">
        <f t="shared" si="290"/>
        <v>339.287067671822</v>
      </c>
      <c r="AP153" s="147">
        <f t="shared" si="291"/>
        <v>43</v>
      </c>
      <c r="AQ153" s="147">
        <f t="shared" si="292"/>
        <v>339.287067671822</v>
      </c>
      <c r="AS153" s="5">
        <f t="shared" si="263"/>
        <v>2.9473566642606537</v>
      </c>
      <c r="AT153" s="5">
        <f t="shared" si="293"/>
        <v>1.9231367674856166</v>
      </c>
      <c r="AU153" s="5">
        <f t="shared" si="230"/>
        <v>1.0242198967750371</v>
      </c>
      <c r="AV153" s="5"/>
      <c r="AW153" s="153">
        <f t="shared" si="231"/>
        <v>0.65249543457206138</v>
      </c>
      <c r="AX153" s="153">
        <f t="shared" si="259"/>
        <v>0.8470156235683749</v>
      </c>
      <c r="AY153" s="153">
        <f t="shared" si="260"/>
        <v>5.0122410498268488E-2</v>
      </c>
      <c r="AZ153" s="153">
        <f t="shared" si="264"/>
        <v>16.898940317278548</v>
      </c>
      <c r="BA153" s="147">
        <f t="shared" si="294"/>
        <v>3.0231480258994696</v>
      </c>
      <c r="BB153" s="147">
        <f t="shared" si="295"/>
        <v>8.5663622785185201</v>
      </c>
      <c r="BC153" s="5">
        <f t="shared" si="258"/>
        <v>0.10874433471932493</v>
      </c>
      <c r="BD153" s="147">
        <f t="shared" si="296"/>
        <v>11.192951990451011</v>
      </c>
      <c r="BF153" s="153">
        <f t="shared" si="265"/>
        <v>0.13453322135439255</v>
      </c>
      <c r="BG153" s="153">
        <f t="shared" si="261"/>
        <v>9.8179555154944143E-2</v>
      </c>
      <c r="BI153" s="463">
        <f t="shared" si="236"/>
        <v>6.3347156767964942E-3</v>
      </c>
      <c r="BJ153" s="463">
        <f t="shared" si="237"/>
        <v>1.434837460623963E-2</v>
      </c>
      <c r="BK153" s="463">
        <f t="shared" si="238"/>
        <v>4.2410883458977745E-3</v>
      </c>
      <c r="BL153" s="463">
        <f t="shared" si="239"/>
        <v>1.4583616744186048E-2</v>
      </c>
      <c r="BM153">
        <f t="shared" si="240"/>
        <v>2.6099999999999999E-3</v>
      </c>
      <c r="BN153">
        <f t="shared" si="297"/>
        <v>3.3928706767182201E-6</v>
      </c>
      <c r="BO153" s="463">
        <f t="shared" si="298"/>
        <v>4.3026662488904396E-2</v>
      </c>
      <c r="BP153" s="147">
        <f t="shared" si="243"/>
        <v>42.117795373119947</v>
      </c>
      <c r="BQ153" s="463">
        <f t="shared" si="299"/>
        <v>2.3790367938522961E-2</v>
      </c>
      <c r="BT153" s="147">
        <f t="shared" si="245"/>
        <v>23.790367938522962</v>
      </c>
      <c r="BU153" s="463">
        <f t="shared" si="246"/>
        <v>1.8099187647989984E-2</v>
      </c>
      <c r="BV153" s="463">
        <f t="shared" si="247"/>
        <v>9.6392250504227193E-3</v>
      </c>
      <c r="BW153" s="463">
        <f t="shared" si="248"/>
        <v>0</v>
      </c>
      <c r="BX153" s="463"/>
      <c r="BY153" s="463">
        <f t="shared" si="249"/>
        <v>1.4116927059472918E-2</v>
      </c>
      <c r="BZ153" s="147">
        <f t="shared" si="250"/>
        <v>41.855339757885623</v>
      </c>
      <c r="CA153" s="153">
        <f t="shared" si="251"/>
        <v>0.10776350306952852</v>
      </c>
      <c r="CB153" s="5">
        <f t="shared" si="252"/>
        <v>0.8600000000000001</v>
      </c>
      <c r="CC153" s="153">
        <f t="shared" si="253"/>
        <v>0.88864686183377772</v>
      </c>
      <c r="CD153" s="5">
        <f t="shared" si="254"/>
        <v>88.864686183377771</v>
      </c>
      <c r="CG153" s="59">
        <f t="shared" si="300"/>
        <v>-50</v>
      </c>
      <c r="CH153">
        <f t="shared" si="301"/>
        <v>-50</v>
      </c>
    </row>
    <row r="154" spans="5:86" x14ac:dyDescent="0.25">
      <c r="E154" s="150">
        <v>44</v>
      </c>
      <c r="F154" s="191">
        <f t="shared" si="302"/>
        <v>4.4000000000000004E-2</v>
      </c>
      <c r="G154" s="191"/>
      <c r="H154" s="191">
        <f t="shared" si="266"/>
        <v>0.88000000000000012</v>
      </c>
      <c r="I154" s="472">
        <f t="shared" si="267"/>
        <v>9</v>
      </c>
      <c r="J154" s="386">
        <f t="shared" si="268"/>
        <v>20.32</v>
      </c>
      <c r="K154" s="386">
        <f t="shared" si="269"/>
        <v>29.32</v>
      </c>
      <c r="L154" s="386"/>
      <c r="M154" s="191">
        <f t="shared" si="270"/>
        <v>0.69304229195088674</v>
      </c>
      <c r="N154" s="152">
        <f t="shared" si="271"/>
        <v>2.1177466575716233</v>
      </c>
      <c r="O154" s="152">
        <f t="shared" si="262"/>
        <v>0.88000000000000012</v>
      </c>
      <c r="P154" s="191">
        <f t="shared" si="272"/>
        <v>0.10588733287858117</v>
      </c>
      <c r="Q154" s="191">
        <f t="shared" si="273"/>
        <v>20</v>
      </c>
      <c r="R154" s="191"/>
      <c r="S154" s="152">
        <f t="shared" si="274"/>
        <v>60.081771629743507</v>
      </c>
      <c r="T154" s="152">
        <f t="shared" si="275"/>
        <v>20</v>
      </c>
      <c r="U154" s="191">
        <f t="shared" si="276"/>
        <v>0.31352192087100228</v>
      </c>
      <c r="V154" s="191">
        <f t="shared" si="277"/>
        <v>2.0901461391400153</v>
      </c>
      <c r="W154" s="191">
        <f t="shared" si="278"/>
        <v>0.92575370335925877</v>
      </c>
      <c r="X154" s="175">
        <f t="shared" si="279"/>
        <v>350</v>
      </c>
      <c r="Y154" s="386">
        <f t="shared" si="215"/>
        <v>331.57599795200781</v>
      </c>
      <c r="AA154" s="191">
        <f t="shared" si="280"/>
        <v>0.29701812512180864</v>
      </c>
      <c r="AB154" s="153">
        <f t="shared" si="281"/>
        <v>0.87702202299746645</v>
      </c>
      <c r="AC154" s="153">
        <f t="shared" si="282"/>
        <v>4.5586001468217563E-2</v>
      </c>
      <c r="AD154" s="153"/>
      <c r="AE154" s="153">
        <f t="shared" si="283"/>
        <v>0.44291338582677164</v>
      </c>
      <c r="AF154" s="317">
        <f t="shared" si="284"/>
        <v>1324.5629629629634</v>
      </c>
      <c r="AG154" s="463">
        <f t="shared" si="285"/>
        <v>1.1626476377952754E-2</v>
      </c>
      <c r="AI154" s="153">
        <f t="shared" si="286"/>
        <v>0.29180554516745599</v>
      </c>
      <c r="AJ154" s="153">
        <f t="shared" si="287"/>
        <v>0.29180554516745599</v>
      </c>
      <c r="AK154" s="153">
        <f t="shared" si="288"/>
        <v>1.2945370301116372</v>
      </c>
      <c r="AM154" s="317">
        <f t="shared" si="289"/>
        <v>44.000000000000007</v>
      </c>
      <c r="AN154" s="147">
        <f t="shared" si="290"/>
        <v>331.57599795200781</v>
      </c>
      <c r="AP154" s="147">
        <f t="shared" si="291"/>
        <v>44.000000000000007</v>
      </c>
      <c r="AQ154" s="147">
        <f t="shared" si="292"/>
        <v>331.57599795200781</v>
      </c>
      <c r="AS154" s="5">
        <f t="shared" si="263"/>
        <v>3.015899842499274</v>
      </c>
      <c r="AT154" s="5">
        <f t="shared" si="293"/>
        <v>1.9453703011163737</v>
      </c>
      <c r="AU154" s="5">
        <f t="shared" si="230"/>
        <v>1.0705295413829004</v>
      </c>
      <c r="AV154" s="5"/>
      <c r="AW154" s="153">
        <f t="shared" si="231"/>
        <v>0.64503809897885955</v>
      </c>
      <c r="AX154" s="153">
        <f t="shared" si="259"/>
        <v>0.84701562356837479</v>
      </c>
      <c r="AY154" s="153">
        <f t="shared" si="260"/>
        <v>5.1789925520575222E-2</v>
      </c>
      <c r="AZ154" s="153">
        <f t="shared" si="264"/>
        <v>16.354833783876952</v>
      </c>
      <c r="BA154" s="147">
        <f t="shared" si="294"/>
        <v>3.0231480258994696</v>
      </c>
      <c r="BB154" s="147">
        <f t="shared" si="295"/>
        <v>8.9663609362962955</v>
      </c>
      <c r="BC154" s="5">
        <f t="shared" si="258"/>
        <v>0.11630444400209289</v>
      </c>
      <c r="BD154" s="147">
        <f t="shared" si="296"/>
        <v>11.956370326135215</v>
      </c>
      <c r="BF154" s="153">
        <f t="shared" si="265"/>
        <v>0.13530866107909159</v>
      </c>
      <c r="BG154" s="153">
        <f t="shared" si="261"/>
        <v>0.1003745899143583</v>
      </c>
      <c r="BI154" s="463">
        <f t="shared" si="236"/>
        <v>6.4079518170557662E-3</v>
      </c>
      <c r="BJ154" s="463">
        <f t="shared" si="237"/>
        <v>1.4184387796545118E-2</v>
      </c>
      <c r="BK154" s="463">
        <f t="shared" si="238"/>
        <v>4.144699974400097E-3</v>
      </c>
      <c r="BL154" s="463">
        <f t="shared" si="239"/>
        <v>1.4252170909090908E-2</v>
      </c>
      <c r="BM154">
        <f t="shared" si="240"/>
        <v>2.6099999999999999E-3</v>
      </c>
      <c r="BN154">
        <f t="shared" si="297"/>
        <v>3.3157599795200781E-6</v>
      </c>
      <c r="BO154" s="463">
        <f t="shared" si="298"/>
        <v>4.2517867228395914E-2</v>
      </c>
      <c r="BP154" s="147">
        <f t="shared" si="243"/>
        <v>41.599210497091896</v>
      </c>
      <c r="BQ154" s="463">
        <f t="shared" si="299"/>
        <v>2.4505344541563362E-2</v>
      </c>
      <c r="BT154" s="147">
        <f t="shared" si="245"/>
        <v>24.50534454156336</v>
      </c>
      <c r="BU154" s="463">
        <f t="shared" si="246"/>
        <v>1.8308433763016475E-2</v>
      </c>
      <c r="BV154" s="463">
        <f t="shared" si="247"/>
        <v>1.0075058300475599E-2</v>
      </c>
      <c r="BW154" s="463">
        <f t="shared" si="248"/>
        <v>0</v>
      </c>
      <c r="BX154" s="463"/>
      <c r="BY154" s="463">
        <f t="shared" si="249"/>
        <v>1.4116927059472914E-2</v>
      </c>
      <c r="BZ154" s="147">
        <f t="shared" si="250"/>
        <v>42.500419122964992</v>
      </c>
      <c r="CA154" s="153">
        <f t="shared" si="251"/>
        <v>0.10860497416162024</v>
      </c>
      <c r="CB154" s="5">
        <f t="shared" si="252"/>
        <v>0.88000000000000012</v>
      </c>
      <c r="CC154" s="153">
        <f t="shared" si="253"/>
        <v>0.89014320481876807</v>
      </c>
      <c r="CD154" s="5">
        <f t="shared" si="254"/>
        <v>89.014320481876808</v>
      </c>
      <c r="CG154" s="59">
        <f t="shared" si="300"/>
        <v>-50</v>
      </c>
      <c r="CH154">
        <f t="shared" si="301"/>
        <v>-50</v>
      </c>
    </row>
    <row r="155" spans="5:86" x14ac:dyDescent="0.25">
      <c r="E155" s="150">
        <v>45</v>
      </c>
      <c r="F155" s="191">
        <f t="shared" si="302"/>
        <v>4.5000000000000005E-2</v>
      </c>
      <c r="G155" s="191"/>
      <c r="H155" s="191">
        <f t="shared" si="266"/>
        <v>0.90000000000000013</v>
      </c>
      <c r="I155" s="472">
        <f t="shared" si="267"/>
        <v>9</v>
      </c>
      <c r="J155" s="386">
        <f t="shared" si="268"/>
        <v>20.32</v>
      </c>
      <c r="K155" s="386">
        <f t="shared" si="269"/>
        <v>29.32</v>
      </c>
      <c r="L155" s="386"/>
      <c r="M155" s="191">
        <f t="shared" si="270"/>
        <v>0.69304229195088674</v>
      </c>
      <c r="N155" s="152">
        <f t="shared" si="271"/>
        <v>2.1177466575716233</v>
      </c>
      <c r="O155" s="152">
        <f t="shared" si="262"/>
        <v>0.90000000000000013</v>
      </c>
      <c r="P155" s="191">
        <f t="shared" si="272"/>
        <v>0.10588733287858117</v>
      </c>
      <c r="Q155" s="191">
        <f t="shared" si="273"/>
        <v>20</v>
      </c>
      <c r="R155" s="191"/>
      <c r="S155" s="152">
        <f t="shared" si="274"/>
        <v>58.548922247767308</v>
      </c>
      <c r="T155" s="152">
        <f t="shared" si="275"/>
        <v>20</v>
      </c>
      <c r="U155" s="191">
        <f t="shared" si="276"/>
        <v>0.32064741907261601</v>
      </c>
      <c r="V155" s="191">
        <f t="shared" si="277"/>
        <v>2.137649460484107</v>
      </c>
      <c r="W155" s="191">
        <f t="shared" si="278"/>
        <v>0.94679356025378747</v>
      </c>
      <c r="X155" s="175">
        <f t="shared" si="279"/>
        <v>350</v>
      </c>
      <c r="Y155" s="386">
        <f t="shared" si="215"/>
        <v>324.20764244196317</v>
      </c>
      <c r="AA155" s="191">
        <f t="shared" si="280"/>
        <v>0.29701812512180864</v>
      </c>
      <c r="AB155" s="153">
        <f t="shared" si="281"/>
        <v>0.87702202299746645</v>
      </c>
      <c r="AC155" s="153">
        <f t="shared" si="282"/>
        <v>4.5586001468217563E-2</v>
      </c>
      <c r="AD155" s="153"/>
      <c r="AE155" s="153">
        <f t="shared" si="283"/>
        <v>0.44291338582677164</v>
      </c>
      <c r="AF155" s="317">
        <f t="shared" si="284"/>
        <v>1354.666666666667</v>
      </c>
      <c r="AG155" s="463">
        <f t="shared" si="285"/>
        <v>1.1626476377952754E-2</v>
      </c>
      <c r="AI155" s="153">
        <f t="shared" si="286"/>
        <v>0.29510288762686532</v>
      </c>
      <c r="AJ155" s="153">
        <f t="shared" si="287"/>
        <v>0.29510288762686532</v>
      </c>
      <c r="AK155" s="153">
        <f t="shared" si="288"/>
        <v>1.2967352584179102</v>
      </c>
      <c r="AM155" s="317">
        <f t="shared" si="289"/>
        <v>45.000000000000007</v>
      </c>
      <c r="AN155" s="147">
        <f t="shared" si="290"/>
        <v>324.20764244196317</v>
      </c>
      <c r="AP155" s="147">
        <f t="shared" si="291"/>
        <v>45.000000000000007</v>
      </c>
      <c r="AQ155" s="147">
        <f t="shared" si="292"/>
        <v>324.20764244196317</v>
      </c>
      <c r="AS155" s="5">
        <f t="shared" si="263"/>
        <v>3.0844430207378943</v>
      </c>
      <c r="AT155" s="5">
        <f t="shared" si="293"/>
        <v>1.9673525841791024</v>
      </c>
      <c r="AU155" s="5">
        <f t="shared" si="230"/>
        <v>1.1170904365587919</v>
      </c>
      <c r="AV155" s="5"/>
      <c r="AW155" s="153">
        <f t="shared" si="231"/>
        <v>0.63783074316881061</v>
      </c>
      <c r="AX155" s="153">
        <f t="shared" si="259"/>
        <v>0.84701562356837479</v>
      </c>
      <c r="AY155" s="153">
        <f t="shared" si="260"/>
        <v>5.3438596750279906E-2</v>
      </c>
      <c r="AZ155" s="153">
        <f t="shared" si="264"/>
        <v>15.850259458093614</v>
      </c>
      <c r="BA155" s="147">
        <f t="shared" si="294"/>
        <v>3.0231480258994696</v>
      </c>
      <c r="BB155" s="147">
        <f t="shared" si="295"/>
        <v>9.3754860000000004</v>
      </c>
      <c r="BC155" s="5">
        <f t="shared" si="258"/>
        <v>0.12412115961764357</v>
      </c>
      <c r="BD155" s="147">
        <f t="shared" si="296"/>
        <v>12.745449295097689</v>
      </c>
      <c r="BF155" s="153">
        <f t="shared" si="265"/>
        <v>0.13607099355635874</v>
      </c>
      <c r="BG155" s="153">
        <f t="shared" si="261"/>
        <v>0.10253417060256943</v>
      </c>
      <c r="BI155" s="463">
        <f t="shared" si="236"/>
        <v>6.4803603505951173E-3</v>
      </c>
      <c r="BJ155" s="463">
        <f t="shared" si="237"/>
        <v>1.4025898042282145E-2</v>
      </c>
      <c r="BK155" s="463">
        <f t="shared" si="238"/>
        <v>4.0525955305245392E-3</v>
      </c>
      <c r="BL155" s="463">
        <f t="shared" si="239"/>
        <v>1.3935455999999999E-2</v>
      </c>
      <c r="BM155">
        <f t="shared" si="240"/>
        <v>2.6099999999999999E-3</v>
      </c>
      <c r="BN155">
        <f t="shared" si="297"/>
        <v>3.2420764244196319E-6</v>
      </c>
      <c r="BO155" s="463">
        <f t="shared" si="298"/>
        <v>4.2032656003896475E-2</v>
      </c>
      <c r="BP155" s="147">
        <f t="shared" si="243"/>
        <v>41.104309923401807</v>
      </c>
      <c r="BQ155" s="463">
        <f t="shared" si="299"/>
        <v>2.5222127691843808E-2</v>
      </c>
      <c r="BT155" s="147">
        <f t="shared" si="245"/>
        <v>25.222127691843809</v>
      </c>
      <c r="BU155" s="463">
        <f t="shared" si="246"/>
        <v>1.8515315287414621E-2</v>
      </c>
      <c r="BV155" s="463">
        <f t="shared" si="247"/>
        <v>1.0513256141156814E-2</v>
      </c>
      <c r="BW155" s="463">
        <f t="shared" si="248"/>
        <v>0</v>
      </c>
      <c r="BX155" s="463"/>
      <c r="BY155" s="463">
        <f t="shared" si="249"/>
        <v>1.4116927059472914E-2</v>
      </c>
      <c r="BZ155" s="147">
        <f t="shared" si="250"/>
        <v>43.145498488044346</v>
      </c>
      <c r="CA155" s="153">
        <f t="shared" si="251"/>
        <v>0.10947193610328997</v>
      </c>
      <c r="CB155" s="5">
        <f t="shared" si="252"/>
        <v>0.90000000000000013</v>
      </c>
      <c r="CC155" s="153">
        <f t="shared" si="253"/>
        <v>0.89155524568036271</v>
      </c>
      <c r="CD155" s="5">
        <f t="shared" si="254"/>
        <v>89.15552456803627</v>
      </c>
      <c r="CG155" s="59">
        <f t="shared" si="300"/>
        <v>-50</v>
      </c>
      <c r="CH155">
        <f t="shared" si="301"/>
        <v>-50</v>
      </c>
    </row>
    <row r="156" spans="5:86" s="59" customFormat="1" x14ac:dyDescent="0.25">
      <c r="E156" s="150">
        <v>46</v>
      </c>
      <c r="F156" s="191">
        <f t="shared" si="302"/>
        <v>4.6000000000000006E-2</v>
      </c>
      <c r="G156" s="191"/>
      <c r="H156" s="191">
        <f t="shared" si="266"/>
        <v>0.92000000000000015</v>
      </c>
      <c r="I156" s="472">
        <f t="shared" si="267"/>
        <v>9</v>
      </c>
      <c r="J156" s="386">
        <f t="shared" si="268"/>
        <v>20.32</v>
      </c>
      <c r="K156" s="386">
        <f t="shared" si="269"/>
        <v>29.32</v>
      </c>
      <c r="L156" s="386"/>
      <c r="M156" s="191">
        <f t="shared" si="270"/>
        <v>0.69304229195088674</v>
      </c>
      <c r="N156" s="152">
        <f t="shared" si="271"/>
        <v>2.1177466575716233</v>
      </c>
      <c r="O156" s="152">
        <f t="shared" si="262"/>
        <v>0.92000000000000015</v>
      </c>
      <c r="P156" s="191">
        <f t="shared" si="272"/>
        <v>0.10588733287858117</v>
      </c>
      <c r="Q156" s="191">
        <f t="shared" si="273"/>
        <v>20</v>
      </c>
      <c r="R156" s="191"/>
      <c r="S156" s="152">
        <f t="shared" si="274"/>
        <v>57.082780481336592</v>
      </c>
      <c r="T156" s="152">
        <f t="shared" si="275"/>
        <v>20</v>
      </c>
      <c r="U156" s="191">
        <f t="shared" si="276"/>
        <v>0.32777291727422969</v>
      </c>
      <c r="V156" s="191">
        <f t="shared" si="277"/>
        <v>2.1851527818281977</v>
      </c>
      <c r="W156" s="191">
        <f t="shared" si="278"/>
        <v>0.96783341714831594</v>
      </c>
      <c r="X156" s="175">
        <f t="shared" si="279"/>
        <v>350</v>
      </c>
      <c r="Y156" s="386">
        <f t="shared" si="215"/>
        <v>317.15965021496402</v>
      </c>
      <c r="AA156" s="191">
        <f t="shared" si="280"/>
        <v>0.29701812512180864</v>
      </c>
      <c r="AB156" s="469">
        <f t="shared" si="281"/>
        <v>0.87702202299746645</v>
      </c>
      <c r="AC156" s="469">
        <f t="shared" si="282"/>
        <v>4.5586001468217563E-2</v>
      </c>
      <c r="AD156" s="469"/>
      <c r="AE156" s="469">
        <f t="shared" si="283"/>
        <v>0.44291338582677164</v>
      </c>
      <c r="AF156" s="317">
        <f t="shared" si="284"/>
        <v>1384.7703703703708</v>
      </c>
      <c r="AG156" s="504">
        <f t="shared" si="285"/>
        <v>1.1626476377952754E-2</v>
      </c>
      <c r="AI156" s="469">
        <f t="shared" si="286"/>
        <v>0.29836379200726149</v>
      </c>
      <c r="AJ156" s="469">
        <f t="shared" si="287"/>
        <v>0.32777291727422969</v>
      </c>
      <c r="AK156" s="153">
        <f t="shared" si="288"/>
        <v>1.3185152781828198</v>
      </c>
      <c r="AM156" s="491">
        <f t="shared" si="289"/>
        <v>46.000000000000007</v>
      </c>
      <c r="AN156" s="492">
        <f t="shared" si="290"/>
        <v>317.15965021496402</v>
      </c>
      <c r="AP156" s="59">
        <f t="shared" si="291"/>
        <v>46.000000000000007</v>
      </c>
      <c r="AQ156" s="59">
        <f t="shared" si="292"/>
        <v>317.15965021496402</v>
      </c>
      <c r="AS156" s="170">
        <f t="shared" si="263"/>
        <v>3.1529861989765138</v>
      </c>
      <c r="AT156" s="5">
        <f t="shared" si="293"/>
        <v>2.1851527818281977</v>
      </c>
      <c r="AU156" s="5">
        <f t="shared" si="230"/>
        <v>0.96783341714831606</v>
      </c>
      <c r="AV156" s="5"/>
      <c r="AW156" s="153">
        <f t="shared" si="231"/>
        <v>0.69304229195088674</v>
      </c>
      <c r="AX156" s="153">
        <f t="shared" si="259"/>
        <v>1.0222222222222226</v>
      </c>
      <c r="AY156" s="153">
        <f t="shared" si="260"/>
        <v>5.0306211723534576E-2</v>
      </c>
      <c r="AZ156" s="153">
        <f t="shared" si="264"/>
        <v>20.32</v>
      </c>
      <c r="BA156" s="147">
        <f t="shared" si="294"/>
        <v>3.0231480258994696</v>
      </c>
      <c r="BB156" s="147">
        <f t="shared" si="295"/>
        <v>9.7937374696296331</v>
      </c>
      <c r="BC156" s="5">
        <f t="shared" si="258"/>
        <v>0.10992675849091986</v>
      </c>
      <c r="BD156" s="147">
        <f t="shared" si="296"/>
        <v>11.333416589832726</v>
      </c>
      <c r="BF156" s="153">
        <f t="shared" si="265"/>
        <v>0.15754053208744204</v>
      </c>
      <c r="BG156" s="153">
        <f t="shared" si="261"/>
        <v>0.10484596248350239</v>
      </c>
      <c r="BI156" s="463">
        <f t="shared" si="236"/>
        <v>8.6866567376380228E-3</v>
      </c>
      <c r="BJ156" s="463">
        <f t="shared" si="237"/>
        <v>1.5240000000000002E-2</v>
      </c>
      <c r="BK156" s="463">
        <f t="shared" si="238"/>
        <v>3.9644956276870501E-3</v>
      </c>
      <c r="BL156" s="463">
        <f t="shared" si="239"/>
        <v>1.3632511304347826E-2</v>
      </c>
      <c r="BM156">
        <f t="shared" si="240"/>
        <v>2.6099999999999999E-3</v>
      </c>
      <c r="BN156">
        <f t="shared" si="297"/>
        <v>3.1715965021496403E-6</v>
      </c>
      <c r="BO156" s="463">
        <f t="shared" si="298"/>
        <v>4.538226754899824E-2</v>
      </c>
      <c r="BP156" s="147">
        <f t="shared" si="243"/>
        <v>44.133663669672906</v>
      </c>
      <c r="BQ156" s="463">
        <f t="shared" si="299"/>
        <v>2.5970404348706285E-2</v>
      </c>
      <c r="BT156" s="147">
        <f t="shared" si="245"/>
        <v>25.970404348706285</v>
      </c>
      <c r="BU156" s="463">
        <f t="shared" si="246"/>
        <v>2.4819019250394352E-2</v>
      </c>
      <c r="BV156" s="463">
        <f t="shared" si="247"/>
        <v>1.0992675849091992E-2</v>
      </c>
      <c r="BW156" s="463">
        <f t="shared" si="248"/>
        <v>0</v>
      </c>
      <c r="BX156" s="463"/>
      <c r="BY156" s="463">
        <f t="shared" si="249"/>
        <v>1.7037037037037045E-2</v>
      </c>
      <c r="BZ156" s="147">
        <f t="shared" si="250"/>
        <v>52.848732136523388</v>
      </c>
      <c r="CA156" s="153">
        <f t="shared" si="251"/>
        <v>0.12295280015490259</v>
      </c>
      <c r="CB156" s="5">
        <f t="shared" si="252"/>
        <v>0.92000000000000015</v>
      </c>
      <c r="CC156" s="153">
        <f t="shared" si="253"/>
        <v>0.88211086816523132</v>
      </c>
      <c r="CD156" s="5">
        <f t="shared" si="254"/>
        <v>88.211086816523135</v>
      </c>
      <c r="CG156" s="59">
        <f t="shared" si="300"/>
        <v>-50</v>
      </c>
      <c r="CH156">
        <f t="shared" si="301"/>
        <v>-50</v>
      </c>
    </row>
    <row r="157" spans="5:86" x14ac:dyDescent="0.25">
      <c r="E157" s="150">
        <v>47</v>
      </c>
      <c r="F157" s="191">
        <f t="shared" si="302"/>
        <v>4.7E-2</v>
      </c>
      <c r="G157" s="191"/>
      <c r="H157" s="191">
        <f t="shared" si="266"/>
        <v>0.94</v>
      </c>
      <c r="I157" s="472">
        <f t="shared" si="267"/>
        <v>9</v>
      </c>
      <c r="J157" s="386">
        <f t="shared" si="268"/>
        <v>20.32</v>
      </c>
      <c r="K157" s="386">
        <f t="shared" si="269"/>
        <v>29.32</v>
      </c>
      <c r="L157" s="386"/>
      <c r="M157" s="191">
        <f t="shared" si="270"/>
        <v>0.69304229195088674</v>
      </c>
      <c r="N157" s="152">
        <f t="shared" si="271"/>
        <v>2.1177466575716233</v>
      </c>
      <c r="O157" s="152">
        <f t="shared" si="262"/>
        <v>0.94</v>
      </c>
      <c r="P157" s="191">
        <f t="shared" si="272"/>
        <v>0.10588733287858117</v>
      </c>
      <c r="Q157" s="191">
        <f t="shared" si="273"/>
        <v>20</v>
      </c>
      <c r="R157" s="191"/>
      <c r="S157" s="152">
        <f t="shared" si="274"/>
        <v>55.679088982558952</v>
      </c>
      <c r="T157" s="152">
        <f t="shared" si="275"/>
        <v>20</v>
      </c>
      <c r="U157" s="191">
        <f t="shared" si="276"/>
        <v>0.33489841547584331</v>
      </c>
      <c r="V157" s="191">
        <f t="shared" si="277"/>
        <v>2.2326561031722889</v>
      </c>
      <c r="W157" s="191">
        <f t="shared" si="278"/>
        <v>0.98887327404284442</v>
      </c>
      <c r="X157" s="175">
        <f t="shared" si="279"/>
        <v>350</v>
      </c>
      <c r="Y157" s="386">
        <f t="shared" si="215"/>
        <v>310.41157255081589</v>
      </c>
      <c r="AA157" s="191">
        <f t="shared" si="280"/>
        <v>0.29701812512180864</v>
      </c>
      <c r="AB157" s="153">
        <f t="shared" si="281"/>
        <v>0.87702202299746645</v>
      </c>
      <c r="AC157" s="153">
        <f t="shared" si="282"/>
        <v>4.5586001468217563E-2</v>
      </c>
      <c r="AD157" s="153"/>
      <c r="AE157" s="153">
        <f t="shared" si="283"/>
        <v>0.44291338582677164</v>
      </c>
      <c r="AF157" s="317">
        <f t="shared" si="284"/>
        <v>1414.8740740740743</v>
      </c>
      <c r="AG157" s="463">
        <f t="shared" si="285"/>
        <v>1.1626476377952754E-2</v>
      </c>
      <c r="AI157" s="153">
        <f t="shared" si="286"/>
        <v>0.30158944025975193</v>
      </c>
      <c r="AJ157" s="153">
        <f t="shared" si="287"/>
        <v>0.33489841547584331</v>
      </c>
      <c r="AK157" s="153">
        <f t="shared" si="288"/>
        <v>1.3232656103172289</v>
      </c>
      <c r="AM157" s="317">
        <f t="shared" si="289"/>
        <v>47</v>
      </c>
      <c r="AN157" s="147">
        <f t="shared" si="290"/>
        <v>310.41157255081589</v>
      </c>
      <c r="AP157">
        <f t="shared" si="291"/>
        <v>47</v>
      </c>
      <c r="AQ157">
        <f t="shared" si="292"/>
        <v>310.41157255081589</v>
      </c>
      <c r="AS157" s="5">
        <f t="shared" si="263"/>
        <v>3.2215293772151332</v>
      </c>
      <c r="AT157" s="5">
        <f t="shared" si="293"/>
        <v>2.2326561031722889</v>
      </c>
      <c r="AU157" s="5">
        <f t="shared" si="230"/>
        <v>0.98887327404284431</v>
      </c>
      <c r="AV157" s="5"/>
      <c r="AW157" s="153">
        <f t="shared" si="231"/>
        <v>0.69304229195088685</v>
      </c>
      <c r="AX157" s="153">
        <f t="shared" si="259"/>
        <v>1.0444444444444447</v>
      </c>
      <c r="AY157" s="153">
        <f t="shared" si="260"/>
        <v>5.1399825021872257E-2</v>
      </c>
      <c r="AZ157" s="153">
        <f t="shared" si="264"/>
        <v>20.320000000000007</v>
      </c>
      <c r="BA157" s="147">
        <f t="shared" si="294"/>
        <v>3.0231480258994696</v>
      </c>
      <c r="BB157" s="147">
        <f t="shared" si="295"/>
        <v>10.221115345185183</v>
      </c>
      <c r="BC157" s="5">
        <f t="shared" si="258"/>
        <v>0.1147581330370708</v>
      </c>
      <c r="BD157" s="147">
        <f t="shared" si="296"/>
        <v>11.823961451855228</v>
      </c>
      <c r="BF157" s="153">
        <f t="shared" si="265"/>
        <v>0.16096532626325596</v>
      </c>
      <c r="BG157" s="153">
        <f t="shared" si="261"/>
        <v>0.10712522253749153</v>
      </c>
      <c r="BI157" s="463">
        <f t="shared" si="236"/>
        <v>9.0684426906627539E-3</v>
      </c>
      <c r="BJ157" s="463">
        <f t="shared" si="237"/>
        <v>1.5240000000000002E-2</v>
      </c>
      <c r="BK157" s="463">
        <f t="shared" si="238"/>
        <v>3.8801446568851984E-3</v>
      </c>
      <c r="BL157" s="463">
        <f t="shared" si="239"/>
        <v>1.3342457872340428E-2</v>
      </c>
      <c r="BM157">
        <f t="shared" si="240"/>
        <v>2.6099999999999999E-3</v>
      </c>
      <c r="BN157">
        <f t="shared" si="297"/>
        <v>3.104115725508159E-6</v>
      </c>
      <c r="BO157" s="463">
        <f t="shared" si="298"/>
        <v>4.5444423421419022E-2</v>
      </c>
      <c r="BP157" s="147">
        <f t="shared" si="243"/>
        <v>44.141045219888383</v>
      </c>
      <c r="BQ157" s="463">
        <f t="shared" si="299"/>
        <v>2.6721521364032212E-2</v>
      </c>
      <c r="BT157" s="147">
        <f t="shared" si="245"/>
        <v>26.721521364032213</v>
      </c>
      <c r="BU157" s="463">
        <f t="shared" si="246"/>
        <v>2.590983625903644E-2</v>
      </c>
      <c r="BV157" s="463">
        <f t="shared" si="247"/>
        <v>1.1475813303707083E-2</v>
      </c>
      <c r="BW157" s="463">
        <f t="shared" si="248"/>
        <v>0</v>
      </c>
      <c r="BX157" s="463"/>
      <c r="BY157" s="463">
        <f t="shared" si="249"/>
        <v>1.740740740740741E-2</v>
      </c>
      <c r="BZ157" s="147">
        <f t="shared" si="250"/>
        <v>54.793056970150936</v>
      </c>
      <c r="CA157" s="153">
        <f t="shared" si="251"/>
        <v>0.12565562355407153</v>
      </c>
      <c r="CB157" s="5">
        <f t="shared" si="252"/>
        <v>0.94</v>
      </c>
      <c r="CC157" s="153">
        <f t="shared" si="253"/>
        <v>0.88208608787236809</v>
      </c>
      <c r="CD157" s="5">
        <f t="shared" si="254"/>
        <v>88.208608787236813</v>
      </c>
      <c r="CG157" s="59">
        <f t="shared" si="300"/>
        <v>-50</v>
      </c>
      <c r="CH157">
        <f t="shared" si="301"/>
        <v>-50</v>
      </c>
    </row>
    <row r="158" spans="5:86" x14ac:dyDescent="0.25">
      <c r="E158" s="150">
        <v>48</v>
      </c>
      <c r="F158" s="191">
        <f t="shared" si="302"/>
        <v>4.8000000000000001E-2</v>
      </c>
      <c r="G158" s="191"/>
      <c r="H158" s="191">
        <f t="shared" si="266"/>
        <v>0.96</v>
      </c>
      <c r="I158" s="472">
        <f t="shared" si="267"/>
        <v>9</v>
      </c>
      <c r="J158" s="386">
        <f t="shared" si="268"/>
        <v>20.32</v>
      </c>
      <c r="K158" s="386">
        <f t="shared" si="269"/>
        <v>29.32</v>
      </c>
      <c r="L158" s="386"/>
      <c r="M158" s="191">
        <f t="shared" si="270"/>
        <v>0.69304229195088674</v>
      </c>
      <c r="N158" s="152">
        <f t="shared" si="271"/>
        <v>2.1177466575716233</v>
      </c>
      <c r="O158" s="152">
        <f t="shared" si="262"/>
        <v>0.96</v>
      </c>
      <c r="P158" s="191">
        <f t="shared" si="272"/>
        <v>0.10588733287858117</v>
      </c>
      <c r="Q158" s="191">
        <f t="shared" si="273"/>
        <v>20</v>
      </c>
      <c r="R158" s="191"/>
      <c r="S158" s="152">
        <f t="shared" si="274"/>
        <v>54.333945189524066</v>
      </c>
      <c r="T158" s="152">
        <f t="shared" si="275"/>
        <v>20</v>
      </c>
      <c r="U158" s="191">
        <f t="shared" si="276"/>
        <v>0.34202391367745699</v>
      </c>
      <c r="V158" s="191">
        <f t="shared" si="277"/>
        <v>2.2801594245163801</v>
      </c>
      <c r="W158" s="191">
        <f t="shared" si="278"/>
        <v>1.009913130937373</v>
      </c>
      <c r="X158" s="175">
        <f t="shared" si="279"/>
        <v>350</v>
      </c>
      <c r="Y158" s="386">
        <f t="shared" si="215"/>
        <v>303.94466478934049</v>
      </c>
      <c r="AA158" s="191">
        <f t="shared" si="280"/>
        <v>0.29701812512180864</v>
      </c>
      <c r="AB158" s="153">
        <f t="shared" si="281"/>
        <v>0.87702202299746645</v>
      </c>
      <c r="AC158" s="153">
        <f t="shared" si="282"/>
        <v>4.5586001468217563E-2</v>
      </c>
      <c r="AD158" s="153"/>
      <c r="AE158" s="153">
        <f t="shared" si="283"/>
        <v>0.44291338582677164</v>
      </c>
      <c r="AF158" s="317">
        <f t="shared" si="284"/>
        <v>1444.9777777777779</v>
      </c>
      <c r="AG158" s="463">
        <f t="shared" si="285"/>
        <v>1.1626476377952754E-2</v>
      </c>
      <c r="AI158" s="153">
        <f t="shared" si="286"/>
        <v>0.30478095178575149</v>
      </c>
      <c r="AJ158" s="153">
        <f t="shared" si="287"/>
        <v>0.34202391367745699</v>
      </c>
      <c r="AK158" s="153">
        <f t="shared" si="288"/>
        <v>1.328015942451638</v>
      </c>
      <c r="AM158" s="317">
        <f t="shared" si="289"/>
        <v>48</v>
      </c>
      <c r="AN158" s="147">
        <f t="shared" si="290"/>
        <v>303.94466478934049</v>
      </c>
      <c r="AP158">
        <f t="shared" si="291"/>
        <v>48</v>
      </c>
      <c r="AQ158">
        <f t="shared" si="292"/>
        <v>303.94466478934049</v>
      </c>
      <c r="AS158" s="5">
        <f t="shared" si="263"/>
        <v>3.2900725554537535</v>
      </c>
      <c r="AT158" s="5">
        <f t="shared" si="293"/>
        <v>2.2801594245163801</v>
      </c>
      <c r="AU158" s="5">
        <f t="shared" si="230"/>
        <v>1.0099131309373734</v>
      </c>
      <c r="AV158" s="5"/>
      <c r="AW158" s="153">
        <f t="shared" si="231"/>
        <v>0.69304229195088674</v>
      </c>
      <c r="AX158" s="153">
        <f t="shared" si="259"/>
        <v>1.0666666666666664</v>
      </c>
      <c r="AY158" s="153">
        <f t="shared" si="260"/>
        <v>5.249343832020998E-2</v>
      </c>
      <c r="AZ158" s="153">
        <f t="shared" si="264"/>
        <v>20.319999999999993</v>
      </c>
      <c r="BA158" s="147">
        <f t="shared" si="294"/>
        <v>3.0231480258994696</v>
      </c>
      <c r="BB158" s="147">
        <f t="shared" si="295"/>
        <v>10.657619626666664</v>
      </c>
      <c r="BC158" s="5">
        <f t="shared" si="258"/>
        <v>0.11969340811109612</v>
      </c>
      <c r="BD158" s="147">
        <f t="shared" si="296"/>
        <v>12.324896366665165</v>
      </c>
      <c r="BF158" s="153">
        <f t="shared" si="265"/>
        <v>0.16439012043906989</v>
      </c>
      <c r="BG158" s="153">
        <f t="shared" si="261"/>
        <v>0.10940448259148072</v>
      </c>
      <c r="BI158" s="463">
        <f t="shared" si="236"/>
        <v>9.4584390942901667E-3</v>
      </c>
      <c r="BJ158" s="463">
        <f t="shared" si="237"/>
        <v>1.5239999999999998E-2</v>
      </c>
      <c r="BK158" s="463">
        <f t="shared" si="238"/>
        <v>3.7993083098667559E-3</v>
      </c>
      <c r="BL158" s="463">
        <f t="shared" si="239"/>
        <v>1.306449E-2</v>
      </c>
      <c r="BM158">
        <f t="shared" si="240"/>
        <v>2.6099999999999999E-3</v>
      </c>
      <c r="BN158">
        <f t="shared" si="297"/>
        <v>3.039446647893405E-6</v>
      </c>
      <c r="BO158" s="463">
        <f t="shared" si="298"/>
        <v>4.5531622544053615E-2</v>
      </c>
      <c r="BP158" s="147">
        <f t="shared" si="243"/>
        <v>44.172237404156917</v>
      </c>
      <c r="BQ158" s="463">
        <f t="shared" si="299"/>
        <v>2.7480576379687743E-2</v>
      </c>
      <c r="BT158" s="147">
        <f t="shared" si="245"/>
        <v>27.480576379687744</v>
      </c>
      <c r="BU158" s="463">
        <f t="shared" si="246"/>
        <v>2.7024111697971906E-2</v>
      </c>
      <c r="BV158" s="463">
        <f t="shared" si="247"/>
        <v>1.1969340811109608E-2</v>
      </c>
      <c r="BW158" s="463">
        <f t="shared" si="248"/>
        <v>0</v>
      </c>
      <c r="BX158" s="463"/>
      <c r="BY158" s="463">
        <f t="shared" si="249"/>
        <v>1.7777777777777778E-2</v>
      </c>
      <c r="BZ158" s="147">
        <f t="shared" si="250"/>
        <v>56.771230286859293</v>
      </c>
      <c r="CA158" s="153">
        <f t="shared" si="251"/>
        <v>0.12842404407070396</v>
      </c>
      <c r="CB158" s="5">
        <f t="shared" si="252"/>
        <v>0.96</v>
      </c>
      <c r="CC158" s="153">
        <f t="shared" si="253"/>
        <v>0.88200918128342864</v>
      </c>
      <c r="CD158" s="5">
        <f t="shared" si="254"/>
        <v>88.200918128342863</v>
      </c>
      <c r="CG158" s="59">
        <f t="shared" si="300"/>
        <v>-50</v>
      </c>
      <c r="CH158">
        <f t="shared" si="301"/>
        <v>-50</v>
      </c>
    </row>
    <row r="159" spans="5:86" x14ac:dyDescent="0.25">
      <c r="E159" s="150">
        <v>49</v>
      </c>
      <c r="F159" s="191">
        <f t="shared" si="302"/>
        <v>4.9000000000000002E-2</v>
      </c>
      <c r="G159" s="191"/>
      <c r="H159" s="191">
        <f t="shared" si="266"/>
        <v>0.98</v>
      </c>
      <c r="I159" s="472">
        <f t="shared" si="267"/>
        <v>9</v>
      </c>
      <c r="J159" s="386">
        <f t="shared" si="268"/>
        <v>20.32</v>
      </c>
      <c r="K159" s="386">
        <f t="shared" si="269"/>
        <v>29.32</v>
      </c>
      <c r="L159" s="386"/>
      <c r="M159" s="191">
        <f t="shared" si="270"/>
        <v>0.69304229195088674</v>
      </c>
      <c r="N159" s="152">
        <f t="shared" si="271"/>
        <v>2.1177466575716233</v>
      </c>
      <c r="O159" s="152">
        <f t="shared" si="262"/>
        <v>0.98</v>
      </c>
      <c r="P159" s="191">
        <f t="shared" si="272"/>
        <v>0.10588733287858117</v>
      </c>
      <c r="Q159" s="191">
        <f t="shared" si="273"/>
        <v>20</v>
      </c>
      <c r="R159" s="191"/>
      <c r="S159" s="152">
        <f t="shared" si="274"/>
        <v>53.043765123750831</v>
      </c>
      <c r="T159" s="152">
        <f t="shared" si="275"/>
        <v>20</v>
      </c>
      <c r="U159" s="191">
        <f t="shared" si="276"/>
        <v>0.34914941187907067</v>
      </c>
      <c r="V159" s="191">
        <f t="shared" si="277"/>
        <v>2.3276627458604713</v>
      </c>
      <c r="W159" s="191">
        <f t="shared" si="278"/>
        <v>1.0309529878319015</v>
      </c>
      <c r="X159" s="175">
        <f t="shared" si="279"/>
        <v>350</v>
      </c>
      <c r="Y159" s="386">
        <f t="shared" si="215"/>
        <v>297.74171244670094</v>
      </c>
      <c r="AA159" s="191">
        <f t="shared" si="280"/>
        <v>0.29701812512180864</v>
      </c>
      <c r="AB159" s="153">
        <f t="shared" si="281"/>
        <v>0.87702202299746645</v>
      </c>
      <c r="AC159" s="153">
        <f t="shared" si="282"/>
        <v>4.5586001468217563E-2</v>
      </c>
      <c r="AD159" s="153"/>
      <c r="AE159" s="153">
        <f t="shared" si="283"/>
        <v>0.44291338582677164</v>
      </c>
      <c r="AF159" s="317">
        <f t="shared" si="284"/>
        <v>1475.0814814814819</v>
      </c>
      <c r="AG159" s="463">
        <f t="shared" si="285"/>
        <v>1.1626476377952754E-2</v>
      </c>
      <c r="AI159" s="153">
        <f t="shared" si="286"/>
        <v>0.30793938797540443</v>
      </c>
      <c r="AJ159" s="153">
        <f t="shared" si="287"/>
        <v>0.34914941187907067</v>
      </c>
      <c r="AK159" s="153">
        <f t="shared" si="288"/>
        <v>1.3327662745860471</v>
      </c>
      <c r="AM159" s="317">
        <f t="shared" si="289"/>
        <v>49</v>
      </c>
      <c r="AN159" s="147">
        <f t="shared" si="290"/>
        <v>297.74171244670094</v>
      </c>
      <c r="AP159">
        <f t="shared" si="291"/>
        <v>49</v>
      </c>
      <c r="AQ159">
        <f t="shared" si="292"/>
        <v>297.74171244670094</v>
      </c>
      <c r="AS159" s="5">
        <f t="shared" si="263"/>
        <v>3.358615733692373</v>
      </c>
      <c r="AT159" s="5">
        <f t="shared" si="293"/>
        <v>2.3276627458604713</v>
      </c>
      <c r="AU159" s="5">
        <f t="shared" si="230"/>
        <v>1.0309529878319017</v>
      </c>
      <c r="AV159" s="5"/>
      <c r="AW159" s="153">
        <f t="shared" si="231"/>
        <v>0.69304229195088674</v>
      </c>
      <c r="AX159" s="153">
        <f t="shared" si="259"/>
        <v>1.0888888888888888</v>
      </c>
      <c r="AY159" s="153">
        <f t="shared" si="260"/>
        <v>5.3587051618547689E-2</v>
      </c>
      <c r="AZ159" s="153">
        <f t="shared" si="264"/>
        <v>20.319999999999997</v>
      </c>
      <c r="BA159" s="147">
        <f t="shared" si="294"/>
        <v>3.0231480258994696</v>
      </c>
      <c r="BB159" s="147">
        <f t="shared" si="295"/>
        <v>11.103250314074076</v>
      </c>
      <c r="BC159" s="5">
        <f t="shared" si="258"/>
        <v>0.1247325837129955</v>
      </c>
      <c r="BD159" s="147">
        <f t="shared" si="296"/>
        <v>12.836221334262513</v>
      </c>
      <c r="BF159" s="153">
        <f t="shared" si="265"/>
        <v>0.16781491461488385</v>
      </c>
      <c r="BG159" s="153">
        <f t="shared" si="261"/>
        <v>0.1116837426454699</v>
      </c>
      <c r="BI159" s="463">
        <f t="shared" si="236"/>
        <v>9.8566459485202648E-3</v>
      </c>
      <c r="BJ159" s="463">
        <f t="shared" si="237"/>
        <v>1.524E-2</v>
      </c>
      <c r="BK159" s="463">
        <f t="shared" si="238"/>
        <v>3.7217714055837615E-3</v>
      </c>
      <c r="BL159" s="463">
        <f t="shared" si="239"/>
        <v>1.2797867755102043E-2</v>
      </c>
      <c r="BM159">
        <f t="shared" si="240"/>
        <v>2.6099999999999999E-3</v>
      </c>
      <c r="BN159">
        <f t="shared" si="297"/>
        <v>2.9774171244670094E-6</v>
      </c>
      <c r="BO159" s="463">
        <f t="shared" si="298"/>
        <v>4.5642913703841513E-2</v>
      </c>
      <c r="BP159" s="147">
        <f t="shared" si="243"/>
        <v>44.226285109206067</v>
      </c>
      <c r="BQ159" s="463">
        <f t="shared" si="299"/>
        <v>2.8247569395672863E-2</v>
      </c>
      <c r="BT159" s="147">
        <f t="shared" si="245"/>
        <v>28.247569395672862</v>
      </c>
      <c r="BU159" s="463">
        <f t="shared" si="246"/>
        <v>2.8161845567200756E-2</v>
      </c>
      <c r="BV159" s="463">
        <f t="shared" si="247"/>
        <v>1.2473258371299553E-2</v>
      </c>
      <c r="BW159" s="463">
        <f t="shared" si="248"/>
        <v>0</v>
      </c>
      <c r="BX159" s="463"/>
      <c r="BY159" s="463">
        <f t="shared" si="249"/>
        <v>1.8148148148148149E-2</v>
      </c>
      <c r="BZ159" s="147">
        <f t="shared" si="250"/>
        <v>58.78325208664846</v>
      </c>
      <c r="CA159" s="153">
        <f t="shared" si="251"/>
        <v>0.13125710659152737</v>
      </c>
      <c r="CB159" s="5">
        <f t="shared" si="252"/>
        <v>0.98</v>
      </c>
      <c r="CC159" s="153">
        <f t="shared" si="253"/>
        <v>0.88188412401327887</v>
      </c>
      <c r="CD159" s="5">
        <f t="shared" si="254"/>
        <v>88.188412401327881</v>
      </c>
      <c r="CG159" s="59">
        <f t="shared" si="300"/>
        <v>-50</v>
      </c>
      <c r="CH159">
        <f t="shared" si="301"/>
        <v>-50</v>
      </c>
    </row>
    <row r="160" spans="5:86" x14ac:dyDescent="0.25">
      <c r="E160" s="150">
        <v>50</v>
      </c>
      <c r="F160" s="191">
        <f t="shared" si="302"/>
        <v>0.05</v>
      </c>
      <c r="G160" s="191"/>
      <c r="H160" s="191">
        <f t="shared" si="266"/>
        <v>1</v>
      </c>
      <c r="I160" s="472">
        <f t="shared" si="267"/>
        <v>9</v>
      </c>
      <c r="J160" s="386">
        <f t="shared" si="268"/>
        <v>20.32</v>
      </c>
      <c r="K160" s="386">
        <f t="shared" si="269"/>
        <v>29.32</v>
      </c>
      <c r="L160" s="386"/>
      <c r="M160" s="191">
        <f t="shared" si="270"/>
        <v>0.69304229195088674</v>
      </c>
      <c r="N160" s="152">
        <f t="shared" si="271"/>
        <v>2.1177466575716233</v>
      </c>
      <c r="O160" s="152">
        <f t="shared" si="262"/>
        <v>1</v>
      </c>
      <c r="P160" s="191">
        <f t="shared" si="272"/>
        <v>0.10588733287858117</v>
      </c>
      <c r="Q160" s="191">
        <f t="shared" si="273"/>
        <v>20</v>
      </c>
      <c r="R160" s="191"/>
      <c r="S160" s="152">
        <f t="shared" si="274"/>
        <v>51.805251531941948</v>
      </c>
      <c r="T160" s="152">
        <f t="shared" si="275"/>
        <v>20</v>
      </c>
      <c r="U160" s="191">
        <f t="shared" si="276"/>
        <v>0.3562749100806844</v>
      </c>
      <c r="V160" s="191">
        <f t="shared" si="277"/>
        <v>2.3751660672045625</v>
      </c>
      <c r="W160" s="191">
        <f t="shared" si="278"/>
        <v>1.0519928447264304</v>
      </c>
      <c r="X160" s="175">
        <f t="shared" si="279"/>
        <v>350</v>
      </c>
      <c r="Y160" s="386">
        <f t="shared" si="215"/>
        <v>291.7868781977669</v>
      </c>
      <c r="AA160" s="191">
        <f t="shared" si="280"/>
        <v>0.29701812512180864</v>
      </c>
      <c r="AB160" s="153">
        <f t="shared" si="281"/>
        <v>0.87702202299746645</v>
      </c>
      <c r="AC160" s="153">
        <f t="shared" si="282"/>
        <v>4.5586001468217563E-2</v>
      </c>
      <c r="AD160" s="153"/>
      <c r="AE160" s="153">
        <f t="shared" si="283"/>
        <v>0.44291338582677164</v>
      </c>
      <c r="AF160" s="317">
        <f t="shared" si="284"/>
        <v>1505.1851851851854</v>
      </c>
      <c r="AG160" s="463">
        <f t="shared" si="285"/>
        <v>1.1626476377952754E-2</v>
      </c>
      <c r="AI160" s="153">
        <f t="shared" si="286"/>
        <v>0.31106575633120526</v>
      </c>
      <c r="AJ160" s="153">
        <f t="shared" si="287"/>
        <v>0.3562749100806844</v>
      </c>
      <c r="AK160" s="153">
        <f t="shared" si="288"/>
        <v>1.3375166067204562</v>
      </c>
      <c r="AM160" s="317">
        <f t="shared" si="289"/>
        <v>50</v>
      </c>
      <c r="AN160" s="147">
        <f t="shared" si="290"/>
        <v>291.7868781977669</v>
      </c>
      <c r="AP160">
        <f t="shared" si="291"/>
        <v>50</v>
      </c>
      <c r="AQ160">
        <f t="shared" si="292"/>
        <v>291.7868781977669</v>
      </c>
      <c r="AS160" s="5">
        <f t="shared" si="263"/>
        <v>3.4271589119309929</v>
      </c>
      <c r="AT160" s="5">
        <f t="shared" si="293"/>
        <v>2.3751660672045625</v>
      </c>
      <c r="AU160" s="5">
        <f t="shared" si="230"/>
        <v>1.0519928447264304</v>
      </c>
      <c r="AV160" s="5"/>
      <c r="AW160" s="153">
        <f t="shared" si="231"/>
        <v>0.69304229195088674</v>
      </c>
      <c r="AX160" s="153">
        <f t="shared" si="259"/>
        <v>1.1111111111111114</v>
      </c>
      <c r="AY160" s="153">
        <f t="shared" si="260"/>
        <v>5.4680664916885405E-2</v>
      </c>
      <c r="AZ160" s="153">
        <f t="shared" si="264"/>
        <v>20.32</v>
      </c>
      <c r="BA160" s="147">
        <f t="shared" si="294"/>
        <v>3.0231480258994696</v>
      </c>
      <c r="BB160" s="147">
        <f t="shared" si="295"/>
        <v>11.558007407407409</v>
      </c>
      <c r="BC160" s="5">
        <f t="shared" si="258"/>
        <v>0.12987565984276919</v>
      </c>
      <c r="BD160" s="147">
        <f t="shared" si="296"/>
        <v>13.357936354647286</v>
      </c>
      <c r="BF160" s="153">
        <f t="shared" si="265"/>
        <v>0.17123970879069783</v>
      </c>
      <c r="BG160" s="153">
        <f t="shared" si="261"/>
        <v>0.1139630026994591</v>
      </c>
      <c r="BI160" s="463">
        <f t="shared" si="236"/>
        <v>1.0263063253353048E-2</v>
      </c>
      <c r="BJ160" s="463">
        <f t="shared" si="237"/>
        <v>1.524E-2</v>
      </c>
      <c r="BK160" s="463">
        <f t="shared" si="238"/>
        <v>3.6473359774720857E-3</v>
      </c>
      <c r="BL160" s="463">
        <f t="shared" si="239"/>
        <v>1.25419104E-2</v>
      </c>
      <c r="BM160">
        <f t="shared" si="240"/>
        <v>2.6099999999999999E-3</v>
      </c>
      <c r="BN160">
        <f t="shared" si="297"/>
        <v>2.9178687819776689E-6</v>
      </c>
      <c r="BO160" s="463">
        <f t="shared" si="298"/>
        <v>4.5777422197744291E-2</v>
      </c>
      <c r="BP160" s="147">
        <f t="shared" si="243"/>
        <v>44.302309630825135</v>
      </c>
      <c r="BQ160" s="463">
        <f t="shared" si="299"/>
        <v>2.9022500411987576E-2</v>
      </c>
      <c r="BT160" s="147">
        <f t="shared" si="245"/>
        <v>29.022500411987576</v>
      </c>
      <c r="BU160" s="463">
        <f t="shared" si="246"/>
        <v>2.9323037866722995E-2</v>
      </c>
      <c r="BV160" s="463">
        <f t="shared" si="247"/>
        <v>1.2987565984276922E-2</v>
      </c>
      <c r="BW160" s="463">
        <f t="shared" si="248"/>
        <v>0</v>
      </c>
      <c r="BX160" s="463"/>
      <c r="BY160" s="463">
        <f t="shared" si="249"/>
        <v>1.8518518518518524E-2</v>
      </c>
      <c r="BZ160" s="147">
        <f t="shared" si="250"/>
        <v>60.829122369518444</v>
      </c>
      <c r="CA160" s="153">
        <f t="shared" si="251"/>
        <v>0.13415393241233114</v>
      </c>
      <c r="CB160" s="5">
        <f t="shared" si="252"/>
        <v>1</v>
      </c>
      <c r="CC160" s="153">
        <f t="shared" si="253"/>
        <v>0.88171452870864953</v>
      </c>
      <c r="CD160" s="5">
        <f t="shared" si="254"/>
        <v>88.171452870864954</v>
      </c>
      <c r="CG160" s="59">
        <f t="shared" si="300"/>
        <v>-50</v>
      </c>
      <c r="CH160">
        <f t="shared" si="301"/>
        <v>-50</v>
      </c>
    </row>
    <row r="161" spans="5:86" x14ac:dyDescent="0.25">
      <c r="E161" s="150">
        <v>51</v>
      </c>
      <c r="F161" s="191">
        <f t="shared" si="302"/>
        <v>5.1000000000000004E-2</v>
      </c>
      <c r="G161" s="191"/>
      <c r="H161" s="191">
        <f t="shared" si="266"/>
        <v>1.02</v>
      </c>
      <c r="I161" s="472">
        <f t="shared" si="267"/>
        <v>9</v>
      </c>
      <c r="J161" s="386">
        <f t="shared" si="268"/>
        <v>20.32</v>
      </c>
      <c r="K161" s="386">
        <f t="shared" si="269"/>
        <v>29.32</v>
      </c>
      <c r="L161" s="386"/>
      <c r="M161" s="191">
        <f t="shared" si="270"/>
        <v>0.69304229195088674</v>
      </c>
      <c r="N161" s="152">
        <f t="shared" si="271"/>
        <v>2.1177466575716233</v>
      </c>
      <c r="O161" s="152">
        <f t="shared" si="262"/>
        <v>1.02</v>
      </c>
      <c r="P161" s="191">
        <f t="shared" si="272"/>
        <v>0.10588733287858117</v>
      </c>
      <c r="Q161" s="191">
        <f t="shared" si="273"/>
        <v>20</v>
      </c>
      <c r="R161" s="191"/>
      <c r="S161" s="152">
        <f t="shared" si="274"/>
        <v>50.615365775769206</v>
      </c>
      <c r="T161" s="152">
        <f t="shared" si="275"/>
        <v>20</v>
      </c>
      <c r="U161" s="191">
        <f t="shared" si="276"/>
        <v>0.36340040828229808</v>
      </c>
      <c r="V161" s="191">
        <f t="shared" si="277"/>
        <v>2.4226693885486537</v>
      </c>
      <c r="W161" s="191">
        <f t="shared" si="278"/>
        <v>1.0730327016209589</v>
      </c>
      <c r="X161" s="175">
        <f t="shared" si="279"/>
        <v>350</v>
      </c>
      <c r="Y161" s="386">
        <f t="shared" si="215"/>
        <v>286.0655668605558</v>
      </c>
      <c r="AA161" s="191">
        <f t="shared" si="280"/>
        <v>0.29701812512180864</v>
      </c>
      <c r="AB161" s="153">
        <f t="shared" si="281"/>
        <v>0.87702202299746645</v>
      </c>
      <c r="AC161" s="153">
        <f t="shared" si="282"/>
        <v>4.5586001468217563E-2</v>
      </c>
      <c r="AD161" s="153"/>
      <c r="AE161" s="153">
        <f t="shared" si="283"/>
        <v>0.44291338582677164</v>
      </c>
      <c r="AF161" s="317">
        <f t="shared" si="284"/>
        <v>1535.2888888888892</v>
      </c>
      <c r="AG161" s="463">
        <f t="shared" si="285"/>
        <v>1.1626476377952754E-2</v>
      </c>
      <c r="AI161" s="153">
        <f t="shared" si="286"/>
        <v>0.31416101422223425</v>
      </c>
      <c r="AJ161" s="153">
        <f t="shared" si="287"/>
        <v>0.36340040828229808</v>
      </c>
      <c r="AK161" s="153">
        <f t="shared" si="288"/>
        <v>1.3422669388548654</v>
      </c>
      <c r="AM161" s="317">
        <f t="shared" si="289"/>
        <v>51.000000000000007</v>
      </c>
      <c r="AN161" s="147">
        <f t="shared" si="290"/>
        <v>286.0655668605558</v>
      </c>
      <c r="AP161">
        <f t="shared" si="291"/>
        <v>51.000000000000007</v>
      </c>
      <c r="AQ161">
        <f t="shared" si="292"/>
        <v>286.0655668605558</v>
      </c>
      <c r="AS161" s="5">
        <f t="shared" si="263"/>
        <v>3.4957020901696123</v>
      </c>
      <c r="AT161" s="5">
        <f t="shared" si="293"/>
        <v>2.4226693885486537</v>
      </c>
      <c r="AU161" s="5">
        <f t="shared" si="230"/>
        <v>1.0730327016209587</v>
      </c>
      <c r="AV161" s="5"/>
      <c r="AW161" s="153">
        <f t="shared" si="231"/>
        <v>0.69304229195088685</v>
      </c>
      <c r="AX161" s="153">
        <f t="shared" si="259"/>
        <v>1.1333333333333333</v>
      </c>
      <c r="AY161" s="153">
        <f t="shared" si="260"/>
        <v>5.5774278215223086E-2</v>
      </c>
      <c r="AZ161" s="153">
        <f t="shared" si="264"/>
        <v>20.320000000000004</v>
      </c>
      <c r="BA161" s="147">
        <f t="shared" si="294"/>
        <v>3.0231480258994696</v>
      </c>
      <c r="BB161" s="147">
        <f t="shared" si="295"/>
        <v>12.02189090666667</v>
      </c>
      <c r="BC161" s="5">
        <f t="shared" si="258"/>
        <v>0.135122636500417</v>
      </c>
      <c r="BD161" s="147">
        <f t="shared" si="296"/>
        <v>13.890041427819479</v>
      </c>
      <c r="BF161" s="153">
        <f t="shared" si="265"/>
        <v>0.17466450296651181</v>
      </c>
      <c r="BG161" s="153">
        <f t="shared" si="261"/>
        <v>0.11624226275344826</v>
      </c>
      <c r="BI161" s="463">
        <f t="shared" si="236"/>
        <v>1.0677691008788515E-2</v>
      </c>
      <c r="BJ161" s="463">
        <f t="shared" si="237"/>
        <v>1.524E-2</v>
      </c>
      <c r="BK161" s="463">
        <f t="shared" si="238"/>
        <v>3.5758195857569473E-3</v>
      </c>
      <c r="BL161" s="463">
        <f t="shared" si="239"/>
        <v>1.2295990588235295E-2</v>
      </c>
      <c r="BM161">
        <f t="shared" si="240"/>
        <v>2.6099999999999999E-3</v>
      </c>
      <c r="BN161">
        <f t="shared" si="297"/>
        <v>2.8606556686055579E-6</v>
      </c>
      <c r="BO161" s="463">
        <f t="shared" si="298"/>
        <v>4.593434234040622E-2</v>
      </c>
      <c r="BP161" s="147">
        <f t="shared" si="243"/>
        <v>44.39950118278076</v>
      </c>
      <c r="BQ161" s="463">
        <f t="shared" si="299"/>
        <v>2.9805369428631864E-2</v>
      </c>
      <c r="BT161" s="147">
        <f t="shared" si="245"/>
        <v>29.805369428631863</v>
      </c>
      <c r="BU161" s="463">
        <f t="shared" si="246"/>
        <v>3.0507688596538615E-2</v>
      </c>
      <c r="BV161" s="463">
        <f t="shared" si="247"/>
        <v>1.3512263650041705E-2</v>
      </c>
      <c r="BW161" s="463">
        <f t="shared" si="248"/>
        <v>0</v>
      </c>
      <c r="BX161" s="463"/>
      <c r="BY161" s="463">
        <f t="shared" si="249"/>
        <v>1.8888888888888896E-2</v>
      </c>
      <c r="BZ161" s="147">
        <f t="shared" si="250"/>
        <v>62.90884113546921</v>
      </c>
      <c r="CA161" s="153">
        <f t="shared" si="251"/>
        <v>0.13711371174688183</v>
      </c>
      <c r="CB161" s="5">
        <f t="shared" si="252"/>
        <v>1.02</v>
      </c>
      <c r="CC161" s="153">
        <f t="shared" si="253"/>
        <v>0.88150368424907621</v>
      </c>
      <c r="CD161" s="5">
        <f t="shared" si="254"/>
        <v>88.150368424907626</v>
      </c>
      <c r="CG161" s="59">
        <f t="shared" si="300"/>
        <v>-50</v>
      </c>
      <c r="CH161">
        <f t="shared" si="301"/>
        <v>-50</v>
      </c>
    </row>
    <row r="162" spans="5:86" x14ac:dyDescent="0.25">
      <c r="E162" s="150">
        <v>52</v>
      </c>
      <c r="F162" s="191">
        <f t="shared" si="302"/>
        <v>5.2000000000000005E-2</v>
      </c>
      <c r="G162" s="191"/>
      <c r="H162" s="191">
        <f t="shared" si="266"/>
        <v>1.04</v>
      </c>
      <c r="I162" s="472">
        <f t="shared" si="267"/>
        <v>9</v>
      </c>
      <c r="J162" s="386">
        <f t="shared" si="268"/>
        <v>20.32</v>
      </c>
      <c r="K162" s="386">
        <f t="shared" si="269"/>
        <v>29.32</v>
      </c>
      <c r="L162" s="386"/>
      <c r="M162" s="191">
        <f t="shared" si="270"/>
        <v>0.69304229195088674</v>
      </c>
      <c r="N162" s="152">
        <f t="shared" si="271"/>
        <v>2.1177466575716233</v>
      </c>
      <c r="O162" s="152">
        <f t="shared" si="262"/>
        <v>1.04</v>
      </c>
      <c r="P162" s="191">
        <f t="shared" si="272"/>
        <v>0.10588733287858117</v>
      </c>
      <c r="Q162" s="191">
        <f t="shared" si="273"/>
        <v>20</v>
      </c>
      <c r="R162" s="191"/>
      <c r="S162" s="152">
        <f t="shared" si="274"/>
        <v>49.47130296514635</v>
      </c>
      <c r="T162" s="152">
        <f t="shared" si="275"/>
        <v>20</v>
      </c>
      <c r="U162" s="191">
        <f t="shared" si="276"/>
        <v>0.37052590648391176</v>
      </c>
      <c r="V162" s="191">
        <f t="shared" si="277"/>
        <v>2.4701727098927453</v>
      </c>
      <c r="W162" s="191">
        <f t="shared" si="278"/>
        <v>1.0940725585154876</v>
      </c>
      <c r="X162" s="175">
        <f t="shared" si="279"/>
        <v>350</v>
      </c>
      <c r="Y162" s="386">
        <f t="shared" si="215"/>
        <v>280.56430595939122</v>
      </c>
      <c r="AA162" s="191">
        <f t="shared" si="280"/>
        <v>0.29701812512180864</v>
      </c>
      <c r="AB162" s="153">
        <f t="shared" si="281"/>
        <v>0.87702202299746645</v>
      </c>
      <c r="AC162" s="153">
        <f t="shared" si="282"/>
        <v>4.5586001468217563E-2</v>
      </c>
      <c r="AD162" s="153"/>
      <c r="AE162" s="153">
        <f t="shared" si="283"/>
        <v>0.44291338582677164</v>
      </c>
      <c r="AF162" s="317">
        <f t="shared" si="284"/>
        <v>1565.392592592593</v>
      </c>
      <c r="AG162" s="463">
        <f t="shared" si="285"/>
        <v>1.1626476377952754E-2</v>
      </c>
      <c r="AI162" s="153">
        <f t="shared" si="286"/>
        <v>0.31722607230866284</v>
      </c>
      <c r="AJ162" s="153">
        <f t="shared" si="287"/>
        <v>0.37052590648391176</v>
      </c>
      <c r="AK162" s="153">
        <f t="shared" si="288"/>
        <v>1.3470172709892745</v>
      </c>
      <c r="AM162" s="317">
        <f t="shared" si="289"/>
        <v>52.000000000000007</v>
      </c>
      <c r="AN162" s="147">
        <f t="shared" si="290"/>
        <v>280.56430595939122</v>
      </c>
      <c r="AP162">
        <f t="shared" si="291"/>
        <v>52.000000000000007</v>
      </c>
      <c r="AQ162">
        <f t="shared" si="292"/>
        <v>280.56430595939122</v>
      </c>
      <c r="AS162" s="5">
        <f t="shared" si="263"/>
        <v>3.5642452684082335</v>
      </c>
      <c r="AT162" s="5">
        <f t="shared" si="293"/>
        <v>2.4701727098927453</v>
      </c>
      <c r="AU162" s="5">
        <f t="shared" si="230"/>
        <v>1.0940725585154882</v>
      </c>
      <c r="AV162" s="5"/>
      <c r="AW162" s="153">
        <f t="shared" si="231"/>
        <v>0.69304229195088662</v>
      </c>
      <c r="AX162" s="153">
        <f t="shared" si="259"/>
        <v>1.1555555555555554</v>
      </c>
      <c r="AY162" s="153">
        <f t="shared" si="260"/>
        <v>5.6867891513560836E-2</v>
      </c>
      <c r="AZ162" s="153">
        <f t="shared" si="264"/>
        <v>20.319999999999986</v>
      </c>
      <c r="BA162" s="147">
        <f t="shared" si="294"/>
        <v>3.0231480258994696</v>
      </c>
      <c r="BB162" s="147">
        <f t="shared" si="295"/>
        <v>12.494900811851855</v>
      </c>
      <c r="BC162" s="5">
        <f t="shared" si="258"/>
        <v>0.14047351368593924</v>
      </c>
      <c r="BD162" s="147">
        <f t="shared" si="296"/>
        <v>14.432536553779109</v>
      </c>
      <c r="BF162" s="153">
        <f t="shared" si="265"/>
        <v>0.17808929714232571</v>
      </c>
      <c r="BG162" s="153">
        <f t="shared" si="261"/>
        <v>0.11852152280743748</v>
      </c>
      <c r="BI162" s="463">
        <f t="shared" si="236"/>
        <v>1.1100529214826653E-2</v>
      </c>
      <c r="BJ162" s="463">
        <f t="shared" si="237"/>
        <v>1.5239999999999998E-2</v>
      </c>
      <c r="BK162" s="463">
        <f t="shared" si="238"/>
        <v>3.5070538244923902E-3</v>
      </c>
      <c r="BL162" s="463">
        <f t="shared" si="239"/>
        <v>1.205952923076923E-2</v>
      </c>
      <c r="BM162">
        <f t="shared" si="240"/>
        <v>2.6099999999999999E-3</v>
      </c>
      <c r="BN162">
        <f t="shared" si="297"/>
        <v>2.8056430595939123E-6</v>
      </c>
      <c r="BO162" s="463">
        <f t="shared" si="298"/>
        <v>4.6112930836328538E-2</v>
      </c>
      <c r="BP162" s="147">
        <f t="shared" si="243"/>
        <v>44.517112270088269</v>
      </c>
      <c r="BQ162" s="463">
        <f t="shared" si="299"/>
        <v>3.0596176445605756E-2</v>
      </c>
      <c r="BT162" s="147">
        <f t="shared" si="245"/>
        <v>30.596176445605757</v>
      </c>
      <c r="BU162" s="463">
        <f t="shared" si="246"/>
        <v>3.1715797756647582E-2</v>
      </c>
      <c r="BV162" s="463">
        <f t="shared" si="247"/>
        <v>1.4047351368593924E-2</v>
      </c>
      <c r="BW162" s="463">
        <f t="shared" si="248"/>
        <v>0</v>
      </c>
      <c r="BX162" s="463"/>
      <c r="BY162" s="463">
        <f t="shared" si="249"/>
        <v>1.9259259259259261E-2</v>
      </c>
      <c r="BZ162" s="147">
        <f t="shared" si="250"/>
        <v>65.022408384500764</v>
      </c>
      <c r="CA162" s="153">
        <f t="shared" si="251"/>
        <v>0.1401356971001948</v>
      </c>
      <c r="CB162" s="5">
        <f t="shared" si="252"/>
        <v>1.04</v>
      </c>
      <c r="CC162" s="153">
        <f t="shared" si="253"/>
        <v>0.88125459009117901</v>
      </c>
      <c r="CD162" s="5">
        <f t="shared" si="254"/>
        <v>88.125459009117904</v>
      </c>
      <c r="CG162" s="59">
        <f t="shared" si="300"/>
        <v>-50</v>
      </c>
      <c r="CH162">
        <f t="shared" si="301"/>
        <v>-50</v>
      </c>
    </row>
    <row r="163" spans="5:86" x14ac:dyDescent="0.25">
      <c r="E163" s="150">
        <v>53</v>
      </c>
      <c r="F163" s="191">
        <f t="shared" si="302"/>
        <v>5.3000000000000005E-2</v>
      </c>
      <c r="G163" s="191"/>
      <c r="H163" s="191">
        <f t="shared" si="266"/>
        <v>1.06</v>
      </c>
      <c r="I163" s="472">
        <f t="shared" si="267"/>
        <v>9</v>
      </c>
      <c r="J163" s="386">
        <f t="shared" si="268"/>
        <v>20.32</v>
      </c>
      <c r="K163" s="386">
        <f t="shared" si="269"/>
        <v>29.32</v>
      </c>
      <c r="L163" s="386"/>
      <c r="M163" s="191">
        <f t="shared" si="270"/>
        <v>0.69304229195088674</v>
      </c>
      <c r="N163" s="152">
        <f t="shared" si="271"/>
        <v>2.1177466575716233</v>
      </c>
      <c r="O163" s="152">
        <f t="shared" si="262"/>
        <v>1.06</v>
      </c>
      <c r="P163" s="191">
        <f t="shared" si="272"/>
        <v>0.10588733287858117</v>
      </c>
      <c r="Q163" s="191">
        <f t="shared" si="273"/>
        <v>20</v>
      </c>
      <c r="R163" s="191"/>
      <c r="S163" s="152">
        <f t="shared" si="274"/>
        <v>48.370469906604903</v>
      </c>
      <c r="T163" s="152">
        <f t="shared" si="275"/>
        <v>20</v>
      </c>
      <c r="U163" s="191">
        <f t="shared" si="276"/>
        <v>0.37765140468552549</v>
      </c>
      <c r="V163" s="191">
        <f t="shared" si="277"/>
        <v>2.5176760312368369</v>
      </c>
      <c r="W163" s="191">
        <f t="shared" si="278"/>
        <v>1.1151124154100163</v>
      </c>
      <c r="X163" s="175">
        <f t="shared" si="279"/>
        <v>350</v>
      </c>
      <c r="Y163" s="386">
        <f t="shared" si="215"/>
        <v>275.270639809214</v>
      </c>
      <c r="AA163" s="191">
        <f t="shared" si="280"/>
        <v>0.29701812512180864</v>
      </c>
      <c r="AB163" s="153">
        <f t="shared" si="281"/>
        <v>0.87702202299746645</v>
      </c>
      <c r="AC163" s="153">
        <f t="shared" si="282"/>
        <v>4.5586001468217563E-2</v>
      </c>
      <c r="AD163" s="153"/>
      <c r="AE163" s="153">
        <f t="shared" si="283"/>
        <v>0.44291338582677164</v>
      </c>
      <c r="AF163" s="317">
        <f t="shared" si="284"/>
        <v>1595.4962962962966</v>
      </c>
      <c r="AG163" s="463">
        <f t="shared" si="285"/>
        <v>1.1626476377952754E-2</v>
      </c>
      <c r="AI163" s="153">
        <f t="shared" si="286"/>
        <v>0.32026179767124746</v>
      </c>
      <c r="AJ163" s="153">
        <f t="shared" si="287"/>
        <v>0.37765140468552549</v>
      </c>
      <c r="AK163" s="153">
        <f t="shared" si="288"/>
        <v>1.3517676031236836</v>
      </c>
      <c r="AM163" s="317">
        <f t="shared" si="289"/>
        <v>53.000000000000007</v>
      </c>
      <c r="AN163" s="147">
        <f t="shared" si="290"/>
        <v>275.270639809214</v>
      </c>
      <c r="AP163">
        <f t="shared" si="291"/>
        <v>53.000000000000007</v>
      </c>
      <c r="AQ163">
        <f t="shared" si="292"/>
        <v>275.270639809214</v>
      </c>
      <c r="AS163" s="5">
        <f t="shared" si="263"/>
        <v>3.6327884466468534</v>
      </c>
      <c r="AT163" s="5">
        <f t="shared" si="293"/>
        <v>2.5176760312368369</v>
      </c>
      <c r="AU163" s="5">
        <f t="shared" si="230"/>
        <v>1.1151124154100165</v>
      </c>
      <c r="AV163" s="5"/>
      <c r="AW163" s="153">
        <f t="shared" si="231"/>
        <v>0.69304229195088674</v>
      </c>
      <c r="AX163" s="153">
        <f t="shared" si="259"/>
        <v>1.1777777777777778</v>
      </c>
      <c r="AY163" s="153">
        <f t="shared" si="260"/>
        <v>5.7961504811898532E-2</v>
      </c>
      <c r="AZ163" s="153">
        <f t="shared" si="264"/>
        <v>20.319999999999993</v>
      </c>
      <c r="BA163" s="147">
        <f t="shared" si="294"/>
        <v>3.0231480258994696</v>
      </c>
      <c r="BB163" s="147">
        <f t="shared" si="295"/>
        <v>12.977037122962967</v>
      </c>
      <c r="BC163" s="5">
        <f t="shared" si="258"/>
        <v>0.1459282913993355</v>
      </c>
      <c r="BD163" s="147">
        <f t="shared" si="296"/>
        <v>14.985421732526142</v>
      </c>
      <c r="BF163" s="153">
        <f t="shared" si="265"/>
        <v>0.18151409131813973</v>
      </c>
      <c r="BG163" s="153">
        <f t="shared" si="261"/>
        <v>0.12080078286142665</v>
      </c>
      <c r="BI163" s="463">
        <f t="shared" si="236"/>
        <v>1.1531577871467486E-2</v>
      </c>
      <c r="BJ163" s="463">
        <f t="shared" si="237"/>
        <v>1.5239999999999998E-2</v>
      </c>
      <c r="BK163" s="463">
        <f t="shared" si="238"/>
        <v>3.4408829976151751E-3</v>
      </c>
      <c r="BL163" s="463">
        <f t="shared" si="239"/>
        <v>1.1831990943396225E-2</v>
      </c>
      <c r="BM163">
        <f t="shared" si="240"/>
        <v>2.6099999999999999E-3</v>
      </c>
      <c r="BN163">
        <f t="shared" si="297"/>
        <v>2.7527063980921403E-6</v>
      </c>
      <c r="BO163" s="463">
        <f t="shared" si="298"/>
        <v>4.6312500902376763E-2</v>
      </c>
      <c r="BP163" s="147">
        <f t="shared" si="243"/>
        <v>44.654451812478889</v>
      </c>
      <c r="BQ163" s="463">
        <f t="shared" si="299"/>
        <v>3.1394921462909238E-2</v>
      </c>
      <c r="BT163" s="147">
        <f t="shared" si="245"/>
        <v>31.394921462909238</v>
      </c>
      <c r="BU163" s="463">
        <f t="shared" si="246"/>
        <v>3.2947365347049964E-2</v>
      </c>
      <c r="BV163" s="463">
        <f t="shared" si="247"/>
        <v>1.4592829139933551E-2</v>
      </c>
      <c r="BW163" s="463">
        <f t="shared" si="248"/>
        <v>0</v>
      </c>
      <c r="BX163" s="463"/>
      <c r="BY163" s="463">
        <f t="shared" si="249"/>
        <v>1.9629629629629636E-2</v>
      </c>
      <c r="BZ163" s="147">
        <f t="shared" si="250"/>
        <v>67.169824116613157</v>
      </c>
      <c r="CA163" s="153">
        <f t="shared" si="251"/>
        <v>0.14321919739200129</v>
      </c>
      <c r="CB163" s="5">
        <f t="shared" si="252"/>
        <v>1.06</v>
      </c>
      <c r="CC163" s="153">
        <f t="shared" si="253"/>
        <v>0.88096998643104152</v>
      </c>
      <c r="CD163" s="5">
        <f t="shared" si="254"/>
        <v>88.096998643104158</v>
      </c>
      <c r="CG163" s="59">
        <f t="shared" si="300"/>
        <v>-50</v>
      </c>
      <c r="CH163">
        <f t="shared" si="301"/>
        <v>-50</v>
      </c>
    </row>
    <row r="164" spans="5:86" x14ac:dyDescent="0.25">
      <c r="E164" s="150">
        <v>54</v>
      </c>
      <c r="F164" s="191">
        <f t="shared" si="302"/>
        <v>5.4000000000000006E-2</v>
      </c>
      <c r="G164" s="191"/>
      <c r="H164" s="191">
        <f t="shared" si="266"/>
        <v>1.08</v>
      </c>
      <c r="I164" s="472">
        <f t="shared" si="267"/>
        <v>9</v>
      </c>
      <c r="J164" s="386">
        <f t="shared" si="268"/>
        <v>20.32</v>
      </c>
      <c r="K164" s="386">
        <f t="shared" si="269"/>
        <v>29.32</v>
      </c>
      <c r="L164" s="386"/>
      <c r="M164" s="191">
        <f t="shared" si="270"/>
        <v>0.69304229195088674</v>
      </c>
      <c r="N164" s="152">
        <f t="shared" si="271"/>
        <v>2.1177466575716233</v>
      </c>
      <c r="O164" s="152">
        <f t="shared" si="262"/>
        <v>1.08</v>
      </c>
      <c r="P164" s="191">
        <f t="shared" si="272"/>
        <v>0.10588733287858117</v>
      </c>
      <c r="Q164" s="191">
        <f t="shared" si="273"/>
        <v>20</v>
      </c>
      <c r="R164" s="191"/>
      <c r="S164" s="152">
        <f t="shared" si="274"/>
        <v>47.310465501851709</v>
      </c>
      <c r="T164" s="152">
        <f t="shared" si="275"/>
        <v>20</v>
      </c>
      <c r="U164" s="191">
        <f t="shared" si="276"/>
        <v>0.38477690288713917</v>
      </c>
      <c r="V164" s="191">
        <f t="shared" si="277"/>
        <v>2.5651793525809281</v>
      </c>
      <c r="W164" s="191">
        <f t="shared" si="278"/>
        <v>1.1361522723045447</v>
      </c>
      <c r="X164" s="175">
        <f t="shared" si="279"/>
        <v>350</v>
      </c>
      <c r="Y164" s="386">
        <f t="shared" si="215"/>
        <v>270.17303536830269</v>
      </c>
      <c r="AA164" s="191">
        <f t="shared" si="280"/>
        <v>0.29701812512180864</v>
      </c>
      <c r="AB164" s="153">
        <f t="shared" si="281"/>
        <v>0.87702202299746645</v>
      </c>
      <c r="AC164" s="153">
        <f t="shared" si="282"/>
        <v>4.5586001468217563E-2</v>
      </c>
      <c r="AD164" s="153"/>
      <c r="AE164" s="153">
        <f t="shared" si="283"/>
        <v>0.44291338582677164</v>
      </c>
      <c r="AF164" s="317">
        <f t="shared" si="284"/>
        <v>1625.6000000000004</v>
      </c>
      <c r="AG164" s="463">
        <f t="shared" si="285"/>
        <v>1.1626476377952754E-2</v>
      </c>
      <c r="AI164" s="153">
        <f t="shared" si="286"/>
        <v>0.32326901667629265</v>
      </c>
      <c r="AJ164" s="153">
        <f t="shared" si="287"/>
        <v>0.38477690288713917</v>
      </c>
      <c r="AK164" s="153">
        <f t="shared" si="288"/>
        <v>1.3565179352580927</v>
      </c>
      <c r="AM164" s="317">
        <f t="shared" si="289"/>
        <v>54.000000000000007</v>
      </c>
      <c r="AN164" s="147">
        <f t="shared" si="290"/>
        <v>270.17303536830269</v>
      </c>
      <c r="AP164">
        <f t="shared" si="291"/>
        <v>54.000000000000007</v>
      </c>
      <c r="AQ164">
        <f t="shared" si="292"/>
        <v>270.17303536830269</v>
      </c>
      <c r="AS164" s="5">
        <f t="shared" si="263"/>
        <v>3.7013316248854724</v>
      </c>
      <c r="AT164" s="5">
        <f t="shared" si="293"/>
        <v>2.5651793525809281</v>
      </c>
      <c r="AU164" s="5">
        <f t="shared" si="230"/>
        <v>1.1361522723045443</v>
      </c>
      <c r="AV164" s="5"/>
      <c r="AW164" s="153">
        <f t="shared" si="231"/>
        <v>0.69304229195088685</v>
      </c>
      <c r="AX164" s="153">
        <f t="shared" si="259"/>
        <v>1.2000000000000004</v>
      </c>
      <c r="AY164" s="153">
        <f t="shared" si="260"/>
        <v>5.9055118110236213E-2</v>
      </c>
      <c r="AZ164" s="153">
        <f t="shared" si="264"/>
        <v>20.320000000000011</v>
      </c>
      <c r="BA164" s="147">
        <f t="shared" si="294"/>
        <v>3.0231480258994696</v>
      </c>
      <c r="BB164" s="147">
        <f t="shared" si="295"/>
        <v>13.468299840000004</v>
      </c>
      <c r="BC164" s="5">
        <f t="shared" si="258"/>
        <v>0.1514869696406059</v>
      </c>
      <c r="BD164" s="147">
        <f t="shared" si="296"/>
        <v>15.548696964060589</v>
      </c>
      <c r="BF164" s="153">
        <f t="shared" si="265"/>
        <v>0.18493888549395368</v>
      </c>
      <c r="BG164" s="153">
        <f t="shared" si="261"/>
        <v>0.12308004291541581</v>
      </c>
      <c r="BI164" s="463">
        <f t="shared" si="236"/>
        <v>1.1970836978711E-2</v>
      </c>
      <c r="BJ164" s="463">
        <f t="shared" si="237"/>
        <v>1.5240000000000002E-2</v>
      </c>
      <c r="BK164" s="463">
        <f t="shared" si="238"/>
        <v>3.3771629421037838E-3</v>
      </c>
      <c r="BL164" s="463">
        <f t="shared" si="239"/>
        <v>1.1612880000000001E-2</v>
      </c>
      <c r="BM164">
        <f t="shared" si="240"/>
        <v>2.6099999999999999E-3</v>
      </c>
      <c r="BN164">
        <f t="shared" si="297"/>
        <v>2.7017303536830268E-6</v>
      </c>
      <c r="BO164" s="463">
        <f t="shared" si="298"/>
        <v>4.6532417043355645E-2</v>
      </c>
      <c r="BP164" s="147">
        <f t="shared" si="243"/>
        <v>44.810879920814791</v>
      </c>
      <c r="BQ164" s="463">
        <f t="shared" si="299"/>
        <v>3.2201604480542302E-2</v>
      </c>
      <c r="BT164" s="147">
        <f t="shared" si="245"/>
        <v>32.201604480542301</v>
      </c>
      <c r="BU164" s="463">
        <f t="shared" si="246"/>
        <v>3.4202391367745714E-2</v>
      </c>
      <c r="BV164" s="463">
        <f t="shared" si="247"/>
        <v>1.5148696964060598E-2</v>
      </c>
      <c r="BW164" s="463">
        <f t="shared" si="248"/>
        <v>0</v>
      </c>
      <c r="BX164" s="463"/>
      <c r="BY164" s="463">
        <f t="shared" si="249"/>
        <v>2.0000000000000007E-2</v>
      </c>
      <c r="BZ164" s="147">
        <f t="shared" si="250"/>
        <v>69.351088331806324</v>
      </c>
      <c r="CA164" s="153">
        <f t="shared" si="251"/>
        <v>0.14636357273316342</v>
      </c>
      <c r="CB164" s="5">
        <f t="shared" si="252"/>
        <v>1.08</v>
      </c>
      <c r="CC164" s="153">
        <f t="shared" si="253"/>
        <v>0.88065238075608621</v>
      </c>
      <c r="CD164" s="5">
        <f t="shared" si="254"/>
        <v>88.065238075608619</v>
      </c>
      <c r="CG164" s="59">
        <f t="shared" si="300"/>
        <v>-50</v>
      </c>
      <c r="CH164">
        <f t="shared" si="301"/>
        <v>-50</v>
      </c>
    </row>
    <row r="165" spans="5:86" x14ac:dyDescent="0.25">
      <c r="E165" s="150">
        <v>55</v>
      </c>
      <c r="F165" s="191">
        <f t="shared" si="302"/>
        <v>5.5000000000000007E-2</v>
      </c>
      <c r="G165" s="191"/>
      <c r="H165" s="191">
        <f t="shared" si="266"/>
        <v>1.1000000000000001</v>
      </c>
      <c r="I165" s="472">
        <f t="shared" si="267"/>
        <v>9</v>
      </c>
      <c r="J165" s="386">
        <f t="shared" si="268"/>
        <v>20.32</v>
      </c>
      <c r="K165" s="386">
        <f t="shared" si="269"/>
        <v>29.32</v>
      </c>
      <c r="L165" s="386"/>
      <c r="M165" s="191">
        <f t="shared" si="270"/>
        <v>0.69304229195088674</v>
      </c>
      <c r="N165" s="152">
        <f t="shared" si="271"/>
        <v>2.1177466575716233</v>
      </c>
      <c r="O165" s="152">
        <f t="shared" si="262"/>
        <v>1.1000000000000001</v>
      </c>
      <c r="P165" s="191">
        <f t="shared" si="272"/>
        <v>0.10588733287858117</v>
      </c>
      <c r="Q165" s="191">
        <f t="shared" si="273"/>
        <v>20</v>
      </c>
      <c r="R165" s="191"/>
      <c r="S165" s="152">
        <f t="shared" si="274"/>
        <v>46.289063284667328</v>
      </c>
      <c r="T165" s="152">
        <f t="shared" si="275"/>
        <v>20</v>
      </c>
      <c r="U165" s="191">
        <f t="shared" si="276"/>
        <v>0.39190240108875285</v>
      </c>
      <c r="V165" s="191">
        <f t="shared" si="277"/>
        <v>2.6126826739250189</v>
      </c>
      <c r="W165" s="191">
        <f t="shared" si="278"/>
        <v>1.1571921291990734</v>
      </c>
      <c r="X165" s="175">
        <f t="shared" si="279"/>
        <v>350</v>
      </c>
      <c r="Y165" s="386">
        <f t="shared" si="215"/>
        <v>265.26079836160625</v>
      </c>
      <c r="AA165" s="191">
        <f t="shared" si="280"/>
        <v>0.29701812512180864</v>
      </c>
      <c r="AB165" s="153">
        <f t="shared" si="281"/>
        <v>0.87702202299746645</v>
      </c>
      <c r="AC165" s="153">
        <f t="shared" si="282"/>
        <v>4.5586001468217563E-2</v>
      </c>
      <c r="AD165" s="153"/>
      <c r="AE165" s="153">
        <f t="shared" si="283"/>
        <v>0.44291338582677164</v>
      </c>
      <c r="AF165" s="317">
        <f t="shared" si="284"/>
        <v>1655.7037037037044</v>
      </c>
      <c r="AG165" s="463">
        <f t="shared" si="285"/>
        <v>1.1626476377952754E-2</v>
      </c>
      <c r="AI165" s="153">
        <f t="shared" si="286"/>
        <v>0.32624851760290846</v>
      </c>
      <c r="AJ165" s="153">
        <f t="shared" si="287"/>
        <v>0.39190240108875285</v>
      </c>
      <c r="AK165" s="153">
        <f t="shared" si="288"/>
        <v>1.3612682673925018</v>
      </c>
      <c r="AM165" s="317">
        <f t="shared" si="289"/>
        <v>55.000000000000007</v>
      </c>
      <c r="AN165" s="147">
        <f t="shared" si="290"/>
        <v>265.26079836160625</v>
      </c>
      <c r="AP165">
        <f t="shared" si="291"/>
        <v>55.000000000000007</v>
      </c>
      <c r="AQ165">
        <f t="shared" si="292"/>
        <v>265.26079836160625</v>
      </c>
      <c r="AS165" s="5">
        <f t="shared" si="263"/>
        <v>3.7698748031240927</v>
      </c>
      <c r="AT165" s="5">
        <f t="shared" si="293"/>
        <v>2.6126826739250189</v>
      </c>
      <c r="AU165" s="5">
        <f t="shared" si="230"/>
        <v>1.1571921291990739</v>
      </c>
      <c r="AV165" s="5"/>
      <c r="AW165" s="153">
        <f t="shared" si="231"/>
        <v>0.69304229195088662</v>
      </c>
      <c r="AX165" s="153">
        <f t="shared" si="259"/>
        <v>1.2222222222222223</v>
      </c>
      <c r="AY165" s="153">
        <f t="shared" si="260"/>
        <v>6.0148731408573963E-2</v>
      </c>
      <c r="AZ165" s="153">
        <f t="shared" si="264"/>
        <v>20.31999999999999</v>
      </c>
      <c r="BA165" s="147">
        <f t="shared" si="294"/>
        <v>3.0231480258994696</v>
      </c>
      <c r="BB165" s="147">
        <f t="shared" si="295"/>
        <v>13.968688962962965</v>
      </c>
      <c r="BC165" s="5">
        <f t="shared" si="258"/>
        <v>0.15714954840975079</v>
      </c>
      <c r="BD165" s="147">
        <f t="shared" si="296"/>
        <v>16.122362248382487</v>
      </c>
      <c r="BF165" s="153">
        <f t="shared" si="265"/>
        <v>0.18836367966976761</v>
      </c>
      <c r="BG165" s="153">
        <f t="shared" si="261"/>
        <v>0.12535930296940503</v>
      </c>
      <c r="BI165" s="463">
        <f t="shared" si="236"/>
        <v>1.2418306536557188E-2</v>
      </c>
      <c r="BJ165" s="463">
        <f t="shared" si="237"/>
        <v>1.5239999999999998E-2</v>
      </c>
      <c r="BK165" s="463">
        <f t="shared" si="238"/>
        <v>3.315759979520078E-3</v>
      </c>
      <c r="BL165" s="463">
        <f t="shared" si="239"/>
        <v>1.1401736727272727E-2</v>
      </c>
      <c r="BM165">
        <f t="shared" si="240"/>
        <v>2.6099999999999999E-3</v>
      </c>
      <c r="BN165">
        <f t="shared" si="297"/>
        <v>2.6526079836160624E-6</v>
      </c>
      <c r="BO165" s="463">
        <f t="shared" si="298"/>
        <v>4.6772090397534626E-2</v>
      </c>
      <c r="BP165" s="147">
        <f t="shared" si="243"/>
        <v>44.985803243349999</v>
      </c>
      <c r="BQ165" s="463">
        <f t="shared" si="299"/>
        <v>3.301622549850497E-2</v>
      </c>
      <c r="BT165" s="147">
        <f t="shared" si="245"/>
        <v>33.016225498504973</v>
      </c>
      <c r="BU165" s="463">
        <f t="shared" si="246"/>
        <v>3.5480875818734825E-2</v>
      </c>
      <c r="BV165" s="463">
        <f t="shared" si="247"/>
        <v>1.5714954840975081E-2</v>
      </c>
      <c r="BW165" s="463">
        <f t="shared" si="248"/>
        <v>0</v>
      </c>
      <c r="BX165" s="463"/>
      <c r="BY165" s="463">
        <f t="shared" si="249"/>
        <v>2.0370370370370375E-2</v>
      </c>
      <c r="BZ165" s="147">
        <f t="shared" si="250"/>
        <v>71.566201030080279</v>
      </c>
      <c r="CA165" s="153">
        <f t="shared" si="251"/>
        <v>0.14956822977193523</v>
      </c>
      <c r="CB165" s="5">
        <f t="shared" si="252"/>
        <v>1.1000000000000001</v>
      </c>
      <c r="CC165" s="153">
        <f t="shared" si="253"/>
        <v>0.88030407127169552</v>
      </c>
      <c r="CD165" s="5">
        <f t="shared" si="254"/>
        <v>88.030407127169553</v>
      </c>
      <c r="CG165" s="59">
        <f t="shared" si="300"/>
        <v>-50</v>
      </c>
      <c r="CH165">
        <f t="shared" si="301"/>
        <v>-50</v>
      </c>
    </row>
    <row r="166" spans="5:86" x14ac:dyDescent="0.25">
      <c r="E166" s="150">
        <v>56</v>
      </c>
      <c r="F166" s="191">
        <f t="shared" si="302"/>
        <v>5.6000000000000008E-2</v>
      </c>
      <c r="G166" s="191"/>
      <c r="H166" s="191">
        <f t="shared" si="266"/>
        <v>1.1200000000000001</v>
      </c>
      <c r="I166" s="472">
        <f t="shared" si="267"/>
        <v>9</v>
      </c>
      <c r="J166" s="386">
        <f t="shared" si="268"/>
        <v>20.32</v>
      </c>
      <c r="K166" s="386">
        <f t="shared" si="269"/>
        <v>29.32</v>
      </c>
      <c r="L166" s="386"/>
      <c r="M166" s="191">
        <f t="shared" si="270"/>
        <v>0.69304229195088674</v>
      </c>
      <c r="N166" s="152">
        <f t="shared" si="271"/>
        <v>2.1177466575716233</v>
      </c>
      <c r="O166" s="152">
        <f t="shared" si="262"/>
        <v>1.1200000000000001</v>
      </c>
      <c r="P166" s="191">
        <f t="shared" si="272"/>
        <v>0.10588733287858117</v>
      </c>
      <c r="Q166" s="191">
        <f t="shared" si="273"/>
        <v>20</v>
      </c>
      <c r="R166" s="191"/>
      <c r="S166" s="152">
        <f t="shared" si="274"/>
        <v>45.304195828852443</v>
      </c>
      <c r="T166" s="152">
        <f t="shared" si="275"/>
        <v>20</v>
      </c>
      <c r="U166" s="191">
        <f t="shared" si="276"/>
        <v>0.39902789929036653</v>
      </c>
      <c r="V166" s="191">
        <f t="shared" si="277"/>
        <v>2.66018599526911</v>
      </c>
      <c r="W166" s="191">
        <f t="shared" si="278"/>
        <v>1.1782319860936019</v>
      </c>
      <c r="X166" s="175">
        <f t="shared" si="279"/>
        <v>350</v>
      </c>
      <c r="Y166" s="386">
        <f t="shared" si="215"/>
        <v>260.52399839086331</v>
      </c>
      <c r="AA166" s="191">
        <f t="shared" si="280"/>
        <v>0.29701812512180864</v>
      </c>
      <c r="AB166" s="153">
        <f t="shared" si="281"/>
        <v>0.87702202299746645</v>
      </c>
      <c r="AC166" s="153">
        <f t="shared" si="282"/>
        <v>4.5586001468217563E-2</v>
      </c>
      <c r="AD166" s="153"/>
      <c r="AE166" s="153">
        <f t="shared" si="283"/>
        <v>0.44291338582677164</v>
      </c>
      <c r="AF166" s="317">
        <f t="shared" si="284"/>
        <v>1685.8074074074079</v>
      </c>
      <c r="AG166" s="463">
        <f t="shared" si="285"/>
        <v>1.1626476377952754E-2</v>
      </c>
      <c r="AI166" s="153">
        <f t="shared" si="286"/>
        <v>0.32920105305623393</v>
      </c>
      <c r="AJ166" s="153">
        <f t="shared" si="287"/>
        <v>0.39902789929036653</v>
      </c>
      <c r="AK166" s="153">
        <f t="shared" si="288"/>
        <v>1.366018599526911</v>
      </c>
      <c r="AM166" s="317">
        <f t="shared" si="289"/>
        <v>56.000000000000007</v>
      </c>
      <c r="AN166" s="147">
        <f t="shared" si="290"/>
        <v>260.52399839086331</v>
      </c>
      <c r="AP166">
        <f t="shared" si="291"/>
        <v>56.000000000000007</v>
      </c>
      <c r="AQ166">
        <f t="shared" si="292"/>
        <v>260.52399839086331</v>
      </c>
      <c r="AS166" s="5">
        <f t="shared" si="263"/>
        <v>3.8384179813627122</v>
      </c>
      <c r="AT166" s="5">
        <f t="shared" si="293"/>
        <v>2.66018599526911</v>
      </c>
      <c r="AU166" s="5">
        <f t="shared" si="230"/>
        <v>1.1782319860936021</v>
      </c>
      <c r="AV166" s="5"/>
      <c r="AW166" s="153">
        <f t="shared" si="231"/>
        <v>0.69304229195088674</v>
      </c>
      <c r="AX166" s="153">
        <f t="shared" si="259"/>
        <v>1.2444444444444447</v>
      </c>
      <c r="AY166" s="153">
        <f t="shared" si="260"/>
        <v>6.1242344706911651E-2</v>
      </c>
      <c r="AZ166" s="153">
        <f t="shared" si="264"/>
        <v>20.32</v>
      </c>
      <c r="BA166" s="147">
        <f t="shared" si="294"/>
        <v>3.0231480258994696</v>
      </c>
      <c r="BB166" s="147">
        <f t="shared" si="295"/>
        <v>14.47820449185185</v>
      </c>
      <c r="BC166" s="5">
        <f t="shared" si="258"/>
        <v>0.16291602770676969</v>
      </c>
      <c r="BD166" s="147">
        <f t="shared" si="296"/>
        <v>16.706417585491785</v>
      </c>
      <c r="BF166" s="153">
        <f t="shared" si="265"/>
        <v>0.19178847384558156</v>
      </c>
      <c r="BG166" s="153">
        <f t="shared" si="261"/>
        <v>0.12763856302339419</v>
      </c>
      <c r="BI166" s="463">
        <f t="shared" si="236"/>
        <v>1.2873986545006063E-2</v>
      </c>
      <c r="BJ166" s="463">
        <f t="shared" si="237"/>
        <v>1.5240000000000002E-2</v>
      </c>
      <c r="BK166" s="463">
        <f t="shared" si="238"/>
        <v>3.2565499798857911E-3</v>
      </c>
      <c r="BL166" s="463">
        <f t="shared" si="239"/>
        <v>1.1198134285714286E-2</v>
      </c>
      <c r="BM166">
        <f t="shared" si="240"/>
        <v>2.6099999999999999E-3</v>
      </c>
      <c r="BN166">
        <f t="shared" si="297"/>
        <v>2.6052399839086334E-6</v>
      </c>
      <c r="BO166" s="463">
        <f t="shared" si="298"/>
        <v>4.7030974580880153E-2</v>
      </c>
      <c r="BP166" s="147">
        <f t="shared" si="243"/>
        <v>45.178670810606143</v>
      </c>
      <c r="BQ166" s="463">
        <f t="shared" si="299"/>
        <v>3.3838784516797206E-2</v>
      </c>
      <c r="BT166" s="147">
        <f t="shared" si="245"/>
        <v>33.838784516797205</v>
      </c>
      <c r="BU166" s="463">
        <f t="shared" si="246"/>
        <v>3.6782818700017324E-2</v>
      </c>
      <c r="BV166" s="463">
        <f t="shared" si="247"/>
        <v>1.6291602770676969E-2</v>
      </c>
      <c r="BW166" s="463">
        <f t="shared" si="248"/>
        <v>0</v>
      </c>
      <c r="BX166" s="463"/>
      <c r="BY166" s="463">
        <f t="shared" si="249"/>
        <v>2.0740740740740751E-2</v>
      </c>
      <c r="BZ166" s="147">
        <f t="shared" si="250"/>
        <v>73.815162211435037</v>
      </c>
      <c r="CA166" s="153">
        <f t="shared" si="251"/>
        <v>0.15283261753883839</v>
      </c>
      <c r="CB166" s="5">
        <f t="shared" si="252"/>
        <v>1.1200000000000001</v>
      </c>
      <c r="CC166" s="153">
        <f t="shared" si="253"/>
        <v>0.87992716761583545</v>
      </c>
      <c r="CD166" s="5">
        <f t="shared" si="254"/>
        <v>87.992716761583551</v>
      </c>
      <c r="CG166" s="59">
        <f t="shared" si="300"/>
        <v>-50</v>
      </c>
      <c r="CH166">
        <f t="shared" si="301"/>
        <v>-50</v>
      </c>
    </row>
    <row r="167" spans="5:86" x14ac:dyDescent="0.25">
      <c r="E167" s="150">
        <v>57</v>
      </c>
      <c r="F167" s="191">
        <f t="shared" si="302"/>
        <v>5.6999999999999995E-2</v>
      </c>
      <c r="G167" s="191"/>
      <c r="H167" s="191">
        <f t="shared" si="266"/>
        <v>1.1399999999999999</v>
      </c>
      <c r="I167" s="472">
        <f t="shared" si="267"/>
        <v>9</v>
      </c>
      <c r="J167" s="386">
        <f t="shared" si="268"/>
        <v>20.32</v>
      </c>
      <c r="K167" s="386">
        <f t="shared" si="269"/>
        <v>29.32</v>
      </c>
      <c r="L167" s="386"/>
      <c r="M167" s="191">
        <f t="shared" si="270"/>
        <v>0.69304229195088674</v>
      </c>
      <c r="N167" s="152">
        <f t="shared" si="271"/>
        <v>2.1177466575716233</v>
      </c>
      <c r="O167" s="152">
        <f t="shared" si="262"/>
        <v>1.1399999999999999</v>
      </c>
      <c r="P167" s="191">
        <f t="shared" si="272"/>
        <v>0.10588733287858117</v>
      </c>
      <c r="Q167" s="191">
        <f t="shared" si="273"/>
        <v>20</v>
      </c>
      <c r="R167" s="191"/>
      <c r="S167" s="152">
        <f t="shared" si="274"/>
        <v>44.353940797444587</v>
      </c>
      <c r="T167" s="152">
        <f t="shared" si="275"/>
        <v>20</v>
      </c>
      <c r="U167" s="191">
        <f t="shared" si="276"/>
        <v>0.40615339749198015</v>
      </c>
      <c r="V167" s="191">
        <f t="shared" si="277"/>
        <v>2.7076893166132008</v>
      </c>
      <c r="W167" s="191">
        <f t="shared" si="278"/>
        <v>1.1992718429881302</v>
      </c>
      <c r="X167" s="175">
        <f t="shared" si="279"/>
        <v>350</v>
      </c>
      <c r="Y167" s="386">
        <f t="shared" si="215"/>
        <v>255.95340192786574</v>
      </c>
      <c r="AA167" s="191">
        <f t="shared" si="280"/>
        <v>0.29701812512180864</v>
      </c>
      <c r="AB167" s="153">
        <f t="shared" si="281"/>
        <v>0.87702202299746645</v>
      </c>
      <c r="AC167" s="153">
        <f t="shared" si="282"/>
        <v>4.5586001468217563E-2</v>
      </c>
      <c r="AD167" s="153"/>
      <c r="AE167" s="153">
        <f t="shared" si="283"/>
        <v>0.44291338582677164</v>
      </c>
      <c r="AF167" s="317">
        <f t="shared" si="284"/>
        <v>1715.9111111111113</v>
      </c>
      <c r="AG167" s="463">
        <f t="shared" si="285"/>
        <v>1.1626476377952754E-2</v>
      </c>
      <c r="AI167" s="153">
        <f t="shared" si="286"/>
        <v>0.33212734218755829</v>
      </c>
      <c r="AJ167" s="153">
        <f t="shared" si="287"/>
        <v>0.40615339749198015</v>
      </c>
      <c r="AK167" s="153">
        <f t="shared" si="288"/>
        <v>1.3707689316613201</v>
      </c>
      <c r="AM167" s="317">
        <f t="shared" si="289"/>
        <v>56.999999999999993</v>
      </c>
      <c r="AN167" s="147">
        <f t="shared" si="290"/>
        <v>255.95340192786574</v>
      </c>
      <c r="AP167">
        <f t="shared" si="291"/>
        <v>56.999999999999993</v>
      </c>
      <c r="AQ167">
        <f t="shared" si="292"/>
        <v>255.95340192786574</v>
      </c>
      <c r="AS167" s="5">
        <f t="shared" si="263"/>
        <v>3.9069611596013316</v>
      </c>
      <c r="AT167" s="5">
        <f t="shared" si="293"/>
        <v>2.7076893166132008</v>
      </c>
      <c r="AU167" s="5">
        <f t="shared" si="230"/>
        <v>1.1992718429881308</v>
      </c>
      <c r="AV167" s="5"/>
      <c r="AW167" s="153">
        <f t="shared" si="231"/>
        <v>0.69304229195088662</v>
      </c>
      <c r="AX167" s="153">
        <f t="shared" si="259"/>
        <v>1.2666666666666666</v>
      </c>
      <c r="AY167" s="153">
        <f t="shared" si="260"/>
        <v>6.2335958005249367E-2</v>
      </c>
      <c r="AZ167" s="153">
        <f t="shared" si="264"/>
        <v>20.319999999999993</v>
      </c>
      <c r="BA167" s="147">
        <f t="shared" si="294"/>
        <v>3.0231480258994696</v>
      </c>
      <c r="BB167" s="147">
        <f t="shared" si="295"/>
        <v>14.996846426666663</v>
      </c>
      <c r="BC167" s="5">
        <f t="shared" si="258"/>
        <v>0.16878640753166282</v>
      </c>
      <c r="BD167" s="147">
        <f t="shared" si="296"/>
        <v>17.300862975388505</v>
      </c>
      <c r="BF167" s="153">
        <f t="shared" si="265"/>
        <v>0.19521326802139546</v>
      </c>
      <c r="BG167" s="153">
        <f t="shared" si="261"/>
        <v>0.12991782307738337</v>
      </c>
      <c r="BI167" s="463">
        <f t="shared" si="236"/>
        <v>1.3337877004057613E-2</v>
      </c>
      <c r="BJ167" s="463">
        <f t="shared" si="237"/>
        <v>1.524E-2</v>
      </c>
      <c r="BK167" s="463">
        <f t="shared" si="238"/>
        <v>3.1994175240983216E-3</v>
      </c>
      <c r="BL167" s="463">
        <f t="shared" si="239"/>
        <v>1.1001675789473685E-2</v>
      </c>
      <c r="BM167">
        <f t="shared" si="240"/>
        <v>2.6099999999999999E-3</v>
      </c>
      <c r="BN167">
        <f t="shared" si="297"/>
        <v>2.5595340192786574E-6</v>
      </c>
      <c r="BO167" s="463">
        <f t="shared" si="298"/>
        <v>4.7308561968750218E-2</v>
      </c>
      <c r="BP167" s="147">
        <f t="shared" si="243"/>
        <v>45.388970317629621</v>
      </c>
      <c r="BQ167" s="463">
        <f t="shared" si="299"/>
        <v>3.4669281535419046E-2</v>
      </c>
      <c r="BT167" s="147">
        <f t="shared" si="245"/>
        <v>34.669281535419046</v>
      </c>
      <c r="BU167" s="463">
        <f t="shared" si="246"/>
        <v>3.8108220011593183E-2</v>
      </c>
      <c r="BV167" s="463">
        <f t="shared" si="247"/>
        <v>1.6878640753166287E-2</v>
      </c>
      <c r="BW167" s="463">
        <f t="shared" si="248"/>
        <v>0</v>
      </c>
      <c r="BX167" s="463"/>
      <c r="BY167" s="463">
        <f t="shared" si="249"/>
        <v>2.1111111111111112E-2</v>
      </c>
      <c r="BZ167" s="147">
        <f t="shared" si="250"/>
        <v>76.097971875870584</v>
      </c>
      <c r="CA167" s="153">
        <f t="shared" si="251"/>
        <v>0.15615622372891924</v>
      </c>
      <c r="CB167" s="5">
        <f t="shared" si="252"/>
        <v>1.1399999999999999</v>
      </c>
      <c r="CC167" s="153">
        <f t="shared" si="253"/>
        <v>0.87952360921458017</v>
      </c>
      <c r="CD167" s="5">
        <f t="shared" si="254"/>
        <v>87.952360921458023</v>
      </c>
      <c r="CG167" s="59">
        <f t="shared" si="300"/>
        <v>-50</v>
      </c>
      <c r="CH167">
        <f t="shared" si="301"/>
        <v>-50</v>
      </c>
    </row>
    <row r="168" spans="5:86" x14ac:dyDescent="0.25">
      <c r="E168" s="150">
        <v>58</v>
      </c>
      <c r="F168" s="191">
        <f t="shared" si="302"/>
        <v>5.7999999999999996E-2</v>
      </c>
      <c r="G168" s="191"/>
      <c r="H168" s="191">
        <f t="shared" si="266"/>
        <v>1.1599999999999999</v>
      </c>
      <c r="I168" s="472">
        <f t="shared" si="267"/>
        <v>9</v>
      </c>
      <c r="J168" s="386">
        <f t="shared" si="268"/>
        <v>20.32</v>
      </c>
      <c r="K168" s="386">
        <f t="shared" si="269"/>
        <v>29.32</v>
      </c>
      <c r="L168" s="386"/>
      <c r="M168" s="191">
        <f t="shared" si="270"/>
        <v>0.69304229195088674</v>
      </c>
      <c r="N168" s="152">
        <f t="shared" si="271"/>
        <v>2.1177466575716233</v>
      </c>
      <c r="O168" s="152">
        <f t="shared" si="262"/>
        <v>1.1599999999999999</v>
      </c>
      <c r="P168" s="191">
        <f t="shared" si="272"/>
        <v>0.10588733287858117</v>
      </c>
      <c r="Q168" s="191">
        <f t="shared" si="273"/>
        <v>20</v>
      </c>
      <c r="R168" s="191"/>
      <c r="S168" s="152">
        <f t="shared" si="274"/>
        <v>43.436508435120778</v>
      </c>
      <c r="T168" s="152">
        <f t="shared" si="275"/>
        <v>20</v>
      </c>
      <c r="U168" s="191">
        <f t="shared" si="276"/>
        <v>0.41327889569359388</v>
      </c>
      <c r="V168" s="191">
        <f t="shared" si="277"/>
        <v>2.7551926379572929</v>
      </c>
      <c r="W168" s="191">
        <f t="shared" si="278"/>
        <v>1.2203116998826591</v>
      </c>
      <c r="X168" s="175">
        <f t="shared" si="279"/>
        <v>350</v>
      </c>
      <c r="Y168" s="386">
        <f t="shared" si="215"/>
        <v>251.54041223945421</v>
      </c>
      <c r="AA168" s="191">
        <f t="shared" si="280"/>
        <v>0.29701812512180864</v>
      </c>
      <c r="AB168" s="153">
        <f t="shared" si="281"/>
        <v>0.87702202299746645</v>
      </c>
      <c r="AC168" s="153">
        <f t="shared" si="282"/>
        <v>4.5586001468217563E-2</v>
      </c>
      <c r="AD168" s="153"/>
      <c r="AE168" s="153">
        <f t="shared" si="283"/>
        <v>0.44291338582677164</v>
      </c>
      <c r="AF168" s="317">
        <f t="shared" si="284"/>
        <v>1746.0148148148151</v>
      </c>
      <c r="AG168" s="463">
        <f t="shared" si="285"/>
        <v>1.1626476377952754E-2</v>
      </c>
      <c r="AI168" s="153">
        <f t="shared" si="286"/>
        <v>0.33502807273989671</v>
      </c>
      <c r="AJ168" s="153">
        <f t="shared" si="287"/>
        <v>0.41327889569359388</v>
      </c>
      <c r="AK168" s="153">
        <f t="shared" si="288"/>
        <v>1.3755192637957292</v>
      </c>
      <c r="AM168" s="317">
        <f t="shared" si="289"/>
        <v>57.999999999999993</v>
      </c>
      <c r="AN168" s="147">
        <f t="shared" si="290"/>
        <v>251.54041223945421</v>
      </c>
      <c r="AP168">
        <f t="shared" si="291"/>
        <v>57.999999999999993</v>
      </c>
      <c r="AQ168">
        <f t="shared" si="292"/>
        <v>251.54041223945421</v>
      </c>
      <c r="AS168" s="5">
        <f t="shared" si="263"/>
        <v>3.9755043378399515</v>
      </c>
      <c r="AT168" s="5">
        <f t="shared" si="293"/>
        <v>2.7551926379572929</v>
      </c>
      <c r="AU168" s="5">
        <f t="shared" si="230"/>
        <v>1.2203116998826586</v>
      </c>
      <c r="AV168" s="5"/>
      <c r="AW168" s="153">
        <f t="shared" si="231"/>
        <v>0.69304229195088685</v>
      </c>
      <c r="AX168" s="153">
        <f t="shared" si="259"/>
        <v>1.2888888888888888</v>
      </c>
      <c r="AY168" s="153">
        <f t="shared" si="260"/>
        <v>6.3429571303587035E-2</v>
      </c>
      <c r="AZ168" s="153">
        <f t="shared" si="264"/>
        <v>20.320000000000004</v>
      </c>
      <c r="BA168" s="147">
        <f t="shared" si="294"/>
        <v>3.0231480258994696</v>
      </c>
      <c r="BB168" s="147">
        <f t="shared" si="295"/>
        <v>15.524614767407403</v>
      </c>
      <c r="BC168" s="5">
        <f t="shared" si="258"/>
        <v>0.17476068788443008</v>
      </c>
      <c r="BD168" s="147">
        <f t="shared" si="296"/>
        <v>17.905698418072642</v>
      </c>
      <c r="BF168" s="153">
        <f t="shared" si="265"/>
        <v>0.1986380621972095</v>
      </c>
      <c r="BG168" s="153">
        <f t="shared" si="261"/>
        <v>0.13219708313137252</v>
      </c>
      <c r="BI168" s="463">
        <f t="shared" si="236"/>
        <v>1.3809977913711864E-2</v>
      </c>
      <c r="BJ168" s="463">
        <f t="shared" si="237"/>
        <v>1.524E-2</v>
      </c>
      <c r="BK168" s="463">
        <f t="shared" si="238"/>
        <v>3.1442551529931775E-3</v>
      </c>
      <c r="BL168" s="463">
        <f t="shared" si="239"/>
        <v>1.081199172413793E-2</v>
      </c>
      <c r="BM168">
        <f t="shared" si="240"/>
        <v>2.6099999999999999E-3</v>
      </c>
      <c r="BN168">
        <f t="shared" si="297"/>
        <v>2.515404122394542E-6</v>
      </c>
      <c r="BO168" s="463">
        <f t="shared" si="298"/>
        <v>4.760438036225452E-2</v>
      </c>
      <c r="BP168" s="147">
        <f t="shared" si="243"/>
        <v>45.616224790842971</v>
      </c>
      <c r="BQ168" s="463">
        <f t="shared" si="299"/>
        <v>3.5507716554370461E-2</v>
      </c>
      <c r="BT168" s="147">
        <f t="shared" si="245"/>
        <v>35.507716554370461</v>
      </c>
      <c r="BU168" s="463">
        <f t="shared" si="246"/>
        <v>3.9457079753462472E-2</v>
      </c>
      <c r="BV168" s="463">
        <f t="shared" si="247"/>
        <v>1.7476068788443017E-2</v>
      </c>
      <c r="BW168" s="463">
        <f t="shared" si="248"/>
        <v>0</v>
      </c>
      <c r="BX168" s="463"/>
      <c r="BY168" s="463">
        <f t="shared" si="249"/>
        <v>2.1481481481481483E-2</v>
      </c>
      <c r="BZ168" s="147">
        <f t="shared" si="250"/>
        <v>78.414630023386977</v>
      </c>
      <c r="CA168" s="153">
        <f t="shared" si="251"/>
        <v>0.15953857136860042</v>
      </c>
      <c r="CB168" s="5">
        <f t="shared" si="252"/>
        <v>1.1599999999999999</v>
      </c>
      <c r="CC168" s="153">
        <f t="shared" si="253"/>
        <v>0.87909518158068689</v>
      </c>
      <c r="CD168" s="5">
        <f t="shared" si="254"/>
        <v>87.909518158068693</v>
      </c>
      <c r="CG168" s="59">
        <f t="shared" si="300"/>
        <v>-50</v>
      </c>
      <c r="CH168">
        <f t="shared" si="301"/>
        <v>-50</v>
      </c>
    </row>
    <row r="169" spans="5:86" x14ac:dyDescent="0.25">
      <c r="E169" s="150">
        <v>59</v>
      </c>
      <c r="F169" s="191">
        <f t="shared" si="302"/>
        <v>5.8999999999999997E-2</v>
      </c>
      <c r="G169" s="191"/>
      <c r="H169" s="191">
        <f t="shared" si="266"/>
        <v>1.18</v>
      </c>
      <c r="I169" s="472">
        <f t="shared" si="267"/>
        <v>9</v>
      </c>
      <c r="J169" s="386">
        <f t="shared" si="268"/>
        <v>20.32</v>
      </c>
      <c r="K169" s="386">
        <f t="shared" si="269"/>
        <v>29.32</v>
      </c>
      <c r="L169" s="386"/>
      <c r="M169" s="191">
        <f t="shared" si="270"/>
        <v>0.69304229195088674</v>
      </c>
      <c r="N169" s="152">
        <f t="shared" si="271"/>
        <v>2.1177466575716233</v>
      </c>
      <c r="O169" s="152">
        <f t="shared" si="262"/>
        <v>1.18</v>
      </c>
      <c r="P169" s="191">
        <f t="shared" si="272"/>
        <v>0.10588733287858117</v>
      </c>
      <c r="Q169" s="191">
        <f t="shared" si="273"/>
        <v>20</v>
      </c>
      <c r="R169" s="191"/>
      <c r="S169" s="152">
        <f t="shared" si="274"/>
        <v>42.550230332560901</v>
      </c>
      <c r="T169" s="152">
        <f t="shared" si="275"/>
        <v>20</v>
      </c>
      <c r="U169" s="191">
        <f t="shared" si="276"/>
        <v>0.42040439389520756</v>
      </c>
      <c r="V169" s="191">
        <f t="shared" si="277"/>
        <v>2.8026959593013836</v>
      </c>
      <c r="W169" s="191">
        <f t="shared" si="278"/>
        <v>1.2413515567771876</v>
      </c>
      <c r="X169" s="175">
        <f t="shared" si="279"/>
        <v>350</v>
      </c>
      <c r="Y169" s="386">
        <f t="shared" si="215"/>
        <v>247.27701542183641</v>
      </c>
      <c r="AA169" s="191">
        <f t="shared" si="280"/>
        <v>0.29701812512180864</v>
      </c>
      <c r="AB169" s="153">
        <f t="shared" si="281"/>
        <v>0.87702202299746645</v>
      </c>
      <c r="AC169" s="153">
        <f t="shared" si="282"/>
        <v>4.5586001468217563E-2</v>
      </c>
      <c r="AD169" s="153"/>
      <c r="AE169" s="153">
        <f t="shared" si="283"/>
        <v>0.44291338582677164</v>
      </c>
      <c r="AF169" s="317">
        <f t="shared" si="284"/>
        <v>1776.1185185185186</v>
      </c>
      <c r="AG169" s="463">
        <f t="shared" si="285"/>
        <v>1.1626476377952754E-2</v>
      </c>
      <c r="AI169" s="153">
        <f t="shared" si="286"/>
        <v>0.33790390293550565</v>
      </c>
      <c r="AJ169" s="153">
        <f t="shared" si="287"/>
        <v>0.42040439389520756</v>
      </c>
      <c r="AK169" s="153">
        <f t="shared" si="288"/>
        <v>1.3802695959301383</v>
      </c>
      <c r="AM169" s="317">
        <f t="shared" si="289"/>
        <v>59</v>
      </c>
      <c r="AN169" s="147">
        <f t="shared" si="290"/>
        <v>247.27701542183641</v>
      </c>
      <c r="AP169">
        <f t="shared" si="291"/>
        <v>59</v>
      </c>
      <c r="AQ169">
        <f t="shared" si="292"/>
        <v>247.27701542183641</v>
      </c>
      <c r="AS169" s="5">
        <f t="shared" si="263"/>
        <v>4.0440475160785709</v>
      </c>
      <c r="AT169" s="5">
        <f t="shared" si="293"/>
        <v>2.8026959593013836</v>
      </c>
      <c r="AU169" s="5">
        <f t="shared" si="230"/>
        <v>1.2413515567771873</v>
      </c>
      <c r="AV169" s="5"/>
      <c r="AW169" s="153">
        <f t="shared" si="231"/>
        <v>0.69304229195088685</v>
      </c>
      <c r="AX169" s="153">
        <f t="shared" si="259"/>
        <v>1.3111111111111113</v>
      </c>
      <c r="AY169" s="153">
        <f t="shared" si="260"/>
        <v>6.4523184601924743E-2</v>
      </c>
      <c r="AZ169" s="153">
        <f t="shared" si="264"/>
        <v>20.320000000000007</v>
      </c>
      <c r="BA169" s="147">
        <f t="shared" si="294"/>
        <v>3.0231480258994696</v>
      </c>
      <c r="BB169" s="147">
        <f t="shared" si="295"/>
        <v>16.061509514074068</v>
      </c>
      <c r="BC169" s="5">
        <f t="shared" si="258"/>
        <v>0.18083886876507174</v>
      </c>
      <c r="BD169" s="147">
        <f t="shared" si="296"/>
        <v>18.520923913544209</v>
      </c>
      <c r="BF169" s="153">
        <f t="shared" si="265"/>
        <v>0.20206285637302346</v>
      </c>
      <c r="BG169" s="153">
        <f t="shared" si="261"/>
        <v>0.1344763431853617</v>
      </c>
      <c r="BI169" s="463">
        <f t="shared" si="236"/>
        <v>1.4290289273968786E-2</v>
      </c>
      <c r="BJ169" s="463">
        <f t="shared" si="237"/>
        <v>1.5240000000000002E-2</v>
      </c>
      <c r="BK169" s="463">
        <f t="shared" si="238"/>
        <v>3.0909626927729554E-3</v>
      </c>
      <c r="BL169" s="463">
        <f t="shared" si="239"/>
        <v>1.0628737627118648E-2</v>
      </c>
      <c r="BM169">
        <f t="shared" si="240"/>
        <v>2.6099999999999999E-3</v>
      </c>
      <c r="BN169">
        <f t="shared" si="297"/>
        <v>2.472770154218364E-6</v>
      </c>
      <c r="BO169" s="463">
        <f t="shared" si="298"/>
        <v>4.7917989993641892E-2</v>
      </c>
      <c r="BP169" s="147">
        <f t="shared" si="243"/>
        <v>45.859989593860391</v>
      </c>
      <c r="BQ169" s="463">
        <f t="shared" si="299"/>
        <v>3.6354089573651487E-2</v>
      </c>
      <c r="BT169" s="147">
        <f t="shared" si="245"/>
        <v>36.354089573651486</v>
      </c>
      <c r="BU169" s="463">
        <f t="shared" si="246"/>
        <v>4.0829397925625108E-2</v>
      </c>
      <c r="BV169" s="463">
        <f t="shared" si="247"/>
        <v>1.8083886876507176E-2</v>
      </c>
      <c r="BW169" s="463">
        <f t="shared" si="248"/>
        <v>0</v>
      </c>
      <c r="BX169" s="463"/>
      <c r="BY169" s="463">
        <f t="shared" si="249"/>
        <v>2.1851851851851858E-2</v>
      </c>
      <c r="BZ169" s="147">
        <f t="shared" si="250"/>
        <v>80.765136653984143</v>
      </c>
      <c r="CA169" s="153">
        <f t="shared" si="251"/>
        <v>0.16297921582149599</v>
      </c>
      <c r="CB169" s="5">
        <f t="shared" si="252"/>
        <v>1.18</v>
      </c>
      <c r="CC169" s="153">
        <f t="shared" si="253"/>
        <v>0.87864353081458368</v>
      </c>
      <c r="CD169" s="5">
        <f t="shared" si="254"/>
        <v>87.864353081458376</v>
      </c>
      <c r="CG169" s="59">
        <f t="shared" si="300"/>
        <v>-50</v>
      </c>
      <c r="CH169">
        <f t="shared" si="301"/>
        <v>-50</v>
      </c>
    </row>
    <row r="170" spans="5:86" x14ac:dyDescent="0.25">
      <c r="E170" s="150">
        <v>60</v>
      </c>
      <c r="F170" s="191">
        <f t="shared" si="302"/>
        <v>0.06</v>
      </c>
      <c r="G170" s="191"/>
      <c r="H170" s="191">
        <f t="shared" si="266"/>
        <v>1.2</v>
      </c>
      <c r="I170" s="472">
        <f t="shared" si="267"/>
        <v>9</v>
      </c>
      <c r="J170" s="386">
        <f t="shared" si="268"/>
        <v>20.32</v>
      </c>
      <c r="K170" s="386">
        <f t="shared" si="269"/>
        <v>29.32</v>
      </c>
      <c r="L170" s="386"/>
      <c r="M170" s="191">
        <f t="shared" si="270"/>
        <v>0.69304229195088674</v>
      </c>
      <c r="N170" s="152">
        <f t="shared" si="271"/>
        <v>2.1177466575716233</v>
      </c>
      <c r="O170" s="152">
        <f t="shared" si="262"/>
        <v>1.2</v>
      </c>
      <c r="P170" s="191">
        <f t="shared" si="272"/>
        <v>0.10588733287858117</v>
      </c>
      <c r="Q170" s="191">
        <f t="shared" si="273"/>
        <v>20</v>
      </c>
      <c r="R170" s="191"/>
      <c r="S170" s="152">
        <f t="shared" si="274"/>
        <v>41.693549314375936</v>
      </c>
      <c r="T170" s="152">
        <f t="shared" si="275"/>
        <v>20</v>
      </c>
      <c r="U170" s="191">
        <f t="shared" si="276"/>
        <v>0.42752989209682124</v>
      </c>
      <c r="V170" s="191">
        <f t="shared" si="277"/>
        <v>2.8501992806454752</v>
      </c>
      <c r="W170" s="191">
        <f t="shared" si="278"/>
        <v>1.2623914136717163</v>
      </c>
      <c r="X170" s="175">
        <f t="shared" si="279"/>
        <v>350</v>
      </c>
      <c r="Y170" s="386">
        <f t="shared" ref="Y170:Y210" si="303">MIN(1/(V170+W170)*1000, 350)</f>
        <v>243.15573183147242</v>
      </c>
      <c r="AA170" s="191">
        <f t="shared" si="280"/>
        <v>0.29701812512180864</v>
      </c>
      <c r="AB170" s="153">
        <f t="shared" si="281"/>
        <v>0.87702202299746645</v>
      </c>
      <c r="AC170" s="153">
        <f t="shared" si="282"/>
        <v>4.5586001468217563E-2</v>
      </c>
      <c r="AD170" s="153"/>
      <c r="AE170" s="153">
        <f t="shared" si="283"/>
        <v>0.44291338582677164</v>
      </c>
      <c r="AF170" s="317">
        <f t="shared" si="284"/>
        <v>1806.2222222222224</v>
      </c>
      <c r="AG170" s="463">
        <f t="shared" si="285"/>
        <v>1.1626476377952754E-2</v>
      </c>
      <c r="AI170" s="153">
        <f t="shared" si="286"/>
        <v>0.3407554632200131</v>
      </c>
      <c r="AJ170" s="153">
        <f t="shared" si="287"/>
        <v>0.42752989209682124</v>
      </c>
      <c r="AK170" s="153">
        <f t="shared" si="288"/>
        <v>1.3850199280645474</v>
      </c>
      <c r="AM170" s="317">
        <f t="shared" si="289"/>
        <v>60</v>
      </c>
      <c r="AN170" s="147">
        <f t="shared" si="290"/>
        <v>243.15573183147242</v>
      </c>
      <c r="AP170">
        <f t="shared" si="291"/>
        <v>60</v>
      </c>
      <c r="AQ170">
        <f t="shared" si="292"/>
        <v>243.15573183147242</v>
      </c>
      <c r="AS170" s="5">
        <f t="shared" si="263"/>
        <v>4.1125906943171913</v>
      </c>
      <c r="AT170" s="5">
        <f t="shared" si="293"/>
        <v>2.8501992806454752</v>
      </c>
      <c r="AU170" s="5">
        <f t="shared" ref="AU170:AU233" si="304">AS170-AT170</f>
        <v>1.262391413671716</v>
      </c>
      <c r="AV170" s="5"/>
      <c r="AW170" s="153">
        <f t="shared" ref="AW170:AW233" si="305">AT170/AS170</f>
        <v>0.69304229195088685</v>
      </c>
      <c r="AX170" s="153">
        <f t="shared" si="259"/>
        <v>1.3333333333333335</v>
      </c>
      <c r="AY170" s="153">
        <f t="shared" si="260"/>
        <v>6.5616797900262452E-2</v>
      </c>
      <c r="AZ170" s="153">
        <f t="shared" si="264"/>
        <v>20.320000000000007</v>
      </c>
      <c r="BA170" s="147">
        <f t="shared" si="294"/>
        <v>3.0231480258994696</v>
      </c>
      <c r="BB170" s="147">
        <f t="shared" si="295"/>
        <v>16.607530666666666</v>
      </c>
      <c r="BC170" s="5">
        <f t="shared" si="258"/>
        <v>0.18702095017358755</v>
      </c>
      <c r="BD170" s="147">
        <f t="shared" si="296"/>
        <v>19.146539461803201</v>
      </c>
      <c r="BF170" s="153">
        <f t="shared" si="265"/>
        <v>0.20548765054883741</v>
      </c>
      <c r="BG170" s="153">
        <f t="shared" si="261"/>
        <v>0.13675560323935088</v>
      </c>
      <c r="BI170" s="463">
        <f t="shared" ref="BI170:BI210" si="306">Rdson*BF170^2</f>
        <v>1.477881108482839E-2</v>
      </c>
      <c r="BJ170" s="463">
        <f t="shared" ref="BJ170:BJ210" si="307">0.5*K170*AJ170*AN170*1000*Trise</f>
        <v>1.524E-2</v>
      </c>
      <c r="BK170" s="463">
        <f t="shared" ref="BK170:BK210" si="308">Qg*Vdd*AN170*1000</f>
        <v>3.0394466478934051E-3</v>
      </c>
      <c r="BL170" s="463">
        <f t="shared" ref="BL170:BL210" si="309">0.5*(Coss+Csw)*K170^2*AN170*1000</f>
        <v>1.0451591999999999E-2</v>
      </c>
      <c r="BM170">
        <f t="shared" ref="BM170:BM210" si="310">I170*IQ</f>
        <v>2.6099999999999999E-3</v>
      </c>
      <c r="BN170">
        <f t="shared" si="297"/>
        <v>2.4315573183147241E-6</v>
      </c>
      <c r="BO170" s="463">
        <f t="shared" si="298"/>
        <v>4.824898083116233E-2</v>
      </c>
      <c r="BP170" s="147">
        <f t="shared" ref="BP170:BP210" si="311">SUM(BI170:BM170)*1000</f>
        <v>46.119849732721789</v>
      </c>
      <c r="BQ170" s="463">
        <f t="shared" si="299"/>
        <v>3.7208400593262088E-2</v>
      </c>
      <c r="BT170" s="147">
        <f t="shared" ref="BT170:BT210" si="312">SUM(BQ170:BS170)*1000</f>
        <v>37.208400593262091</v>
      </c>
      <c r="BU170" s="463">
        <f t="shared" ref="BU170:BU210" si="313">Rdcr_pri*BF170^2</f>
        <v>4.2225174528081118E-2</v>
      </c>
      <c r="BV170" s="463">
        <f t="shared" ref="BV170:BV210" si="314">Rdcr_sec*BG170^2</f>
        <v>1.8702095017358755E-2</v>
      </c>
      <c r="BW170" s="463">
        <f t="shared" ref="BW170:BW210" si="315">AJ170^2.5*AN170^2.5*k_core</f>
        <v>0</v>
      </c>
      <c r="BX170" s="463"/>
      <c r="BY170" s="463">
        <f t="shared" ref="BY170:BY210" si="316">0.5*Lleak*0.000000001*AJ170^2*AN170*1000</f>
        <v>2.2222222222222227E-2</v>
      </c>
      <c r="BZ170" s="147">
        <f t="shared" ref="BZ170:BZ210" si="317">SUM(BU170:BY170)*1000</f>
        <v>83.149491767662099</v>
      </c>
      <c r="CA170" s="153">
        <f t="shared" ref="CA170:CA210" si="318">SUM(BI170:BM170,BQ170:BS170,BU170:BY170)</f>
        <v>0.16647774209364596</v>
      </c>
      <c r="CB170" s="5">
        <f t="shared" ref="CB170:CB212" si="319">MIN(H170,O170)</f>
        <v>1.2</v>
      </c>
      <c r="CC170" s="153">
        <f t="shared" ref="CC170:CC210" si="320">CB170/(CB170+CA170)</f>
        <v>0.87817017653095664</v>
      </c>
      <c r="CD170" s="5">
        <f t="shared" ref="CD170:CD210" si="321">CC170*100</f>
        <v>87.817017653095661</v>
      </c>
      <c r="CG170" s="59">
        <f t="shared" si="300"/>
        <v>-50</v>
      </c>
      <c r="CH170">
        <f t="shared" si="301"/>
        <v>-50</v>
      </c>
    </row>
    <row r="171" spans="5:86" x14ac:dyDescent="0.25">
      <c r="E171" s="150">
        <v>61</v>
      </c>
      <c r="F171" s="191">
        <f t="shared" si="302"/>
        <v>6.0999999999999999E-2</v>
      </c>
      <c r="G171" s="191"/>
      <c r="H171" s="191">
        <f t="shared" si="266"/>
        <v>1.22</v>
      </c>
      <c r="I171" s="472">
        <f t="shared" si="267"/>
        <v>9</v>
      </c>
      <c r="J171" s="386">
        <f t="shared" si="268"/>
        <v>20.32</v>
      </c>
      <c r="K171" s="386">
        <f t="shared" si="269"/>
        <v>29.32</v>
      </c>
      <c r="L171" s="386"/>
      <c r="M171" s="191">
        <f t="shared" si="270"/>
        <v>0.69304229195088674</v>
      </c>
      <c r="N171" s="152">
        <f t="shared" si="271"/>
        <v>2.1177466575716233</v>
      </c>
      <c r="O171" s="152">
        <f t="shared" si="262"/>
        <v>1.22</v>
      </c>
      <c r="P171" s="191">
        <f t="shared" si="272"/>
        <v>0.10588733287858117</v>
      </c>
      <c r="Q171" s="191">
        <f t="shared" si="273"/>
        <v>20</v>
      </c>
      <c r="R171" s="191"/>
      <c r="S171" s="152">
        <f t="shared" si="274"/>
        <v>40.86501032166796</v>
      </c>
      <c r="T171" s="152">
        <f t="shared" si="275"/>
        <v>20</v>
      </c>
      <c r="U171" s="191">
        <f t="shared" si="276"/>
        <v>0.43465539029843492</v>
      </c>
      <c r="V171" s="191">
        <f t="shared" si="277"/>
        <v>2.8977026019895664</v>
      </c>
      <c r="W171" s="191">
        <f t="shared" si="278"/>
        <v>1.283431270566245</v>
      </c>
      <c r="X171" s="175">
        <f t="shared" si="279"/>
        <v>350</v>
      </c>
      <c r="Y171" s="386">
        <f t="shared" si="303"/>
        <v>239.16957229325155</v>
      </c>
      <c r="AA171" s="191">
        <f t="shared" si="280"/>
        <v>0.29701812512180864</v>
      </c>
      <c r="AB171" s="153">
        <f t="shared" si="281"/>
        <v>0.87702202299746645</v>
      </c>
      <c r="AC171" s="153">
        <f t="shared" si="282"/>
        <v>4.5586001468217563E-2</v>
      </c>
      <c r="AD171" s="153"/>
      <c r="AE171" s="153">
        <f t="shared" si="283"/>
        <v>0.44291338582677164</v>
      </c>
      <c r="AF171" s="317">
        <f t="shared" si="284"/>
        <v>1836.3259259259262</v>
      </c>
      <c r="AG171" s="463">
        <f t="shared" si="285"/>
        <v>1.1626476377952754E-2</v>
      </c>
      <c r="AI171" s="153">
        <f t="shared" si="286"/>
        <v>0.3435833578762566</v>
      </c>
      <c r="AJ171" s="153">
        <f t="shared" si="287"/>
        <v>0.43465539029843492</v>
      </c>
      <c r="AK171" s="153">
        <f t="shared" si="288"/>
        <v>1.3897702601989566</v>
      </c>
      <c r="AM171" s="317">
        <f t="shared" si="289"/>
        <v>61</v>
      </c>
      <c r="AN171" s="147">
        <f t="shared" si="290"/>
        <v>239.16957229325155</v>
      </c>
      <c r="AP171">
        <f t="shared" si="291"/>
        <v>61</v>
      </c>
      <c r="AQ171">
        <f t="shared" si="292"/>
        <v>239.16957229325155</v>
      </c>
      <c r="AS171" s="5">
        <f t="shared" si="263"/>
        <v>4.1811338725558116</v>
      </c>
      <c r="AT171" s="5">
        <f t="shared" si="293"/>
        <v>2.8977026019895664</v>
      </c>
      <c r="AU171" s="5">
        <f t="shared" si="304"/>
        <v>1.2834312705662452</v>
      </c>
      <c r="AV171" s="5"/>
      <c r="AW171" s="153">
        <f t="shared" si="305"/>
        <v>0.69304229195088674</v>
      </c>
      <c r="AX171" s="153">
        <f t="shared" si="259"/>
        <v>1.3555555555555554</v>
      </c>
      <c r="AY171" s="153">
        <f t="shared" si="260"/>
        <v>6.6710411198600175E-2</v>
      </c>
      <c r="AZ171" s="153">
        <f t="shared" si="264"/>
        <v>20.319999999999997</v>
      </c>
      <c r="BA171" s="147">
        <f t="shared" si="294"/>
        <v>3.0231480258994696</v>
      </c>
      <c r="BB171" s="147">
        <f t="shared" si="295"/>
        <v>17.162678225185186</v>
      </c>
      <c r="BC171" s="5">
        <f t="shared" si="258"/>
        <v>0.19330693210997765</v>
      </c>
      <c r="BD171" s="147">
        <f t="shared" si="296"/>
        <v>19.782545062849618</v>
      </c>
      <c r="BF171" s="153">
        <f t="shared" si="265"/>
        <v>0.20891244472465134</v>
      </c>
      <c r="BG171" s="153">
        <f t="shared" si="261"/>
        <v>0.13903486329334008</v>
      </c>
      <c r="BI171" s="463">
        <f t="shared" si="306"/>
        <v>1.5275543346290674E-2</v>
      </c>
      <c r="BJ171" s="463">
        <f t="shared" si="307"/>
        <v>1.5239999999999998E-2</v>
      </c>
      <c r="BK171" s="463">
        <f t="shared" si="308"/>
        <v>2.9896196536656444E-3</v>
      </c>
      <c r="BL171" s="463">
        <f t="shared" si="309"/>
        <v>1.0280254426229507E-2</v>
      </c>
      <c r="BM171">
        <f t="shared" si="310"/>
        <v>2.6099999999999999E-3</v>
      </c>
      <c r="BN171">
        <f t="shared" si="297"/>
        <v>2.3916957229325154E-6</v>
      </c>
      <c r="BO171" s="463">
        <f t="shared" si="298"/>
        <v>4.8596970149037848E-2</v>
      </c>
      <c r="BP171" s="147">
        <f t="shared" si="311"/>
        <v>46.395417426185823</v>
      </c>
      <c r="BQ171" s="463">
        <f t="shared" si="299"/>
        <v>3.8070649613202293E-2</v>
      </c>
      <c r="BT171" s="147">
        <f t="shared" si="312"/>
        <v>38.070649613202292</v>
      </c>
      <c r="BU171" s="463">
        <f t="shared" si="313"/>
        <v>4.3644409560830502E-2</v>
      </c>
      <c r="BV171" s="463">
        <f t="shared" si="314"/>
        <v>1.9330693210997764E-2</v>
      </c>
      <c r="BW171" s="463">
        <f t="shared" si="315"/>
        <v>0</v>
      </c>
      <c r="BX171" s="463"/>
      <c r="BY171" s="463">
        <f t="shared" si="316"/>
        <v>2.2592592592592591E-2</v>
      </c>
      <c r="BZ171" s="147">
        <f t="shared" si="317"/>
        <v>85.567695364420871</v>
      </c>
      <c r="CA171" s="153">
        <f t="shared" si="318"/>
        <v>0.17003376240380896</v>
      </c>
      <c r="CB171" s="5">
        <f t="shared" si="319"/>
        <v>1.22</v>
      </c>
      <c r="CC171" s="153">
        <f t="shared" si="320"/>
        <v>0.87767652340345559</v>
      </c>
      <c r="CD171" s="5">
        <f t="shared" si="321"/>
        <v>87.767652340345563</v>
      </c>
      <c r="CG171" s="59">
        <f t="shared" si="300"/>
        <v>-50</v>
      </c>
      <c r="CH171">
        <f t="shared" si="301"/>
        <v>-50</v>
      </c>
    </row>
    <row r="172" spans="5:86" x14ac:dyDescent="0.25">
      <c r="E172" s="150">
        <v>62</v>
      </c>
      <c r="F172" s="191">
        <f t="shared" si="302"/>
        <v>6.2E-2</v>
      </c>
      <c r="G172" s="191"/>
      <c r="H172" s="191">
        <f t="shared" si="266"/>
        <v>1.24</v>
      </c>
      <c r="I172" s="472">
        <f t="shared" si="267"/>
        <v>9</v>
      </c>
      <c r="J172" s="386">
        <f t="shared" si="268"/>
        <v>20.32</v>
      </c>
      <c r="K172" s="386">
        <f t="shared" si="269"/>
        <v>29.32</v>
      </c>
      <c r="L172" s="386"/>
      <c r="M172" s="191">
        <f t="shared" si="270"/>
        <v>0.69304229195088674</v>
      </c>
      <c r="N172" s="152">
        <f t="shared" si="271"/>
        <v>2.1177466575716233</v>
      </c>
      <c r="O172" s="152">
        <f t="shared" si="262"/>
        <v>1.24</v>
      </c>
      <c r="P172" s="191">
        <f t="shared" si="272"/>
        <v>0.10588733287858117</v>
      </c>
      <c r="Q172" s="191">
        <f t="shared" si="273"/>
        <v>20</v>
      </c>
      <c r="R172" s="191"/>
      <c r="S172" s="152">
        <f t="shared" si="274"/>
        <v>40.063252176924372</v>
      </c>
      <c r="T172" s="152">
        <f t="shared" si="275"/>
        <v>20</v>
      </c>
      <c r="U172" s="191">
        <f t="shared" si="276"/>
        <v>0.44178088850004865</v>
      </c>
      <c r="V172" s="191">
        <f t="shared" si="277"/>
        <v>2.9452059233336576</v>
      </c>
      <c r="W172" s="191">
        <f t="shared" si="278"/>
        <v>1.3044711274607736</v>
      </c>
      <c r="X172" s="175">
        <f t="shared" si="279"/>
        <v>350</v>
      </c>
      <c r="Y172" s="386">
        <f t="shared" si="303"/>
        <v>235.31199854658621</v>
      </c>
      <c r="AA172" s="191">
        <f t="shared" si="280"/>
        <v>0.29701812512180864</v>
      </c>
      <c r="AB172" s="153">
        <f t="shared" si="281"/>
        <v>0.87702202299746645</v>
      </c>
      <c r="AC172" s="153">
        <f t="shared" si="282"/>
        <v>4.5586001468217563E-2</v>
      </c>
      <c r="AD172" s="153"/>
      <c r="AE172" s="153">
        <f t="shared" si="283"/>
        <v>0.44291338582677164</v>
      </c>
      <c r="AF172" s="317">
        <f t="shared" si="284"/>
        <v>1866.42962962963</v>
      </c>
      <c r="AG172" s="463">
        <f t="shared" si="285"/>
        <v>1.1626476377952754E-2</v>
      </c>
      <c r="AI172" s="153">
        <f t="shared" si="286"/>
        <v>0.34638816651953042</v>
      </c>
      <c r="AJ172" s="153">
        <f t="shared" si="287"/>
        <v>0.44178088850004865</v>
      </c>
      <c r="AK172" s="153">
        <f t="shared" si="288"/>
        <v>1.3945205923333659</v>
      </c>
      <c r="AM172" s="317">
        <f t="shared" si="289"/>
        <v>62</v>
      </c>
      <c r="AN172" s="147">
        <f t="shared" si="290"/>
        <v>235.31199854658621</v>
      </c>
      <c r="AP172">
        <f t="shared" si="291"/>
        <v>62</v>
      </c>
      <c r="AQ172">
        <f t="shared" si="292"/>
        <v>235.31199854658621</v>
      </c>
      <c r="AS172" s="5">
        <f t="shared" si="263"/>
        <v>4.2496770507944319</v>
      </c>
      <c r="AT172" s="5">
        <f t="shared" si="293"/>
        <v>2.9452059233336576</v>
      </c>
      <c r="AU172" s="5">
        <f t="shared" si="304"/>
        <v>1.3044711274607743</v>
      </c>
      <c r="AV172" s="5"/>
      <c r="AW172" s="153">
        <f t="shared" si="305"/>
        <v>0.69304229195088662</v>
      </c>
      <c r="AX172" s="153">
        <f t="shared" si="259"/>
        <v>1.377777777777778</v>
      </c>
      <c r="AY172" s="153">
        <f t="shared" si="260"/>
        <v>6.7804024496937926E-2</v>
      </c>
      <c r="AZ172" s="153">
        <f t="shared" si="264"/>
        <v>20.31999999999999</v>
      </c>
      <c r="BA172" s="147">
        <f t="shared" si="294"/>
        <v>3.0231480258994696</v>
      </c>
      <c r="BB172" s="147">
        <f t="shared" si="295"/>
        <v>17.726952189629628</v>
      </c>
      <c r="BC172" s="5">
        <f t="shared" si="258"/>
        <v>0.19969681457424202</v>
      </c>
      <c r="BD172" s="147">
        <f t="shared" si="296"/>
        <v>20.428940716683464</v>
      </c>
      <c r="BF172" s="153">
        <f t="shared" si="265"/>
        <v>0.2123372389004653</v>
      </c>
      <c r="BG172" s="153">
        <f t="shared" si="261"/>
        <v>0.14131412334732932</v>
      </c>
      <c r="BI172" s="463">
        <f t="shared" si="306"/>
        <v>1.5780486058355647E-2</v>
      </c>
      <c r="BJ172" s="463">
        <f t="shared" si="307"/>
        <v>1.524E-2</v>
      </c>
      <c r="BK172" s="463">
        <f t="shared" si="308"/>
        <v>2.9413999818323272E-3</v>
      </c>
      <c r="BL172" s="463">
        <f t="shared" si="309"/>
        <v>1.0114443870967741E-2</v>
      </c>
      <c r="BM172">
        <f t="shared" si="310"/>
        <v>2.6099999999999999E-3</v>
      </c>
      <c r="BN172">
        <f t="shared" si="297"/>
        <v>2.3531199854658621E-6</v>
      </c>
      <c r="BO172" s="463">
        <f t="shared" si="298"/>
        <v>4.8961600332610523E-2</v>
      </c>
      <c r="BP172" s="147">
        <f t="shared" si="311"/>
        <v>46.686329911155717</v>
      </c>
      <c r="BQ172" s="463">
        <f t="shared" si="299"/>
        <v>3.8940836633472094E-2</v>
      </c>
      <c r="BT172" s="147">
        <f t="shared" si="312"/>
        <v>38.940836633472095</v>
      </c>
      <c r="BU172" s="463">
        <f t="shared" si="313"/>
        <v>4.5087103023873275E-2</v>
      </c>
      <c r="BV172" s="463">
        <f t="shared" si="314"/>
        <v>1.9969681457424206E-2</v>
      </c>
      <c r="BW172" s="463">
        <f t="shared" si="315"/>
        <v>0</v>
      </c>
      <c r="BX172" s="463"/>
      <c r="BY172" s="463">
        <f t="shared" si="316"/>
        <v>2.296296296296297E-2</v>
      </c>
      <c r="BZ172" s="147">
        <f t="shared" si="317"/>
        <v>88.019747444260446</v>
      </c>
      <c r="CA172" s="153">
        <f t="shared" si="318"/>
        <v>0.17364691398888826</v>
      </c>
      <c r="CB172" s="5">
        <f t="shared" si="319"/>
        <v>1.24</v>
      </c>
      <c r="CC172" s="153">
        <f t="shared" si="320"/>
        <v>0.87716387149397246</v>
      </c>
      <c r="CD172" s="5">
        <f t="shared" si="321"/>
        <v>87.716387149397249</v>
      </c>
      <c r="CG172" s="59">
        <f t="shared" si="300"/>
        <v>-50</v>
      </c>
      <c r="CH172">
        <f t="shared" si="301"/>
        <v>-50</v>
      </c>
    </row>
    <row r="173" spans="5:86" x14ac:dyDescent="0.25">
      <c r="E173" s="150">
        <v>63</v>
      </c>
      <c r="F173" s="191">
        <f t="shared" si="302"/>
        <v>6.3E-2</v>
      </c>
      <c r="G173" s="191"/>
      <c r="H173" s="191">
        <f t="shared" si="266"/>
        <v>1.26</v>
      </c>
      <c r="I173" s="472">
        <f t="shared" si="267"/>
        <v>9</v>
      </c>
      <c r="J173" s="386">
        <f t="shared" si="268"/>
        <v>20.32</v>
      </c>
      <c r="K173" s="386">
        <f t="shared" si="269"/>
        <v>29.32</v>
      </c>
      <c r="L173" s="386"/>
      <c r="M173" s="191">
        <f t="shared" si="270"/>
        <v>0.69304229195088674</v>
      </c>
      <c r="N173" s="152">
        <f t="shared" si="271"/>
        <v>2.1177466575716233</v>
      </c>
      <c r="O173" s="152">
        <f t="shared" si="262"/>
        <v>1.26</v>
      </c>
      <c r="P173" s="191">
        <f t="shared" si="272"/>
        <v>0.10588733287858117</v>
      </c>
      <c r="Q173" s="191">
        <f t="shared" si="273"/>
        <v>20</v>
      </c>
      <c r="R173" s="191"/>
      <c r="S173" s="152">
        <f t="shared" si="274"/>
        <v>39.287000133209489</v>
      </c>
      <c r="T173" s="152">
        <f t="shared" si="275"/>
        <v>20</v>
      </c>
      <c r="U173" s="191">
        <f t="shared" si="276"/>
        <v>0.44890638670166233</v>
      </c>
      <c r="V173" s="191">
        <f t="shared" si="277"/>
        <v>2.9927092446777488</v>
      </c>
      <c r="W173" s="191">
        <f t="shared" si="278"/>
        <v>1.3255109843553023</v>
      </c>
      <c r="X173" s="175">
        <f t="shared" si="279"/>
        <v>350</v>
      </c>
      <c r="Y173" s="386">
        <f t="shared" si="303"/>
        <v>231.57688745854514</v>
      </c>
      <c r="AA173" s="191">
        <f t="shared" si="280"/>
        <v>0.29701812512180864</v>
      </c>
      <c r="AB173" s="153">
        <f t="shared" si="281"/>
        <v>0.87702202299746645</v>
      </c>
      <c r="AC173" s="153">
        <f t="shared" si="282"/>
        <v>4.5586001468217563E-2</v>
      </c>
      <c r="AD173" s="153"/>
      <c r="AE173" s="153">
        <f t="shared" si="283"/>
        <v>0.44291338582677164</v>
      </c>
      <c r="AF173" s="317">
        <f t="shared" si="284"/>
        <v>1896.5333333333338</v>
      </c>
      <c r="AG173" s="463">
        <f t="shared" si="285"/>
        <v>1.1626476377952754E-2</v>
      </c>
      <c r="AI173" s="153">
        <f t="shared" si="286"/>
        <v>0.34917044548472315</v>
      </c>
      <c r="AJ173" s="153">
        <f t="shared" si="287"/>
        <v>0.44890638670166233</v>
      </c>
      <c r="AK173" s="153">
        <f t="shared" si="288"/>
        <v>1.3992709244677748</v>
      </c>
      <c r="AM173" s="317">
        <f t="shared" si="289"/>
        <v>63</v>
      </c>
      <c r="AN173" s="147">
        <f t="shared" si="290"/>
        <v>231.57688745854514</v>
      </c>
      <c r="AP173">
        <f t="shared" si="291"/>
        <v>63</v>
      </c>
      <c r="AQ173">
        <f t="shared" si="292"/>
        <v>231.57688745854514</v>
      </c>
      <c r="AS173" s="5">
        <f t="shared" si="263"/>
        <v>4.3182202290330514</v>
      </c>
      <c r="AT173" s="5">
        <f t="shared" si="293"/>
        <v>2.9927092446777488</v>
      </c>
      <c r="AU173" s="5">
        <f t="shared" si="304"/>
        <v>1.3255109843553026</v>
      </c>
      <c r="AV173" s="5"/>
      <c r="AW173" s="153">
        <f t="shared" si="305"/>
        <v>0.69304229195088674</v>
      </c>
      <c r="AX173" s="153">
        <f t="shared" si="259"/>
        <v>1.4</v>
      </c>
      <c r="AY173" s="153">
        <f t="shared" si="260"/>
        <v>6.8897637795275607E-2</v>
      </c>
      <c r="AZ173" s="153">
        <f t="shared" si="264"/>
        <v>20.319999999999993</v>
      </c>
      <c r="BA173" s="147">
        <f t="shared" si="294"/>
        <v>3.0231480258994696</v>
      </c>
      <c r="BB173" s="147">
        <f t="shared" si="295"/>
        <v>18.30035256</v>
      </c>
      <c r="BC173" s="5">
        <f t="shared" si="258"/>
        <v>0.20619059756638039</v>
      </c>
      <c r="BD173" s="147">
        <f t="shared" si="296"/>
        <v>21.085726423304706</v>
      </c>
      <c r="BF173" s="153">
        <f t="shared" si="265"/>
        <v>0.21576203307627925</v>
      </c>
      <c r="BG173" s="153">
        <f t="shared" si="261"/>
        <v>0.14359338340131847</v>
      </c>
      <c r="BI173" s="463">
        <f t="shared" si="306"/>
        <v>1.6293639221023296E-2</v>
      </c>
      <c r="BJ173" s="463">
        <f t="shared" si="307"/>
        <v>1.5239999999999998E-2</v>
      </c>
      <c r="BK173" s="463">
        <f t="shared" si="308"/>
        <v>2.8947110932318141E-3</v>
      </c>
      <c r="BL173" s="463">
        <f t="shared" si="309"/>
        <v>9.9538971428571425E-3</v>
      </c>
      <c r="BM173">
        <f t="shared" si="310"/>
        <v>2.6099999999999999E-3</v>
      </c>
      <c r="BN173">
        <f t="shared" si="297"/>
        <v>2.3157688745854517E-6</v>
      </c>
      <c r="BO173" s="463">
        <f t="shared" si="298"/>
        <v>4.934253689253755E-2</v>
      </c>
      <c r="BP173" s="147">
        <f t="shared" si="311"/>
        <v>46.992247457112249</v>
      </c>
      <c r="BQ173" s="463">
        <f t="shared" si="299"/>
        <v>3.9818961654071464E-2</v>
      </c>
      <c r="BT173" s="147">
        <f t="shared" si="312"/>
        <v>39.818961654071465</v>
      </c>
      <c r="BU173" s="463">
        <f t="shared" si="313"/>
        <v>4.6553254917209422E-2</v>
      </c>
      <c r="BV173" s="463">
        <f t="shared" si="314"/>
        <v>2.0619059756638042E-2</v>
      </c>
      <c r="BW173" s="463">
        <f t="shared" si="315"/>
        <v>0</v>
      </c>
      <c r="BX173" s="463"/>
      <c r="BY173" s="463">
        <f t="shared" si="316"/>
        <v>2.3333333333333338E-2</v>
      </c>
      <c r="BZ173" s="147">
        <f t="shared" si="317"/>
        <v>90.50564800718081</v>
      </c>
      <c r="CA173" s="153">
        <f t="shared" si="318"/>
        <v>0.17731685711836453</v>
      </c>
      <c r="CB173" s="5">
        <f t="shared" si="319"/>
        <v>1.26</v>
      </c>
      <c r="CC173" s="153">
        <f t="shared" si="320"/>
        <v>0.87663342551073808</v>
      </c>
      <c r="CD173" s="5">
        <f t="shared" si="321"/>
        <v>87.663342551073811</v>
      </c>
      <c r="CG173" s="59">
        <f t="shared" si="300"/>
        <v>-50</v>
      </c>
      <c r="CH173">
        <f t="shared" si="301"/>
        <v>-50</v>
      </c>
    </row>
    <row r="174" spans="5:86" x14ac:dyDescent="0.25">
      <c r="E174" s="150">
        <v>64</v>
      </c>
      <c r="F174" s="191">
        <f t="shared" si="302"/>
        <v>6.4000000000000001E-2</v>
      </c>
      <c r="G174" s="191"/>
      <c r="H174" s="191">
        <f t="shared" ref="H174:H205" si="322">F174*Vout</f>
        <v>1.28</v>
      </c>
      <c r="I174" s="472">
        <f t="shared" ref="I174:I212" si="323">VIN_min</f>
        <v>9</v>
      </c>
      <c r="J174" s="386">
        <f t="shared" ref="J174:J210" si="324">(T174+Vfwd1)*Nps</f>
        <v>20.32</v>
      </c>
      <c r="K174" s="386">
        <f t="shared" ref="K174:K210" si="325">(Vout+Vfwd1)*Nps+I174</f>
        <v>29.32</v>
      </c>
      <c r="L174" s="386"/>
      <c r="M174" s="191">
        <f t="shared" ref="M174:M210" si="326">(Vout+Vfwd1)*Nps/((Vout+Vfwd1)*Nps+I174)</f>
        <v>0.69304229195088674</v>
      </c>
      <c r="N174" s="152">
        <f t="shared" ref="N174:N205" si="327">M174*I174*(Isw_max+VIN_min/Lmag*ILIM_delay)*0.5*Efficiency</f>
        <v>2.1177466575716233</v>
      </c>
      <c r="O174" s="152">
        <f t="shared" si="262"/>
        <v>1.28</v>
      </c>
      <c r="P174" s="191">
        <f t="shared" ref="P174:P205" si="328">N174/Vout</f>
        <v>0.10588733287858117</v>
      </c>
      <c r="Q174" s="191">
        <f t="shared" ref="Q174:Q210" si="329">MIN(Vout,N174/F174)</f>
        <v>20</v>
      </c>
      <c r="R174" s="191"/>
      <c r="S174" s="152">
        <f t="shared" ref="S174:S210" si="330">(SQRT(Isw_max^2*Nps^2*I174^2+4*Isw_max*F174/Efficiency*(Nps^2*Vfwd1*I174-Nps*I174^2)+4*(F174/Efficiency)^2*Nps^2*Vfwd1^2+8*(F174/Efficiency)^2*Nps*Vfwd1*I174+4*(F174/Efficiency)^2*I174^2)-2*F174/Efficiency*I174-2*F174/Efficiency*Nps*Vfwd1+Isw_max*Nps*I174)/(4*F174/Efficiency*Nps)</f>
        <v>38.535059121870823</v>
      </c>
      <c r="T174" s="152">
        <f t="shared" ref="T174:T205" si="331">MIN(Vout, S174)</f>
        <v>20</v>
      </c>
      <c r="U174" s="191">
        <f t="shared" ref="U174:U210" si="332">MIN(2*Vout*F174/(Efficiency*I174*M174), Isw_max)</f>
        <v>0.45603188490327601</v>
      </c>
      <c r="V174" s="191">
        <f t="shared" ref="V174:V205" si="333">L*U174/I174*1000000</f>
        <v>3.04021256602184</v>
      </c>
      <c r="W174" s="191">
        <f t="shared" ref="W174:W210" si="334">L*U174/J174*1000000</f>
        <v>1.3465508412498306</v>
      </c>
      <c r="X174" s="175">
        <f t="shared" ref="X174:X210" si="335">IF(1/((350000*L)*(1/I174+1/J174))&gt;Isw_min, 350, 0.001/((Isw_min*L)*(1/I174+1/J174)))</f>
        <v>350</v>
      </c>
      <c r="Y174" s="386">
        <f t="shared" si="303"/>
        <v>227.95849859200541</v>
      </c>
      <c r="AA174" s="191">
        <f t="shared" ref="AA174:AA210" si="336">1/((X174*1000*L)*(1/I174+1/J174))</f>
        <v>0.29701812512180864</v>
      </c>
      <c r="AB174" s="153">
        <f t="shared" ref="AB174:AB205" si="337">L*AA174/J174*1000000</f>
        <v>0.87702202299746645</v>
      </c>
      <c r="AC174" s="153">
        <f t="shared" ref="AC174:AC205" si="338">0.5*AB174*AA174*Nps*X174/1000</f>
        <v>4.5586001468217563E-2</v>
      </c>
      <c r="AD174" s="153"/>
      <c r="AE174" s="153">
        <f t="shared" ref="AE174:AE210" si="339">L*Isw_min/J174*1000000</f>
        <v>0.44291338582677164</v>
      </c>
      <c r="AF174" s="317">
        <f t="shared" ref="AF174:AF205" si="340">MAX(12000,F174/(0.5*AE174/1000000*Isw_min*Nps))/1000</f>
        <v>1926.6370370370373</v>
      </c>
      <c r="AG174" s="463">
        <f t="shared" ref="AG174:AG210" si="341">0.5*AE174/1000000*Isw_min*Nps*X174*1000</f>
        <v>1.1626476377952754E-2</v>
      </c>
      <c r="AI174" s="153">
        <f t="shared" ref="AI174:AI210" si="342">SQRT(F174/(0.5*L/J174*Fsw_DCM*Nps))</f>
        <v>0.35193072911474793</v>
      </c>
      <c r="AJ174" s="153">
        <f t="shared" ref="AJ174:AJ205" si="343">MAX(IF(F174&gt;AC174,U174,AI174),Isw_min)</f>
        <v>0.45603188490327601</v>
      </c>
      <c r="AK174" s="153">
        <f t="shared" ref="AK174:AK205" si="344">IF(F174&gt;AG174, (AJ174-Isw_min)/1.2*0.8+1.2, AF174*0.2/350+1)</f>
        <v>1.4040212566021841</v>
      </c>
      <c r="AM174" s="317">
        <f t="shared" ref="AM174:AM210" si="345">F174*1000</f>
        <v>64</v>
      </c>
      <c r="AN174" s="147">
        <f t="shared" ref="AN174:AN210" si="346">IF(F174&gt;AG174, Y174, AF174)</f>
        <v>227.95849859200541</v>
      </c>
      <c r="AP174">
        <f t="shared" ref="AP174:AP210" si="347">IF(H174&gt;N174, "",AM174)</f>
        <v>64</v>
      </c>
      <c r="AQ174">
        <f t="shared" ref="AQ174:AQ210" si="348">IF(H174&gt;N174, "",AN174)</f>
        <v>227.95849859200541</v>
      </c>
      <c r="AS174" s="5">
        <f t="shared" si="263"/>
        <v>4.3867634072716708</v>
      </c>
      <c r="AT174" s="5">
        <f t="shared" ref="AT174:AT210" si="349">L*AJ174/I174*1000000</f>
        <v>3.04021256602184</v>
      </c>
      <c r="AU174" s="5">
        <f t="shared" si="304"/>
        <v>1.3465508412498308</v>
      </c>
      <c r="AV174" s="5"/>
      <c r="AW174" s="153">
        <f t="shared" si="305"/>
        <v>0.69304229195088674</v>
      </c>
      <c r="AX174" s="153">
        <f t="shared" si="259"/>
        <v>1.4222222222222225</v>
      </c>
      <c r="AY174" s="153">
        <f t="shared" si="260"/>
        <v>6.9991251093613316E-2</v>
      </c>
      <c r="AZ174" s="153">
        <f t="shared" si="264"/>
        <v>20.32</v>
      </c>
      <c r="BA174" s="147">
        <f t="shared" ref="BA174:BA210" si="350">L*Isw_max^2/(2*Vout_ripple*Vout)*1000000000*((1+M174)/2)^2</f>
        <v>3.0231480258994696</v>
      </c>
      <c r="BB174" s="147">
        <f t="shared" ref="BB174:BB210" si="351">L*F174^2/(2*Cout*Vout*Nps^2)*1000000000*((1+M174)/(1-M174))^2+F174*RCoutEsr</f>
        <v>18.882879336296291</v>
      </c>
      <c r="BC174" s="5">
        <f t="shared" si="258"/>
        <v>0.21278828108639303</v>
      </c>
      <c r="BD174" s="147">
        <f t="shared" ref="BD174:BD210" si="352">((CB174/I174/Efficiency)*AU174/Cin+(CB174/I174/Efficiency)*RCinEsr)*1000</f>
        <v>21.752902182713377</v>
      </c>
      <c r="BF174" s="153">
        <f t="shared" si="265"/>
        <v>0.21918682725209321</v>
      </c>
      <c r="BG174" s="153">
        <f t="shared" si="261"/>
        <v>0.14587264345530765</v>
      </c>
      <c r="BI174" s="463">
        <f t="shared" si="306"/>
        <v>1.681500283429363E-2</v>
      </c>
      <c r="BJ174" s="463">
        <f t="shared" si="307"/>
        <v>1.524E-2</v>
      </c>
      <c r="BK174" s="463">
        <f t="shared" si="308"/>
        <v>2.8494812324000676E-3</v>
      </c>
      <c r="BL174" s="463">
        <f t="shared" si="309"/>
        <v>9.798367500000002E-3</v>
      </c>
      <c r="BM174">
        <f t="shared" si="310"/>
        <v>2.6099999999999999E-3</v>
      </c>
      <c r="BN174">
        <f t="shared" ref="BN174:BN210" si="353">(I174-Vdd)*Qg*AN174</f>
        <v>2.2795849859200542E-6</v>
      </c>
      <c r="BO174" s="463">
        <f t="shared" ref="BO174:BO205" si="354">(BJ174+BK174+BL174+BM174+BN174+BI174*(1+RdsonTC*(Ta-25)))/(1-BI174*RdsonTC*ThetaJA)</f>
        <v>4.9739466665168743E-2</v>
      </c>
      <c r="BP174" s="147">
        <f t="shared" si="311"/>
        <v>47.312851566693702</v>
      </c>
      <c r="BQ174" s="463">
        <f t="shared" ref="BQ174:BQ210" si="355">(Vfwd2*F174+BG174^2*Rdiode)*(1+Diode_TC/1000*(Ta-25))</f>
        <v>4.0705024675000437E-2</v>
      </c>
      <c r="BT174" s="147">
        <f t="shared" si="312"/>
        <v>40.705024675000438</v>
      </c>
      <c r="BU174" s="463">
        <f t="shared" si="313"/>
        <v>4.804286524083895E-2</v>
      </c>
      <c r="BV174" s="463">
        <f t="shared" si="314"/>
        <v>2.1278828108639309E-2</v>
      </c>
      <c r="BW174" s="463">
        <f t="shared" si="315"/>
        <v>0</v>
      </c>
      <c r="BX174" s="463"/>
      <c r="BY174" s="463">
        <f t="shared" si="316"/>
        <v>2.3703703703703709E-2</v>
      </c>
      <c r="BZ174" s="147">
        <f t="shared" si="317"/>
        <v>93.025397053181962</v>
      </c>
      <c r="CA174" s="153">
        <f t="shared" si="318"/>
        <v>0.1810432732948761</v>
      </c>
      <c r="CB174" s="5">
        <f t="shared" si="319"/>
        <v>1.28</v>
      </c>
      <c r="CC174" s="153">
        <f t="shared" si="320"/>
        <v>0.87608630312051206</v>
      </c>
      <c r="CD174" s="5">
        <f t="shared" si="321"/>
        <v>87.608630312051204</v>
      </c>
      <c r="CG174" s="59">
        <f t="shared" ref="CG174:CG210" si="356">IF(ABS(F174-Ioutmax_Vinmin)&lt;Iout/200, AN174, -50)</f>
        <v>-50</v>
      </c>
      <c r="CH174">
        <f t="shared" ref="CH174:CH210" si="357">IF(ABS(F174-Ioutmax_Vinmin)&lt;Iout/200, N174*CC174, -50)</f>
        <v>-50</v>
      </c>
    </row>
    <row r="175" spans="5:86" x14ac:dyDescent="0.25">
      <c r="E175" s="150">
        <v>65</v>
      </c>
      <c r="F175" s="191">
        <f t="shared" ref="F175:F206" si="358">IF(PLOT_TYPE=1, E175/100*Iout_max, min_I*EXP(N175*rr/100))</f>
        <v>6.5000000000000002E-2</v>
      </c>
      <c r="G175" s="191"/>
      <c r="H175" s="191">
        <f t="shared" si="322"/>
        <v>1.3</v>
      </c>
      <c r="I175" s="472">
        <f t="shared" si="323"/>
        <v>9</v>
      </c>
      <c r="J175" s="386">
        <f t="shared" si="324"/>
        <v>20.32</v>
      </c>
      <c r="K175" s="386">
        <f t="shared" si="325"/>
        <v>29.32</v>
      </c>
      <c r="L175" s="386"/>
      <c r="M175" s="191">
        <f t="shared" si="326"/>
        <v>0.69304229195088674</v>
      </c>
      <c r="N175" s="152">
        <f t="shared" si="327"/>
        <v>2.1177466575716233</v>
      </c>
      <c r="O175" s="152">
        <f t="shared" si="262"/>
        <v>1.3</v>
      </c>
      <c r="P175" s="191">
        <f t="shared" si="328"/>
        <v>0.10588733287858117</v>
      </c>
      <c r="Q175" s="191">
        <f t="shared" si="329"/>
        <v>20</v>
      </c>
      <c r="R175" s="191"/>
      <c r="S175" s="152">
        <f t="shared" si="330"/>
        <v>37.806307623535645</v>
      </c>
      <c r="T175" s="152">
        <f t="shared" si="331"/>
        <v>20</v>
      </c>
      <c r="U175" s="191">
        <f t="shared" si="332"/>
        <v>0.46315738310488974</v>
      </c>
      <c r="V175" s="191">
        <f t="shared" si="333"/>
        <v>3.0877158873659316</v>
      </c>
      <c r="W175" s="191">
        <f t="shared" si="334"/>
        <v>1.3675906981443593</v>
      </c>
      <c r="X175" s="175">
        <f t="shared" si="335"/>
        <v>350</v>
      </c>
      <c r="Y175" s="386">
        <f t="shared" si="303"/>
        <v>224.45144476751301</v>
      </c>
      <c r="AA175" s="191">
        <f t="shared" si="336"/>
        <v>0.29701812512180864</v>
      </c>
      <c r="AB175" s="153">
        <f t="shared" si="337"/>
        <v>0.87702202299746645</v>
      </c>
      <c r="AC175" s="153">
        <f t="shared" si="338"/>
        <v>4.5586001468217563E-2</v>
      </c>
      <c r="AD175" s="153"/>
      <c r="AE175" s="153">
        <f t="shared" si="339"/>
        <v>0.44291338582677164</v>
      </c>
      <c r="AF175" s="317">
        <f t="shared" si="340"/>
        <v>1956.7407407407411</v>
      </c>
      <c r="AG175" s="463">
        <f t="shared" si="341"/>
        <v>1.1626476377952754E-2</v>
      </c>
      <c r="AI175" s="153">
        <f t="shared" si="342"/>
        <v>0.35466953095871684</v>
      </c>
      <c r="AJ175" s="153">
        <f t="shared" si="343"/>
        <v>0.46315738310488974</v>
      </c>
      <c r="AK175" s="153">
        <f t="shared" si="344"/>
        <v>1.408771588736593</v>
      </c>
      <c r="AM175" s="317">
        <f t="shared" si="345"/>
        <v>65</v>
      </c>
      <c r="AN175" s="147">
        <f t="shared" si="346"/>
        <v>224.45144476751301</v>
      </c>
      <c r="AP175">
        <f t="shared" si="347"/>
        <v>65</v>
      </c>
      <c r="AQ175">
        <f t="shared" si="348"/>
        <v>224.45144476751301</v>
      </c>
      <c r="AS175" s="5">
        <f t="shared" si="263"/>
        <v>4.4553065855102902</v>
      </c>
      <c r="AT175" s="5">
        <f t="shared" si="349"/>
        <v>3.0877158873659316</v>
      </c>
      <c r="AU175" s="5">
        <f t="shared" si="304"/>
        <v>1.3675906981443586</v>
      </c>
      <c r="AV175" s="5"/>
      <c r="AW175" s="153">
        <f t="shared" si="305"/>
        <v>0.69304229195088685</v>
      </c>
      <c r="AX175" s="153">
        <f t="shared" si="259"/>
        <v>1.4444444444444449</v>
      </c>
      <c r="AY175" s="153">
        <f t="shared" si="260"/>
        <v>7.1084864391950997E-2</v>
      </c>
      <c r="AZ175" s="153">
        <f t="shared" si="264"/>
        <v>20.320000000000007</v>
      </c>
      <c r="BA175" s="147">
        <f t="shared" si="350"/>
        <v>3.0231480258994696</v>
      </c>
      <c r="BB175" s="147">
        <f t="shared" si="351"/>
        <v>19.474532518518522</v>
      </c>
      <c r="BC175" s="5">
        <f t="shared" si="258"/>
        <v>0.21948986513427976</v>
      </c>
      <c r="BD175" s="147">
        <f t="shared" si="352"/>
        <v>22.430467994909463</v>
      </c>
      <c r="BF175" s="153">
        <f t="shared" si="265"/>
        <v>0.22261162142790722</v>
      </c>
      <c r="BG175" s="153">
        <f t="shared" si="261"/>
        <v>0.1481519035092968</v>
      </c>
      <c r="BI175" s="463">
        <f t="shared" si="306"/>
        <v>1.7344576898166656E-2</v>
      </c>
      <c r="BJ175" s="463">
        <f t="shared" si="307"/>
        <v>1.5240000000000002E-2</v>
      </c>
      <c r="BK175" s="463">
        <f t="shared" si="308"/>
        <v>2.8056430595939123E-3</v>
      </c>
      <c r="BL175" s="463">
        <f t="shared" si="309"/>
        <v>9.6476233846153839E-3</v>
      </c>
      <c r="BM175">
        <f t="shared" si="310"/>
        <v>2.6099999999999999E-3</v>
      </c>
      <c r="BN175">
        <f t="shared" si="353"/>
        <v>2.24451444767513E-6</v>
      </c>
      <c r="BO175" s="463">
        <f t="shared" si="354"/>
        <v>5.0152096179056381E-2</v>
      </c>
      <c r="BP175" s="147">
        <f t="shared" si="311"/>
        <v>47.64784334237595</v>
      </c>
      <c r="BQ175" s="463">
        <f t="shared" si="355"/>
        <v>4.1599025696258986E-2</v>
      </c>
      <c r="BT175" s="147">
        <f t="shared" si="312"/>
        <v>41.599025696258984</v>
      </c>
      <c r="BU175" s="463">
        <f t="shared" si="313"/>
        <v>4.955593399476188E-2</v>
      </c>
      <c r="BV175" s="463">
        <f t="shared" si="314"/>
        <v>2.1948986513427991E-2</v>
      </c>
      <c r="BW175" s="463">
        <f t="shared" si="315"/>
        <v>0</v>
      </c>
      <c r="BX175" s="463"/>
      <c r="BY175" s="463">
        <f t="shared" si="316"/>
        <v>2.4074074074074085E-2</v>
      </c>
      <c r="BZ175" s="147">
        <f t="shared" si="317"/>
        <v>95.57899458226396</v>
      </c>
      <c r="CA175" s="153">
        <f t="shared" si="318"/>
        <v>0.18482586362089889</v>
      </c>
      <c r="CB175" s="5">
        <f t="shared" si="319"/>
        <v>1.3</v>
      </c>
      <c r="CC175" s="153">
        <f t="shared" si="320"/>
        <v>0.87552354242390273</v>
      </c>
      <c r="CD175" s="5">
        <f t="shared" si="321"/>
        <v>87.55235424239028</v>
      </c>
      <c r="CG175" s="59">
        <f t="shared" si="356"/>
        <v>-50</v>
      </c>
      <c r="CH175">
        <f t="shared" si="357"/>
        <v>-50</v>
      </c>
    </row>
    <row r="176" spans="5:86" x14ac:dyDescent="0.25">
      <c r="E176" s="150">
        <v>66</v>
      </c>
      <c r="F176" s="191">
        <f t="shared" si="358"/>
        <v>6.6000000000000003E-2</v>
      </c>
      <c r="G176" s="191"/>
      <c r="H176" s="191">
        <f t="shared" si="322"/>
        <v>1.32</v>
      </c>
      <c r="I176" s="472">
        <f t="shared" si="323"/>
        <v>9</v>
      </c>
      <c r="J176" s="386">
        <f t="shared" si="324"/>
        <v>20.32</v>
      </c>
      <c r="K176" s="386">
        <f t="shared" si="325"/>
        <v>29.32</v>
      </c>
      <c r="L176" s="386"/>
      <c r="M176" s="191">
        <f t="shared" si="326"/>
        <v>0.69304229195088674</v>
      </c>
      <c r="N176" s="152">
        <f t="shared" si="327"/>
        <v>2.1177466575716233</v>
      </c>
      <c r="O176" s="152">
        <f t="shared" si="262"/>
        <v>1.32</v>
      </c>
      <c r="P176" s="191">
        <f t="shared" si="328"/>
        <v>0.10588733287858117</v>
      </c>
      <c r="Q176" s="191">
        <f t="shared" si="329"/>
        <v>20</v>
      </c>
      <c r="R176" s="191"/>
      <c r="S176" s="152">
        <f t="shared" si="330"/>
        <v>37.099692096290994</v>
      </c>
      <c r="T176" s="152">
        <f t="shared" si="331"/>
        <v>20</v>
      </c>
      <c r="U176" s="191">
        <f t="shared" si="332"/>
        <v>0.47028288130650342</v>
      </c>
      <c r="V176" s="191">
        <f t="shared" si="333"/>
        <v>3.1352192087100232</v>
      </c>
      <c r="W176" s="191">
        <f t="shared" si="334"/>
        <v>1.388630555038888</v>
      </c>
      <c r="X176" s="175">
        <f t="shared" si="335"/>
        <v>350</v>
      </c>
      <c r="Y176" s="386">
        <f t="shared" si="303"/>
        <v>221.05066530133851</v>
      </c>
      <c r="AA176" s="191">
        <f t="shared" si="336"/>
        <v>0.29701812512180864</v>
      </c>
      <c r="AB176" s="153">
        <f t="shared" si="337"/>
        <v>0.87702202299746645</v>
      </c>
      <c r="AC176" s="153">
        <f t="shared" si="338"/>
        <v>4.5586001468217563E-2</v>
      </c>
      <c r="AD176" s="153"/>
      <c r="AE176" s="153">
        <f t="shared" si="339"/>
        <v>0.44291338582677164</v>
      </c>
      <c r="AF176" s="317">
        <f t="shared" si="340"/>
        <v>1986.8444444444447</v>
      </c>
      <c r="AG176" s="463">
        <f t="shared" si="341"/>
        <v>1.1626476377952754E-2</v>
      </c>
      <c r="AI176" s="153">
        <f t="shared" si="342"/>
        <v>0.35738734488746843</v>
      </c>
      <c r="AJ176" s="153">
        <f t="shared" si="343"/>
        <v>0.47028288130650342</v>
      </c>
      <c r="AK176" s="153">
        <f t="shared" si="344"/>
        <v>1.4135219208710024</v>
      </c>
      <c r="AM176" s="317">
        <f t="shared" si="345"/>
        <v>66</v>
      </c>
      <c r="AN176" s="147">
        <f t="shared" si="346"/>
        <v>221.05066530133851</v>
      </c>
      <c r="AP176">
        <f t="shared" si="347"/>
        <v>66</v>
      </c>
      <c r="AQ176">
        <f t="shared" si="348"/>
        <v>221.05066530133851</v>
      </c>
      <c r="AS176" s="5">
        <f t="shared" si="263"/>
        <v>4.5238497637489123</v>
      </c>
      <c r="AT176" s="5">
        <f t="shared" si="349"/>
        <v>3.1352192087100232</v>
      </c>
      <c r="AU176" s="5">
        <f t="shared" si="304"/>
        <v>1.3886305550388891</v>
      </c>
      <c r="AV176" s="5"/>
      <c r="AW176" s="153">
        <f t="shared" si="305"/>
        <v>0.69304229195088662</v>
      </c>
      <c r="AX176" s="153">
        <f t="shared" si="259"/>
        <v>1.4666666666666666</v>
      </c>
      <c r="AY176" s="153">
        <f t="shared" si="260"/>
        <v>7.2178477690288761E-2</v>
      </c>
      <c r="AZ176" s="153">
        <f t="shared" si="264"/>
        <v>20.319999999999986</v>
      </c>
      <c r="BA176" s="147">
        <f t="shared" si="350"/>
        <v>3.0231480258994696</v>
      </c>
      <c r="BB176" s="147">
        <f t="shared" si="351"/>
        <v>20.075312106666669</v>
      </c>
      <c r="BC176" s="5">
        <f t="shared" si="258"/>
        <v>0.2262953497100412</v>
      </c>
      <c r="BD176" s="147">
        <f t="shared" si="352"/>
        <v>23.118423859893007</v>
      </c>
      <c r="BF176" s="153">
        <f t="shared" si="265"/>
        <v>0.22603641560372112</v>
      </c>
      <c r="BG176" s="153">
        <f t="shared" si="261"/>
        <v>0.15043116356328604</v>
      </c>
      <c r="BI176" s="463">
        <f t="shared" si="306"/>
        <v>1.788236141264235E-2</v>
      </c>
      <c r="BJ176" s="463">
        <f t="shared" si="307"/>
        <v>1.5239999999999995E-2</v>
      </c>
      <c r="BK176" s="463">
        <f t="shared" si="308"/>
        <v>2.7631333162667312E-3</v>
      </c>
      <c r="BL176" s="463">
        <f t="shared" si="309"/>
        <v>9.501447272727271E-3</v>
      </c>
      <c r="BM176">
        <f t="shared" si="310"/>
        <v>2.6099999999999999E-3</v>
      </c>
      <c r="BN176">
        <f t="shared" si="353"/>
        <v>2.210506653013385E-6</v>
      </c>
      <c r="BO176" s="463">
        <f t="shared" si="354"/>
        <v>5.0580150169977627E-2</v>
      </c>
      <c r="BP176" s="147">
        <f t="shared" si="311"/>
        <v>47.996942001636342</v>
      </c>
      <c r="BQ176" s="463">
        <f t="shared" si="355"/>
        <v>4.2500964717847152E-2</v>
      </c>
      <c r="BT176" s="147">
        <f t="shared" si="312"/>
        <v>42.500964717847154</v>
      </c>
      <c r="BU176" s="463">
        <f t="shared" si="313"/>
        <v>5.1092461178978144E-2</v>
      </c>
      <c r="BV176" s="463">
        <f t="shared" si="314"/>
        <v>2.2629534971004117E-2</v>
      </c>
      <c r="BW176" s="463">
        <f t="shared" si="315"/>
        <v>0</v>
      </c>
      <c r="BX176" s="463"/>
      <c r="BY176" s="463">
        <f t="shared" si="316"/>
        <v>2.4444444444444446E-2</v>
      </c>
      <c r="BZ176" s="147">
        <f t="shared" si="317"/>
        <v>98.166440594426703</v>
      </c>
      <c r="CA176" s="153">
        <f t="shared" si="318"/>
        <v>0.18866434731391019</v>
      </c>
      <c r="CB176" s="5">
        <f t="shared" si="319"/>
        <v>1.32</v>
      </c>
      <c r="CC176" s="153">
        <f t="shared" si="320"/>
        <v>0.87494610868890998</v>
      </c>
      <c r="CD176" s="5">
        <f t="shared" si="321"/>
        <v>87.494610868891002</v>
      </c>
      <c r="CG176" s="59">
        <f t="shared" si="356"/>
        <v>-50</v>
      </c>
      <c r="CH176">
        <f t="shared" si="357"/>
        <v>-50</v>
      </c>
    </row>
    <row r="177" spans="5:86" x14ac:dyDescent="0.25">
      <c r="E177" s="150">
        <v>67</v>
      </c>
      <c r="F177" s="191">
        <f t="shared" si="358"/>
        <v>6.7000000000000004E-2</v>
      </c>
      <c r="G177" s="191"/>
      <c r="H177" s="191">
        <f t="shared" si="322"/>
        <v>1.34</v>
      </c>
      <c r="I177" s="472">
        <f t="shared" si="323"/>
        <v>9</v>
      </c>
      <c r="J177" s="386">
        <f t="shared" si="324"/>
        <v>20.32</v>
      </c>
      <c r="K177" s="386">
        <f t="shared" si="325"/>
        <v>29.32</v>
      </c>
      <c r="L177" s="386"/>
      <c r="M177" s="191">
        <f t="shared" si="326"/>
        <v>0.69304229195088674</v>
      </c>
      <c r="N177" s="152">
        <f t="shared" si="327"/>
        <v>2.1177466575716233</v>
      </c>
      <c r="O177" s="152">
        <f t="shared" si="262"/>
        <v>1.34</v>
      </c>
      <c r="P177" s="191">
        <f t="shared" si="328"/>
        <v>0.10588733287858117</v>
      </c>
      <c r="Q177" s="191">
        <f t="shared" si="329"/>
        <v>20</v>
      </c>
      <c r="R177" s="191"/>
      <c r="S177" s="152">
        <f t="shared" si="330"/>
        <v>36.414221902834257</v>
      </c>
      <c r="T177" s="152">
        <f t="shared" si="331"/>
        <v>20</v>
      </c>
      <c r="U177" s="191">
        <f t="shared" si="332"/>
        <v>0.4774083795081171</v>
      </c>
      <c r="V177" s="191">
        <f t="shared" si="333"/>
        <v>3.182722530054114</v>
      </c>
      <c r="W177" s="191">
        <f t="shared" si="334"/>
        <v>1.4096704119334167</v>
      </c>
      <c r="X177" s="175">
        <f t="shared" si="335"/>
        <v>350</v>
      </c>
      <c r="Y177" s="386">
        <f t="shared" si="303"/>
        <v>217.75140164012456</v>
      </c>
      <c r="AA177" s="191">
        <f t="shared" si="336"/>
        <v>0.29701812512180864</v>
      </c>
      <c r="AB177" s="153">
        <f t="shared" si="337"/>
        <v>0.87702202299746645</v>
      </c>
      <c r="AC177" s="153">
        <f t="shared" si="338"/>
        <v>4.5586001468217563E-2</v>
      </c>
      <c r="AD177" s="153"/>
      <c r="AE177" s="153">
        <f t="shared" si="339"/>
        <v>0.44291338582677164</v>
      </c>
      <c r="AF177" s="317">
        <f t="shared" si="340"/>
        <v>2016.9481481481484</v>
      </c>
      <c r="AG177" s="463">
        <f t="shared" si="341"/>
        <v>1.1626476377952754E-2</v>
      </c>
      <c r="AI177" s="153">
        <f t="shared" si="342"/>
        <v>0.36008464613331181</v>
      </c>
      <c r="AJ177" s="153">
        <f t="shared" si="343"/>
        <v>0.4774083795081171</v>
      </c>
      <c r="AK177" s="153">
        <f t="shared" si="344"/>
        <v>1.4182722530054113</v>
      </c>
      <c r="AM177" s="317">
        <f t="shared" si="345"/>
        <v>67</v>
      </c>
      <c r="AN177" s="147">
        <f t="shared" si="346"/>
        <v>217.75140164012456</v>
      </c>
      <c r="AP177">
        <f t="shared" si="347"/>
        <v>67</v>
      </c>
      <c r="AQ177">
        <f t="shared" si="348"/>
        <v>217.75140164012456</v>
      </c>
      <c r="AS177" s="5">
        <f t="shared" si="263"/>
        <v>4.59239294198753</v>
      </c>
      <c r="AT177" s="5">
        <f t="shared" si="349"/>
        <v>3.182722530054114</v>
      </c>
      <c r="AU177" s="5">
        <f t="shared" si="304"/>
        <v>1.409670411933416</v>
      </c>
      <c r="AV177" s="5"/>
      <c r="AW177" s="153">
        <f t="shared" si="305"/>
        <v>0.69304229195088685</v>
      </c>
      <c r="AX177" s="153">
        <f t="shared" si="259"/>
        <v>1.4888888888888889</v>
      </c>
      <c r="AY177" s="153">
        <f t="shared" si="260"/>
        <v>7.3272090988626415E-2</v>
      </c>
      <c r="AZ177" s="153">
        <f t="shared" si="264"/>
        <v>20.320000000000004</v>
      </c>
      <c r="BA177" s="147">
        <f t="shared" si="350"/>
        <v>3.0231480258994696</v>
      </c>
      <c r="BB177" s="147">
        <f t="shared" si="351"/>
        <v>20.685218100740741</v>
      </c>
      <c r="BC177" s="5">
        <f t="shared" si="258"/>
        <v>0.23320473481367623</v>
      </c>
      <c r="BD177" s="147">
        <f t="shared" si="352"/>
        <v>23.816769777663922</v>
      </c>
      <c r="BF177" s="153">
        <f t="shared" si="265"/>
        <v>0.22946120977953513</v>
      </c>
      <c r="BG177" s="153">
        <f t="shared" si="261"/>
        <v>0.15271042361727516</v>
      </c>
      <c r="BI177" s="463">
        <f t="shared" si="306"/>
        <v>1.842835637772074E-2</v>
      </c>
      <c r="BJ177" s="463">
        <f t="shared" si="307"/>
        <v>1.524E-2</v>
      </c>
      <c r="BK177" s="463">
        <f t="shared" si="308"/>
        <v>2.7218925205015568E-3</v>
      </c>
      <c r="BL177" s="463">
        <f t="shared" si="309"/>
        <v>9.3596346268656726E-3</v>
      </c>
      <c r="BM177">
        <f t="shared" si="310"/>
        <v>2.6099999999999999E-3</v>
      </c>
      <c r="BN177">
        <f t="shared" si="353"/>
        <v>2.1775140164012458E-6</v>
      </c>
      <c r="BO177" s="463">
        <f t="shared" si="354"/>
        <v>5.102337022895332E-2</v>
      </c>
      <c r="BP177" s="147">
        <f t="shared" si="311"/>
        <v>48.359883525087966</v>
      </c>
      <c r="BQ177" s="463">
        <f t="shared" si="355"/>
        <v>4.341084173976488E-2</v>
      </c>
      <c r="BT177" s="147">
        <f t="shared" si="312"/>
        <v>43.410841739764876</v>
      </c>
      <c r="BU177" s="463">
        <f t="shared" si="313"/>
        <v>5.265244679348783E-2</v>
      </c>
      <c r="BV177" s="463">
        <f t="shared" si="314"/>
        <v>2.3320473481367631E-2</v>
      </c>
      <c r="BW177" s="463">
        <f t="shared" si="315"/>
        <v>0</v>
      </c>
      <c r="BX177" s="463"/>
      <c r="BY177" s="463">
        <f t="shared" si="316"/>
        <v>2.4814814814814824E-2</v>
      </c>
      <c r="BZ177" s="147">
        <f t="shared" si="317"/>
        <v>100.78773508967029</v>
      </c>
      <c r="CA177" s="153">
        <f t="shared" si="318"/>
        <v>0.19255846035452312</v>
      </c>
      <c r="CB177" s="5">
        <f t="shared" si="319"/>
        <v>1.34</v>
      </c>
      <c r="CC177" s="153">
        <f t="shared" si="320"/>
        <v>0.87435490042580233</v>
      </c>
      <c r="CD177" s="5">
        <f t="shared" si="321"/>
        <v>87.435490042580227</v>
      </c>
      <c r="CG177" s="59">
        <f t="shared" si="356"/>
        <v>-50</v>
      </c>
      <c r="CH177">
        <f t="shared" si="357"/>
        <v>-50</v>
      </c>
    </row>
    <row r="178" spans="5:86" x14ac:dyDescent="0.25">
      <c r="E178" s="150">
        <v>68</v>
      </c>
      <c r="F178" s="191">
        <f t="shared" si="358"/>
        <v>6.8000000000000005E-2</v>
      </c>
      <c r="G178" s="191"/>
      <c r="H178" s="191">
        <f t="shared" si="322"/>
        <v>1.36</v>
      </c>
      <c r="I178" s="472">
        <f t="shared" si="323"/>
        <v>9</v>
      </c>
      <c r="J178" s="386">
        <f t="shared" si="324"/>
        <v>20.32</v>
      </c>
      <c r="K178" s="386">
        <f t="shared" si="325"/>
        <v>29.32</v>
      </c>
      <c r="L178" s="386"/>
      <c r="M178" s="191">
        <f t="shared" si="326"/>
        <v>0.69304229195088674</v>
      </c>
      <c r="N178" s="152">
        <f t="shared" si="327"/>
        <v>2.1177466575716233</v>
      </c>
      <c r="O178" s="152">
        <f t="shared" si="262"/>
        <v>1.36</v>
      </c>
      <c r="P178" s="191">
        <f t="shared" si="328"/>
        <v>0.10588733287858117</v>
      </c>
      <c r="Q178" s="191">
        <f t="shared" si="329"/>
        <v>20</v>
      </c>
      <c r="R178" s="191"/>
      <c r="S178" s="152">
        <f t="shared" si="330"/>
        <v>35.748964685229545</v>
      </c>
      <c r="T178" s="152">
        <f t="shared" si="331"/>
        <v>20</v>
      </c>
      <c r="U178" s="191">
        <f t="shared" si="332"/>
        <v>0.48453387770973078</v>
      </c>
      <c r="V178" s="191">
        <f t="shared" si="333"/>
        <v>3.2302258513982052</v>
      </c>
      <c r="W178" s="191">
        <f t="shared" si="334"/>
        <v>1.4307102688279454</v>
      </c>
      <c r="X178" s="175">
        <f t="shared" si="335"/>
        <v>350</v>
      </c>
      <c r="Y178" s="386">
        <f t="shared" si="303"/>
        <v>214.54917514541685</v>
      </c>
      <c r="AA178" s="191">
        <f t="shared" si="336"/>
        <v>0.29701812512180864</v>
      </c>
      <c r="AB178" s="153">
        <f t="shared" si="337"/>
        <v>0.87702202299746645</v>
      </c>
      <c r="AC178" s="153">
        <f t="shared" si="338"/>
        <v>4.5586001468217563E-2</v>
      </c>
      <c r="AD178" s="153"/>
      <c r="AE178" s="153">
        <f t="shared" si="339"/>
        <v>0.44291338582677164</v>
      </c>
      <c r="AF178" s="317">
        <f t="shared" si="340"/>
        <v>2047.0518518518525</v>
      </c>
      <c r="AG178" s="463">
        <f t="shared" si="341"/>
        <v>1.1626476377952754E-2</v>
      </c>
      <c r="AI178" s="153">
        <f t="shared" si="342"/>
        <v>0.36276189226018563</v>
      </c>
      <c r="AJ178" s="153">
        <f t="shared" si="343"/>
        <v>0.48453387770973078</v>
      </c>
      <c r="AK178" s="153">
        <f t="shared" si="344"/>
        <v>1.4230225851398206</v>
      </c>
      <c r="AM178" s="317">
        <f t="shared" si="345"/>
        <v>68</v>
      </c>
      <c r="AN178" s="147">
        <f t="shared" si="346"/>
        <v>214.54917514541685</v>
      </c>
      <c r="AP178">
        <f t="shared" si="347"/>
        <v>68</v>
      </c>
      <c r="AQ178">
        <f t="shared" si="348"/>
        <v>214.54917514541685</v>
      </c>
      <c r="AS178" s="5">
        <f t="shared" si="263"/>
        <v>4.6609361202261503</v>
      </c>
      <c r="AT178" s="5">
        <f t="shared" si="349"/>
        <v>3.2302258513982052</v>
      </c>
      <c r="AU178" s="5">
        <f t="shared" si="304"/>
        <v>1.4307102688279452</v>
      </c>
      <c r="AV178" s="5"/>
      <c r="AW178" s="153">
        <f t="shared" si="305"/>
        <v>0.69304229195088674</v>
      </c>
      <c r="AX178" s="153">
        <f t="shared" si="259"/>
        <v>1.5111111111111115</v>
      </c>
      <c r="AY178" s="153">
        <f t="shared" si="260"/>
        <v>7.4365704286964138E-2</v>
      </c>
      <c r="AZ178" s="153">
        <f t="shared" si="264"/>
        <v>20.320000000000004</v>
      </c>
      <c r="BA178" s="147">
        <f t="shared" si="350"/>
        <v>3.0231480258994696</v>
      </c>
      <c r="BB178" s="147">
        <f t="shared" si="351"/>
        <v>21.304250500740743</v>
      </c>
      <c r="BC178" s="5">
        <f t="shared" si="258"/>
        <v>0.24021802044518586</v>
      </c>
      <c r="BD178" s="147">
        <f t="shared" si="352"/>
        <v>24.52550574822229</v>
      </c>
      <c r="BF178" s="153">
        <f t="shared" si="265"/>
        <v>0.23288600395534906</v>
      </c>
      <c r="BG178" s="153">
        <f t="shared" si="261"/>
        <v>0.15498968367126437</v>
      </c>
      <c r="BI178" s="463">
        <f t="shared" si="306"/>
        <v>1.8982561793401798E-2</v>
      </c>
      <c r="BJ178" s="463">
        <f t="shared" si="307"/>
        <v>1.524E-2</v>
      </c>
      <c r="BK178" s="463">
        <f t="shared" si="308"/>
        <v>2.6818646893177105E-3</v>
      </c>
      <c r="BL178" s="463">
        <f t="shared" si="309"/>
        <v>9.2219929411764719E-3</v>
      </c>
      <c r="BM178">
        <f t="shared" si="310"/>
        <v>2.6099999999999999E-3</v>
      </c>
      <c r="BN178">
        <f t="shared" si="353"/>
        <v>2.1454917514541688E-6</v>
      </c>
      <c r="BO178" s="463">
        <f t="shared" si="354"/>
        <v>5.1481513569572569E-2</v>
      </c>
      <c r="BP178" s="147">
        <f t="shared" si="311"/>
        <v>48.736419423895988</v>
      </c>
      <c r="BQ178" s="463">
        <f t="shared" si="355"/>
        <v>4.4328656762012211E-2</v>
      </c>
      <c r="BT178" s="147">
        <f t="shared" si="312"/>
        <v>44.328656762012209</v>
      </c>
      <c r="BU178" s="463">
        <f t="shared" si="313"/>
        <v>5.4235890838290855E-2</v>
      </c>
      <c r="BV178" s="463">
        <f t="shared" si="314"/>
        <v>2.4021802044518592E-2</v>
      </c>
      <c r="BW178" s="463">
        <f t="shared" si="315"/>
        <v>0</v>
      </c>
      <c r="BX178" s="463"/>
      <c r="BY178" s="463">
        <f t="shared" si="316"/>
        <v>2.5185185185185189E-2</v>
      </c>
      <c r="BZ178" s="147">
        <f t="shared" si="317"/>
        <v>103.44287806799464</v>
      </c>
      <c r="CA178" s="153">
        <f t="shared" si="318"/>
        <v>0.19650795425390286</v>
      </c>
      <c r="CB178" s="5">
        <f t="shared" si="319"/>
        <v>1.36</v>
      </c>
      <c r="CC178" s="153">
        <f t="shared" si="320"/>
        <v>0.87375075487609888</v>
      </c>
      <c r="CD178" s="5">
        <f t="shared" si="321"/>
        <v>87.375075487609891</v>
      </c>
      <c r="CG178" s="59">
        <f t="shared" si="356"/>
        <v>-50</v>
      </c>
      <c r="CH178">
        <f t="shared" si="357"/>
        <v>-50</v>
      </c>
    </row>
    <row r="179" spans="5:86" x14ac:dyDescent="0.25">
      <c r="E179" s="150">
        <v>69</v>
      </c>
      <c r="F179" s="191">
        <f t="shared" si="358"/>
        <v>6.8999999999999992E-2</v>
      </c>
      <c r="G179" s="191"/>
      <c r="H179" s="191">
        <f t="shared" si="322"/>
        <v>1.38</v>
      </c>
      <c r="I179" s="472">
        <f t="shared" si="323"/>
        <v>9</v>
      </c>
      <c r="J179" s="386">
        <f t="shared" si="324"/>
        <v>20.32</v>
      </c>
      <c r="K179" s="386">
        <f t="shared" si="325"/>
        <v>29.32</v>
      </c>
      <c r="L179" s="386"/>
      <c r="M179" s="191">
        <f t="shared" si="326"/>
        <v>0.69304229195088674</v>
      </c>
      <c r="N179" s="152">
        <f t="shared" si="327"/>
        <v>2.1177466575716233</v>
      </c>
      <c r="O179" s="152">
        <f t="shared" si="262"/>
        <v>1.38</v>
      </c>
      <c r="P179" s="191">
        <f t="shared" si="328"/>
        <v>0.10588733287858117</v>
      </c>
      <c r="Q179" s="191">
        <f t="shared" si="329"/>
        <v>20</v>
      </c>
      <c r="R179" s="191"/>
      <c r="S179" s="152">
        <f t="shared" si="330"/>
        <v>35.103042141860691</v>
      </c>
      <c r="T179" s="152">
        <f t="shared" si="331"/>
        <v>20</v>
      </c>
      <c r="U179" s="191">
        <f t="shared" si="332"/>
        <v>0.4916593759113444</v>
      </c>
      <c r="V179" s="191">
        <f t="shared" si="333"/>
        <v>3.2777291727422959</v>
      </c>
      <c r="W179" s="191">
        <f t="shared" si="334"/>
        <v>1.4517501257224736</v>
      </c>
      <c r="X179" s="175">
        <f t="shared" si="335"/>
        <v>350</v>
      </c>
      <c r="Y179" s="386">
        <f t="shared" si="303"/>
        <v>211.43976680997602</v>
      </c>
      <c r="AA179" s="191">
        <f t="shared" si="336"/>
        <v>0.29701812512180864</v>
      </c>
      <c r="AB179" s="153">
        <f t="shared" si="337"/>
        <v>0.87702202299746645</v>
      </c>
      <c r="AC179" s="153">
        <f t="shared" si="338"/>
        <v>4.5586001468217563E-2</v>
      </c>
      <c r="AD179" s="153"/>
      <c r="AE179" s="153">
        <f t="shared" si="339"/>
        <v>0.44291338582677164</v>
      </c>
      <c r="AF179" s="317">
        <f t="shared" si="340"/>
        <v>2077.1555555555556</v>
      </c>
      <c r="AG179" s="463">
        <f t="shared" si="341"/>
        <v>1.1626476377952754E-2</v>
      </c>
      <c r="AI179" s="153">
        <f t="shared" si="342"/>
        <v>0.36541952406984024</v>
      </c>
      <c r="AJ179" s="153">
        <f t="shared" si="343"/>
        <v>0.4916593759113444</v>
      </c>
      <c r="AK179" s="153">
        <f t="shared" si="344"/>
        <v>1.4277729172742295</v>
      </c>
      <c r="AM179" s="317">
        <f t="shared" si="345"/>
        <v>68.999999999999986</v>
      </c>
      <c r="AN179" s="147">
        <f t="shared" si="346"/>
        <v>211.43976680997602</v>
      </c>
      <c r="AP179">
        <f t="shared" si="347"/>
        <v>68.999999999999986</v>
      </c>
      <c r="AQ179">
        <f t="shared" si="348"/>
        <v>211.43976680997602</v>
      </c>
      <c r="AS179" s="5">
        <f t="shared" si="263"/>
        <v>4.7294792984647707</v>
      </c>
      <c r="AT179" s="5">
        <f t="shared" si="349"/>
        <v>3.2777291727422959</v>
      </c>
      <c r="AU179" s="5">
        <f t="shared" si="304"/>
        <v>1.4517501257224747</v>
      </c>
      <c r="AV179" s="5"/>
      <c r="AW179" s="153">
        <f t="shared" si="305"/>
        <v>0.69304229195088662</v>
      </c>
      <c r="AX179" s="153">
        <f t="shared" si="259"/>
        <v>1.5333333333333332</v>
      </c>
      <c r="AY179" s="153">
        <f t="shared" si="260"/>
        <v>7.5459317585301874E-2</v>
      </c>
      <c r="AZ179" s="153">
        <f t="shared" si="264"/>
        <v>20.31999999999999</v>
      </c>
      <c r="BA179" s="147">
        <f t="shared" si="350"/>
        <v>3.0231480258994696</v>
      </c>
      <c r="BB179" s="147">
        <f t="shared" si="351"/>
        <v>21.93240930666666</v>
      </c>
      <c r="BC179" s="5">
        <f t="shared" si="258"/>
        <v>0.24733520660456976</v>
      </c>
      <c r="BD179" s="147">
        <f t="shared" si="352"/>
        <v>25.244631771568088</v>
      </c>
      <c r="BF179" s="153">
        <f t="shared" si="265"/>
        <v>0.23631079813116296</v>
      </c>
      <c r="BG179" s="153">
        <f t="shared" si="261"/>
        <v>0.15726894372525357</v>
      </c>
      <c r="BI179" s="463">
        <f t="shared" si="306"/>
        <v>1.9544977659685537E-2</v>
      </c>
      <c r="BJ179" s="463">
        <f t="shared" si="307"/>
        <v>1.5239999999999998E-2</v>
      </c>
      <c r="BK179" s="463">
        <f t="shared" si="308"/>
        <v>2.6429970851247001E-3</v>
      </c>
      <c r="BL179" s="463">
        <f t="shared" si="309"/>
        <v>9.0883408695652187E-3</v>
      </c>
      <c r="BM179">
        <f t="shared" si="310"/>
        <v>2.6099999999999999E-3</v>
      </c>
      <c r="BN179">
        <f t="shared" si="353"/>
        <v>2.1143976680997602E-6</v>
      </c>
      <c r="BO179" s="463">
        <f t="shared" si="354"/>
        <v>5.1954351902520235E-2</v>
      </c>
      <c r="BP179" s="147">
        <f t="shared" si="311"/>
        <v>49.126315614375457</v>
      </c>
      <c r="BQ179" s="463">
        <f t="shared" si="355"/>
        <v>4.5254409784589132E-2</v>
      </c>
      <c r="BT179" s="147">
        <f t="shared" si="312"/>
        <v>45.254409784589129</v>
      </c>
      <c r="BU179" s="463">
        <f t="shared" si="313"/>
        <v>5.5842793313387248E-2</v>
      </c>
      <c r="BV179" s="463">
        <f t="shared" si="314"/>
        <v>2.4733520660456976E-2</v>
      </c>
      <c r="BW179" s="463">
        <f t="shared" si="315"/>
        <v>0</v>
      </c>
      <c r="BX179" s="463"/>
      <c r="BY179" s="463">
        <f t="shared" si="316"/>
        <v>2.5555555555555554E-2</v>
      </c>
      <c r="BZ179" s="147">
        <f t="shared" si="317"/>
        <v>106.13186952939978</v>
      </c>
      <c r="CA179" s="153">
        <f t="shared" si="318"/>
        <v>0.20051259492836437</v>
      </c>
      <c r="CB179" s="5">
        <f t="shared" si="319"/>
        <v>1.38</v>
      </c>
      <c r="CC179" s="153">
        <f t="shared" si="320"/>
        <v>0.87313445297950787</v>
      </c>
      <c r="CD179" s="5">
        <f t="shared" si="321"/>
        <v>87.313445297950793</v>
      </c>
      <c r="CG179" s="59">
        <f t="shared" si="356"/>
        <v>-50</v>
      </c>
      <c r="CH179">
        <f t="shared" si="357"/>
        <v>-50</v>
      </c>
    </row>
    <row r="180" spans="5:86" x14ac:dyDescent="0.25">
      <c r="E180" s="150">
        <v>70</v>
      </c>
      <c r="F180" s="191">
        <f t="shared" si="358"/>
        <v>6.9999999999999993E-2</v>
      </c>
      <c r="G180" s="191"/>
      <c r="H180" s="191">
        <f t="shared" si="322"/>
        <v>1.4</v>
      </c>
      <c r="I180" s="472">
        <f t="shared" si="323"/>
        <v>9</v>
      </c>
      <c r="J180" s="386">
        <f t="shared" si="324"/>
        <v>20.32</v>
      </c>
      <c r="K180" s="386">
        <f t="shared" si="325"/>
        <v>29.32</v>
      </c>
      <c r="L180" s="386"/>
      <c r="M180" s="191">
        <f t="shared" si="326"/>
        <v>0.69304229195088674</v>
      </c>
      <c r="N180" s="152">
        <f t="shared" si="327"/>
        <v>2.1177466575716233</v>
      </c>
      <c r="O180" s="152">
        <f t="shared" si="262"/>
        <v>1.4</v>
      </c>
      <c r="P180" s="191">
        <f t="shared" si="328"/>
        <v>0.10588733287858117</v>
      </c>
      <c r="Q180" s="191">
        <f t="shared" si="329"/>
        <v>20</v>
      </c>
      <c r="R180" s="191"/>
      <c r="S180" s="152">
        <f t="shared" si="330"/>
        <v>34.475626166361153</v>
      </c>
      <c r="T180" s="152">
        <f t="shared" si="331"/>
        <v>20</v>
      </c>
      <c r="U180" s="191">
        <f t="shared" si="332"/>
        <v>0.49878487411295813</v>
      </c>
      <c r="V180" s="191">
        <f t="shared" si="333"/>
        <v>3.3252324940863875</v>
      </c>
      <c r="W180" s="191">
        <f t="shared" si="334"/>
        <v>1.4727899826170023</v>
      </c>
      <c r="X180" s="175">
        <f t="shared" si="335"/>
        <v>350</v>
      </c>
      <c r="Y180" s="386">
        <f t="shared" si="303"/>
        <v>208.41919871269064</v>
      </c>
      <c r="AA180" s="191">
        <f t="shared" si="336"/>
        <v>0.29701812512180864</v>
      </c>
      <c r="AB180" s="153">
        <f t="shared" si="337"/>
        <v>0.87702202299746645</v>
      </c>
      <c r="AC180" s="153">
        <f t="shared" si="338"/>
        <v>4.5586001468217563E-2</v>
      </c>
      <c r="AD180" s="153"/>
      <c r="AE180" s="153">
        <f t="shared" si="339"/>
        <v>0.44291338582677164</v>
      </c>
      <c r="AF180" s="317">
        <f t="shared" si="340"/>
        <v>2107.2592592592591</v>
      </c>
      <c r="AG180" s="463">
        <f t="shared" si="341"/>
        <v>1.1626476377952754E-2</v>
      </c>
      <c r="AI180" s="153">
        <f t="shared" si="342"/>
        <v>0.36805796644912692</v>
      </c>
      <c r="AJ180" s="153">
        <f t="shared" si="343"/>
        <v>0.49878487411295813</v>
      </c>
      <c r="AK180" s="153">
        <f t="shared" si="344"/>
        <v>1.4325232494086388</v>
      </c>
      <c r="AM180" s="317">
        <f t="shared" si="345"/>
        <v>69.999999999999986</v>
      </c>
      <c r="AN180" s="147">
        <f t="shared" si="346"/>
        <v>208.41919871269064</v>
      </c>
      <c r="AP180">
        <f t="shared" si="347"/>
        <v>69.999999999999986</v>
      </c>
      <c r="AQ180">
        <f t="shared" si="348"/>
        <v>208.41919871269064</v>
      </c>
      <c r="AS180" s="5">
        <f t="shared" si="263"/>
        <v>4.7980224767033901</v>
      </c>
      <c r="AT180" s="5">
        <f t="shared" si="349"/>
        <v>3.3252324940863875</v>
      </c>
      <c r="AU180" s="5">
        <f t="shared" si="304"/>
        <v>1.4727899826170026</v>
      </c>
      <c r="AV180" s="5"/>
      <c r="AW180" s="153">
        <f t="shared" si="305"/>
        <v>0.69304229195088674</v>
      </c>
      <c r="AX180" s="153">
        <f t="shared" si="259"/>
        <v>1.5555555555555554</v>
      </c>
      <c r="AY180" s="153">
        <f t="shared" si="260"/>
        <v>7.6552930883639556E-2</v>
      </c>
      <c r="AZ180" s="153">
        <f t="shared" si="264"/>
        <v>20.319999999999993</v>
      </c>
      <c r="BA180" s="147">
        <f t="shared" si="350"/>
        <v>3.0231480258994696</v>
      </c>
      <c r="BB180" s="147">
        <f t="shared" si="351"/>
        <v>22.569694518518517</v>
      </c>
      <c r="BC180" s="5">
        <f t="shared" si="258"/>
        <v>0.25455629329182761</v>
      </c>
      <c r="BD180" s="147">
        <f t="shared" si="352"/>
        <v>25.974147847701282</v>
      </c>
      <c r="BF180" s="153">
        <f t="shared" si="265"/>
        <v>0.23973559230697694</v>
      </c>
      <c r="BG180" s="153">
        <f t="shared" si="261"/>
        <v>0.15954820377924273</v>
      </c>
      <c r="BI180" s="463">
        <f t="shared" si="306"/>
        <v>2.0115603976571972E-2</v>
      </c>
      <c r="BJ180" s="463">
        <f t="shared" si="307"/>
        <v>1.524E-2</v>
      </c>
      <c r="BK180" s="463">
        <f t="shared" si="308"/>
        <v>2.605239983908633E-3</v>
      </c>
      <c r="BL180" s="463">
        <f t="shared" si="309"/>
        <v>8.9585074285714293E-3</v>
      </c>
      <c r="BM180">
        <f t="shared" si="310"/>
        <v>2.6099999999999999E-3</v>
      </c>
      <c r="BN180">
        <f t="shared" si="353"/>
        <v>2.0841919871269064E-6</v>
      </c>
      <c r="BO180" s="463">
        <f t="shared" si="354"/>
        <v>5.2441670406586732E-2</v>
      </c>
      <c r="BP180" s="147">
        <f t="shared" si="311"/>
        <v>49.529351389052039</v>
      </c>
      <c r="BQ180" s="463">
        <f t="shared" si="355"/>
        <v>4.6188100807495629E-2</v>
      </c>
      <c r="BT180" s="147">
        <f t="shared" si="312"/>
        <v>46.18810080749563</v>
      </c>
      <c r="BU180" s="463">
        <f t="shared" si="313"/>
        <v>5.7473154218777064E-2</v>
      </c>
      <c r="BV180" s="463">
        <f t="shared" si="314"/>
        <v>2.5455629329182761E-2</v>
      </c>
      <c r="BW180" s="463">
        <f t="shared" si="315"/>
        <v>0</v>
      </c>
      <c r="BX180" s="463"/>
      <c r="BY180" s="463">
        <f t="shared" si="316"/>
        <v>2.5925925925925932E-2</v>
      </c>
      <c r="BZ180" s="147">
        <f t="shared" si="317"/>
        <v>108.85470947388576</v>
      </c>
      <c r="CA180" s="153">
        <f t="shared" si="318"/>
        <v>0.20457216167043343</v>
      </c>
      <c r="CB180" s="5">
        <f t="shared" si="319"/>
        <v>1.4</v>
      </c>
      <c r="CC180" s="153">
        <f t="shared" si="320"/>
        <v>0.87250672387493966</v>
      </c>
      <c r="CD180" s="5">
        <f t="shared" si="321"/>
        <v>87.250672387493964</v>
      </c>
      <c r="CG180" s="59">
        <f t="shared" si="356"/>
        <v>-50</v>
      </c>
      <c r="CH180">
        <f t="shared" si="357"/>
        <v>-50</v>
      </c>
    </row>
    <row r="181" spans="5:86" x14ac:dyDescent="0.25">
      <c r="E181" s="150">
        <v>71</v>
      </c>
      <c r="F181" s="191">
        <f t="shared" si="358"/>
        <v>7.0999999999999994E-2</v>
      </c>
      <c r="G181" s="191"/>
      <c r="H181" s="191">
        <f t="shared" si="322"/>
        <v>1.42</v>
      </c>
      <c r="I181" s="472">
        <f t="shared" si="323"/>
        <v>9</v>
      </c>
      <c r="J181" s="386">
        <f t="shared" si="324"/>
        <v>20.32</v>
      </c>
      <c r="K181" s="386">
        <f t="shared" si="325"/>
        <v>29.32</v>
      </c>
      <c r="L181" s="386"/>
      <c r="M181" s="191">
        <f t="shared" si="326"/>
        <v>0.69304229195088674</v>
      </c>
      <c r="N181" s="152">
        <f t="shared" si="327"/>
        <v>2.1177466575716233</v>
      </c>
      <c r="O181" s="152">
        <f t="shared" si="262"/>
        <v>1.42</v>
      </c>
      <c r="P181" s="191">
        <f t="shared" si="328"/>
        <v>0.10588733287858117</v>
      </c>
      <c r="Q181" s="191">
        <f t="shared" si="329"/>
        <v>20</v>
      </c>
      <c r="R181" s="191"/>
      <c r="S181" s="152">
        <f t="shared" si="330"/>
        <v>33.865935312833066</v>
      </c>
      <c r="T181" s="152">
        <f t="shared" si="331"/>
        <v>20</v>
      </c>
      <c r="U181" s="191">
        <f t="shared" si="332"/>
        <v>0.50591037231457181</v>
      </c>
      <c r="V181" s="191">
        <f t="shared" si="333"/>
        <v>3.3727358154304792</v>
      </c>
      <c r="W181" s="191">
        <f t="shared" si="334"/>
        <v>1.493829839511531</v>
      </c>
      <c r="X181" s="175">
        <f t="shared" si="335"/>
        <v>350</v>
      </c>
      <c r="Y181" s="386">
        <f t="shared" si="303"/>
        <v>205.48371704068092</v>
      </c>
      <c r="AA181" s="191">
        <f t="shared" si="336"/>
        <v>0.29701812512180864</v>
      </c>
      <c r="AB181" s="153">
        <f t="shared" si="337"/>
        <v>0.87702202299746645</v>
      </c>
      <c r="AC181" s="153">
        <f t="shared" si="338"/>
        <v>4.5586001468217563E-2</v>
      </c>
      <c r="AD181" s="153"/>
      <c r="AE181" s="153">
        <f t="shared" si="339"/>
        <v>0.44291338582677164</v>
      </c>
      <c r="AF181" s="317">
        <f t="shared" si="340"/>
        <v>2137.3629629629631</v>
      </c>
      <c r="AG181" s="463">
        <f t="shared" si="341"/>
        <v>1.1626476377952754E-2</v>
      </c>
      <c r="AI181" s="153">
        <f t="shared" si="342"/>
        <v>0.37067762916300295</v>
      </c>
      <c r="AJ181" s="153">
        <f t="shared" si="343"/>
        <v>0.50591037231457181</v>
      </c>
      <c r="AK181" s="153">
        <f t="shared" si="344"/>
        <v>1.4372735815430477</v>
      </c>
      <c r="AM181" s="317">
        <f t="shared" si="345"/>
        <v>71</v>
      </c>
      <c r="AN181" s="147">
        <f t="shared" si="346"/>
        <v>205.48371704068092</v>
      </c>
      <c r="AP181">
        <f t="shared" si="347"/>
        <v>71</v>
      </c>
      <c r="AQ181">
        <f t="shared" si="348"/>
        <v>205.48371704068092</v>
      </c>
      <c r="AS181" s="5">
        <f t="shared" si="263"/>
        <v>4.8665656549420104</v>
      </c>
      <c r="AT181" s="5">
        <f t="shared" si="349"/>
        <v>3.3727358154304792</v>
      </c>
      <c r="AU181" s="5">
        <f t="shared" si="304"/>
        <v>1.4938298395115313</v>
      </c>
      <c r="AV181" s="5"/>
      <c r="AW181" s="153">
        <f t="shared" si="305"/>
        <v>0.69304229195088674</v>
      </c>
      <c r="AX181" s="153">
        <f t="shared" si="259"/>
        <v>1.5777777777777775</v>
      </c>
      <c r="AY181" s="153">
        <f t="shared" si="260"/>
        <v>7.7646544181977264E-2</v>
      </c>
      <c r="AZ181" s="153">
        <f t="shared" si="264"/>
        <v>20.319999999999993</v>
      </c>
      <c r="BA181" s="147">
        <f t="shared" si="350"/>
        <v>3.0231480258994696</v>
      </c>
      <c r="BB181" s="147">
        <f t="shared" si="351"/>
        <v>23.21610613629629</v>
      </c>
      <c r="BC181" s="5">
        <f t="shared" ref="BC181:BC244" si="359">H181/Efficiency/I181*AU181/Vinripple1</f>
        <v>0.2618812805069598</v>
      </c>
      <c r="BD181" s="147">
        <f t="shared" si="352"/>
        <v>26.714053976621905</v>
      </c>
      <c r="BF181" s="153">
        <f t="shared" si="265"/>
        <v>0.2431603864827909</v>
      </c>
      <c r="BG181" s="153">
        <f t="shared" si="261"/>
        <v>0.1618274638332319</v>
      </c>
      <c r="BI181" s="463">
        <f t="shared" si="306"/>
        <v>2.0694440744061082E-2</v>
      </c>
      <c r="BJ181" s="463">
        <f t="shared" si="307"/>
        <v>1.524E-2</v>
      </c>
      <c r="BK181" s="463">
        <f t="shared" si="308"/>
        <v>2.568546463008511E-3</v>
      </c>
      <c r="BL181" s="463">
        <f t="shared" si="309"/>
        <v>8.8323312676056344E-3</v>
      </c>
      <c r="BM181">
        <f t="shared" si="310"/>
        <v>2.6099999999999999E-3</v>
      </c>
      <c r="BN181">
        <f t="shared" si="353"/>
        <v>2.0548371704068093E-6</v>
      </c>
      <c r="BO181" s="463">
        <f t="shared" si="354"/>
        <v>5.2943266786648187E-2</v>
      </c>
      <c r="BP181" s="147">
        <f t="shared" si="311"/>
        <v>49.945318474675233</v>
      </c>
      <c r="BQ181" s="463">
        <f t="shared" si="355"/>
        <v>4.7129729830731736E-2</v>
      </c>
      <c r="BT181" s="147">
        <f t="shared" si="312"/>
        <v>47.129729830731733</v>
      </c>
      <c r="BU181" s="463">
        <f t="shared" si="313"/>
        <v>5.9126973554460241E-2</v>
      </c>
      <c r="BV181" s="463">
        <f t="shared" si="314"/>
        <v>2.618812805069598E-2</v>
      </c>
      <c r="BW181" s="463">
        <f t="shared" si="315"/>
        <v>0</v>
      </c>
      <c r="BX181" s="463"/>
      <c r="BY181" s="463">
        <f t="shared" si="316"/>
        <v>2.62962962962963E-2</v>
      </c>
      <c r="BZ181" s="147">
        <f t="shared" si="317"/>
        <v>111.61139790145252</v>
      </c>
      <c r="CA181" s="153">
        <f t="shared" si="318"/>
        <v>0.20868644620685947</v>
      </c>
      <c r="CB181" s="5">
        <f t="shared" si="319"/>
        <v>1.42</v>
      </c>
      <c r="CC181" s="153">
        <f t="shared" si="320"/>
        <v>0.87186824898501414</v>
      </c>
      <c r="CD181" s="5">
        <f t="shared" si="321"/>
        <v>87.186824898501413</v>
      </c>
      <c r="CG181" s="59">
        <f t="shared" si="356"/>
        <v>-50</v>
      </c>
      <c r="CH181">
        <f t="shared" si="357"/>
        <v>-50</v>
      </c>
    </row>
    <row r="182" spans="5:86" x14ac:dyDescent="0.25">
      <c r="E182" s="150">
        <v>72</v>
      </c>
      <c r="F182" s="191">
        <f t="shared" si="358"/>
        <v>7.1999999999999995E-2</v>
      </c>
      <c r="G182" s="191"/>
      <c r="H182" s="191">
        <f t="shared" si="322"/>
        <v>1.44</v>
      </c>
      <c r="I182" s="472">
        <f t="shared" si="323"/>
        <v>9</v>
      </c>
      <c r="J182" s="386">
        <f t="shared" si="324"/>
        <v>20.32</v>
      </c>
      <c r="K182" s="386">
        <f t="shared" si="325"/>
        <v>29.32</v>
      </c>
      <c r="L182" s="386"/>
      <c r="M182" s="191">
        <f t="shared" si="326"/>
        <v>0.69304229195088674</v>
      </c>
      <c r="N182" s="152">
        <f t="shared" si="327"/>
        <v>2.1177466575716233</v>
      </c>
      <c r="O182" s="152">
        <f t="shared" si="262"/>
        <v>1.44</v>
      </c>
      <c r="P182" s="191">
        <f t="shared" si="328"/>
        <v>0.10588733287858117</v>
      </c>
      <c r="Q182" s="191">
        <f t="shared" si="329"/>
        <v>20</v>
      </c>
      <c r="R182" s="191"/>
      <c r="S182" s="152">
        <f t="shared" si="330"/>
        <v>33.27323155563289</v>
      </c>
      <c r="T182" s="152">
        <f t="shared" si="331"/>
        <v>20</v>
      </c>
      <c r="U182" s="191">
        <f t="shared" si="332"/>
        <v>0.51303587051618549</v>
      </c>
      <c r="V182" s="191">
        <f t="shared" si="333"/>
        <v>3.4202391367745704</v>
      </c>
      <c r="W182" s="191">
        <f t="shared" si="334"/>
        <v>1.5148696964060597</v>
      </c>
      <c r="X182" s="175">
        <f t="shared" si="335"/>
        <v>350</v>
      </c>
      <c r="Y182" s="386">
        <f t="shared" si="303"/>
        <v>202.629776526227</v>
      </c>
      <c r="AA182" s="191">
        <f t="shared" si="336"/>
        <v>0.29701812512180864</v>
      </c>
      <c r="AB182" s="153">
        <f t="shared" si="337"/>
        <v>0.87702202299746645</v>
      </c>
      <c r="AC182" s="153">
        <f t="shared" si="338"/>
        <v>4.5586001468217563E-2</v>
      </c>
      <c r="AD182" s="153"/>
      <c r="AE182" s="153">
        <f t="shared" si="339"/>
        <v>0.44291338582677164</v>
      </c>
      <c r="AF182" s="317">
        <f t="shared" si="340"/>
        <v>2167.4666666666672</v>
      </c>
      <c r="AG182" s="463">
        <f t="shared" si="341"/>
        <v>1.1626476377952754E-2</v>
      </c>
      <c r="AI182" s="153">
        <f t="shared" si="342"/>
        <v>0.37327890759744631</v>
      </c>
      <c r="AJ182" s="153">
        <f t="shared" si="343"/>
        <v>0.51303587051618549</v>
      </c>
      <c r="AK182" s="153">
        <f t="shared" si="344"/>
        <v>1.4420239136774571</v>
      </c>
      <c r="AM182" s="317">
        <f t="shared" si="345"/>
        <v>72</v>
      </c>
      <c r="AN182" s="147">
        <f t="shared" si="346"/>
        <v>202.629776526227</v>
      </c>
      <c r="AP182">
        <f t="shared" si="347"/>
        <v>72</v>
      </c>
      <c r="AQ182">
        <f t="shared" si="348"/>
        <v>202.629776526227</v>
      </c>
      <c r="AS182" s="5">
        <f t="shared" si="263"/>
        <v>4.9351088331806299</v>
      </c>
      <c r="AT182" s="5">
        <f t="shared" si="349"/>
        <v>3.4202391367745704</v>
      </c>
      <c r="AU182" s="5">
        <f t="shared" si="304"/>
        <v>1.5148696964060595</v>
      </c>
      <c r="AV182" s="5"/>
      <c r="AW182" s="153">
        <f t="shared" si="305"/>
        <v>0.69304229195088685</v>
      </c>
      <c r="AX182" s="153">
        <f t="shared" si="259"/>
        <v>1.5999999999999999</v>
      </c>
      <c r="AY182" s="153">
        <f t="shared" si="260"/>
        <v>7.8740157480314946E-2</v>
      </c>
      <c r="AZ182" s="153">
        <f t="shared" si="264"/>
        <v>20.320000000000004</v>
      </c>
      <c r="BA182" s="147">
        <f t="shared" si="350"/>
        <v>3.0231480258994696</v>
      </c>
      <c r="BB182" s="147">
        <f t="shared" si="351"/>
        <v>23.871644159999995</v>
      </c>
      <c r="BC182" s="5">
        <f t="shared" si="359"/>
        <v>0.26931016824996612</v>
      </c>
      <c r="BD182" s="147">
        <f t="shared" si="352"/>
        <v>27.464350158329946</v>
      </c>
      <c r="BF182" s="153">
        <f t="shared" si="265"/>
        <v>0.24658518065860488</v>
      </c>
      <c r="BG182" s="153">
        <f t="shared" si="261"/>
        <v>0.16410672388722106</v>
      </c>
      <c r="BI182" s="463">
        <f t="shared" si="306"/>
        <v>2.128148796215288E-2</v>
      </c>
      <c r="BJ182" s="463">
        <f t="shared" si="307"/>
        <v>1.5239999999999998E-2</v>
      </c>
      <c r="BK182" s="463">
        <f t="shared" si="308"/>
        <v>2.5328722065778375E-3</v>
      </c>
      <c r="BL182" s="463">
        <f t="shared" si="309"/>
        <v>8.7096599999999993E-3</v>
      </c>
      <c r="BM182">
        <f t="shared" si="310"/>
        <v>2.6099999999999999E-3</v>
      </c>
      <c r="BN182">
        <f t="shared" si="353"/>
        <v>2.02629776526227E-6</v>
      </c>
      <c r="BO182" s="463">
        <f t="shared" si="354"/>
        <v>5.3458950410162097E-2</v>
      </c>
      <c r="BP182" s="147">
        <f t="shared" si="311"/>
        <v>50.374020168730716</v>
      </c>
      <c r="BQ182" s="463">
        <f t="shared" si="355"/>
        <v>4.8079296854297411E-2</v>
      </c>
      <c r="BT182" s="147">
        <f t="shared" si="312"/>
        <v>48.079296854297411</v>
      </c>
      <c r="BU182" s="463">
        <f t="shared" si="313"/>
        <v>6.0804251320436806E-2</v>
      </c>
      <c r="BV182" s="463">
        <f t="shared" si="314"/>
        <v>2.6931016824996611E-2</v>
      </c>
      <c r="BW182" s="463">
        <f t="shared" si="315"/>
        <v>0</v>
      </c>
      <c r="BX182" s="463"/>
      <c r="BY182" s="463">
        <f t="shared" si="316"/>
        <v>2.6666666666666672E-2</v>
      </c>
      <c r="BZ182" s="147">
        <f t="shared" si="317"/>
        <v>114.40193481210009</v>
      </c>
      <c r="CA182" s="153">
        <f t="shared" si="318"/>
        <v>0.21285525183512821</v>
      </c>
      <c r="CB182" s="5">
        <f t="shared" si="319"/>
        <v>1.44</v>
      </c>
      <c r="CC182" s="153">
        <f t="shared" si="320"/>
        <v>0.87121966572765541</v>
      </c>
      <c r="CD182" s="5">
        <f t="shared" si="321"/>
        <v>87.121966572765544</v>
      </c>
      <c r="CG182" s="59">
        <f t="shared" si="356"/>
        <v>-50</v>
      </c>
      <c r="CH182">
        <f t="shared" si="357"/>
        <v>-50</v>
      </c>
    </row>
    <row r="183" spans="5:86" x14ac:dyDescent="0.25">
      <c r="E183" s="150">
        <v>73</v>
      </c>
      <c r="F183" s="191">
        <f t="shared" si="358"/>
        <v>7.2999999999999995E-2</v>
      </c>
      <c r="G183" s="191"/>
      <c r="H183" s="191">
        <f t="shared" si="322"/>
        <v>1.46</v>
      </c>
      <c r="I183" s="472">
        <f t="shared" si="323"/>
        <v>9</v>
      </c>
      <c r="J183" s="386">
        <f t="shared" si="324"/>
        <v>20.32</v>
      </c>
      <c r="K183" s="386">
        <f t="shared" si="325"/>
        <v>29.32</v>
      </c>
      <c r="L183" s="386"/>
      <c r="M183" s="191">
        <f t="shared" si="326"/>
        <v>0.69304229195088674</v>
      </c>
      <c r="N183" s="152">
        <f t="shared" si="327"/>
        <v>2.1177466575716233</v>
      </c>
      <c r="O183" s="152">
        <f t="shared" si="262"/>
        <v>1.46</v>
      </c>
      <c r="P183" s="191">
        <f t="shared" si="328"/>
        <v>0.10588733287858117</v>
      </c>
      <c r="Q183" s="191">
        <f t="shared" si="329"/>
        <v>20</v>
      </c>
      <c r="R183" s="191"/>
      <c r="S183" s="152">
        <f t="shared" si="330"/>
        <v>32.696817315477446</v>
      </c>
      <c r="T183" s="152">
        <f t="shared" si="331"/>
        <v>20</v>
      </c>
      <c r="U183" s="191">
        <f t="shared" si="332"/>
        <v>0.52016136871779917</v>
      </c>
      <c r="V183" s="191">
        <f t="shared" si="333"/>
        <v>3.4677424581186611</v>
      </c>
      <c r="W183" s="191">
        <f t="shared" si="334"/>
        <v>1.535909553300588</v>
      </c>
      <c r="X183" s="175">
        <f t="shared" si="335"/>
        <v>350</v>
      </c>
      <c r="Y183" s="386">
        <f t="shared" si="303"/>
        <v>199.85402616285404</v>
      </c>
      <c r="AA183" s="191">
        <f t="shared" si="336"/>
        <v>0.29701812512180864</v>
      </c>
      <c r="AB183" s="153">
        <f t="shared" si="337"/>
        <v>0.87702202299746645</v>
      </c>
      <c r="AC183" s="153">
        <f t="shared" si="338"/>
        <v>4.5586001468217563E-2</v>
      </c>
      <c r="AD183" s="153"/>
      <c r="AE183" s="153">
        <f t="shared" si="339"/>
        <v>0.44291338582677164</v>
      </c>
      <c r="AF183" s="317">
        <f t="shared" si="340"/>
        <v>2197.5703703703707</v>
      </c>
      <c r="AG183" s="463">
        <f t="shared" si="341"/>
        <v>1.1626476377952754E-2</v>
      </c>
      <c r="AI183" s="153">
        <f t="shared" si="342"/>
        <v>0.37586218345609201</v>
      </c>
      <c r="AJ183" s="153">
        <f t="shared" si="343"/>
        <v>0.52016136871779917</v>
      </c>
      <c r="AK183" s="153">
        <f t="shared" si="344"/>
        <v>1.446774245811866</v>
      </c>
      <c r="AM183" s="317">
        <f t="shared" si="345"/>
        <v>73</v>
      </c>
      <c r="AN183" s="147">
        <f t="shared" si="346"/>
        <v>199.85402616285404</v>
      </c>
      <c r="AP183">
        <f t="shared" si="347"/>
        <v>73</v>
      </c>
      <c r="AQ183">
        <f t="shared" si="348"/>
        <v>199.85402616285404</v>
      </c>
      <c r="AS183" s="5">
        <f t="shared" si="263"/>
        <v>5.0036520114192502</v>
      </c>
      <c r="AT183" s="5">
        <f t="shared" si="349"/>
        <v>3.4677424581186611</v>
      </c>
      <c r="AU183" s="5">
        <f t="shared" si="304"/>
        <v>1.5359095533005891</v>
      </c>
      <c r="AV183" s="5"/>
      <c r="AW183" s="153">
        <f t="shared" si="305"/>
        <v>0.69304229195088662</v>
      </c>
      <c r="AX183" s="153">
        <f t="shared" si="259"/>
        <v>1.6222222222222218</v>
      </c>
      <c r="AY183" s="153">
        <f t="shared" si="260"/>
        <v>7.983377077865271E-2</v>
      </c>
      <c r="AZ183" s="153">
        <f t="shared" si="264"/>
        <v>20.319999999999983</v>
      </c>
      <c r="BA183" s="147">
        <f t="shared" si="350"/>
        <v>3.0231480258994696</v>
      </c>
      <c r="BB183" s="147">
        <f t="shared" si="351"/>
        <v>24.536308589629623</v>
      </c>
      <c r="BC183" s="5">
        <f t="shared" si="359"/>
        <v>0.27684295652084695</v>
      </c>
      <c r="BD183" s="147">
        <f t="shared" si="352"/>
        <v>28.22503639282543</v>
      </c>
      <c r="BF183" s="153">
        <f t="shared" si="265"/>
        <v>0.25000997483441878</v>
      </c>
      <c r="BG183" s="153">
        <f t="shared" si="261"/>
        <v>0.16638598394121029</v>
      </c>
      <c r="BI183" s="463">
        <f t="shared" si="306"/>
        <v>2.187674563084735E-2</v>
      </c>
      <c r="BJ183" s="463">
        <f t="shared" si="307"/>
        <v>1.524E-2</v>
      </c>
      <c r="BK183" s="463">
        <f t="shared" si="308"/>
        <v>2.4981753270356755E-3</v>
      </c>
      <c r="BL183" s="463">
        <f t="shared" si="309"/>
        <v>8.590349589041096E-3</v>
      </c>
      <c r="BM183">
        <f t="shared" si="310"/>
        <v>2.6099999999999999E-3</v>
      </c>
      <c r="BN183">
        <f t="shared" si="353"/>
        <v>1.9985402616285406E-6</v>
      </c>
      <c r="BO183" s="463">
        <f t="shared" si="354"/>
        <v>5.398854151464913E-2</v>
      </c>
      <c r="BP183" s="147">
        <f t="shared" si="311"/>
        <v>50.815270546924125</v>
      </c>
      <c r="BQ183" s="463">
        <f t="shared" si="355"/>
        <v>4.9036801878192711E-2</v>
      </c>
      <c r="BT183" s="147">
        <f t="shared" si="312"/>
        <v>49.036801878192712</v>
      </c>
      <c r="BU183" s="463">
        <f t="shared" si="313"/>
        <v>6.2504987516706717E-2</v>
      </c>
      <c r="BV183" s="463">
        <f t="shared" si="314"/>
        <v>2.7684295652084689E-2</v>
      </c>
      <c r="BW183" s="463">
        <f t="shared" si="315"/>
        <v>0</v>
      </c>
      <c r="BX183" s="463"/>
      <c r="BY183" s="463">
        <f t="shared" si="316"/>
        <v>2.7037037037037037E-2</v>
      </c>
      <c r="BZ183" s="147">
        <f t="shared" si="317"/>
        <v>117.22632020582844</v>
      </c>
      <c r="CA183" s="153">
        <f t="shared" si="318"/>
        <v>0.21707839263094528</v>
      </c>
      <c r="CB183" s="5">
        <f t="shared" si="319"/>
        <v>1.46</v>
      </c>
      <c r="CC183" s="153">
        <f t="shared" si="320"/>
        <v>0.87056157089329633</v>
      </c>
      <c r="CD183" s="5">
        <f t="shared" si="321"/>
        <v>87.056157089329631</v>
      </c>
      <c r="CG183" s="59">
        <f t="shared" si="356"/>
        <v>-50</v>
      </c>
      <c r="CH183">
        <f t="shared" si="357"/>
        <v>-50</v>
      </c>
    </row>
    <row r="184" spans="5:86" x14ac:dyDescent="0.25">
      <c r="E184" s="150">
        <v>74</v>
      </c>
      <c r="F184" s="191">
        <f t="shared" si="358"/>
        <v>7.3999999999999996E-2</v>
      </c>
      <c r="G184" s="191"/>
      <c r="H184" s="191">
        <f t="shared" si="322"/>
        <v>1.48</v>
      </c>
      <c r="I184" s="472">
        <f t="shared" si="323"/>
        <v>9</v>
      </c>
      <c r="J184" s="386">
        <f t="shared" si="324"/>
        <v>20.32</v>
      </c>
      <c r="K184" s="386">
        <f t="shared" si="325"/>
        <v>29.32</v>
      </c>
      <c r="L184" s="386"/>
      <c r="M184" s="191">
        <f t="shared" si="326"/>
        <v>0.69304229195088674</v>
      </c>
      <c r="N184" s="152">
        <f t="shared" si="327"/>
        <v>2.1177466575716233</v>
      </c>
      <c r="O184" s="152">
        <f t="shared" si="262"/>
        <v>1.48</v>
      </c>
      <c r="P184" s="191">
        <f t="shared" si="328"/>
        <v>0.10588733287858117</v>
      </c>
      <c r="Q184" s="191">
        <f t="shared" si="329"/>
        <v>20</v>
      </c>
      <c r="R184" s="191"/>
      <c r="S184" s="152">
        <f t="shared" si="330"/>
        <v>32.136032726678138</v>
      </c>
      <c r="T184" s="152">
        <f t="shared" si="331"/>
        <v>20</v>
      </c>
      <c r="U184" s="191">
        <f t="shared" si="332"/>
        <v>0.52728686691941284</v>
      </c>
      <c r="V184" s="191">
        <f t="shared" si="333"/>
        <v>3.5152457794627523</v>
      </c>
      <c r="W184" s="191">
        <f t="shared" si="334"/>
        <v>1.5569494101951167</v>
      </c>
      <c r="X184" s="175">
        <f t="shared" si="335"/>
        <v>350</v>
      </c>
      <c r="Y184" s="386">
        <f t="shared" si="303"/>
        <v>197.15329607957227</v>
      </c>
      <c r="AA184" s="191">
        <f t="shared" si="336"/>
        <v>0.29701812512180864</v>
      </c>
      <c r="AB184" s="153">
        <f t="shared" si="337"/>
        <v>0.87702202299746645</v>
      </c>
      <c r="AC184" s="153">
        <f t="shared" si="338"/>
        <v>4.5586001468217563E-2</v>
      </c>
      <c r="AD184" s="153"/>
      <c r="AE184" s="153">
        <f t="shared" si="339"/>
        <v>0.44291338582677164</v>
      </c>
      <c r="AF184" s="317">
        <f t="shared" si="340"/>
        <v>2227.6740740740743</v>
      </c>
      <c r="AG184" s="463">
        <f t="shared" si="341"/>
        <v>1.1626476377952754E-2</v>
      </c>
      <c r="AI184" s="153">
        <f t="shared" si="342"/>
        <v>0.37842782541406633</v>
      </c>
      <c r="AJ184" s="153">
        <f t="shared" si="343"/>
        <v>0.52728686691941284</v>
      </c>
      <c r="AK184" s="153">
        <f t="shared" si="344"/>
        <v>1.4515245779462753</v>
      </c>
      <c r="AM184" s="317">
        <f t="shared" si="345"/>
        <v>74</v>
      </c>
      <c r="AN184" s="147">
        <f t="shared" si="346"/>
        <v>197.15329607957227</v>
      </c>
      <c r="AP184">
        <f t="shared" si="347"/>
        <v>74</v>
      </c>
      <c r="AQ184">
        <f t="shared" si="348"/>
        <v>197.15329607957227</v>
      </c>
      <c r="AS184" s="5">
        <f t="shared" si="263"/>
        <v>5.0721951896578679</v>
      </c>
      <c r="AT184" s="5">
        <f t="shared" si="349"/>
        <v>3.5152457794627523</v>
      </c>
      <c r="AU184" s="5">
        <f t="shared" si="304"/>
        <v>1.5569494101951156</v>
      </c>
      <c r="AV184" s="5"/>
      <c r="AW184" s="153">
        <f t="shared" si="305"/>
        <v>0.69304229195088696</v>
      </c>
      <c r="AX184" s="153">
        <f t="shared" si="259"/>
        <v>1.6444444444444444</v>
      </c>
      <c r="AY184" s="153">
        <f t="shared" si="260"/>
        <v>8.0927384076990322E-2</v>
      </c>
      <c r="AZ184" s="153">
        <f t="shared" si="264"/>
        <v>20.320000000000014</v>
      </c>
      <c r="BA184" s="147">
        <f t="shared" si="350"/>
        <v>3.0231480258994696</v>
      </c>
      <c r="BB184" s="147">
        <f t="shared" si="351"/>
        <v>25.210099425185184</v>
      </c>
      <c r="BC184" s="5">
        <f t="shared" si="359"/>
        <v>0.28447964531960135</v>
      </c>
      <c r="BD184" s="147">
        <f t="shared" si="352"/>
        <v>28.996112680108283</v>
      </c>
      <c r="BF184" s="153">
        <f t="shared" si="265"/>
        <v>0.25343476901023282</v>
      </c>
      <c r="BG184" s="153">
        <f t="shared" si="261"/>
        <v>0.16866524399519936</v>
      </c>
      <c r="BI184" s="463">
        <f t="shared" si="306"/>
        <v>2.2480213750144518E-2</v>
      </c>
      <c r="BJ184" s="463">
        <f t="shared" si="307"/>
        <v>1.5240000000000002E-2</v>
      </c>
      <c r="BK184" s="463">
        <f t="shared" si="308"/>
        <v>2.4644162009946533E-3</v>
      </c>
      <c r="BL184" s="463">
        <f t="shared" si="309"/>
        <v>8.4742637837837854E-3</v>
      </c>
      <c r="BM184">
        <f t="shared" si="310"/>
        <v>2.6099999999999999E-3</v>
      </c>
      <c r="BN184">
        <f t="shared" si="353"/>
        <v>1.9715329607957229E-6</v>
      </c>
      <c r="BO184" s="463">
        <f t="shared" si="354"/>
        <v>5.453187047944702E-2</v>
      </c>
      <c r="BP184" s="147">
        <f t="shared" si="311"/>
        <v>51.268893734922962</v>
      </c>
      <c r="BQ184" s="463">
        <f t="shared" si="355"/>
        <v>5.0002244902417545E-2</v>
      </c>
      <c r="BT184" s="147">
        <f t="shared" si="312"/>
        <v>50.002244902417544</v>
      </c>
      <c r="BU184" s="463">
        <f t="shared" si="313"/>
        <v>6.4229182143270058E-2</v>
      </c>
      <c r="BV184" s="463">
        <f t="shared" si="314"/>
        <v>2.8447964531960135E-2</v>
      </c>
      <c r="BW184" s="463">
        <f t="shared" si="315"/>
        <v>0</v>
      </c>
      <c r="BX184" s="463"/>
      <c r="BY184" s="463">
        <f t="shared" si="316"/>
        <v>2.7407407407407412E-2</v>
      </c>
      <c r="BZ184" s="147">
        <f t="shared" si="317"/>
        <v>120.0845540826376</v>
      </c>
      <c r="CA184" s="153">
        <f t="shared" si="318"/>
        <v>0.2213556927199781</v>
      </c>
      <c r="CB184" s="5">
        <f t="shared" si="319"/>
        <v>1.48</v>
      </c>
      <c r="CC184" s="153">
        <f t="shared" si="320"/>
        <v>0.86989452372178921</v>
      </c>
      <c r="CD184" s="5">
        <f t="shared" si="321"/>
        <v>86.989452372178917</v>
      </c>
      <c r="CG184" s="59">
        <f t="shared" si="356"/>
        <v>-50</v>
      </c>
      <c r="CH184">
        <f t="shared" si="357"/>
        <v>-50</v>
      </c>
    </row>
    <row r="185" spans="5:86" x14ac:dyDescent="0.25">
      <c r="E185" s="150">
        <v>75</v>
      </c>
      <c r="F185" s="191">
        <f t="shared" si="358"/>
        <v>7.5000000000000011E-2</v>
      </c>
      <c r="G185" s="191"/>
      <c r="H185" s="191">
        <f t="shared" si="322"/>
        <v>1.5000000000000002</v>
      </c>
      <c r="I185" s="472">
        <f t="shared" si="323"/>
        <v>9</v>
      </c>
      <c r="J185" s="386">
        <f t="shared" si="324"/>
        <v>20.32</v>
      </c>
      <c r="K185" s="386">
        <f t="shared" si="325"/>
        <v>29.32</v>
      </c>
      <c r="L185" s="386"/>
      <c r="M185" s="191">
        <f t="shared" si="326"/>
        <v>0.69304229195088674</v>
      </c>
      <c r="N185" s="152">
        <f t="shared" si="327"/>
        <v>2.1177466575716233</v>
      </c>
      <c r="O185" s="152">
        <f t="shared" si="262"/>
        <v>1.5000000000000002</v>
      </c>
      <c r="P185" s="191">
        <f t="shared" si="328"/>
        <v>0.10588733287858117</v>
      </c>
      <c r="Q185" s="191">
        <f t="shared" si="329"/>
        <v>20</v>
      </c>
      <c r="R185" s="191"/>
      <c r="S185" s="152">
        <f t="shared" si="330"/>
        <v>31.590253122997769</v>
      </c>
      <c r="T185" s="152">
        <f t="shared" si="331"/>
        <v>20</v>
      </c>
      <c r="U185" s="191">
        <f t="shared" si="332"/>
        <v>0.53441236512102663</v>
      </c>
      <c r="V185" s="191">
        <f t="shared" si="333"/>
        <v>3.5627491008068448</v>
      </c>
      <c r="W185" s="191">
        <f t="shared" si="334"/>
        <v>1.5779892670896456</v>
      </c>
      <c r="X185" s="175">
        <f t="shared" si="335"/>
        <v>350</v>
      </c>
      <c r="Y185" s="386">
        <f t="shared" si="303"/>
        <v>194.52458546517789</v>
      </c>
      <c r="AA185" s="191">
        <f t="shared" si="336"/>
        <v>0.29701812512180864</v>
      </c>
      <c r="AB185" s="153">
        <f t="shared" si="337"/>
        <v>0.87702202299746645</v>
      </c>
      <c r="AC185" s="153">
        <f t="shared" si="338"/>
        <v>4.5586001468217563E-2</v>
      </c>
      <c r="AD185" s="153"/>
      <c r="AE185" s="153">
        <f t="shared" si="339"/>
        <v>0.44291338582677164</v>
      </c>
      <c r="AF185" s="317">
        <f t="shared" si="340"/>
        <v>2257.7777777777783</v>
      </c>
      <c r="AG185" s="463">
        <f t="shared" si="341"/>
        <v>1.1626476377952754E-2</v>
      </c>
      <c r="AI185" s="153">
        <f t="shared" si="342"/>
        <v>0.38097618973218939</v>
      </c>
      <c r="AJ185" s="153">
        <f t="shared" si="343"/>
        <v>0.53441236512102663</v>
      </c>
      <c r="AK185" s="153">
        <f t="shared" si="344"/>
        <v>1.4562749100806844</v>
      </c>
      <c r="AM185" s="317">
        <f t="shared" si="345"/>
        <v>75.000000000000014</v>
      </c>
      <c r="AN185" s="147">
        <f t="shared" si="346"/>
        <v>194.52458546517789</v>
      </c>
      <c r="AP185">
        <f t="shared" si="347"/>
        <v>75.000000000000014</v>
      </c>
      <c r="AQ185">
        <f t="shared" si="348"/>
        <v>194.52458546517789</v>
      </c>
      <c r="AS185" s="5">
        <f t="shared" si="263"/>
        <v>5.1407383678964909</v>
      </c>
      <c r="AT185" s="5">
        <f t="shared" si="349"/>
        <v>3.5627491008068448</v>
      </c>
      <c r="AU185" s="5">
        <f t="shared" si="304"/>
        <v>1.577989267089646</v>
      </c>
      <c r="AV185" s="5"/>
      <c r="AW185" s="153">
        <f t="shared" si="305"/>
        <v>0.69304229195088674</v>
      </c>
      <c r="AX185" s="153">
        <f t="shared" si="259"/>
        <v>1.6666666666666667</v>
      </c>
      <c r="AY185" s="153">
        <f t="shared" si="260"/>
        <v>8.20209973753281E-2</v>
      </c>
      <c r="AZ185" s="153">
        <f t="shared" si="264"/>
        <v>20.319999999999997</v>
      </c>
      <c r="BA185" s="147">
        <f t="shared" si="350"/>
        <v>3.0231480258994696</v>
      </c>
      <c r="BB185" s="147">
        <f t="shared" si="351"/>
        <v>25.893016666666671</v>
      </c>
      <c r="BC185" s="5">
        <f t="shared" si="359"/>
        <v>0.29222023464623081</v>
      </c>
      <c r="BD185" s="147">
        <f t="shared" si="352"/>
        <v>29.777579020178631</v>
      </c>
      <c r="BF185" s="153">
        <f t="shared" si="265"/>
        <v>0.25685956318604675</v>
      </c>
      <c r="BG185" s="153">
        <f t="shared" si="261"/>
        <v>0.17094450404918865</v>
      </c>
      <c r="BI185" s="463">
        <f t="shared" si="306"/>
        <v>2.3091892320044358E-2</v>
      </c>
      <c r="BJ185" s="463">
        <f t="shared" si="307"/>
        <v>1.5239999999999998E-2</v>
      </c>
      <c r="BK185" s="463">
        <f t="shared" si="308"/>
        <v>2.4315573183147235E-3</v>
      </c>
      <c r="BL185" s="463">
        <f t="shared" si="309"/>
        <v>8.3612735999999983E-3</v>
      </c>
      <c r="BM185">
        <f t="shared" si="310"/>
        <v>2.6099999999999999E-3</v>
      </c>
      <c r="BN185">
        <f t="shared" si="353"/>
        <v>1.9452458546517789E-6</v>
      </c>
      <c r="BO185" s="463">
        <f t="shared" si="354"/>
        <v>5.5088777155737456E-2</v>
      </c>
      <c r="BP185" s="147">
        <f t="shared" si="311"/>
        <v>51.734723238359081</v>
      </c>
      <c r="BQ185" s="463">
        <f t="shared" si="355"/>
        <v>5.0975625926972037E-2</v>
      </c>
      <c r="BT185" s="147">
        <f t="shared" si="312"/>
        <v>50.975625926972036</v>
      </c>
      <c r="BU185" s="463">
        <f t="shared" si="313"/>
        <v>6.5976835200126746E-2</v>
      </c>
      <c r="BV185" s="463">
        <f t="shared" si="314"/>
        <v>2.9222023464623076E-2</v>
      </c>
      <c r="BW185" s="463">
        <f t="shared" si="315"/>
        <v>0</v>
      </c>
      <c r="BX185" s="463"/>
      <c r="BY185" s="463">
        <f t="shared" si="316"/>
        <v>2.7777777777777783E-2</v>
      </c>
      <c r="BZ185" s="147">
        <f t="shared" si="317"/>
        <v>122.97663644252759</v>
      </c>
      <c r="CA185" s="153">
        <f t="shared" si="318"/>
        <v>0.22568698560785874</v>
      </c>
      <c r="CB185" s="5">
        <f t="shared" si="319"/>
        <v>1.5000000000000002</v>
      </c>
      <c r="CC185" s="153">
        <f t="shared" si="320"/>
        <v>0.86921904870925226</v>
      </c>
      <c r="CD185" s="5">
        <f t="shared" si="321"/>
        <v>86.921904870925232</v>
      </c>
      <c r="CG185" s="59">
        <f t="shared" si="356"/>
        <v>-50</v>
      </c>
      <c r="CH185">
        <f t="shared" si="357"/>
        <v>-50</v>
      </c>
    </row>
    <row r="186" spans="5:86" x14ac:dyDescent="0.25">
      <c r="E186" s="150">
        <v>76</v>
      </c>
      <c r="F186" s="191">
        <f t="shared" si="358"/>
        <v>7.6000000000000012E-2</v>
      </c>
      <c r="G186" s="191"/>
      <c r="H186" s="191">
        <f t="shared" si="322"/>
        <v>1.5200000000000002</v>
      </c>
      <c r="I186" s="472">
        <f t="shared" si="323"/>
        <v>9</v>
      </c>
      <c r="J186" s="386">
        <f t="shared" si="324"/>
        <v>20.32</v>
      </c>
      <c r="K186" s="386">
        <f t="shared" si="325"/>
        <v>29.32</v>
      </c>
      <c r="L186" s="386"/>
      <c r="M186" s="191">
        <f t="shared" si="326"/>
        <v>0.69304229195088674</v>
      </c>
      <c r="N186" s="152">
        <f t="shared" si="327"/>
        <v>2.1177466575716233</v>
      </c>
      <c r="O186" s="152">
        <f t="shared" si="262"/>
        <v>1.5200000000000002</v>
      </c>
      <c r="P186" s="191">
        <f t="shared" si="328"/>
        <v>0.10588733287858117</v>
      </c>
      <c r="Q186" s="191">
        <f t="shared" si="329"/>
        <v>20</v>
      </c>
      <c r="R186" s="191"/>
      <c r="S186" s="152">
        <f t="shared" si="330"/>
        <v>31.058886721994071</v>
      </c>
      <c r="T186" s="152">
        <f t="shared" si="331"/>
        <v>20</v>
      </c>
      <c r="U186" s="191">
        <f t="shared" si="332"/>
        <v>0.54153786332264031</v>
      </c>
      <c r="V186" s="191">
        <f t="shared" si="333"/>
        <v>3.6102524221509351</v>
      </c>
      <c r="W186" s="191">
        <f t="shared" si="334"/>
        <v>1.5990291239841741</v>
      </c>
      <c r="X186" s="175">
        <f t="shared" si="335"/>
        <v>350</v>
      </c>
      <c r="Y186" s="386">
        <f t="shared" si="303"/>
        <v>191.96505144589929</v>
      </c>
      <c r="AA186" s="191">
        <f t="shared" si="336"/>
        <v>0.29701812512180864</v>
      </c>
      <c r="AB186" s="153">
        <f t="shared" si="337"/>
        <v>0.87702202299746645</v>
      </c>
      <c r="AC186" s="153">
        <f t="shared" si="338"/>
        <v>4.5586001468217563E-2</v>
      </c>
      <c r="AD186" s="153"/>
      <c r="AE186" s="153">
        <f t="shared" si="339"/>
        <v>0.44291338582677164</v>
      </c>
      <c r="AF186" s="317">
        <f t="shared" si="340"/>
        <v>2287.8814814814823</v>
      </c>
      <c r="AG186" s="463">
        <f t="shared" si="341"/>
        <v>1.1626476377952754E-2</v>
      </c>
      <c r="AI186" s="153">
        <f t="shared" si="342"/>
        <v>0.38350762083444345</v>
      </c>
      <c r="AJ186" s="153">
        <f t="shared" si="343"/>
        <v>0.54153786332264031</v>
      </c>
      <c r="AK186" s="153">
        <f t="shared" si="344"/>
        <v>1.4610252422150936</v>
      </c>
      <c r="AM186" s="317">
        <f t="shared" si="345"/>
        <v>76.000000000000014</v>
      </c>
      <c r="AN186" s="147">
        <f t="shared" si="346"/>
        <v>191.96505144589929</v>
      </c>
      <c r="AP186">
        <f t="shared" si="347"/>
        <v>76.000000000000014</v>
      </c>
      <c r="AQ186">
        <f t="shared" si="348"/>
        <v>191.96505144589929</v>
      </c>
      <c r="AS186" s="5">
        <f t="shared" si="263"/>
        <v>5.2092815461351094</v>
      </c>
      <c r="AT186" s="5">
        <f t="shared" si="349"/>
        <v>3.6102524221509351</v>
      </c>
      <c r="AU186" s="5">
        <f t="shared" si="304"/>
        <v>1.5990291239841743</v>
      </c>
      <c r="AV186" s="5"/>
      <c r="AW186" s="153">
        <f t="shared" si="305"/>
        <v>0.69304229195088674</v>
      </c>
      <c r="AX186" s="153">
        <f t="shared" si="259"/>
        <v>1.6888888888888893</v>
      </c>
      <c r="AY186" s="153">
        <f t="shared" si="260"/>
        <v>8.3114610673665809E-2</v>
      </c>
      <c r="AZ186" s="153">
        <f t="shared" si="264"/>
        <v>20.32</v>
      </c>
      <c r="BA186" s="147">
        <f t="shared" si="350"/>
        <v>3.0231480258994696</v>
      </c>
      <c r="BB186" s="147">
        <f t="shared" si="351"/>
        <v>26.585060314074081</v>
      </c>
      <c r="BC186" s="5">
        <f t="shared" si="359"/>
        <v>0.30006472450073396</v>
      </c>
      <c r="BD186" s="147">
        <f t="shared" si="352"/>
        <v>30.569435413036363</v>
      </c>
      <c r="BF186" s="153">
        <f t="shared" si="265"/>
        <v>0.26028435736186073</v>
      </c>
      <c r="BG186" s="153">
        <f t="shared" si="261"/>
        <v>0.17322376410317783</v>
      </c>
      <c r="BI186" s="463">
        <f t="shared" si="306"/>
        <v>2.3711781340546887E-2</v>
      </c>
      <c r="BJ186" s="463">
        <f t="shared" si="307"/>
        <v>1.5240000000000002E-2</v>
      </c>
      <c r="BK186" s="463">
        <f t="shared" si="308"/>
        <v>2.3995631430737412E-3</v>
      </c>
      <c r="BL186" s="463">
        <f t="shared" si="309"/>
        <v>8.2512568421052642E-3</v>
      </c>
      <c r="BM186">
        <f t="shared" si="310"/>
        <v>2.6099999999999999E-3</v>
      </c>
      <c r="BN186">
        <f t="shared" si="353"/>
        <v>1.919650514458993E-6</v>
      </c>
      <c r="BO186" s="463">
        <f t="shared" si="354"/>
        <v>5.5659110249479594E-2</v>
      </c>
      <c r="BP186" s="147">
        <f t="shared" si="311"/>
        <v>52.212601325725892</v>
      </c>
      <c r="BQ186" s="463">
        <f t="shared" si="355"/>
        <v>5.1956944951856085E-2</v>
      </c>
      <c r="BT186" s="147">
        <f t="shared" si="312"/>
        <v>51.956944951856087</v>
      </c>
      <c r="BU186" s="463">
        <f t="shared" si="313"/>
        <v>6.7747946687276822E-2</v>
      </c>
      <c r="BV186" s="463">
        <f t="shared" si="314"/>
        <v>3.0006472450073401E-2</v>
      </c>
      <c r="BW186" s="463">
        <f t="shared" si="315"/>
        <v>0</v>
      </c>
      <c r="BX186" s="463"/>
      <c r="BY186" s="463">
        <f t="shared" si="316"/>
        <v>2.8148148148148162E-2</v>
      </c>
      <c r="BZ186" s="147">
        <f t="shared" si="317"/>
        <v>125.90256728549839</v>
      </c>
      <c r="CA186" s="153">
        <f t="shared" si="318"/>
        <v>0.23007211356308038</v>
      </c>
      <c r="CB186" s="5">
        <f t="shared" si="319"/>
        <v>1.5200000000000002</v>
      </c>
      <c r="CC186" s="153">
        <f t="shared" si="320"/>
        <v>0.86853563817169666</v>
      </c>
      <c r="CD186" s="5">
        <f t="shared" si="321"/>
        <v>86.853563817169672</v>
      </c>
      <c r="CG186" s="59">
        <f t="shared" si="356"/>
        <v>-50</v>
      </c>
      <c r="CH186">
        <f t="shared" si="357"/>
        <v>-50</v>
      </c>
    </row>
    <row r="187" spans="5:86" x14ac:dyDescent="0.25">
      <c r="E187" s="150">
        <v>77</v>
      </c>
      <c r="F187" s="191">
        <f t="shared" si="358"/>
        <v>7.7000000000000013E-2</v>
      </c>
      <c r="G187" s="191"/>
      <c r="H187" s="191">
        <f t="shared" si="322"/>
        <v>1.5400000000000003</v>
      </c>
      <c r="I187" s="472">
        <f t="shared" si="323"/>
        <v>9</v>
      </c>
      <c r="J187" s="386">
        <f t="shared" si="324"/>
        <v>20.32</v>
      </c>
      <c r="K187" s="386">
        <f t="shared" si="325"/>
        <v>29.32</v>
      </c>
      <c r="L187" s="386"/>
      <c r="M187" s="191">
        <f t="shared" si="326"/>
        <v>0.69304229195088674</v>
      </c>
      <c r="N187" s="152">
        <f t="shared" si="327"/>
        <v>2.1177466575716233</v>
      </c>
      <c r="O187" s="152">
        <f t="shared" si="262"/>
        <v>1.5400000000000003</v>
      </c>
      <c r="P187" s="191">
        <f t="shared" si="328"/>
        <v>0.10588733287858117</v>
      </c>
      <c r="Q187" s="191">
        <f t="shared" si="329"/>
        <v>20</v>
      </c>
      <c r="R187" s="191"/>
      <c r="S187" s="152">
        <f t="shared" si="330"/>
        <v>30.54137248980528</v>
      </c>
      <c r="T187" s="152">
        <f t="shared" si="331"/>
        <v>20</v>
      </c>
      <c r="U187" s="191">
        <f t="shared" si="332"/>
        <v>0.5486633615242541</v>
      </c>
      <c r="V187" s="191">
        <f t="shared" si="333"/>
        <v>3.6577557434950272</v>
      </c>
      <c r="W187" s="191">
        <f t="shared" si="334"/>
        <v>1.6200689808787032</v>
      </c>
      <c r="X187" s="175">
        <f t="shared" si="335"/>
        <v>350</v>
      </c>
      <c r="Y187" s="386">
        <f t="shared" si="303"/>
        <v>189.4719988297187</v>
      </c>
      <c r="AA187" s="191">
        <f t="shared" si="336"/>
        <v>0.29701812512180864</v>
      </c>
      <c r="AB187" s="153">
        <f t="shared" si="337"/>
        <v>0.87702202299746645</v>
      </c>
      <c r="AC187" s="153">
        <f t="shared" si="338"/>
        <v>4.5586001468217563E-2</v>
      </c>
      <c r="AD187" s="153"/>
      <c r="AE187" s="153">
        <f t="shared" si="339"/>
        <v>0.44291338582677164</v>
      </c>
      <c r="AF187" s="317">
        <f t="shared" si="340"/>
        <v>2317.9851851851863</v>
      </c>
      <c r="AG187" s="463">
        <f t="shared" si="341"/>
        <v>1.1626476377952754E-2</v>
      </c>
      <c r="AI187" s="153">
        <f t="shared" si="342"/>
        <v>0.38602245185135714</v>
      </c>
      <c r="AJ187" s="153">
        <f t="shared" si="343"/>
        <v>0.5486633615242541</v>
      </c>
      <c r="AK187" s="153">
        <f t="shared" si="344"/>
        <v>1.4657755743495027</v>
      </c>
      <c r="AM187" s="317">
        <f t="shared" si="345"/>
        <v>77.000000000000014</v>
      </c>
      <c r="AN187" s="147">
        <f t="shared" si="346"/>
        <v>189.4719988297187</v>
      </c>
      <c r="AP187">
        <f t="shared" si="347"/>
        <v>77.000000000000014</v>
      </c>
      <c r="AQ187">
        <f t="shared" si="348"/>
        <v>189.4719988297187</v>
      </c>
      <c r="AS187" s="5">
        <f t="shared" si="263"/>
        <v>5.2778247243737306</v>
      </c>
      <c r="AT187" s="5">
        <f t="shared" si="349"/>
        <v>3.6577557434950272</v>
      </c>
      <c r="AU187" s="5">
        <f t="shared" si="304"/>
        <v>1.6200689808787034</v>
      </c>
      <c r="AV187" s="5"/>
      <c r="AW187" s="153">
        <f t="shared" si="305"/>
        <v>0.69304229195088674</v>
      </c>
      <c r="AX187" s="153">
        <f t="shared" si="259"/>
        <v>1.7111111111111117</v>
      </c>
      <c r="AY187" s="153">
        <f t="shared" si="260"/>
        <v>8.4208223972003532E-2</v>
      </c>
      <c r="AZ187" s="153">
        <f t="shared" si="264"/>
        <v>20.32</v>
      </c>
      <c r="BA187" s="147">
        <f t="shared" si="350"/>
        <v>3.0231480258994696</v>
      </c>
      <c r="BB187" s="147">
        <f t="shared" si="351"/>
        <v>27.286230367407416</v>
      </c>
      <c r="BC187" s="5">
        <f t="shared" si="359"/>
        <v>0.30801311488311151</v>
      </c>
      <c r="BD187" s="147">
        <f t="shared" si="352"/>
        <v>31.371681858681519</v>
      </c>
      <c r="BF187" s="153">
        <f t="shared" si="265"/>
        <v>0.26370915153767471</v>
      </c>
      <c r="BG187" s="153">
        <f t="shared" si="261"/>
        <v>0.17550302415716706</v>
      </c>
      <c r="BI187" s="463">
        <f t="shared" si="306"/>
        <v>2.4339880811652097E-2</v>
      </c>
      <c r="BJ187" s="463">
        <f t="shared" si="307"/>
        <v>1.524E-2</v>
      </c>
      <c r="BK187" s="463">
        <f t="shared" si="308"/>
        <v>2.3683999853714834E-3</v>
      </c>
      <c r="BL187" s="463">
        <f t="shared" si="309"/>
        <v>8.1440976623376599E-3</v>
      </c>
      <c r="BM187">
        <f t="shared" si="310"/>
        <v>2.6099999999999999E-3</v>
      </c>
      <c r="BN187">
        <f t="shared" si="353"/>
        <v>1.8947199882971871E-6</v>
      </c>
      <c r="BO187" s="463">
        <f t="shared" si="354"/>
        <v>5.624272675243993E-2</v>
      </c>
      <c r="BP187" s="147">
        <f t="shared" si="311"/>
        <v>52.702378459361242</v>
      </c>
      <c r="BQ187" s="463">
        <f t="shared" si="355"/>
        <v>5.2946201977069743E-2</v>
      </c>
      <c r="BT187" s="147">
        <f t="shared" si="312"/>
        <v>52.946201977069741</v>
      </c>
      <c r="BU187" s="463">
        <f t="shared" si="313"/>
        <v>6.9542516604720286E-2</v>
      </c>
      <c r="BV187" s="463">
        <f t="shared" si="314"/>
        <v>3.0801311488311167E-2</v>
      </c>
      <c r="BW187" s="463">
        <f t="shared" si="315"/>
        <v>0</v>
      </c>
      <c r="BX187" s="463"/>
      <c r="BY187" s="463">
        <f t="shared" si="316"/>
        <v>2.851851851851853E-2</v>
      </c>
      <c r="BZ187" s="147">
        <f t="shared" si="317"/>
        <v>128.86234661154998</v>
      </c>
      <c r="CA187" s="153">
        <f t="shared" si="318"/>
        <v>0.23451092704798096</v>
      </c>
      <c r="CB187" s="5">
        <f t="shared" si="319"/>
        <v>1.5400000000000003</v>
      </c>
      <c r="CC187" s="153">
        <f t="shared" si="320"/>
        <v>0.86784475458930777</v>
      </c>
      <c r="CD187" s="5">
        <f t="shared" si="321"/>
        <v>86.784475458930771</v>
      </c>
      <c r="CG187" s="59">
        <f t="shared" si="356"/>
        <v>-50</v>
      </c>
      <c r="CH187">
        <f t="shared" si="357"/>
        <v>-50</v>
      </c>
    </row>
    <row r="188" spans="5:86" x14ac:dyDescent="0.25">
      <c r="E188" s="150">
        <v>78</v>
      </c>
      <c r="F188" s="191">
        <f t="shared" si="358"/>
        <v>7.8000000000000014E-2</v>
      </c>
      <c r="G188" s="191"/>
      <c r="H188" s="191">
        <f t="shared" si="322"/>
        <v>1.5600000000000003</v>
      </c>
      <c r="I188" s="472">
        <f t="shared" si="323"/>
        <v>9</v>
      </c>
      <c r="J188" s="386">
        <f t="shared" si="324"/>
        <v>20.32</v>
      </c>
      <c r="K188" s="386">
        <f t="shared" si="325"/>
        <v>29.32</v>
      </c>
      <c r="L188" s="386"/>
      <c r="M188" s="191">
        <f t="shared" si="326"/>
        <v>0.69304229195088674</v>
      </c>
      <c r="N188" s="152">
        <f t="shared" si="327"/>
        <v>2.1177466575716233</v>
      </c>
      <c r="O188" s="152">
        <f t="shared" si="262"/>
        <v>1.5600000000000003</v>
      </c>
      <c r="P188" s="191">
        <f t="shared" si="328"/>
        <v>0.10588733287858117</v>
      </c>
      <c r="Q188" s="191">
        <f t="shared" si="329"/>
        <v>20</v>
      </c>
      <c r="R188" s="191"/>
      <c r="S188" s="152">
        <f t="shared" si="330"/>
        <v>30.037178170184593</v>
      </c>
      <c r="T188" s="152">
        <f t="shared" si="331"/>
        <v>20</v>
      </c>
      <c r="U188" s="191">
        <f t="shared" si="332"/>
        <v>0.55578885972586778</v>
      </c>
      <c r="V188" s="191">
        <f t="shared" si="333"/>
        <v>3.7052590648391188</v>
      </c>
      <c r="W188" s="191">
        <f t="shared" si="334"/>
        <v>1.6411088377732319</v>
      </c>
      <c r="X188" s="175">
        <f t="shared" si="335"/>
        <v>350</v>
      </c>
      <c r="Y188" s="386">
        <f t="shared" si="303"/>
        <v>187.0428706395941</v>
      </c>
      <c r="AA188" s="191">
        <f t="shared" si="336"/>
        <v>0.29701812512180864</v>
      </c>
      <c r="AB188" s="153">
        <f t="shared" si="337"/>
        <v>0.87702202299746645</v>
      </c>
      <c r="AC188" s="153">
        <f t="shared" si="338"/>
        <v>4.5586001468217563E-2</v>
      </c>
      <c r="AD188" s="153"/>
      <c r="AE188" s="153">
        <f t="shared" si="339"/>
        <v>0.44291338582677164</v>
      </c>
      <c r="AF188" s="317">
        <f t="shared" si="340"/>
        <v>2348.0888888888894</v>
      </c>
      <c r="AG188" s="463">
        <f t="shared" si="341"/>
        <v>1.1626476377952754E-2</v>
      </c>
      <c r="AI188" s="153">
        <f t="shared" si="342"/>
        <v>0.38852100513173216</v>
      </c>
      <c r="AJ188" s="153">
        <f t="shared" si="343"/>
        <v>0.55578885972586778</v>
      </c>
      <c r="AK188" s="153">
        <f t="shared" si="344"/>
        <v>1.4705259064839118</v>
      </c>
      <c r="AM188" s="317">
        <f t="shared" si="345"/>
        <v>78.000000000000014</v>
      </c>
      <c r="AN188" s="147">
        <f t="shared" si="346"/>
        <v>187.0428706395941</v>
      </c>
      <c r="AP188">
        <f t="shared" si="347"/>
        <v>78.000000000000014</v>
      </c>
      <c r="AQ188">
        <f t="shared" si="348"/>
        <v>187.0428706395941</v>
      </c>
      <c r="AS188" s="5">
        <f t="shared" si="263"/>
        <v>5.346367902612351</v>
      </c>
      <c r="AT188" s="5">
        <f t="shared" si="349"/>
        <v>3.7052590648391188</v>
      </c>
      <c r="AU188" s="5">
        <f t="shared" si="304"/>
        <v>1.6411088377732321</v>
      </c>
      <c r="AV188" s="5"/>
      <c r="AW188" s="153">
        <f t="shared" si="305"/>
        <v>0.69304229195088674</v>
      </c>
      <c r="AX188" s="153">
        <f t="shared" si="259"/>
        <v>1.7333333333333336</v>
      </c>
      <c r="AY188" s="153">
        <f t="shared" si="260"/>
        <v>8.5301837270341241E-2</v>
      </c>
      <c r="AZ188" s="153">
        <f t="shared" si="264"/>
        <v>20.319999999999997</v>
      </c>
      <c r="BA188" s="147">
        <f t="shared" si="350"/>
        <v>3.0231480258994696</v>
      </c>
      <c r="BB188" s="147">
        <f t="shared" si="351"/>
        <v>27.99652682666667</v>
      </c>
      <c r="BC188" s="5">
        <f t="shared" si="359"/>
        <v>0.31606540579336329</v>
      </c>
      <c r="BD188" s="147">
        <f t="shared" si="352"/>
        <v>32.184318357114115</v>
      </c>
      <c r="BF188" s="153">
        <f t="shared" si="265"/>
        <v>0.2671339457134887</v>
      </c>
      <c r="BG188" s="153">
        <f t="shared" si="261"/>
        <v>0.17778228421115624</v>
      </c>
      <c r="BI188" s="463">
        <f t="shared" si="306"/>
        <v>2.4976190733359993E-2</v>
      </c>
      <c r="BJ188" s="463">
        <f t="shared" si="307"/>
        <v>1.5239999999999998E-2</v>
      </c>
      <c r="BK188" s="463">
        <f t="shared" si="308"/>
        <v>2.3380358829949259E-3</v>
      </c>
      <c r="BL188" s="463">
        <f t="shared" si="309"/>
        <v>8.0396861538461501E-3</v>
      </c>
      <c r="BM188">
        <f t="shared" si="310"/>
        <v>2.6099999999999999E-3</v>
      </c>
      <c r="BN188">
        <f t="shared" si="353"/>
        <v>1.870428706395941E-6</v>
      </c>
      <c r="BO188" s="463">
        <f t="shared" si="354"/>
        <v>5.6839491417003028E-2</v>
      </c>
      <c r="BP188" s="147">
        <f t="shared" si="311"/>
        <v>53.203912770201065</v>
      </c>
      <c r="BQ188" s="463">
        <f t="shared" si="355"/>
        <v>5.3943397002612969E-2</v>
      </c>
      <c r="BT188" s="147">
        <f t="shared" si="312"/>
        <v>53.943397002612969</v>
      </c>
      <c r="BU188" s="463">
        <f t="shared" si="313"/>
        <v>7.1360544952457125E-2</v>
      </c>
      <c r="BV188" s="463">
        <f t="shared" si="314"/>
        <v>3.1606540579336331E-2</v>
      </c>
      <c r="BW188" s="463">
        <f t="shared" si="315"/>
        <v>0</v>
      </c>
      <c r="BX188" s="463"/>
      <c r="BY188" s="463">
        <f t="shared" si="316"/>
        <v>2.8888888888888898E-2</v>
      </c>
      <c r="BZ188" s="147">
        <f t="shared" si="317"/>
        <v>131.85597442068237</v>
      </c>
      <c r="CA188" s="153">
        <f t="shared" si="318"/>
        <v>0.23900328419349637</v>
      </c>
      <c r="CB188" s="5">
        <f t="shared" si="319"/>
        <v>1.5600000000000003</v>
      </c>
      <c r="CC188" s="153">
        <f t="shared" si="320"/>
        <v>0.8671468327526467</v>
      </c>
      <c r="CD188" s="5">
        <f t="shared" si="321"/>
        <v>86.714683275264676</v>
      </c>
      <c r="CG188" s="59">
        <f t="shared" si="356"/>
        <v>-50</v>
      </c>
      <c r="CH188">
        <f t="shared" si="357"/>
        <v>-50</v>
      </c>
    </row>
    <row r="189" spans="5:86" x14ac:dyDescent="0.25">
      <c r="E189" s="150">
        <v>79</v>
      </c>
      <c r="F189" s="191">
        <f t="shared" si="358"/>
        <v>7.9000000000000015E-2</v>
      </c>
      <c r="G189" s="191"/>
      <c r="H189" s="191">
        <f t="shared" si="322"/>
        <v>1.5800000000000003</v>
      </c>
      <c r="I189" s="472">
        <f t="shared" si="323"/>
        <v>9</v>
      </c>
      <c r="J189" s="386">
        <f t="shared" si="324"/>
        <v>20.32</v>
      </c>
      <c r="K189" s="386">
        <f t="shared" si="325"/>
        <v>29.32</v>
      </c>
      <c r="L189" s="386"/>
      <c r="M189" s="191">
        <f t="shared" si="326"/>
        <v>0.69304229195088674</v>
      </c>
      <c r="N189" s="152">
        <f t="shared" si="327"/>
        <v>2.1177466575716233</v>
      </c>
      <c r="O189" s="152">
        <f t="shared" si="262"/>
        <v>1.5800000000000003</v>
      </c>
      <c r="P189" s="191">
        <f t="shared" si="328"/>
        <v>0.10588733287858117</v>
      </c>
      <c r="Q189" s="191">
        <f t="shared" si="329"/>
        <v>20</v>
      </c>
      <c r="R189" s="191"/>
      <c r="S189" s="152">
        <f t="shared" si="330"/>
        <v>29.545798463229829</v>
      </c>
      <c r="T189" s="152">
        <f t="shared" si="331"/>
        <v>20</v>
      </c>
      <c r="U189" s="191">
        <f t="shared" si="332"/>
        <v>0.56291435792748146</v>
      </c>
      <c r="V189" s="191">
        <f t="shared" si="333"/>
        <v>3.7527623861832096</v>
      </c>
      <c r="W189" s="191">
        <f t="shared" si="334"/>
        <v>1.6621486946677602</v>
      </c>
      <c r="X189" s="175">
        <f t="shared" si="335"/>
        <v>350</v>
      </c>
      <c r="Y189" s="386">
        <f t="shared" si="303"/>
        <v>184.67523936567522</v>
      </c>
      <c r="AA189" s="191">
        <f t="shared" si="336"/>
        <v>0.29701812512180864</v>
      </c>
      <c r="AB189" s="153">
        <f t="shared" si="337"/>
        <v>0.87702202299746645</v>
      </c>
      <c r="AC189" s="153">
        <f t="shared" si="338"/>
        <v>4.5586001468217563E-2</v>
      </c>
      <c r="AD189" s="153"/>
      <c r="AE189" s="153">
        <f t="shared" si="339"/>
        <v>0.44291338582677164</v>
      </c>
      <c r="AF189" s="317">
        <f t="shared" si="340"/>
        <v>2378.1925925925934</v>
      </c>
      <c r="AG189" s="463">
        <f t="shared" si="341"/>
        <v>1.1626476377952754E-2</v>
      </c>
      <c r="AI189" s="153">
        <f t="shared" si="342"/>
        <v>0.39100359272493845</v>
      </c>
      <c r="AJ189" s="153">
        <f t="shared" si="343"/>
        <v>0.56291435792748146</v>
      </c>
      <c r="AK189" s="153">
        <f t="shared" si="344"/>
        <v>1.4752762386183209</v>
      </c>
      <c r="AM189" s="317">
        <f t="shared" si="345"/>
        <v>79.000000000000014</v>
      </c>
      <c r="AN189" s="147">
        <f t="shared" si="346"/>
        <v>184.67523936567522</v>
      </c>
      <c r="AP189">
        <f t="shared" si="347"/>
        <v>79.000000000000014</v>
      </c>
      <c r="AQ189">
        <f t="shared" si="348"/>
        <v>184.67523936567522</v>
      </c>
      <c r="AS189" s="5">
        <f t="shared" si="263"/>
        <v>5.4149110808509695</v>
      </c>
      <c r="AT189" s="5">
        <f t="shared" si="349"/>
        <v>3.7527623861832096</v>
      </c>
      <c r="AU189" s="5">
        <f t="shared" si="304"/>
        <v>1.6621486946677599</v>
      </c>
      <c r="AV189" s="5"/>
      <c r="AW189" s="153">
        <f t="shared" si="305"/>
        <v>0.69304229195088685</v>
      </c>
      <c r="AX189" s="153">
        <f t="shared" si="259"/>
        <v>1.7555555555555562</v>
      </c>
      <c r="AY189" s="153">
        <f t="shared" si="260"/>
        <v>8.6395450568678922E-2</v>
      </c>
      <c r="AZ189" s="153">
        <f t="shared" si="264"/>
        <v>20.320000000000007</v>
      </c>
      <c r="BA189" s="147">
        <f t="shared" si="350"/>
        <v>3.0231480258994696</v>
      </c>
      <c r="BB189" s="147">
        <f t="shared" si="351"/>
        <v>28.715949691851861</v>
      </c>
      <c r="BC189" s="5">
        <f t="shared" si="359"/>
        <v>0.32422159723148902</v>
      </c>
      <c r="BD189" s="147">
        <f t="shared" si="352"/>
        <v>33.00734490833409</v>
      </c>
      <c r="BF189" s="153">
        <f t="shared" si="265"/>
        <v>0.27055873988930268</v>
      </c>
      <c r="BG189" s="153">
        <f t="shared" si="261"/>
        <v>0.18006154426514537</v>
      </c>
      <c r="BI189" s="463">
        <f t="shared" si="306"/>
        <v>2.5620711105670567E-2</v>
      </c>
      <c r="BJ189" s="463">
        <f t="shared" si="307"/>
        <v>1.524E-2</v>
      </c>
      <c r="BK189" s="463">
        <f t="shared" si="308"/>
        <v>2.3084404920709406E-3</v>
      </c>
      <c r="BL189" s="463">
        <f t="shared" si="309"/>
        <v>7.9379179746835431E-3</v>
      </c>
      <c r="BM189">
        <f t="shared" si="310"/>
        <v>2.6099999999999999E-3</v>
      </c>
      <c r="BN189">
        <f t="shared" si="353"/>
        <v>1.8467523936567523E-6</v>
      </c>
      <c r="BO189" s="463">
        <f t="shared" si="354"/>
        <v>5.7449276270883698E-2</v>
      </c>
      <c r="BP189" s="147">
        <f t="shared" si="311"/>
        <v>53.717069572425054</v>
      </c>
      <c r="BQ189" s="463">
        <f t="shared" si="355"/>
        <v>5.4948530028485779E-2</v>
      </c>
      <c r="BT189" s="147">
        <f t="shared" si="312"/>
        <v>54.948530028485777</v>
      </c>
      <c r="BU189" s="463">
        <f t="shared" si="313"/>
        <v>7.3202031730487338E-2</v>
      </c>
      <c r="BV189" s="463">
        <f t="shared" si="314"/>
        <v>3.2422159723148908E-2</v>
      </c>
      <c r="BW189" s="463">
        <f t="shared" si="315"/>
        <v>0</v>
      </c>
      <c r="BX189" s="463"/>
      <c r="BY189" s="463">
        <f t="shared" si="316"/>
        <v>2.9259259259259273E-2</v>
      </c>
      <c r="BZ189" s="147">
        <f t="shared" si="317"/>
        <v>134.8834507128955</v>
      </c>
      <c r="CA189" s="153">
        <f t="shared" si="318"/>
        <v>0.24354905031380633</v>
      </c>
      <c r="CB189" s="5">
        <f t="shared" si="319"/>
        <v>1.5800000000000003</v>
      </c>
      <c r="CC189" s="153">
        <f t="shared" si="320"/>
        <v>0.86644228172974291</v>
      </c>
      <c r="CD189" s="5">
        <f t="shared" si="321"/>
        <v>86.644228172974294</v>
      </c>
      <c r="CG189" s="59">
        <f t="shared" si="356"/>
        <v>-50</v>
      </c>
      <c r="CH189">
        <f t="shared" si="357"/>
        <v>-50</v>
      </c>
    </row>
    <row r="190" spans="5:86" x14ac:dyDescent="0.25">
      <c r="E190" s="150">
        <v>80</v>
      </c>
      <c r="F190" s="191">
        <f t="shared" si="358"/>
        <v>8.0000000000000016E-2</v>
      </c>
      <c r="G190" s="191"/>
      <c r="H190" s="191">
        <f t="shared" si="322"/>
        <v>1.6000000000000003</v>
      </c>
      <c r="I190" s="472">
        <f t="shared" si="323"/>
        <v>9</v>
      </c>
      <c r="J190" s="386">
        <f t="shared" si="324"/>
        <v>20.32</v>
      </c>
      <c r="K190" s="386">
        <f t="shared" si="325"/>
        <v>29.32</v>
      </c>
      <c r="L190" s="386"/>
      <c r="M190" s="191">
        <f t="shared" si="326"/>
        <v>0.69304229195088674</v>
      </c>
      <c r="N190" s="152">
        <f t="shared" si="327"/>
        <v>2.1177466575716233</v>
      </c>
      <c r="O190" s="152">
        <f t="shared" si="262"/>
        <v>1.6000000000000003</v>
      </c>
      <c r="P190" s="191">
        <f t="shared" si="328"/>
        <v>0.10588733287858117</v>
      </c>
      <c r="Q190" s="191">
        <f t="shared" si="329"/>
        <v>20</v>
      </c>
      <c r="R190" s="191"/>
      <c r="S190" s="152">
        <f t="shared" si="330"/>
        <v>29.066753340709642</v>
      </c>
      <c r="T190" s="152">
        <f t="shared" si="331"/>
        <v>20</v>
      </c>
      <c r="U190" s="191">
        <f t="shared" si="332"/>
        <v>0.57003985612909513</v>
      </c>
      <c r="V190" s="191">
        <f t="shared" si="333"/>
        <v>3.8002657075273008</v>
      </c>
      <c r="W190" s="191">
        <f t="shared" si="334"/>
        <v>1.6831885515622889</v>
      </c>
      <c r="X190" s="175">
        <f t="shared" si="335"/>
        <v>350</v>
      </c>
      <c r="Y190" s="386">
        <f t="shared" si="303"/>
        <v>182.36679887360427</v>
      </c>
      <c r="AA190" s="191">
        <f t="shared" si="336"/>
        <v>0.29701812512180864</v>
      </c>
      <c r="AB190" s="153">
        <f t="shared" si="337"/>
        <v>0.87702202299746645</v>
      </c>
      <c r="AC190" s="153">
        <f t="shared" si="338"/>
        <v>4.5586001468217563E-2</v>
      </c>
      <c r="AD190" s="153"/>
      <c r="AE190" s="153">
        <f t="shared" si="339"/>
        <v>0.44291338582677164</v>
      </c>
      <c r="AF190" s="317">
        <f t="shared" si="340"/>
        <v>2408.296296296297</v>
      </c>
      <c r="AG190" s="463">
        <f t="shared" si="341"/>
        <v>1.1626476377952754E-2</v>
      </c>
      <c r="AI190" s="153">
        <f t="shared" si="342"/>
        <v>0.39347051683582046</v>
      </c>
      <c r="AJ190" s="153">
        <f t="shared" si="343"/>
        <v>0.57003985612909513</v>
      </c>
      <c r="AK190" s="153">
        <f t="shared" si="344"/>
        <v>1.48002657075273</v>
      </c>
      <c r="AM190" s="317">
        <f t="shared" si="345"/>
        <v>80.000000000000014</v>
      </c>
      <c r="AN190" s="147">
        <f t="shared" si="346"/>
        <v>182.36679887360427</v>
      </c>
      <c r="AP190">
        <f t="shared" si="347"/>
        <v>80.000000000000014</v>
      </c>
      <c r="AQ190">
        <f t="shared" si="348"/>
        <v>182.36679887360427</v>
      </c>
      <c r="AS190" s="5">
        <f t="shared" si="263"/>
        <v>5.4834542590895907</v>
      </c>
      <c r="AT190" s="5">
        <f t="shared" si="349"/>
        <v>3.8002657075273008</v>
      </c>
      <c r="AU190" s="5">
        <f t="shared" si="304"/>
        <v>1.68318855156229</v>
      </c>
      <c r="AV190" s="5"/>
      <c r="AW190" s="153">
        <f t="shared" si="305"/>
        <v>0.69304229195088662</v>
      </c>
      <c r="AX190" s="153">
        <f t="shared" si="259"/>
        <v>1.7777777777777783</v>
      </c>
      <c r="AY190" s="153">
        <f t="shared" si="260"/>
        <v>8.7489063867016686E-2</v>
      </c>
      <c r="AZ190" s="153">
        <f t="shared" si="264"/>
        <v>20.319999999999993</v>
      </c>
      <c r="BA190" s="147">
        <f t="shared" si="350"/>
        <v>3.0231480258994696</v>
      </c>
      <c r="BB190" s="147">
        <f t="shared" si="351"/>
        <v>29.444498962962978</v>
      </c>
      <c r="BC190" s="5">
        <f t="shared" si="359"/>
        <v>0.33248168919748944</v>
      </c>
      <c r="BD190" s="147">
        <f t="shared" si="352"/>
        <v>33.840761512341544</v>
      </c>
      <c r="BF190" s="153">
        <f t="shared" si="265"/>
        <v>0.27398353406511655</v>
      </c>
      <c r="BG190" s="153">
        <f t="shared" si="261"/>
        <v>0.18234080431913463</v>
      </c>
      <c r="BI190" s="463">
        <f t="shared" si="306"/>
        <v>2.6273441928583809E-2</v>
      </c>
      <c r="BJ190" s="463">
        <f t="shared" si="307"/>
        <v>1.5239999999999998E-2</v>
      </c>
      <c r="BK190" s="463">
        <f t="shared" si="308"/>
        <v>2.2795849859200534E-3</v>
      </c>
      <c r="BL190" s="463">
        <f t="shared" si="309"/>
        <v>7.8386939999999985E-3</v>
      </c>
      <c r="BM190">
        <f t="shared" si="310"/>
        <v>2.6099999999999999E-3</v>
      </c>
      <c r="BN190">
        <f t="shared" si="353"/>
        <v>1.8236679887360428E-6</v>
      </c>
      <c r="BO190" s="463">
        <f t="shared" si="354"/>
        <v>5.8071960168249344E-2</v>
      </c>
      <c r="BP190" s="147">
        <f t="shared" si="311"/>
        <v>54.241720914503858</v>
      </c>
      <c r="BQ190" s="463">
        <f t="shared" si="355"/>
        <v>5.5961601054688205E-2</v>
      </c>
      <c r="BT190" s="147">
        <f t="shared" si="312"/>
        <v>55.961601054688202</v>
      </c>
      <c r="BU190" s="463">
        <f t="shared" si="313"/>
        <v>7.5066976938810884E-2</v>
      </c>
      <c r="BV190" s="463">
        <f t="shared" si="314"/>
        <v>3.3248168919748945E-2</v>
      </c>
      <c r="BW190" s="463">
        <f t="shared" si="315"/>
        <v>0</v>
      </c>
      <c r="BX190" s="463"/>
      <c r="BY190" s="463">
        <f t="shared" si="316"/>
        <v>2.9629629629629645E-2</v>
      </c>
      <c r="BZ190" s="147">
        <f t="shared" si="317"/>
        <v>137.94477548818949</v>
      </c>
      <c r="CA190" s="153">
        <f t="shared" si="318"/>
        <v>0.24814809745738153</v>
      </c>
      <c r="CB190" s="5">
        <f t="shared" si="319"/>
        <v>1.6000000000000003</v>
      </c>
      <c r="CC190" s="153">
        <f t="shared" si="320"/>
        <v>0.86573148667102218</v>
      </c>
      <c r="CD190" s="5">
        <f t="shared" si="321"/>
        <v>86.573148667102217</v>
      </c>
      <c r="CG190" s="59">
        <f t="shared" si="356"/>
        <v>-50</v>
      </c>
      <c r="CH190">
        <f t="shared" si="357"/>
        <v>-50</v>
      </c>
    </row>
    <row r="191" spans="5:86" x14ac:dyDescent="0.25">
      <c r="E191" s="150">
        <v>81</v>
      </c>
      <c r="F191" s="191">
        <f t="shared" si="358"/>
        <v>8.1000000000000016E-2</v>
      </c>
      <c r="G191" s="191"/>
      <c r="H191" s="191">
        <f t="shared" si="322"/>
        <v>1.6200000000000003</v>
      </c>
      <c r="I191" s="472">
        <f t="shared" si="323"/>
        <v>9</v>
      </c>
      <c r="J191" s="386">
        <f t="shared" si="324"/>
        <v>20.32</v>
      </c>
      <c r="K191" s="386">
        <f t="shared" si="325"/>
        <v>29.32</v>
      </c>
      <c r="L191" s="386"/>
      <c r="M191" s="191">
        <f t="shared" si="326"/>
        <v>0.69304229195088674</v>
      </c>
      <c r="N191" s="152">
        <f t="shared" si="327"/>
        <v>2.1177466575716233</v>
      </c>
      <c r="O191" s="152">
        <f t="shared" si="262"/>
        <v>1.6200000000000003</v>
      </c>
      <c r="P191" s="191">
        <f t="shared" si="328"/>
        <v>0.10588733287858117</v>
      </c>
      <c r="Q191" s="191">
        <f t="shared" si="329"/>
        <v>20</v>
      </c>
      <c r="R191" s="191"/>
      <c r="S191" s="152">
        <f t="shared" si="330"/>
        <v>28.599586486182154</v>
      </c>
      <c r="T191" s="152">
        <f t="shared" si="331"/>
        <v>20</v>
      </c>
      <c r="U191" s="191">
        <f t="shared" si="332"/>
        <v>0.57716535433070881</v>
      </c>
      <c r="V191" s="191">
        <f t="shared" si="333"/>
        <v>3.8477690288713924</v>
      </c>
      <c r="W191" s="191">
        <f t="shared" si="334"/>
        <v>1.7042284084568173</v>
      </c>
      <c r="X191" s="175">
        <f t="shared" si="335"/>
        <v>350</v>
      </c>
      <c r="Y191" s="386">
        <f t="shared" si="303"/>
        <v>180.11535691220178</v>
      </c>
      <c r="AA191" s="191">
        <f t="shared" si="336"/>
        <v>0.29701812512180864</v>
      </c>
      <c r="AB191" s="153">
        <f t="shared" si="337"/>
        <v>0.87702202299746645</v>
      </c>
      <c r="AC191" s="153">
        <f t="shared" si="338"/>
        <v>4.5586001468217563E-2</v>
      </c>
      <c r="AD191" s="153"/>
      <c r="AE191" s="153">
        <f t="shared" si="339"/>
        <v>0.44291338582677164</v>
      </c>
      <c r="AF191" s="317">
        <f t="shared" si="340"/>
        <v>2438.400000000001</v>
      </c>
      <c r="AG191" s="463">
        <f t="shared" si="341"/>
        <v>1.1626476377952754E-2</v>
      </c>
      <c r="AI191" s="153">
        <f t="shared" si="342"/>
        <v>0.39592207025409148</v>
      </c>
      <c r="AJ191" s="153">
        <f t="shared" si="343"/>
        <v>0.57716535433070881</v>
      </c>
      <c r="AK191" s="153">
        <f t="shared" si="344"/>
        <v>1.4847769028871391</v>
      </c>
      <c r="AM191" s="317">
        <f t="shared" si="345"/>
        <v>81.000000000000014</v>
      </c>
      <c r="AN191" s="147">
        <f t="shared" si="346"/>
        <v>180.11535691220178</v>
      </c>
      <c r="AP191">
        <f t="shared" si="347"/>
        <v>81.000000000000014</v>
      </c>
      <c r="AQ191">
        <f t="shared" si="348"/>
        <v>180.11535691220178</v>
      </c>
      <c r="AS191" s="5">
        <f t="shared" si="263"/>
        <v>5.5519974373282084</v>
      </c>
      <c r="AT191" s="5">
        <f t="shared" si="349"/>
        <v>3.8477690288713924</v>
      </c>
      <c r="AU191" s="5">
        <f t="shared" si="304"/>
        <v>1.704228408456816</v>
      </c>
      <c r="AV191" s="5"/>
      <c r="AW191" s="153">
        <f t="shared" si="305"/>
        <v>0.69304229195088696</v>
      </c>
      <c r="AX191" s="153">
        <f t="shared" si="259"/>
        <v>1.8000000000000007</v>
      </c>
      <c r="AY191" s="153">
        <f t="shared" si="260"/>
        <v>8.8582677165354298E-2</v>
      </c>
      <c r="AZ191" s="153">
        <f t="shared" si="264"/>
        <v>20.320000000000014</v>
      </c>
      <c r="BA191" s="147">
        <f t="shared" si="350"/>
        <v>3.0231480258994696</v>
      </c>
      <c r="BB191" s="147">
        <f t="shared" si="351"/>
        <v>30.182174640000007</v>
      </c>
      <c r="BC191" s="5">
        <f t="shared" si="359"/>
        <v>0.34084568169136326</v>
      </c>
      <c r="BD191" s="147">
        <f t="shared" si="352"/>
        <v>34.684568169136327</v>
      </c>
      <c r="BF191" s="153">
        <f t="shared" si="265"/>
        <v>0.27740832824093059</v>
      </c>
      <c r="BG191" s="153">
        <f t="shared" si="261"/>
        <v>0.18462006437312367</v>
      </c>
      <c r="BI191" s="463">
        <f t="shared" si="306"/>
        <v>2.693438320209976E-2</v>
      </c>
      <c r="BJ191" s="463">
        <f t="shared" si="307"/>
        <v>1.5240000000000002E-2</v>
      </c>
      <c r="BK191" s="463">
        <f t="shared" si="308"/>
        <v>2.2514419614025221E-3</v>
      </c>
      <c r="BL191" s="463">
        <f t="shared" si="309"/>
        <v>7.7419199999999994E-3</v>
      </c>
      <c r="BM191">
        <f t="shared" si="310"/>
        <v>2.6099999999999999E-3</v>
      </c>
      <c r="BN191">
        <f t="shared" si="353"/>
        <v>1.8011535691220179E-6</v>
      </c>
      <c r="BO191" s="463">
        <f t="shared" si="354"/>
        <v>5.8707428374106585E-2</v>
      </c>
      <c r="BP191" s="147">
        <f t="shared" si="311"/>
        <v>54.777745163502281</v>
      </c>
      <c r="BQ191" s="463">
        <f t="shared" si="355"/>
        <v>5.6982610081220166E-2</v>
      </c>
      <c r="BT191" s="147">
        <f t="shared" si="312"/>
        <v>56.982610081220166</v>
      </c>
      <c r="BU191" s="463">
        <f t="shared" si="313"/>
        <v>7.6955380577427887E-2</v>
      </c>
      <c r="BV191" s="463">
        <f t="shared" si="314"/>
        <v>3.4084568169136326E-2</v>
      </c>
      <c r="BW191" s="463">
        <f t="shared" si="315"/>
        <v>0</v>
      </c>
      <c r="BX191" s="463"/>
      <c r="BY191" s="463">
        <f t="shared" si="316"/>
        <v>3.0000000000000016E-2</v>
      </c>
      <c r="BZ191" s="147">
        <f t="shared" si="317"/>
        <v>141.03994874656422</v>
      </c>
      <c r="CA191" s="153">
        <f t="shared" si="318"/>
        <v>0.25280030399128667</v>
      </c>
      <c r="CB191" s="5">
        <f t="shared" si="319"/>
        <v>1.6200000000000003</v>
      </c>
      <c r="CC191" s="153">
        <f t="shared" si="320"/>
        <v>0.86501481046723339</v>
      </c>
      <c r="CD191" s="5">
        <f t="shared" si="321"/>
        <v>86.501481046723342</v>
      </c>
      <c r="CG191" s="59">
        <f t="shared" si="356"/>
        <v>-50</v>
      </c>
      <c r="CH191">
        <f t="shared" si="357"/>
        <v>-50</v>
      </c>
    </row>
    <row r="192" spans="5:86" x14ac:dyDescent="0.25">
      <c r="E192" s="150">
        <v>82</v>
      </c>
      <c r="F192" s="191">
        <f t="shared" si="358"/>
        <v>8.2000000000000003E-2</v>
      </c>
      <c r="G192" s="191"/>
      <c r="H192" s="191">
        <f t="shared" si="322"/>
        <v>1.6400000000000001</v>
      </c>
      <c r="I192" s="472">
        <f t="shared" si="323"/>
        <v>9</v>
      </c>
      <c r="J192" s="386">
        <f t="shared" si="324"/>
        <v>20.32</v>
      </c>
      <c r="K192" s="386">
        <f t="shared" si="325"/>
        <v>29.32</v>
      </c>
      <c r="L192" s="386"/>
      <c r="M192" s="191">
        <f t="shared" si="326"/>
        <v>0.69304229195088674</v>
      </c>
      <c r="N192" s="152">
        <f t="shared" si="327"/>
        <v>2.1177466575716233</v>
      </c>
      <c r="O192" s="152">
        <f t="shared" si="262"/>
        <v>1.6400000000000001</v>
      </c>
      <c r="P192" s="191">
        <f t="shared" si="328"/>
        <v>0.10588733287858117</v>
      </c>
      <c r="Q192" s="191">
        <f t="shared" si="329"/>
        <v>20</v>
      </c>
      <c r="R192" s="191"/>
      <c r="S192" s="152">
        <f t="shared" si="330"/>
        <v>28.143863849252618</v>
      </c>
      <c r="T192" s="152">
        <f t="shared" si="331"/>
        <v>20</v>
      </c>
      <c r="U192" s="191">
        <f t="shared" si="332"/>
        <v>0.58429085253232249</v>
      </c>
      <c r="V192" s="191">
        <f t="shared" si="333"/>
        <v>3.8952723502154831</v>
      </c>
      <c r="W192" s="191">
        <f t="shared" si="334"/>
        <v>1.7252682653513458</v>
      </c>
      <c r="X192" s="175">
        <f t="shared" si="335"/>
        <v>350</v>
      </c>
      <c r="Y192" s="386">
        <f t="shared" si="303"/>
        <v>177.91882816937004</v>
      </c>
      <c r="AA192" s="191">
        <f t="shared" si="336"/>
        <v>0.29701812512180864</v>
      </c>
      <c r="AB192" s="153">
        <f t="shared" si="337"/>
        <v>0.87702202299746645</v>
      </c>
      <c r="AC192" s="153">
        <f t="shared" si="338"/>
        <v>4.5586001468217563E-2</v>
      </c>
      <c r="AD192" s="153"/>
      <c r="AE192" s="153">
        <f t="shared" si="339"/>
        <v>0.44291338582677164</v>
      </c>
      <c r="AF192" s="317">
        <f t="shared" si="340"/>
        <v>2468.5037037037041</v>
      </c>
      <c r="AG192" s="463">
        <f t="shared" si="341"/>
        <v>1.1626476377952754E-2</v>
      </c>
      <c r="AI192" s="153">
        <f t="shared" si="342"/>
        <v>0.3983585367599442</v>
      </c>
      <c r="AJ192" s="153">
        <f t="shared" si="343"/>
        <v>0.58429085253232249</v>
      </c>
      <c r="AK192" s="153">
        <f t="shared" si="344"/>
        <v>1.4895272350215483</v>
      </c>
      <c r="AM192" s="317">
        <f t="shared" si="345"/>
        <v>82</v>
      </c>
      <c r="AN192" s="147">
        <f t="shared" si="346"/>
        <v>177.91882816937004</v>
      </c>
      <c r="AP192">
        <f t="shared" si="347"/>
        <v>82</v>
      </c>
      <c r="AQ192">
        <f t="shared" si="348"/>
        <v>177.91882816937004</v>
      </c>
      <c r="AS192" s="5">
        <f t="shared" si="263"/>
        <v>5.6205406155668287</v>
      </c>
      <c r="AT192" s="5">
        <f t="shared" si="349"/>
        <v>3.8952723502154831</v>
      </c>
      <c r="AU192" s="5">
        <f t="shared" si="304"/>
        <v>1.7252682653513456</v>
      </c>
      <c r="AV192" s="5"/>
      <c r="AW192" s="153">
        <f t="shared" si="305"/>
        <v>0.69304229195088685</v>
      </c>
      <c r="AX192" s="153">
        <f t="shared" si="259"/>
        <v>1.8222222222222226</v>
      </c>
      <c r="AY192" s="153">
        <f t="shared" si="260"/>
        <v>8.9676290463692035E-2</v>
      </c>
      <c r="AZ192" s="153">
        <f t="shared" si="264"/>
        <v>20.320000000000004</v>
      </c>
      <c r="BA192" s="147">
        <f t="shared" si="350"/>
        <v>3.0231480258994696</v>
      </c>
      <c r="BB192" s="147">
        <f t="shared" si="351"/>
        <v>30.928976722962965</v>
      </c>
      <c r="BC192" s="5">
        <f t="shared" si="359"/>
        <v>0.34931357471311203</v>
      </c>
      <c r="BD192" s="147">
        <f t="shared" si="352"/>
        <v>35.538764878718602</v>
      </c>
      <c r="BF192" s="153">
        <f t="shared" si="265"/>
        <v>0.28083312241674452</v>
      </c>
      <c r="BG192" s="153">
        <f t="shared" si="261"/>
        <v>0.18689932442711291</v>
      </c>
      <c r="BI192" s="463">
        <f t="shared" si="306"/>
        <v>2.7603534926218372E-2</v>
      </c>
      <c r="BJ192" s="463">
        <f t="shared" si="307"/>
        <v>1.5240000000000002E-2</v>
      </c>
      <c r="BK192" s="463">
        <f t="shared" si="308"/>
        <v>2.2239853521171258E-3</v>
      </c>
      <c r="BL192" s="463">
        <f t="shared" si="309"/>
        <v>7.6475063414634132E-3</v>
      </c>
      <c r="BM192">
        <f t="shared" si="310"/>
        <v>2.6099999999999999E-3</v>
      </c>
      <c r="BN192">
        <f t="shared" si="353"/>
        <v>1.7791882816937005E-6</v>
      </c>
      <c r="BO192" s="463">
        <f t="shared" si="354"/>
        <v>5.9355572179111915E-2</v>
      </c>
      <c r="BP192" s="147">
        <f t="shared" si="311"/>
        <v>55.325026619798912</v>
      </c>
      <c r="BQ192" s="463">
        <f t="shared" si="355"/>
        <v>5.8011557108081764E-2</v>
      </c>
      <c r="BT192" s="147">
        <f t="shared" si="312"/>
        <v>58.011557108081767</v>
      </c>
      <c r="BU192" s="463">
        <f t="shared" si="313"/>
        <v>7.8867242646338209E-2</v>
      </c>
      <c r="BV192" s="463">
        <f t="shared" si="314"/>
        <v>3.4931357471311202E-2</v>
      </c>
      <c r="BW192" s="463">
        <f t="shared" si="315"/>
        <v>0</v>
      </c>
      <c r="BX192" s="463"/>
      <c r="BY192" s="463">
        <f t="shared" si="316"/>
        <v>3.0370370370370384E-2</v>
      </c>
      <c r="BZ192" s="147">
        <f t="shared" si="317"/>
        <v>144.1689704880198</v>
      </c>
      <c r="CA192" s="153">
        <f t="shared" si="318"/>
        <v>0.25750555421590049</v>
      </c>
      <c r="CB192" s="5">
        <f t="shared" si="319"/>
        <v>1.6400000000000001</v>
      </c>
      <c r="CC192" s="153">
        <f t="shared" si="320"/>
        <v>0.86429259527395241</v>
      </c>
      <c r="CD192" s="5">
        <f t="shared" si="321"/>
        <v>86.429259527395246</v>
      </c>
      <c r="CG192" s="59">
        <f t="shared" si="356"/>
        <v>-50</v>
      </c>
      <c r="CH192">
        <f t="shared" si="357"/>
        <v>-50</v>
      </c>
    </row>
    <row r="193" spans="5:86" x14ac:dyDescent="0.25">
      <c r="E193" s="150">
        <v>83</v>
      </c>
      <c r="F193" s="191">
        <f t="shared" si="358"/>
        <v>8.3000000000000004E-2</v>
      </c>
      <c r="G193" s="191"/>
      <c r="H193" s="191">
        <f t="shared" si="322"/>
        <v>1.6600000000000001</v>
      </c>
      <c r="I193" s="472">
        <f t="shared" si="323"/>
        <v>9</v>
      </c>
      <c r="J193" s="386">
        <f t="shared" si="324"/>
        <v>20.32</v>
      </c>
      <c r="K193" s="386">
        <f t="shared" si="325"/>
        <v>29.32</v>
      </c>
      <c r="L193" s="386"/>
      <c r="M193" s="191">
        <f t="shared" si="326"/>
        <v>0.69304229195088674</v>
      </c>
      <c r="N193" s="152">
        <f t="shared" si="327"/>
        <v>2.1177466575716233</v>
      </c>
      <c r="O193" s="152">
        <f t="shared" si="262"/>
        <v>1.6600000000000001</v>
      </c>
      <c r="P193" s="191">
        <f t="shared" si="328"/>
        <v>0.10588733287858117</v>
      </c>
      <c r="Q193" s="191">
        <f t="shared" si="329"/>
        <v>20</v>
      </c>
      <c r="R193" s="191"/>
      <c r="S193" s="152">
        <f t="shared" si="330"/>
        <v>27.699172304344142</v>
      </c>
      <c r="T193" s="152">
        <f t="shared" si="331"/>
        <v>20</v>
      </c>
      <c r="U193" s="191">
        <f t="shared" si="332"/>
        <v>0.59141635073393617</v>
      </c>
      <c r="V193" s="191">
        <f t="shared" si="333"/>
        <v>3.9427756715595748</v>
      </c>
      <c r="W193" s="191">
        <f t="shared" si="334"/>
        <v>1.7463081222458745</v>
      </c>
      <c r="X193" s="175">
        <f t="shared" si="335"/>
        <v>350</v>
      </c>
      <c r="Y193" s="386">
        <f t="shared" si="303"/>
        <v>175.77522782998003</v>
      </c>
      <c r="AA193" s="191">
        <f t="shared" si="336"/>
        <v>0.29701812512180864</v>
      </c>
      <c r="AB193" s="153">
        <f t="shared" si="337"/>
        <v>0.87702202299746645</v>
      </c>
      <c r="AC193" s="153">
        <f t="shared" si="338"/>
        <v>4.5586001468217563E-2</v>
      </c>
      <c r="AD193" s="153"/>
      <c r="AE193" s="153">
        <f t="shared" si="339"/>
        <v>0.44291338582677164</v>
      </c>
      <c r="AF193" s="317">
        <f t="shared" si="340"/>
        <v>2498.6074074074081</v>
      </c>
      <c r="AG193" s="463">
        <f t="shared" si="341"/>
        <v>1.1626476377952754E-2</v>
      </c>
      <c r="AI193" s="153">
        <f t="shared" si="342"/>
        <v>0.40078019150746697</v>
      </c>
      <c r="AJ193" s="153">
        <f t="shared" si="343"/>
        <v>0.59141635073393617</v>
      </c>
      <c r="AK193" s="153">
        <f t="shared" si="344"/>
        <v>1.4942775671559574</v>
      </c>
      <c r="AM193" s="317">
        <f t="shared" si="345"/>
        <v>83</v>
      </c>
      <c r="AN193" s="147">
        <f t="shared" si="346"/>
        <v>175.77522782998003</v>
      </c>
      <c r="AP193">
        <f t="shared" si="347"/>
        <v>83</v>
      </c>
      <c r="AQ193">
        <f t="shared" si="348"/>
        <v>175.77522782998003</v>
      </c>
      <c r="AS193" s="5">
        <f t="shared" si="263"/>
        <v>5.6890837938054499</v>
      </c>
      <c r="AT193" s="5">
        <f t="shared" si="349"/>
        <v>3.9427756715595748</v>
      </c>
      <c r="AU193" s="5">
        <f t="shared" si="304"/>
        <v>1.7463081222458752</v>
      </c>
      <c r="AV193" s="5"/>
      <c r="AW193" s="153">
        <f t="shared" si="305"/>
        <v>0.69304229195088674</v>
      </c>
      <c r="AX193" s="153">
        <f t="shared" si="259"/>
        <v>1.8444444444444446</v>
      </c>
      <c r="AY193" s="153">
        <f t="shared" si="260"/>
        <v>9.0769903762029772E-2</v>
      </c>
      <c r="AZ193" s="153">
        <f t="shared" si="264"/>
        <v>20.319999999999997</v>
      </c>
      <c r="BA193" s="147">
        <f t="shared" si="350"/>
        <v>3.0231480258994696</v>
      </c>
      <c r="BB193" s="147">
        <f t="shared" si="351"/>
        <v>31.684905211851852</v>
      </c>
      <c r="BC193" s="5">
        <f t="shared" si="359"/>
        <v>0.35788536826273493</v>
      </c>
      <c r="BD193" s="147">
        <f t="shared" si="352"/>
        <v>36.403351641088314</v>
      </c>
      <c r="BF193" s="153">
        <f t="shared" si="265"/>
        <v>0.28425791659255845</v>
      </c>
      <c r="BG193" s="153">
        <f t="shared" si="261"/>
        <v>0.18917858448110211</v>
      </c>
      <c r="BI193" s="463">
        <f t="shared" si="306"/>
        <v>2.8280897100939669E-2</v>
      </c>
      <c r="BJ193" s="463">
        <f t="shared" si="307"/>
        <v>1.5239999999999998E-2</v>
      </c>
      <c r="BK193" s="463">
        <f t="shared" si="308"/>
        <v>2.1971903478747502E-3</v>
      </c>
      <c r="BL193" s="463">
        <f t="shared" si="309"/>
        <v>7.5553677108433723E-3</v>
      </c>
      <c r="BM193">
        <f t="shared" si="310"/>
        <v>2.6099999999999999E-3</v>
      </c>
      <c r="BN193">
        <f t="shared" si="353"/>
        <v>1.7577522782998004E-6</v>
      </c>
      <c r="BO193" s="463">
        <f t="shared" si="354"/>
        <v>6.0016288542241662E-2</v>
      </c>
      <c r="BP193" s="147">
        <f t="shared" si="311"/>
        <v>55.883455159657792</v>
      </c>
      <c r="BQ193" s="463">
        <f t="shared" si="355"/>
        <v>5.9048442135272945E-2</v>
      </c>
      <c r="BT193" s="147">
        <f t="shared" si="312"/>
        <v>59.048442135272943</v>
      </c>
      <c r="BU193" s="463">
        <f t="shared" si="313"/>
        <v>8.080256314554192E-2</v>
      </c>
      <c r="BV193" s="463">
        <f t="shared" si="314"/>
        <v>3.578853682627349E-2</v>
      </c>
      <c r="BW193" s="463">
        <f t="shared" si="315"/>
        <v>0</v>
      </c>
      <c r="BX193" s="463"/>
      <c r="BY193" s="463">
        <f t="shared" si="316"/>
        <v>3.0740740740740746E-2</v>
      </c>
      <c r="BZ193" s="147">
        <f t="shared" si="317"/>
        <v>147.33184071255616</v>
      </c>
      <c r="CA193" s="153">
        <f t="shared" si="318"/>
        <v>0.26226373800748687</v>
      </c>
      <c r="CB193" s="5">
        <f t="shared" si="319"/>
        <v>1.6600000000000001</v>
      </c>
      <c r="CC193" s="153">
        <f t="shared" si="320"/>
        <v>0.86356516391484606</v>
      </c>
      <c r="CD193" s="5">
        <f t="shared" si="321"/>
        <v>86.356516391484604</v>
      </c>
      <c r="CG193" s="59">
        <f t="shared" si="356"/>
        <v>-50</v>
      </c>
      <c r="CH193">
        <f t="shared" si="357"/>
        <v>-50</v>
      </c>
    </row>
    <row r="194" spans="5:86" x14ac:dyDescent="0.25">
      <c r="E194" s="150">
        <v>84</v>
      </c>
      <c r="F194" s="191">
        <f t="shared" si="358"/>
        <v>8.4000000000000005E-2</v>
      </c>
      <c r="G194" s="191"/>
      <c r="H194" s="191">
        <f t="shared" si="322"/>
        <v>1.6800000000000002</v>
      </c>
      <c r="I194" s="472">
        <f t="shared" si="323"/>
        <v>9</v>
      </c>
      <c r="J194" s="386">
        <f t="shared" si="324"/>
        <v>20.32</v>
      </c>
      <c r="K194" s="386">
        <f t="shared" si="325"/>
        <v>29.32</v>
      </c>
      <c r="L194" s="386"/>
      <c r="M194" s="191">
        <f t="shared" si="326"/>
        <v>0.69304229195088674</v>
      </c>
      <c r="N194" s="152">
        <f t="shared" si="327"/>
        <v>2.1177466575716233</v>
      </c>
      <c r="O194" s="152">
        <f t="shared" si="262"/>
        <v>1.6800000000000002</v>
      </c>
      <c r="P194" s="191">
        <f t="shared" si="328"/>
        <v>0.10588733287858117</v>
      </c>
      <c r="Q194" s="191">
        <f t="shared" si="329"/>
        <v>20</v>
      </c>
      <c r="R194" s="191"/>
      <c r="S194" s="152">
        <f t="shared" si="330"/>
        <v>27.26511840527208</v>
      </c>
      <c r="T194" s="152">
        <f t="shared" si="331"/>
        <v>20</v>
      </c>
      <c r="U194" s="191">
        <f t="shared" si="332"/>
        <v>0.59854184893554985</v>
      </c>
      <c r="V194" s="191">
        <f t="shared" si="333"/>
        <v>3.9902789929036664</v>
      </c>
      <c r="W194" s="191">
        <f t="shared" si="334"/>
        <v>1.7673479791404032</v>
      </c>
      <c r="X194" s="175">
        <f t="shared" si="335"/>
        <v>350</v>
      </c>
      <c r="Y194" s="386">
        <f t="shared" si="303"/>
        <v>173.68266559390884</v>
      </c>
      <c r="AA194" s="191">
        <f t="shared" si="336"/>
        <v>0.29701812512180864</v>
      </c>
      <c r="AB194" s="153">
        <f t="shared" si="337"/>
        <v>0.87702202299746645</v>
      </c>
      <c r="AC194" s="153">
        <f t="shared" si="338"/>
        <v>4.5586001468217563E-2</v>
      </c>
      <c r="AD194" s="153"/>
      <c r="AE194" s="153">
        <f t="shared" si="339"/>
        <v>0.44291338582677164</v>
      </c>
      <c r="AF194" s="317">
        <f t="shared" si="340"/>
        <v>2528.7111111111117</v>
      </c>
      <c r="AG194" s="463">
        <f t="shared" si="341"/>
        <v>1.1626476377952754E-2</v>
      </c>
      <c r="AI194" s="153">
        <f t="shared" si="342"/>
        <v>0.40318730138733289</v>
      </c>
      <c r="AJ194" s="153">
        <f t="shared" si="343"/>
        <v>0.59854184893554985</v>
      </c>
      <c r="AK194" s="153">
        <f t="shared" si="344"/>
        <v>1.4990278992903665</v>
      </c>
      <c r="AM194" s="317">
        <f t="shared" si="345"/>
        <v>84</v>
      </c>
      <c r="AN194" s="147">
        <f t="shared" si="346"/>
        <v>173.68266559390884</v>
      </c>
      <c r="AP194">
        <f t="shared" si="347"/>
        <v>84</v>
      </c>
      <c r="AQ194">
        <f t="shared" si="348"/>
        <v>173.68266559390884</v>
      </c>
      <c r="AS194" s="5">
        <f t="shared" si="263"/>
        <v>5.7576269720440694</v>
      </c>
      <c r="AT194" s="5">
        <f t="shared" si="349"/>
        <v>3.9902789929036664</v>
      </c>
      <c r="AU194" s="5">
        <f t="shared" si="304"/>
        <v>1.767347979140403</v>
      </c>
      <c r="AV194" s="5"/>
      <c r="AW194" s="153">
        <f t="shared" si="305"/>
        <v>0.69304229195088685</v>
      </c>
      <c r="AX194" s="153">
        <f t="shared" si="259"/>
        <v>1.8666666666666669</v>
      </c>
      <c r="AY194" s="153">
        <f t="shared" si="260"/>
        <v>9.1863517060367453E-2</v>
      </c>
      <c r="AZ194" s="153">
        <f t="shared" si="264"/>
        <v>20.320000000000004</v>
      </c>
      <c r="BA194" s="147">
        <f t="shared" si="350"/>
        <v>3.0231480258994696</v>
      </c>
      <c r="BB194" s="147">
        <f t="shared" si="351"/>
        <v>32.449960106666673</v>
      </c>
      <c r="BC194" s="5">
        <f t="shared" si="359"/>
        <v>0.36656106234023172</v>
      </c>
      <c r="BD194" s="147">
        <f t="shared" si="352"/>
        <v>37.278328456245397</v>
      </c>
      <c r="BF194" s="153">
        <f t="shared" si="265"/>
        <v>0.28768271076837243</v>
      </c>
      <c r="BG194" s="153">
        <f t="shared" si="261"/>
        <v>0.19145784453509126</v>
      </c>
      <c r="BI194" s="463">
        <f t="shared" si="306"/>
        <v>2.8966469726263658E-2</v>
      </c>
      <c r="BJ194" s="463">
        <f t="shared" si="307"/>
        <v>1.5239999999999998E-2</v>
      </c>
      <c r="BK194" s="463">
        <f t="shared" si="308"/>
        <v>2.1710333199238606E-3</v>
      </c>
      <c r="BL194" s="463">
        <f t="shared" si="309"/>
        <v>7.465422857142856E-3</v>
      </c>
      <c r="BM194">
        <f t="shared" si="310"/>
        <v>2.6099999999999999E-3</v>
      </c>
      <c r="BN194">
        <f t="shared" si="353"/>
        <v>1.7368266559390883E-6</v>
      </c>
      <c r="BO194" s="463">
        <f t="shared" si="354"/>
        <v>6.0689479758999056E-2</v>
      </c>
      <c r="BP194" s="147">
        <f t="shared" si="311"/>
        <v>56.452925903330375</v>
      </c>
      <c r="BQ194" s="463">
        <f t="shared" si="355"/>
        <v>6.0093265162793709E-2</v>
      </c>
      <c r="BT194" s="147">
        <f t="shared" si="312"/>
        <v>60.093265162793706</v>
      </c>
      <c r="BU194" s="463">
        <f t="shared" si="313"/>
        <v>8.2761342075039032E-2</v>
      </c>
      <c r="BV194" s="463">
        <f t="shared" si="314"/>
        <v>3.6656106234023177E-2</v>
      </c>
      <c r="BW194" s="463">
        <f t="shared" si="315"/>
        <v>0</v>
      </c>
      <c r="BX194" s="463"/>
      <c r="BY194" s="463">
        <f t="shared" si="316"/>
        <v>3.1111111111111117E-2</v>
      </c>
      <c r="BZ194" s="147">
        <f t="shared" si="317"/>
        <v>150.52855942017331</v>
      </c>
      <c r="CA194" s="153">
        <f t="shared" si="318"/>
        <v>0.26707475048629742</v>
      </c>
      <c r="CB194" s="5">
        <f t="shared" si="319"/>
        <v>1.6800000000000002</v>
      </c>
      <c r="CC194" s="153">
        <f t="shared" si="320"/>
        <v>0.86283282117463989</v>
      </c>
      <c r="CD194" s="5">
        <f t="shared" si="321"/>
        <v>86.283282117463983</v>
      </c>
      <c r="CG194" s="59">
        <f t="shared" si="356"/>
        <v>-50</v>
      </c>
      <c r="CH194">
        <f t="shared" si="357"/>
        <v>-50</v>
      </c>
    </row>
    <row r="195" spans="5:86" x14ac:dyDescent="0.25">
      <c r="E195" s="150">
        <v>85</v>
      </c>
      <c r="F195" s="191">
        <f t="shared" si="358"/>
        <v>8.5000000000000006E-2</v>
      </c>
      <c r="G195" s="191"/>
      <c r="H195" s="191">
        <f t="shared" si="322"/>
        <v>1.7000000000000002</v>
      </c>
      <c r="I195" s="472">
        <f t="shared" si="323"/>
        <v>9</v>
      </c>
      <c r="J195" s="386">
        <f t="shared" si="324"/>
        <v>20.32</v>
      </c>
      <c r="K195" s="386">
        <f t="shared" si="325"/>
        <v>29.32</v>
      </c>
      <c r="L195" s="386"/>
      <c r="M195" s="191">
        <f t="shared" si="326"/>
        <v>0.69304229195088674</v>
      </c>
      <c r="N195" s="152">
        <f t="shared" si="327"/>
        <v>2.1177466575716233</v>
      </c>
      <c r="O195" s="152">
        <f t="shared" si="262"/>
        <v>1.7000000000000002</v>
      </c>
      <c r="P195" s="191">
        <f t="shared" si="328"/>
        <v>0.10588733287858117</v>
      </c>
      <c r="Q195" s="191">
        <f t="shared" si="329"/>
        <v>20</v>
      </c>
      <c r="R195" s="191"/>
      <c r="S195" s="152">
        <f t="shared" si="330"/>
        <v>26.841327227732325</v>
      </c>
      <c r="T195" s="152">
        <f t="shared" si="331"/>
        <v>20</v>
      </c>
      <c r="U195" s="191">
        <f t="shared" si="332"/>
        <v>0.60566734713716353</v>
      </c>
      <c r="V195" s="191">
        <f t="shared" si="333"/>
        <v>4.0377823142477576</v>
      </c>
      <c r="W195" s="191">
        <f t="shared" si="334"/>
        <v>1.7883878360349319</v>
      </c>
      <c r="X195" s="175">
        <f t="shared" si="335"/>
        <v>350</v>
      </c>
      <c r="Y195" s="386">
        <f t="shared" si="303"/>
        <v>171.63934011633341</v>
      </c>
      <c r="AA195" s="191">
        <f t="shared" si="336"/>
        <v>0.29701812512180864</v>
      </c>
      <c r="AB195" s="153">
        <f t="shared" si="337"/>
        <v>0.87702202299746645</v>
      </c>
      <c r="AC195" s="153">
        <f t="shared" si="338"/>
        <v>4.5586001468217563E-2</v>
      </c>
      <c r="AD195" s="153"/>
      <c r="AE195" s="153">
        <f t="shared" si="339"/>
        <v>0.44291338582677164</v>
      </c>
      <c r="AF195" s="317">
        <f t="shared" si="340"/>
        <v>2558.8148148148152</v>
      </c>
      <c r="AG195" s="463">
        <f t="shared" si="341"/>
        <v>1.1626476377952754E-2</v>
      </c>
      <c r="AI195" s="153">
        <f t="shared" si="342"/>
        <v>0.4055801253701149</v>
      </c>
      <c r="AJ195" s="153">
        <f t="shared" si="343"/>
        <v>0.60566734713716353</v>
      </c>
      <c r="AK195" s="153">
        <f t="shared" si="344"/>
        <v>1.5037782314247756</v>
      </c>
      <c r="AM195" s="317">
        <f t="shared" si="345"/>
        <v>85</v>
      </c>
      <c r="AN195" s="147">
        <f t="shared" si="346"/>
        <v>171.63934011633341</v>
      </c>
      <c r="AP195">
        <f t="shared" si="347"/>
        <v>85</v>
      </c>
      <c r="AQ195">
        <f t="shared" si="348"/>
        <v>171.63934011633341</v>
      </c>
      <c r="AS195" s="5">
        <f t="shared" si="263"/>
        <v>5.8261701502826906</v>
      </c>
      <c r="AT195" s="5">
        <f t="shared" si="349"/>
        <v>4.0377823142477576</v>
      </c>
      <c r="AU195" s="5">
        <f t="shared" si="304"/>
        <v>1.788387836034933</v>
      </c>
      <c r="AV195" s="5"/>
      <c r="AW195" s="153">
        <f t="shared" si="305"/>
        <v>0.69304229195088662</v>
      </c>
      <c r="AX195" s="153">
        <f t="shared" si="259"/>
        <v>1.8888888888888888</v>
      </c>
      <c r="AY195" s="153">
        <f t="shared" si="260"/>
        <v>9.2957130358705217E-2</v>
      </c>
      <c r="AZ195" s="153">
        <f t="shared" si="264"/>
        <v>20.319999999999986</v>
      </c>
      <c r="BA195" s="147">
        <f t="shared" si="350"/>
        <v>3.0231480258994696</v>
      </c>
      <c r="BB195" s="147">
        <f t="shared" si="351"/>
        <v>33.224141407407416</v>
      </c>
      <c r="BC195" s="5">
        <f t="shared" si="359"/>
        <v>0.37534065694560326</v>
      </c>
      <c r="BD195" s="147">
        <f t="shared" si="352"/>
        <v>38.163695324189959</v>
      </c>
      <c r="BF195" s="153">
        <f t="shared" si="265"/>
        <v>0.2911075049441863</v>
      </c>
      <c r="BG195" s="153">
        <f t="shared" si="261"/>
        <v>0.19373710458908053</v>
      </c>
      <c r="BI195" s="463">
        <f t="shared" si="306"/>
        <v>2.9660252802190305E-2</v>
      </c>
      <c r="BJ195" s="463">
        <f t="shared" si="307"/>
        <v>1.5239999999999995E-2</v>
      </c>
      <c r="BK195" s="463">
        <f t="shared" si="308"/>
        <v>2.1454917514541674E-3</v>
      </c>
      <c r="BL195" s="463">
        <f t="shared" si="309"/>
        <v>7.377594352941174E-3</v>
      </c>
      <c r="BM195">
        <f t="shared" si="310"/>
        <v>2.6099999999999999E-3</v>
      </c>
      <c r="BN195">
        <f t="shared" si="353"/>
        <v>1.7163934011633341E-6</v>
      </c>
      <c r="BO195" s="463">
        <f t="shared" si="354"/>
        <v>6.1375053153055852E-2</v>
      </c>
      <c r="BP195" s="147">
        <f t="shared" si="311"/>
        <v>57.033338906585641</v>
      </c>
      <c r="BQ195" s="463">
        <f t="shared" si="355"/>
        <v>6.1146026190644097E-2</v>
      </c>
      <c r="BT195" s="147">
        <f t="shared" si="312"/>
        <v>61.146026190644093</v>
      </c>
      <c r="BU195" s="463">
        <f t="shared" si="313"/>
        <v>8.474357943482945E-2</v>
      </c>
      <c r="BV195" s="463">
        <f t="shared" si="314"/>
        <v>3.7534065694560324E-2</v>
      </c>
      <c r="BW195" s="463">
        <f t="shared" si="315"/>
        <v>0</v>
      </c>
      <c r="BX195" s="463"/>
      <c r="BY195" s="463">
        <f t="shared" si="316"/>
        <v>3.1481481481481485E-2</v>
      </c>
      <c r="BZ195" s="147">
        <f t="shared" si="317"/>
        <v>153.75912661087128</v>
      </c>
      <c r="CA195" s="153">
        <f t="shared" si="318"/>
        <v>0.27193849170810097</v>
      </c>
      <c r="CB195" s="5">
        <f t="shared" si="319"/>
        <v>1.7000000000000002</v>
      </c>
      <c r="CC195" s="153">
        <f t="shared" si="320"/>
        <v>0.86209585499162977</v>
      </c>
      <c r="CD195" s="5">
        <f t="shared" si="321"/>
        <v>86.209585499162984</v>
      </c>
      <c r="CG195" s="59">
        <f t="shared" si="356"/>
        <v>-50</v>
      </c>
      <c r="CH195">
        <f t="shared" si="357"/>
        <v>-50</v>
      </c>
    </row>
    <row r="196" spans="5:86" x14ac:dyDescent="0.25">
      <c r="E196" s="150">
        <v>86</v>
      </c>
      <c r="F196" s="191">
        <f t="shared" si="358"/>
        <v>8.6000000000000007E-2</v>
      </c>
      <c r="G196" s="191"/>
      <c r="H196" s="191">
        <f t="shared" si="322"/>
        <v>1.7200000000000002</v>
      </c>
      <c r="I196" s="472">
        <f t="shared" si="323"/>
        <v>9</v>
      </c>
      <c r="J196" s="386">
        <f t="shared" si="324"/>
        <v>20.32</v>
      </c>
      <c r="K196" s="386">
        <f t="shared" si="325"/>
        <v>29.32</v>
      </c>
      <c r="L196" s="386"/>
      <c r="M196" s="191">
        <f t="shared" si="326"/>
        <v>0.69304229195088674</v>
      </c>
      <c r="N196" s="152">
        <f t="shared" si="327"/>
        <v>2.1177466575716233</v>
      </c>
      <c r="O196" s="152">
        <f t="shared" si="262"/>
        <v>1.7200000000000002</v>
      </c>
      <c r="P196" s="191">
        <f t="shared" si="328"/>
        <v>0.10588733287858117</v>
      </c>
      <c r="Q196" s="191">
        <f t="shared" si="329"/>
        <v>20</v>
      </c>
      <c r="R196" s="191"/>
      <c r="S196" s="152">
        <f t="shared" si="330"/>
        <v>26.427441292547723</v>
      </c>
      <c r="T196" s="152">
        <f t="shared" si="331"/>
        <v>20</v>
      </c>
      <c r="U196" s="191">
        <f t="shared" si="332"/>
        <v>0.6127928453387772</v>
      </c>
      <c r="V196" s="191">
        <f t="shared" si="333"/>
        <v>4.0852856355918483</v>
      </c>
      <c r="W196" s="191">
        <f t="shared" si="334"/>
        <v>1.8094276929294602</v>
      </c>
      <c r="X196" s="175">
        <f t="shared" si="335"/>
        <v>350</v>
      </c>
      <c r="Y196" s="386">
        <f t="shared" si="303"/>
        <v>169.643533835911</v>
      </c>
      <c r="AA196" s="191">
        <f t="shared" si="336"/>
        <v>0.29701812512180864</v>
      </c>
      <c r="AB196" s="153">
        <f t="shared" si="337"/>
        <v>0.87702202299746645</v>
      </c>
      <c r="AC196" s="153">
        <f t="shared" si="338"/>
        <v>4.5586001468217563E-2</v>
      </c>
      <c r="AD196" s="153"/>
      <c r="AE196" s="153">
        <f t="shared" si="339"/>
        <v>0.44291338582677164</v>
      </c>
      <c r="AF196" s="317">
        <f t="shared" si="340"/>
        <v>2588.9185185185192</v>
      </c>
      <c r="AG196" s="463">
        <f t="shared" si="341"/>
        <v>1.1626476377952754E-2</v>
      </c>
      <c r="AI196" s="153">
        <f t="shared" si="342"/>
        <v>0.40795891483147689</v>
      </c>
      <c r="AJ196" s="153">
        <f t="shared" si="343"/>
        <v>0.6127928453387772</v>
      </c>
      <c r="AK196" s="153">
        <f t="shared" si="344"/>
        <v>1.5085285635591847</v>
      </c>
      <c r="AM196" s="317">
        <f t="shared" si="345"/>
        <v>86</v>
      </c>
      <c r="AN196" s="147">
        <f t="shared" si="346"/>
        <v>169.643533835911</v>
      </c>
      <c r="AP196">
        <f t="shared" si="347"/>
        <v>86</v>
      </c>
      <c r="AQ196">
        <f t="shared" si="348"/>
        <v>169.643533835911</v>
      </c>
      <c r="AS196" s="5">
        <f t="shared" si="263"/>
        <v>5.8947133285213074</v>
      </c>
      <c r="AT196" s="5">
        <f t="shared" si="349"/>
        <v>4.0852856355918483</v>
      </c>
      <c r="AU196" s="5">
        <f t="shared" si="304"/>
        <v>1.809427692929459</v>
      </c>
      <c r="AV196" s="5"/>
      <c r="AW196" s="153">
        <f t="shared" si="305"/>
        <v>0.69304229195088696</v>
      </c>
      <c r="AX196" s="153">
        <f t="shared" si="259"/>
        <v>1.9111111111111116</v>
      </c>
      <c r="AY196" s="153">
        <f t="shared" si="260"/>
        <v>9.4050743657042829E-2</v>
      </c>
      <c r="AZ196" s="153">
        <f t="shared" si="264"/>
        <v>20.320000000000014</v>
      </c>
      <c r="BA196" s="147">
        <f t="shared" si="350"/>
        <v>3.0231480258994696</v>
      </c>
      <c r="BB196" s="147">
        <f t="shared" si="351"/>
        <v>34.007449114074085</v>
      </c>
      <c r="BC196" s="5">
        <f t="shared" si="359"/>
        <v>0.38422415207884814</v>
      </c>
      <c r="BD196" s="147">
        <f t="shared" si="352"/>
        <v>39.059452244921857</v>
      </c>
      <c r="BF196" s="153">
        <f t="shared" si="265"/>
        <v>0.29453229912000034</v>
      </c>
      <c r="BG196" s="153">
        <f t="shared" si="261"/>
        <v>0.19601636464306957</v>
      </c>
      <c r="BI196" s="463">
        <f t="shared" si="306"/>
        <v>3.0362246328719672E-2</v>
      </c>
      <c r="BJ196" s="463">
        <f t="shared" si="307"/>
        <v>1.5240000000000002E-2</v>
      </c>
      <c r="BK196" s="463">
        <f t="shared" si="308"/>
        <v>2.1205441729488872E-3</v>
      </c>
      <c r="BL196" s="463">
        <f t="shared" si="309"/>
        <v>7.2918083720930242E-3</v>
      </c>
      <c r="BM196">
        <f t="shared" si="310"/>
        <v>2.6099999999999999E-3</v>
      </c>
      <c r="BN196">
        <f t="shared" si="353"/>
        <v>1.69643533835911E-6</v>
      </c>
      <c r="BO196" s="463">
        <f t="shared" si="354"/>
        <v>6.2072920789421462E-2</v>
      </c>
      <c r="BP196" s="147">
        <f t="shared" si="311"/>
        <v>57.624598873761592</v>
      </c>
      <c r="BQ196" s="463">
        <f t="shared" si="355"/>
        <v>6.2206725218824012E-2</v>
      </c>
      <c r="BT196" s="147">
        <f t="shared" si="312"/>
        <v>62.206725218824012</v>
      </c>
      <c r="BU196" s="463">
        <f t="shared" si="313"/>
        <v>8.6749275224913353E-2</v>
      </c>
      <c r="BV196" s="463">
        <f t="shared" si="314"/>
        <v>3.8422415207884815E-2</v>
      </c>
      <c r="BW196" s="463">
        <f t="shared" si="315"/>
        <v>0</v>
      </c>
      <c r="BX196" s="463"/>
      <c r="BY196" s="463">
        <f t="shared" si="316"/>
        <v>3.1851851851851867E-2</v>
      </c>
      <c r="BZ196" s="147">
        <f t="shared" si="317"/>
        <v>157.02354228465003</v>
      </c>
      <c r="CA196" s="153">
        <f t="shared" si="318"/>
        <v>0.27685486637723561</v>
      </c>
      <c r="CB196" s="5">
        <f t="shared" si="319"/>
        <v>1.7200000000000002</v>
      </c>
      <c r="CC196" s="153">
        <f t="shared" si="320"/>
        <v>0.86135453755859814</v>
      </c>
      <c r="CD196" s="5">
        <f t="shared" si="321"/>
        <v>86.135453755859814</v>
      </c>
      <c r="CG196" s="59">
        <f t="shared" si="356"/>
        <v>-50</v>
      </c>
      <c r="CH196">
        <f t="shared" si="357"/>
        <v>-50</v>
      </c>
    </row>
    <row r="197" spans="5:86" x14ac:dyDescent="0.25">
      <c r="E197" s="150">
        <v>87</v>
      </c>
      <c r="F197" s="191">
        <f t="shared" si="358"/>
        <v>8.7000000000000008E-2</v>
      </c>
      <c r="G197" s="191"/>
      <c r="H197" s="191">
        <f t="shared" si="322"/>
        <v>1.7400000000000002</v>
      </c>
      <c r="I197" s="472">
        <f t="shared" si="323"/>
        <v>9</v>
      </c>
      <c r="J197" s="386">
        <f t="shared" si="324"/>
        <v>20.32</v>
      </c>
      <c r="K197" s="386">
        <f t="shared" si="325"/>
        <v>29.32</v>
      </c>
      <c r="L197" s="386"/>
      <c r="M197" s="191">
        <f t="shared" si="326"/>
        <v>0.69304229195088674</v>
      </c>
      <c r="N197" s="152">
        <f t="shared" si="327"/>
        <v>2.1177466575716233</v>
      </c>
      <c r="O197" s="152">
        <f t="shared" si="262"/>
        <v>1.7400000000000002</v>
      </c>
      <c r="P197" s="191">
        <f t="shared" si="328"/>
        <v>0.10588733287858117</v>
      </c>
      <c r="Q197" s="191">
        <f t="shared" si="329"/>
        <v>20</v>
      </c>
      <c r="R197" s="191"/>
      <c r="S197" s="152">
        <f t="shared" si="330"/>
        <v>26.023119563175005</v>
      </c>
      <c r="T197" s="152">
        <f t="shared" si="331"/>
        <v>20</v>
      </c>
      <c r="U197" s="191">
        <f t="shared" si="332"/>
        <v>0.61991834354039088</v>
      </c>
      <c r="V197" s="191">
        <f t="shared" si="333"/>
        <v>4.1327889569359391</v>
      </c>
      <c r="W197" s="191">
        <f t="shared" si="334"/>
        <v>1.8304675498239888</v>
      </c>
      <c r="X197" s="175">
        <f t="shared" si="335"/>
        <v>350</v>
      </c>
      <c r="Y197" s="386">
        <f t="shared" si="303"/>
        <v>167.69360815963617</v>
      </c>
      <c r="AA197" s="191">
        <f t="shared" si="336"/>
        <v>0.29701812512180864</v>
      </c>
      <c r="AB197" s="153">
        <f t="shared" si="337"/>
        <v>0.87702202299746645</v>
      </c>
      <c r="AC197" s="153">
        <f t="shared" si="338"/>
        <v>4.5586001468217563E-2</v>
      </c>
      <c r="AD197" s="153"/>
      <c r="AE197" s="153">
        <f t="shared" si="339"/>
        <v>0.44291338582677164</v>
      </c>
      <c r="AF197" s="317">
        <f t="shared" si="340"/>
        <v>2619.0222222222228</v>
      </c>
      <c r="AG197" s="463">
        <f t="shared" si="341"/>
        <v>1.1626476377952754E-2</v>
      </c>
      <c r="AI197" s="153">
        <f t="shared" si="342"/>
        <v>0.41032391386039679</v>
      </c>
      <c r="AJ197" s="153">
        <f t="shared" si="343"/>
        <v>0.61991834354039088</v>
      </c>
      <c r="AK197" s="153">
        <f t="shared" si="344"/>
        <v>1.5132788956935939</v>
      </c>
      <c r="AM197" s="317">
        <f t="shared" si="345"/>
        <v>87.000000000000014</v>
      </c>
      <c r="AN197" s="147">
        <f t="shared" si="346"/>
        <v>167.69360815963617</v>
      </c>
      <c r="AP197">
        <f t="shared" si="347"/>
        <v>87.000000000000014</v>
      </c>
      <c r="AQ197">
        <f t="shared" si="348"/>
        <v>167.69360815963617</v>
      </c>
      <c r="AS197" s="5">
        <f t="shared" si="263"/>
        <v>5.9632565067599277</v>
      </c>
      <c r="AT197" s="5">
        <f t="shared" si="349"/>
        <v>4.1327889569359391</v>
      </c>
      <c r="AU197" s="5">
        <f t="shared" si="304"/>
        <v>1.8304675498239886</v>
      </c>
      <c r="AV197" s="5"/>
      <c r="AW197" s="153">
        <f t="shared" si="305"/>
        <v>0.69304229195088674</v>
      </c>
      <c r="AX197" s="153">
        <f t="shared" ref="AX197:AX210" si="360">0.5*L*AJ197^2*AN197*1000</f>
        <v>1.9333333333333338</v>
      </c>
      <c r="AY197" s="153">
        <f t="shared" ref="AY197:AY210" si="361">AJ197*Nps/2*(1-AW197)</f>
        <v>9.5144356955380607E-2</v>
      </c>
      <c r="AZ197" s="153">
        <f t="shared" si="264"/>
        <v>20.319999999999997</v>
      </c>
      <c r="BA197" s="147">
        <f t="shared" si="350"/>
        <v>3.0231480258994696</v>
      </c>
      <c r="BB197" s="147">
        <f t="shared" si="351"/>
        <v>34.799883226666672</v>
      </c>
      <c r="BC197" s="5">
        <f t="shared" si="359"/>
        <v>0.39321154773996797</v>
      </c>
      <c r="BD197" s="147">
        <f t="shared" si="352"/>
        <v>39.965599218441241</v>
      </c>
      <c r="BF197" s="153">
        <f t="shared" si="265"/>
        <v>0.29795709329581427</v>
      </c>
      <c r="BG197" s="153">
        <f t="shared" ref="BG197:BG210" si="362">AJ197*Nps*SQRT((1-AW197)/3)</f>
        <v>0.19829562469705883</v>
      </c>
      <c r="BI197" s="463">
        <f t="shared" si="306"/>
        <v>3.10724503058517E-2</v>
      </c>
      <c r="BJ197" s="463">
        <f t="shared" si="307"/>
        <v>1.5240000000000002E-2</v>
      </c>
      <c r="BK197" s="463">
        <f t="shared" si="308"/>
        <v>2.0961701019954521E-3</v>
      </c>
      <c r="BL197" s="463">
        <f t="shared" si="309"/>
        <v>7.2079944827586218E-3</v>
      </c>
      <c r="BM197">
        <f t="shared" si="310"/>
        <v>2.6099999999999999E-3</v>
      </c>
      <c r="BN197">
        <f t="shared" si="353"/>
        <v>1.6769360815963617E-6</v>
      </c>
      <c r="BO197" s="463">
        <f t="shared" si="354"/>
        <v>6.2782999207406931E-2</v>
      </c>
      <c r="BP197" s="147">
        <f t="shared" si="311"/>
        <v>58.226614890605781</v>
      </c>
      <c r="BQ197" s="463">
        <f t="shared" si="355"/>
        <v>6.3275362247333572E-2</v>
      </c>
      <c r="BT197" s="147">
        <f t="shared" si="312"/>
        <v>63.275362247333575</v>
      </c>
      <c r="BU197" s="463">
        <f t="shared" si="313"/>
        <v>8.8778429445290574E-2</v>
      </c>
      <c r="BV197" s="463">
        <f t="shared" si="314"/>
        <v>3.9321154773996808E-2</v>
      </c>
      <c r="BW197" s="463">
        <f t="shared" si="315"/>
        <v>0</v>
      </c>
      <c r="BX197" s="463"/>
      <c r="BY197" s="463">
        <f t="shared" si="316"/>
        <v>3.2222222222222235E-2</v>
      </c>
      <c r="BZ197" s="147">
        <f t="shared" si="317"/>
        <v>160.32180644150961</v>
      </c>
      <c r="CA197" s="153">
        <f t="shared" si="318"/>
        <v>0.28182378357944898</v>
      </c>
      <c r="CB197" s="5">
        <f t="shared" si="319"/>
        <v>1.7400000000000002</v>
      </c>
      <c r="CC197" s="153">
        <f t="shared" si="320"/>
        <v>0.86060912634012721</v>
      </c>
      <c r="CD197" s="5">
        <f t="shared" si="321"/>
        <v>86.060912634012723</v>
      </c>
      <c r="CG197" s="59">
        <f t="shared" si="356"/>
        <v>-50</v>
      </c>
      <c r="CH197">
        <f t="shared" si="357"/>
        <v>-50</v>
      </c>
    </row>
    <row r="198" spans="5:86" x14ac:dyDescent="0.25">
      <c r="E198" s="150">
        <v>88</v>
      </c>
      <c r="F198" s="191">
        <f t="shared" si="358"/>
        <v>8.8000000000000009E-2</v>
      </c>
      <c r="G198" s="191"/>
      <c r="H198" s="191">
        <f t="shared" si="322"/>
        <v>1.7600000000000002</v>
      </c>
      <c r="I198" s="472">
        <f t="shared" si="323"/>
        <v>9</v>
      </c>
      <c r="J198" s="386">
        <f t="shared" si="324"/>
        <v>20.32</v>
      </c>
      <c r="K198" s="386">
        <f t="shared" si="325"/>
        <v>29.32</v>
      </c>
      <c r="L198" s="386"/>
      <c r="M198" s="191">
        <f t="shared" si="326"/>
        <v>0.69304229195088674</v>
      </c>
      <c r="N198" s="152">
        <f t="shared" si="327"/>
        <v>2.1177466575716233</v>
      </c>
      <c r="O198" s="152">
        <f t="shared" ref="O198:O261" si="363">T198*F198</f>
        <v>1.7600000000000002</v>
      </c>
      <c r="P198" s="191">
        <f t="shared" si="328"/>
        <v>0.10588733287858117</v>
      </c>
      <c r="Q198" s="191">
        <f t="shared" si="329"/>
        <v>20</v>
      </c>
      <c r="R198" s="191"/>
      <c r="S198" s="152">
        <f t="shared" si="330"/>
        <v>25.628036511564986</v>
      </c>
      <c r="T198" s="152">
        <f t="shared" si="331"/>
        <v>20</v>
      </c>
      <c r="U198" s="191">
        <f t="shared" si="332"/>
        <v>0.62704384174200456</v>
      </c>
      <c r="V198" s="191">
        <f t="shared" si="333"/>
        <v>4.1802922782800307</v>
      </c>
      <c r="W198" s="191">
        <f t="shared" si="334"/>
        <v>1.8515074067185175</v>
      </c>
      <c r="X198" s="175">
        <f t="shared" si="335"/>
        <v>350</v>
      </c>
      <c r="Y198" s="386">
        <f t="shared" si="303"/>
        <v>165.78799897600391</v>
      </c>
      <c r="AA198" s="191">
        <f t="shared" si="336"/>
        <v>0.29701812512180864</v>
      </c>
      <c r="AB198" s="153">
        <f t="shared" si="337"/>
        <v>0.87702202299746645</v>
      </c>
      <c r="AC198" s="153">
        <f t="shared" si="338"/>
        <v>4.5586001468217563E-2</v>
      </c>
      <c r="AD198" s="153"/>
      <c r="AE198" s="153">
        <f t="shared" si="339"/>
        <v>0.44291338582677164</v>
      </c>
      <c r="AF198" s="317">
        <f t="shared" si="340"/>
        <v>2649.1259259259268</v>
      </c>
      <c r="AG198" s="463">
        <f t="shared" si="341"/>
        <v>1.1626476377952754E-2</v>
      </c>
      <c r="AI198" s="153">
        <f t="shared" si="342"/>
        <v>0.41267535955149104</v>
      </c>
      <c r="AJ198" s="153">
        <f t="shared" si="343"/>
        <v>0.62704384174200456</v>
      </c>
      <c r="AK198" s="153">
        <f t="shared" si="344"/>
        <v>1.518029227828003</v>
      </c>
      <c r="AM198" s="317">
        <f t="shared" si="345"/>
        <v>88.000000000000014</v>
      </c>
      <c r="AN198" s="147">
        <f t="shared" si="346"/>
        <v>165.78799897600391</v>
      </c>
      <c r="AP198">
        <f t="shared" si="347"/>
        <v>88.000000000000014</v>
      </c>
      <c r="AQ198">
        <f t="shared" si="348"/>
        <v>165.78799897600391</v>
      </c>
      <c r="AS198" s="5">
        <f t="shared" ref="AS198:AS262" si="364">1/AN198*1000</f>
        <v>6.031799684998548</v>
      </c>
      <c r="AT198" s="5">
        <f t="shared" si="349"/>
        <v>4.1802922782800307</v>
      </c>
      <c r="AU198" s="5">
        <f t="shared" si="304"/>
        <v>1.8515074067185173</v>
      </c>
      <c r="AV198" s="5"/>
      <c r="AW198" s="153">
        <f t="shared" si="305"/>
        <v>0.69304229195088674</v>
      </c>
      <c r="AX198" s="153">
        <f t="shared" si="360"/>
        <v>1.9555555555555559</v>
      </c>
      <c r="AY198" s="153">
        <f t="shared" si="361"/>
        <v>9.6237970253718302E-2</v>
      </c>
      <c r="AZ198" s="153">
        <f t="shared" ref="AZ198:AZ210" si="365">AX198/AY198</f>
        <v>20.32</v>
      </c>
      <c r="BA198" s="147">
        <f t="shared" si="350"/>
        <v>3.0231480258994696</v>
      </c>
      <c r="BB198" s="147">
        <f t="shared" si="351"/>
        <v>35.601443745185186</v>
      </c>
      <c r="BC198" s="5">
        <f t="shared" si="359"/>
        <v>0.40230284392896182</v>
      </c>
      <c r="BD198" s="147">
        <f t="shared" si="352"/>
        <v>40.882136244748033</v>
      </c>
      <c r="BF198" s="153">
        <f t="shared" ref="BF198:BF210" si="366">AJ198*SQRT(AW198/3)</f>
        <v>0.3013818874716282</v>
      </c>
      <c r="BG198" s="153">
        <f t="shared" si="362"/>
        <v>0.20057488475104801</v>
      </c>
      <c r="BI198" s="463">
        <f t="shared" si="306"/>
        <v>3.1790864733586402E-2</v>
      </c>
      <c r="BJ198" s="463">
        <f t="shared" si="307"/>
        <v>1.5239999999999998E-2</v>
      </c>
      <c r="BK198" s="463">
        <f t="shared" si="308"/>
        <v>2.0723499872000485E-3</v>
      </c>
      <c r="BL198" s="463">
        <f t="shared" si="309"/>
        <v>7.1260854545454541E-3</v>
      </c>
      <c r="BM198">
        <f t="shared" si="310"/>
        <v>2.6099999999999999E-3</v>
      </c>
      <c r="BN198">
        <f t="shared" si="353"/>
        <v>1.657879989760039E-6</v>
      </c>
      <c r="BO198" s="463">
        <f t="shared" si="354"/>
        <v>6.3505209171810448E-2</v>
      </c>
      <c r="BP198" s="147">
        <f t="shared" si="311"/>
        <v>58.839300175331907</v>
      </c>
      <c r="BQ198" s="463">
        <f t="shared" si="355"/>
        <v>6.4351937276172708E-2</v>
      </c>
      <c r="BT198" s="147">
        <f t="shared" si="312"/>
        <v>64.351937276172706</v>
      </c>
      <c r="BU198" s="463">
        <f t="shared" si="313"/>
        <v>9.0831042095961156E-2</v>
      </c>
      <c r="BV198" s="463">
        <f t="shared" si="314"/>
        <v>4.0230284392896193E-2</v>
      </c>
      <c r="BW198" s="463">
        <f t="shared" si="315"/>
        <v>0</v>
      </c>
      <c r="BX198" s="463"/>
      <c r="BY198" s="463">
        <f t="shared" si="316"/>
        <v>3.2592592592592597E-2</v>
      </c>
      <c r="BZ198" s="147">
        <f t="shared" si="317"/>
        <v>163.65391908144994</v>
      </c>
      <c r="CA198" s="153">
        <f t="shared" si="318"/>
        <v>0.28684515653295461</v>
      </c>
      <c r="CB198" s="5">
        <f t="shared" si="319"/>
        <v>1.7600000000000002</v>
      </c>
      <c r="CC198" s="153">
        <f t="shared" si="320"/>
        <v>0.8598598650135183</v>
      </c>
      <c r="CD198" s="5">
        <f t="shared" si="321"/>
        <v>85.985986501351832</v>
      </c>
      <c r="CG198" s="59">
        <f t="shared" si="356"/>
        <v>-50</v>
      </c>
      <c r="CH198">
        <f t="shared" si="357"/>
        <v>-50</v>
      </c>
    </row>
    <row r="199" spans="5:86" x14ac:dyDescent="0.25">
      <c r="E199" s="150">
        <v>89</v>
      </c>
      <c r="F199" s="191">
        <f t="shared" si="358"/>
        <v>8.900000000000001E-2</v>
      </c>
      <c r="G199" s="191"/>
      <c r="H199" s="191">
        <f t="shared" si="322"/>
        <v>1.7800000000000002</v>
      </c>
      <c r="I199" s="472">
        <f t="shared" si="323"/>
        <v>9</v>
      </c>
      <c r="J199" s="386">
        <f t="shared" si="324"/>
        <v>20.32</v>
      </c>
      <c r="K199" s="386">
        <f t="shared" si="325"/>
        <v>29.32</v>
      </c>
      <c r="L199" s="386"/>
      <c r="M199" s="191">
        <f t="shared" si="326"/>
        <v>0.69304229195088674</v>
      </c>
      <c r="N199" s="152">
        <f t="shared" si="327"/>
        <v>2.1177466575716233</v>
      </c>
      <c r="O199" s="152">
        <f t="shared" si="363"/>
        <v>1.7800000000000002</v>
      </c>
      <c r="P199" s="191">
        <f t="shared" si="328"/>
        <v>0.10588733287858117</v>
      </c>
      <c r="Q199" s="191">
        <f t="shared" si="329"/>
        <v>20</v>
      </c>
      <c r="R199" s="191"/>
      <c r="S199" s="152">
        <f t="shared" si="330"/>
        <v>25.241881247000027</v>
      </c>
      <c r="T199" s="152">
        <f t="shared" si="331"/>
        <v>20</v>
      </c>
      <c r="U199" s="191">
        <f t="shared" si="332"/>
        <v>0.63416933994361835</v>
      </c>
      <c r="V199" s="191">
        <f t="shared" si="333"/>
        <v>4.2277955996241223</v>
      </c>
      <c r="W199" s="191">
        <f t="shared" si="334"/>
        <v>1.8725472636130462</v>
      </c>
      <c r="X199" s="175">
        <f t="shared" si="335"/>
        <v>350</v>
      </c>
      <c r="Y199" s="386">
        <f t="shared" si="303"/>
        <v>163.92521247065554</v>
      </c>
      <c r="AA199" s="191">
        <f t="shared" si="336"/>
        <v>0.29701812512180864</v>
      </c>
      <c r="AB199" s="153">
        <f t="shared" si="337"/>
        <v>0.87702202299746645</v>
      </c>
      <c r="AC199" s="153">
        <f t="shared" si="338"/>
        <v>4.5586001468217563E-2</v>
      </c>
      <c r="AD199" s="153"/>
      <c r="AE199" s="153">
        <f t="shared" si="339"/>
        <v>0.44291338582677164</v>
      </c>
      <c r="AF199" s="317">
        <f t="shared" si="340"/>
        <v>2679.2296296296299</v>
      </c>
      <c r="AG199" s="463">
        <f t="shared" si="341"/>
        <v>1.1626476377952754E-2</v>
      </c>
      <c r="AI199" s="153">
        <f t="shared" si="342"/>
        <v>0.41501348228243201</v>
      </c>
      <c r="AJ199" s="153">
        <f t="shared" si="343"/>
        <v>0.63416933994361835</v>
      </c>
      <c r="AK199" s="153">
        <f t="shared" si="344"/>
        <v>1.5227795599624123</v>
      </c>
      <c r="AM199" s="317">
        <f t="shared" si="345"/>
        <v>89.000000000000014</v>
      </c>
      <c r="AN199" s="147">
        <f t="shared" si="346"/>
        <v>163.92521247065554</v>
      </c>
      <c r="AP199">
        <f t="shared" si="347"/>
        <v>89.000000000000014</v>
      </c>
      <c r="AQ199">
        <f t="shared" si="348"/>
        <v>163.92521247065554</v>
      </c>
      <c r="AS199" s="5">
        <f t="shared" si="364"/>
        <v>6.1003428632371683</v>
      </c>
      <c r="AT199" s="5">
        <f t="shared" si="349"/>
        <v>4.2277955996241223</v>
      </c>
      <c r="AU199" s="5">
        <f t="shared" si="304"/>
        <v>1.872547263613046</v>
      </c>
      <c r="AV199" s="5"/>
      <c r="AW199" s="153">
        <f t="shared" si="305"/>
        <v>0.69304229195088685</v>
      </c>
      <c r="AX199" s="153">
        <f t="shared" si="360"/>
        <v>1.9777777777777783</v>
      </c>
      <c r="AY199" s="153">
        <f t="shared" si="361"/>
        <v>9.7331583552055997E-2</v>
      </c>
      <c r="AZ199" s="153">
        <f t="shared" si="365"/>
        <v>20.320000000000004</v>
      </c>
      <c r="BA199" s="147">
        <f t="shared" si="350"/>
        <v>3.0231480258994696</v>
      </c>
      <c r="BB199" s="147">
        <f t="shared" si="351"/>
        <v>36.412130669629633</v>
      </c>
      <c r="BC199" s="5">
        <f t="shared" si="359"/>
        <v>0.4114980406458299</v>
      </c>
      <c r="BD199" s="147">
        <f t="shared" si="352"/>
        <v>41.809063323842253</v>
      </c>
      <c r="BF199" s="153">
        <f t="shared" si="366"/>
        <v>0.30480668164744223</v>
      </c>
      <c r="BG199" s="153">
        <f t="shared" si="362"/>
        <v>0.20285414480503719</v>
      </c>
      <c r="BI199" s="463">
        <f t="shared" si="306"/>
        <v>3.2517489611923814E-2</v>
      </c>
      <c r="BJ199" s="463">
        <f t="shared" si="307"/>
        <v>1.524E-2</v>
      </c>
      <c r="BK199" s="463">
        <f t="shared" si="308"/>
        <v>2.049065155883194E-3</v>
      </c>
      <c r="BL199" s="463">
        <f t="shared" si="309"/>
        <v>7.0460170786516849E-3</v>
      </c>
      <c r="BM199">
        <f t="shared" si="310"/>
        <v>2.6099999999999999E-3</v>
      </c>
      <c r="BN199">
        <f t="shared" si="353"/>
        <v>1.6392521247065554E-6</v>
      </c>
      <c r="BO199" s="463">
        <f t="shared" si="354"/>
        <v>6.4239475440890509E-2</v>
      </c>
      <c r="BP199" s="147">
        <f t="shared" si="311"/>
        <v>59.462571846458694</v>
      </c>
      <c r="BQ199" s="463">
        <f t="shared" si="355"/>
        <v>6.5436450305341412E-2</v>
      </c>
      <c r="BT199" s="147">
        <f t="shared" si="312"/>
        <v>65.43645030534141</v>
      </c>
      <c r="BU199" s="463">
        <f t="shared" si="313"/>
        <v>9.2907113176925196E-2</v>
      </c>
      <c r="BV199" s="463">
        <f t="shared" si="314"/>
        <v>4.1149804064582997E-2</v>
      </c>
      <c r="BW199" s="463">
        <f t="shared" si="315"/>
        <v>0</v>
      </c>
      <c r="BX199" s="463"/>
      <c r="BY199" s="463">
        <f t="shared" si="316"/>
        <v>3.2962962962962979E-2</v>
      </c>
      <c r="BZ199" s="147">
        <f t="shared" si="317"/>
        <v>167.01988020447118</v>
      </c>
      <c r="CA199" s="153">
        <f t="shared" si="318"/>
        <v>0.29191890235627127</v>
      </c>
      <c r="CB199" s="5">
        <f t="shared" si="319"/>
        <v>1.7800000000000002</v>
      </c>
      <c r="CC199" s="153">
        <f t="shared" si="320"/>
        <v>0.85910698433983634</v>
      </c>
      <c r="CD199" s="5">
        <f t="shared" si="321"/>
        <v>85.91069843398364</v>
      </c>
      <c r="CG199" s="59">
        <f t="shared" si="356"/>
        <v>-50</v>
      </c>
      <c r="CH199">
        <f t="shared" si="357"/>
        <v>-50</v>
      </c>
    </row>
    <row r="200" spans="5:86" x14ac:dyDescent="0.25">
      <c r="E200" s="150">
        <v>90</v>
      </c>
      <c r="F200" s="191">
        <f t="shared" si="358"/>
        <v>9.0000000000000011E-2</v>
      </c>
      <c r="G200" s="191"/>
      <c r="H200" s="191">
        <f t="shared" si="322"/>
        <v>1.8000000000000003</v>
      </c>
      <c r="I200" s="472">
        <f t="shared" si="323"/>
        <v>9</v>
      </c>
      <c r="J200" s="386">
        <f t="shared" si="324"/>
        <v>20.32</v>
      </c>
      <c r="K200" s="386">
        <f t="shared" si="325"/>
        <v>29.32</v>
      </c>
      <c r="L200" s="386"/>
      <c r="M200" s="191">
        <f t="shared" si="326"/>
        <v>0.69304229195088674</v>
      </c>
      <c r="N200" s="152">
        <f t="shared" si="327"/>
        <v>2.1177466575716233</v>
      </c>
      <c r="O200" s="152">
        <f t="shared" si="363"/>
        <v>1.8000000000000003</v>
      </c>
      <c r="P200" s="191">
        <f t="shared" si="328"/>
        <v>0.10588733287858117</v>
      </c>
      <c r="Q200" s="191">
        <f t="shared" si="329"/>
        <v>20</v>
      </c>
      <c r="R200" s="191"/>
      <c r="S200" s="152">
        <f t="shared" si="330"/>
        <v>24.864356703010632</v>
      </c>
      <c r="T200" s="152">
        <f t="shared" si="331"/>
        <v>20</v>
      </c>
      <c r="U200" s="191">
        <f t="shared" si="332"/>
        <v>0.64129483814523203</v>
      </c>
      <c r="V200" s="191">
        <f t="shared" si="333"/>
        <v>4.275298920968214</v>
      </c>
      <c r="W200" s="191">
        <f t="shared" si="334"/>
        <v>1.8935871205075749</v>
      </c>
      <c r="X200" s="175">
        <f t="shared" si="335"/>
        <v>350</v>
      </c>
      <c r="Y200" s="386">
        <f t="shared" si="303"/>
        <v>162.10382122098159</v>
      </c>
      <c r="AA200" s="191">
        <f t="shared" si="336"/>
        <v>0.29701812512180864</v>
      </c>
      <c r="AB200" s="153">
        <f t="shared" si="337"/>
        <v>0.87702202299746645</v>
      </c>
      <c r="AC200" s="153">
        <f t="shared" si="338"/>
        <v>4.5586001468217563E-2</v>
      </c>
      <c r="AD200" s="153"/>
      <c r="AE200" s="153">
        <f t="shared" si="339"/>
        <v>0.44291338582677164</v>
      </c>
      <c r="AF200" s="317">
        <f t="shared" si="340"/>
        <v>2709.3333333333339</v>
      </c>
      <c r="AG200" s="463">
        <f t="shared" si="341"/>
        <v>1.1626476377952754E-2</v>
      </c>
      <c r="AI200" s="153">
        <f t="shared" si="342"/>
        <v>0.41733850597737632</v>
      </c>
      <c r="AJ200" s="153">
        <f t="shared" si="343"/>
        <v>0.64129483814523203</v>
      </c>
      <c r="AK200" s="153">
        <f t="shared" si="344"/>
        <v>1.5275298920968212</v>
      </c>
      <c r="AM200" s="317">
        <f t="shared" si="345"/>
        <v>90.000000000000014</v>
      </c>
      <c r="AN200" s="147">
        <f t="shared" si="346"/>
        <v>162.10382122098159</v>
      </c>
      <c r="AP200">
        <f t="shared" si="347"/>
        <v>90.000000000000014</v>
      </c>
      <c r="AQ200">
        <f t="shared" si="348"/>
        <v>162.10382122098159</v>
      </c>
      <c r="AS200" s="5">
        <f t="shared" si="364"/>
        <v>6.1688860414757887</v>
      </c>
      <c r="AT200" s="5">
        <f t="shared" si="349"/>
        <v>4.275298920968214</v>
      </c>
      <c r="AU200" s="5">
        <f t="shared" si="304"/>
        <v>1.8935871205075747</v>
      </c>
      <c r="AV200" s="5"/>
      <c r="AW200" s="153">
        <f t="shared" si="305"/>
        <v>0.69304229195088685</v>
      </c>
      <c r="AX200" s="153">
        <f t="shared" si="360"/>
        <v>2.0000000000000004</v>
      </c>
      <c r="AY200" s="153">
        <f t="shared" si="361"/>
        <v>9.8425196850393706E-2</v>
      </c>
      <c r="AZ200" s="153">
        <f t="shared" si="365"/>
        <v>20.320000000000004</v>
      </c>
      <c r="BA200" s="147">
        <f t="shared" si="350"/>
        <v>3.0231480258994696</v>
      </c>
      <c r="BB200" s="147">
        <f t="shared" si="351"/>
        <v>37.231944000000006</v>
      </c>
      <c r="BC200" s="5">
        <f t="shared" si="359"/>
        <v>0.42079713789057221</v>
      </c>
      <c r="BD200" s="147">
        <f t="shared" si="352"/>
        <v>42.746380455723887</v>
      </c>
      <c r="BF200" s="153">
        <f t="shared" si="366"/>
        <v>0.30823147582325616</v>
      </c>
      <c r="BG200" s="153">
        <f t="shared" si="362"/>
        <v>0.20513340485902637</v>
      </c>
      <c r="BI200" s="463">
        <f t="shared" si="306"/>
        <v>3.3252324940863894E-2</v>
      </c>
      <c r="BJ200" s="463">
        <f t="shared" si="307"/>
        <v>1.5240000000000002E-2</v>
      </c>
      <c r="BK200" s="463">
        <f t="shared" si="308"/>
        <v>2.0262977652622696E-3</v>
      </c>
      <c r="BL200" s="463">
        <f t="shared" si="309"/>
        <v>6.9677279999999994E-3</v>
      </c>
      <c r="BM200">
        <f t="shared" si="310"/>
        <v>2.6099999999999999E-3</v>
      </c>
      <c r="BN200">
        <f t="shared" si="353"/>
        <v>1.6210382122098159E-6</v>
      </c>
      <c r="BO200" s="463">
        <f t="shared" si="354"/>
        <v>6.4985726549821404E-2</v>
      </c>
      <c r="BP200" s="147">
        <f t="shared" si="311"/>
        <v>60.096350706126167</v>
      </c>
      <c r="BQ200" s="463">
        <f t="shared" si="355"/>
        <v>6.6528901334839727E-2</v>
      </c>
      <c r="BT200" s="147">
        <f t="shared" si="312"/>
        <v>66.52890133483973</v>
      </c>
      <c r="BU200" s="463">
        <f t="shared" si="313"/>
        <v>9.5006642688182555E-2</v>
      </c>
      <c r="BV200" s="463">
        <f t="shared" si="314"/>
        <v>4.207971378905722E-2</v>
      </c>
      <c r="BW200" s="463">
        <f t="shared" si="315"/>
        <v>0</v>
      </c>
      <c r="BX200" s="463"/>
      <c r="BY200" s="463">
        <f t="shared" si="316"/>
        <v>3.3333333333333347E-2</v>
      </c>
      <c r="BZ200" s="147">
        <f t="shared" si="317"/>
        <v>170.41968981057312</v>
      </c>
      <c r="CA200" s="153">
        <f t="shared" si="318"/>
        <v>0.29704494185153901</v>
      </c>
      <c r="CB200" s="5">
        <f t="shared" si="319"/>
        <v>1.8000000000000003</v>
      </c>
      <c r="CC200" s="153">
        <f t="shared" si="320"/>
        <v>0.85835070297097693</v>
      </c>
      <c r="CD200" s="5">
        <f t="shared" si="321"/>
        <v>85.835070297097687</v>
      </c>
      <c r="CG200" s="59">
        <f t="shared" si="356"/>
        <v>-50</v>
      </c>
      <c r="CH200">
        <f t="shared" si="357"/>
        <v>-50</v>
      </c>
    </row>
    <row r="201" spans="5:86" x14ac:dyDescent="0.25">
      <c r="E201" s="150">
        <v>91</v>
      </c>
      <c r="F201" s="191">
        <f t="shared" si="358"/>
        <v>9.1000000000000011E-2</v>
      </c>
      <c r="G201" s="191"/>
      <c r="H201" s="191">
        <f t="shared" si="322"/>
        <v>1.8200000000000003</v>
      </c>
      <c r="I201" s="472">
        <f t="shared" si="323"/>
        <v>9</v>
      </c>
      <c r="J201" s="386">
        <f t="shared" si="324"/>
        <v>20.32</v>
      </c>
      <c r="K201" s="386">
        <f t="shared" si="325"/>
        <v>29.32</v>
      </c>
      <c r="L201" s="386"/>
      <c r="M201" s="191">
        <f t="shared" si="326"/>
        <v>0.69304229195088674</v>
      </c>
      <c r="N201" s="152">
        <f t="shared" si="327"/>
        <v>2.1177466575716233</v>
      </c>
      <c r="O201" s="152">
        <f t="shared" si="363"/>
        <v>1.8200000000000003</v>
      </c>
      <c r="P201" s="191">
        <f t="shared" si="328"/>
        <v>0.10588733287858117</v>
      </c>
      <c r="Q201" s="191">
        <f t="shared" si="329"/>
        <v>20</v>
      </c>
      <c r="R201" s="191"/>
      <c r="S201" s="152">
        <f t="shared" si="330"/>
        <v>24.495178877903406</v>
      </c>
      <c r="T201" s="152">
        <f t="shared" si="331"/>
        <v>20</v>
      </c>
      <c r="U201" s="191">
        <f t="shared" si="332"/>
        <v>0.6484203363468457</v>
      </c>
      <c r="V201" s="191">
        <f t="shared" si="333"/>
        <v>4.3228022423123047</v>
      </c>
      <c r="W201" s="191">
        <f t="shared" si="334"/>
        <v>1.9146269774021036</v>
      </c>
      <c r="X201" s="175">
        <f t="shared" si="335"/>
        <v>350</v>
      </c>
      <c r="Y201" s="386">
        <f t="shared" si="303"/>
        <v>160.32246054822355</v>
      </c>
      <c r="AA201" s="191">
        <f t="shared" si="336"/>
        <v>0.29701812512180864</v>
      </c>
      <c r="AB201" s="153">
        <f t="shared" si="337"/>
        <v>0.87702202299746645</v>
      </c>
      <c r="AC201" s="153">
        <f t="shared" si="338"/>
        <v>4.5586001468217563E-2</v>
      </c>
      <c r="AD201" s="153"/>
      <c r="AE201" s="153">
        <f t="shared" si="339"/>
        <v>0.44291338582677164</v>
      </c>
      <c r="AF201" s="317">
        <f t="shared" si="340"/>
        <v>2739.437037037038</v>
      </c>
      <c r="AG201" s="463">
        <f t="shared" si="341"/>
        <v>1.1626476377952754E-2</v>
      </c>
      <c r="AI201" s="153">
        <f t="shared" si="342"/>
        <v>0.41965064835725763</v>
      </c>
      <c r="AJ201" s="153">
        <f t="shared" si="343"/>
        <v>0.6484203363468457</v>
      </c>
      <c r="AK201" s="153">
        <f t="shared" si="344"/>
        <v>1.5322802242312306</v>
      </c>
      <c r="AM201" s="317">
        <f t="shared" si="345"/>
        <v>91.000000000000014</v>
      </c>
      <c r="AN201" s="147">
        <f t="shared" si="346"/>
        <v>160.32246054822355</v>
      </c>
      <c r="AP201">
        <f t="shared" si="347"/>
        <v>91.000000000000014</v>
      </c>
      <c r="AQ201">
        <f t="shared" si="348"/>
        <v>160.32246054822355</v>
      </c>
      <c r="AS201" s="5">
        <f t="shared" si="364"/>
        <v>6.2374292197144081</v>
      </c>
      <c r="AT201" s="5">
        <f t="shared" si="349"/>
        <v>4.3228022423123047</v>
      </c>
      <c r="AU201" s="5">
        <f t="shared" si="304"/>
        <v>1.9146269774021034</v>
      </c>
      <c r="AV201" s="5"/>
      <c r="AW201" s="153">
        <f t="shared" si="305"/>
        <v>0.69304229195088674</v>
      </c>
      <c r="AX201" s="153">
        <f t="shared" si="360"/>
        <v>2.022222222222223</v>
      </c>
      <c r="AY201" s="153">
        <f t="shared" si="361"/>
        <v>9.9518810148731443E-2</v>
      </c>
      <c r="AZ201" s="153">
        <f t="shared" si="365"/>
        <v>20.32</v>
      </c>
      <c r="BA201" s="147">
        <f t="shared" si="350"/>
        <v>3.0231480258994696</v>
      </c>
      <c r="BB201" s="147">
        <f t="shared" si="351"/>
        <v>38.060883736296304</v>
      </c>
      <c r="BC201" s="5">
        <f t="shared" si="359"/>
        <v>0.43020013566318877</v>
      </c>
      <c r="BD201" s="147">
        <f t="shared" si="352"/>
        <v>43.694087640392944</v>
      </c>
      <c r="BF201" s="153">
        <f t="shared" si="366"/>
        <v>0.31165626999907009</v>
      </c>
      <c r="BG201" s="153">
        <f t="shared" si="362"/>
        <v>0.2074126649130156</v>
      </c>
      <c r="BI201" s="463">
        <f t="shared" si="306"/>
        <v>3.3995370720406641E-2</v>
      </c>
      <c r="BJ201" s="463">
        <f t="shared" si="307"/>
        <v>1.524E-2</v>
      </c>
      <c r="BK201" s="463">
        <f t="shared" si="308"/>
        <v>2.0040307568527944E-3</v>
      </c>
      <c r="BL201" s="463">
        <f t="shared" si="309"/>
        <v>6.8911595604395593E-3</v>
      </c>
      <c r="BM201">
        <f t="shared" si="310"/>
        <v>2.6099999999999999E-3</v>
      </c>
      <c r="BN201">
        <f t="shared" si="353"/>
        <v>1.6032246054822355E-6</v>
      </c>
      <c r="BO201" s="463">
        <f t="shared" si="354"/>
        <v>6.5743894608440656E-2</v>
      </c>
      <c r="BP201" s="147">
        <f t="shared" si="311"/>
        <v>60.740561037698988</v>
      </c>
      <c r="BQ201" s="463">
        <f t="shared" si="355"/>
        <v>6.7629290364667652E-2</v>
      </c>
      <c r="BT201" s="147">
        <f t="shared" si="312"/>
        <v>67.629290364667654</v>
      </c>
      <c r="BU201" s="463">
        <f t="shared" si="313"/>
        <v>9.7129630629733274E-2</v>
      </c>
      <c r="BV201" s="463">
        <f t="shared" si="314"/>
        <v>4.3020013566318897E-2</v>
      </c>
      <c r="BW201" s="463">
        <f t="shared" si="315"/>
        <v>0</v>
      </c>
      <c r="BX201" s="463"/>
      <c r="BY201" s="463">
        <f t="shared" si="316"/>
        <v>3.3703703703703722E-2</v>
      </c>
      <c r="BZ201" s="147">
        <f t="shared" si="317"/>
        <v>173.85334789975587</v>
      </c>
      <c r="CA201" s="153">
        <f t="shared" si="318"/>
        <v>0.30222319930212255</v>
      </c>
      <c r="CB201" s="5">
        <f t="shared" si="319"/>
        <v>1.8200000000000003</v>
      </c>
      <c r="CC201" s="153">
        <f t="shared" si="320"/>
        <v>0.85759122819809608</v>
      </c>
      <c r="CD201" s="5">
        <f t="shared" si="321"/>
        <v>85.759122819809605</v>
      </c>
      <c r="CG201" s="59">
        <f t="shared" si="356"/>
        <v>-50</v>
      </c>
      <c r="CH201">
        <f t="shared" si="357"/>
        <v>-50</v>
      </c>
    </row>
    <row r="202" spans="5:86" x14ac:dyDescent="0.25">
      <c r="E202" s="150">
        <v>92</v>
      </c>
      <c r="F202" s="191">
        <f t="shared" si="358"/>
        <v>9.2000000000000012E-2</v>
      </c>
      <c r="G202" s="191"/>
      <c r="H202" s="191">
        <f t="shared" si="322"/>
        <v>1.8400000000000003</v>
      </c>
      <c r="I202" s="472">
        <f t="shared" si="323"/>
        <v>9</v>
      </c>
      <c r="J202" s="386">
        <f t="shared" si="324"/>
        <v>20.32</v>
      </c>
      <c r="K202" s="386">
        <f t="shared" si="325"/>
        <v>29.32</v>
      </c>
      <c r="L202" s="386"/>
      <c r="M202" s="191">
        <f t="shared" si="326"/>
        <v>0.69304229195088674</v>
      </c>
      <c r="N202" s="152">
        <f t="shared" si="327"/>
        <v>2.1177466575716233</v>
      </c>
      <c r="O202" s="152">
        <f t="shared" si="363"/>
        <v>1.8400000000000003</v>
      </c>
      <c r="P202" s="191">
        <f t="shared" si="328"/>
        <v>0.10588733287858117</v>
      </c>
      <c r="Q202" s="191">
        <f t="shared" si="329"/>
        <v>20</v>
      </c>
      <c r="R202" s="191"/>
      <c r="S202" s="152">
        <f t="shared" si="330"/>
        <v>24.134076124821444</v>
      </c>
      <c r="T202" s="152">
        <f t="shared" si="331"/>
        <v>20</v>
      </c>
      <c r="U202" s="191">
        <f t="shared" si="332"/>
        <v>0.65554583454845938</v>
      </c>
      <c r="V202" s="191">
        <f t="shared" si="333"/>
        <v>4.3703055636563954</v>
      </c>
      <c r="W202" s="191">
        <f t="shared" si="334"/>
        <v>1.9356668342966319</v>
      </c>
      <c r="X202" s="175">
        <f t="shared" si="335"/>
        <v>350</v>
      </c>
      <c r="Y202" s="386">
        <f t="shared" si="303"/>
        <v>158.57982510748201</v>
      </c>
      <c r="AA202" s="191">
        <f t="shared" si="336"/>
        <v>0.29701812512180864</v>
      </c>
      <c r="AB202" s="153">
        <f t="shared" si="337"/>
        <v>0.87702202299746645</v>
      </c>
      <c r="AC202" s="153">
        <f t="shared" si="338"/>
        <v>4.5586001468217563E-2</v>
      </c>
      <c r="AD202" s="153"/>
      <c r="AE202" s="153">
        <f t="shared" si="339"/>
        <v>0.44291338582677164</v>
      </c>
      <c r="AF202" s="317">
        <f t="shared" si="340"/>
        <v>2769.5407407407415</v>
      </c>
      <c r="AG202" s="463">
        <f t="shared" si="341"/>
        <v>1.1626476377952754E-2</v>
      </c>
      <c r="AI202" s="153">
        <f t="shared" si="342"/>
        <v>0.42195012117773445</v>
      </c>
      <c r="AJ202" s="153">
        <f t="shared" si="343"/>
        <v>0.65554583454845938</v>
      </c>
      <c r="AK202" s="153">
        <f t="shared" si="344"/>
        <v>1.5370305563656395</v>
      </c>
      <c r="AM202" s="317">
        <f t="shared" si="345"/>
        <v>92.000000000000014</v>
      </c>
      <c r="AN202" s="147">
        <f t="shared" si="346"/>
        <v>158.57982510748201</v>
      </c>
      <c r="AP202">
        <f t="shared" si="347"/>
        <v>92.000000000000014</v>
      </c>
      <c r="AQ202">
        <f t="shared" si="348"/>
        <v>158.57982510748201</v>
      </c>
      <c r="AS202" s="5">
        <f t="shared" si="364"/>
        <v>6.3059723979530276</v>
      </c>
      <c r="AT202" s="5">
        <f t="shared" si="349"/>
        <v>4.3703055636563954</v>
      </c>
      <c r="AU202" s="5">
        <f t="shared" si="304"/>
        <v>1.9356668342966321</v>
      </c>
      <c r="AV202" s="5"/>
      <c r="AW202" s="153">
        <f t="shared" si="305"/>
        <v>0.69304229195088674</v>
      </c>
      <c r="AX202" s="153">
        <f t="shared" si="360"/>
        <v>2.0444444444444452</v>
      </c>
      <c r="AY202" s="153">
        <f t="shared" si="361"/>
        <v>0.10061242344706915</v>
      </c>
      <c r="AZ202" s="153">
        <f t="shared" si="365"/>
        <v>20.32</v>
      </c>
      <c r="BA202" s="147">
        <f t="shared" si="350"/>
        <v>3.0231480258994696</v>
      </c>
      <c r="BB202" s="147">
        <f t="shared" si="351"/>
        <v>38.898949878518536</v>
      </c>
      <c r="BC202" s="5">
        <f t="shared" si="359"/>
        <v>0.43970703396367944</v>
      </c>
      <c r="BD202" s="147">
        <f t="shared" si="352"/>
        <v>44.652184877849429</v>
      </c>
      <c r="BF202" s="153">
        <f t="shared" si="366"/>
        <v>0.31508106417488407</v>
      </c>
      <c r="BG202" s="153">
        <f t="shared" si="362"/>
        <v>0.20969192496700478</v>
      </c>
      <c r="BI202" s="463">
        <f t="shared" si="306"/>
        <v>3.4746626950552091E-2</v>
      </c>
      <c r="BJ202" s="463">
        <f t="shared" si="307"/>
        <v>1.5240000000000002E-2</v>
      </c>
      <c r="BK202" s="463">
        <f t="shared" si="308"/>
        <v>1.982247813843525E-3</v>
      </c>
      <c r="BL202" s="463">
        <f t="shared" si="309"/>
        <v>6.8162556521739132E-3</v>
      </c>
      <c r="BM202">
        <f t="shared" si="310"/>
        <v>2.6099999999999999E-3</v>
      </c>
      <c r="BN202">
        <f t="shared" si="353"/>
        <v>1.5857982510748201E-6</v>
      </c>
      <c r="BO202" s="463">
        <f t="shared" si="354"/>
        <v>6.6513915112200936E-2</v>
      </c>
      <c r="BP202" s="147">
        <f t="shared" si="311"/>
        <v>61.395130416569536</v>
      </c>
      <c r="BQ202" s="463">
        <f t="shared" si="355"/>
        <v>6.8737617394825132E-2</v>
      </c>
      <c r="BT202" s="147">
        <f t="shared" si="312"/>
        <v>68.737617394825136</v>
      </c>
      <c r="BU202" s="463">
        <f t="shared" si="313"/>
        <v>9.9276077001577409E-2</v>
      </c>
      <c r="BV202" s="463">
        <f t="shared" si="314"/>
        <v>4.3970703396367966E-2</v>
      </c>
      <c r="BW202" s="463">
        <f t="shared" si="315"/>
        <v>0</v>
      </c>
      <c r="BX202" s="463"/>
      <c r="BY202" s="463">
        <f t="shared" si="316"/>
        <v>3.407407407407409E-2</v>
      </c>
      <c r="BZ202" s="147">
        <f t="shared" si="317"/>
        <v>177.32085447201945</v>
      </c>
      <c r="CA202" s="153">
        <f t="shared" si="318"/>
        <v>0.30745360228341417</v>
      </c>
      <c r="CB202" s="5">
        <f t="shared" si="319"/>
        <v>1.8400000000000003</v>
      </c>
      <c r="CC202" s="153">
        <f t="shared" si="320"/>
        <v>0.85682875664624614</v>
      </c>
      <c r="CD202" s="5">
        <f t="shared" si="321"/>
        <v>85.682875664624618</v>
      </c>
      <c r="CG202" s="59">
        <f t="shared" si="356"/>
        <v>-50</v>
      </c>
      <c r="CH202">
        <f t="shared" si="357"/>
        <v>-50</v>
      </c>
    </row>
    <row r="203" spans="5:86" x14ac:dyDescent="0.25">
      <c r="E203" s="150">
        <v>93</v>
      </c>
      <c r="F203" s="191">
        <f t="shared" si="358"/>
        <v>9.3000000000000013E-2</v>
      </c>
      <c r="G203" s="191"/>
      <c r="H203" s="191">
        <f t="shared" si="322"/>
        <v>1.8600000000000003</v>
      </c>
      <c r="I203" s="472">
        <f t="shared" si="323"/>
        <v>9</v>
      </c>
      <c r="J203" s="386">
        <f t="shared" si="324"/>
        <v>20.32</v>
      </c>
      <c r="K203" s="386">
        <f t="shared" si="325"/>
        <v>29.32</v>
      </c>
      <c r="L203" s="386"/>
      <c r="M203" s="191">
        <f t="shared" si="326"/>
        <v>0.69304229195088674</v>
      </c>
      <c r="N203" s="152">
        <f t="shared" si="327"/>
        <v>2.1177466575716233</v>
      </c>
      <c r="O203" s="152">
        <f t="shared" si="363"/>
        <v>1.8600000000000003</v>
      </c>
      <c r="P203" s="191">
        <f t="shared" si="328"/>
        <v>0.10588733287858117</v>
      </c>
      <c r="Q203" s="191">
        <f t="shared" si="329"/>
        <v>20</v>
      </c>
      <c r="R203" s="191"/>
      <c r="S203" s="152">
        <f t="shared" si="330"/>
        <v>23.780788487608756</v>
      </c>
      <c r="T203" s="152">
        <f t="shared" si="331"/>
        <v>20</v>
      </c>
      <c r="U203" s="191">
        <f t="shared" si="332"/>
        <v>0.66267133275007306</v>
      </c>
      <c r="V203" s="191">
        <f t="shared" si="333"/>
        <v>4.4178088850004871</v>
      </c>
      <c r="W203" s="191">
        <f t="shared" si="334"/>
        <v>1.9567066911911606</v>
      </c>
      <c r="X203" s="175">
        <f t="shared" si="335"/>
        <v>350</v>
      </c>
      <c r="Y203" s="386">
        <f t="shared" si="303"/>
        <v>156.87466569772411</v>
      </c>
      <c r="AA203" s="191">
        <f t="shared" si="336"/>
        <v>0.29701812512180864</v>
      </c>
      <c r="AB203" s="153">
        <f t="shared" si="337"/>
        <v>0.87702202299746645</v>
      </c>
      <c r="AC203" s="153">
        <f t="shared" si="338"/>
        <v>4.5586001468217563E-2</v>
      </c>
      <c r="AD203" s="153"/>
      <c r="AE203" s="153">
        <f t="shared" si="339"/>
        <v>0.44291338582677164</v>
      </c>
      <c r="AF203" s="317">
        <f t="shared" si="340"/>
        <v>2799.6444444444455</v>
      </c>
      <c r="AG203" s="463">
        <f t="shared" si="341"/>
        <v>1.1626476377952754E-2</v>
      </c>
      <c r="AI203" s="153">
        <f t="shared" si="342"/>
        <v>0.42423713045553058</v>
      </c>
      <c r="AJ203" s="153">
        <f t="shared" si="343"/>
        <v>0.66267133275007306</v>
      </c>
      <c r="AK203" s="153">
        <f t="shared" si="344"/>
        <v>1.5417808885000488</v>
      </c>
      <c r="AM203" s="317">
        <f t="shared" si="345"/>
        <v>93.000000000000014</v>
      </c>
      <c r="AN203" s="147">
        <f t="shared" si="346"/>
        <v>156.87466569772411</v>
      </c>
      <c r="AP203">
        <f t="shared" si="347"/>
        <v>93.000000000000014</v>
      </c>
      <c r="AQ203">
        <f t="shared" si="348"/>
        <v>156.87466569772411</v>
      </c>
      <c r="AS203" s="5">
        <f t="shared" si="364"/>
        <v>6.3745155761916479</v>
      </c>
      <c r="AT203" s="5">
        <f t="shared" si="349"/>
        <v>4.4178088850004871</v>
      </c>
      <c r="AU203" s="5">
        <f t="shared" si="304"/>
        <v>1.9567066911911608</v>
      </c>
      <c r="AV203" s="5"/>
      <c r="AW203" s="153">
        <f t="shared" si="305"/>
        <v>0.69304229195088674</v>
      </c>
      <c r="AX203" s="153">
        <f t="shared" si="360"/>
        <v>2.0666666666666673</v>
      </c>
      <c r="AY203" s="153">
        <f t="shared" si="361"/>
        <v>0.10170603674540686</v>
      </c>
      <c r="AZ203" s="153">
        <f t="shared" si="365"/>
        <v>20.32</v>
      </c>
      <c r="BA203" s="147">
        <f t="shared" si="350"/>
        <v>3.0231480258994696</v>
      </c>
      <c r="BB203" s="147">
        <f t="shared" si="351"/>
        <v>39.74614242666668</v>
      </c>
      <c r="BC203" s="5">
        <f t="shared" si="359"/>
        <v>0.4493178327920444</v>
      </c>
      <c r="BD203" s="147">
        <f t="shared" si="352"/>
        <v>45.620672168093328</v>
      </c>
      <c r="BF203" s="153">
        <f t="shared" si="366"/>
        <v>0.318505858350698</v>
      </c>
      <c r="BG203" s="153">
        <f t="shared" si="362"/>
        <v>0.21197118502099394</v>
      </c>
      <c r="BI203" s="463">
        <f t="shared" si="306"/>
        <v>3.5506093631300216E-2</v>
      </c>
      <c r="BJ203" s="463">
        <f t="shared" si="307"/>
        <v>1.5239999999999998E-2</v>
      </c>
      <c r="BK203" s="463">
        <f t="shared" si="308"/>
        <v>1.9609333212215513E-3</v>
      </c>
      <c r="BL203" s="463">
        <f t="shared" si="309"/>
        <v>6.7429625806451603E-3</v>
      </c>
      <c r="BM203">
        <f t="shared" si="310"/>
        <v>2.6099999999999999E-3</v>
      </c>
      <c r="BN203">
        <f t="shared" si="353"/>
        <v>1.5687466569772411E-6</v>
      </c>
      <c r="BO203" s="463">
        <f t="shared" si="354"/>
        <v>6.7295726765332187E-2</v>
      </c>
      <c r="BP203" s="147">
        <f t="shared" si="311"/>
        <v>62.059989533166927</v>
      </c>
      <c r="BQ203" s="463">
        <f t="shared" si="355"/>
        <v>6.9853882425312208E-2</v>
      </c>
      <c r="BT203" s="147">
        <f t="shared" si="312"/>
        <v>69.853882425312207</v>
      </c>
      <c r="BU203" s="463">
        <f t="shared" si="313"/>
        <v>0.1014459818037149</v>
      </c>
      <c r="BV203" s="463">
        <f t="shared" si="314"/>
        <v>4.493178327920444E-2</v>
      </c>
      <c r="BW203" s="463">
        <f t="shared" si="315"/>
        <v>0</v>
      </c>
      <c r="BX203" s="463"/>
      <c r="BY203" s="463">
        <f t="shared" si="316"/>
        <v>3.4444444444444451E-2</v>
      </c>
      <c r="BZ203" s="147">
        <f t="shared" si="317"/>
        <v>180.82220952736378</v>
      </c>
      <c r="CA203" s="153">
        <f t="shared" si="318"/>
        <v>0.31273608148584292</v>
      </c>
      <c r="CB203" s="5">
        <f t="shared" si="319"/>
        <v>1.8600000000000003</v>
      </c>
      <c r="CC203" s="153">
        <f t="shared" si="320"/>
        <v>0.85606347491961565</v>
      </c>
      <c r="CD203" s="5">
        <f t="shared" si="321"/>
        <v>85.606347491961571</v>
      </c>
      <c r="CG203" s="59">
        <f t="shared" si="356"/>
        <v>-50</v>
      </c>
      <c r="CH203">
        <f t="shared" si="357"/>
        <v>-50</v>
      </c>
    </row>
    <row r="204" spans="5:86" x14ac:dyDescent="0.25">
      <c r="E204" s="150">
        <v>94</v>
      </c>
      <c r="F204" s="191">
        <f t="shared" si="358"/>
        <v>9.4E-2</v>
      </c>
      <c r="G204" s="191"/>
      <c r="H204" s="191">
        <f t="shared" si="322"/>
        <v>1.88</v>
      </c>
      <c r="I204" s="472">
        <f t="shared" si="323"/>
        <v>9</v>
      </c>
      <c r="J204" s="386">
        <f t="shared" si="324"/>
        <v>20.32</v>
      </c>
      <c r="K204" s="386">
        <f t="shared" si="325"/>
        <v>29.32</v>
      </c>
      <c r="L204" s="386"/>
      <c r="M204" s="191">
        <f t="shared" si="326"/>
        <v>0.69304229195088674</v>
      </c>
      <c r="N204" s="152">
        <f t="shared" si="327"/>
        <v>2.1177466575716233</v>
      </c>
      <c r="O204" s="152">
        <f t="shared" si="363"/>
        <v>1.88</v>
      </c>
      <c r="P204" s="191">
        <f t="shared" si="328"/>
        <v>0.10588733287858117</v>
      </c>
      <c r="Q204" s="191">
        <f t="shared" si="329"/>
        <v>20</v>
      </c>
      <c r="R204" s="191"/>
      <c r="S204" s="152">
        <f t="shared" si="330"/>
        <v>23.435067079067995</v>
      </c>
      <c r="T204" s="152">
        <f t="shared" si="331"/>
        <v>20</v>
      </c>
      <c r="U204" s="191">
        <f t="shared" si="332"/>
        <v>0.66979683095168663</v>
      </c>
      <c r="V204" s="191">
        <f t="shared" si="333"/>
        <v>4.4653122063445778</v>
      </c>
      <c r="W204" s="191">
        <f t="shared" si="334"/>
        <v>1.9777465480856888</v>
      </c>
      <c r="X204" s="175">
        <f t="shared" si="335"/>
        <v>350</v>
      </c>
      <c r="Y204" s="386">
        <f t="shared" si="303"/>
        <v>155.20578627540795</v>
      </c>
      <c r="AA204" s="191">
        <f t="shared" si="336"/>
        <v>0.29701812512180864</v>
      </c>
      <c r="AB204" s="153">
        <f t="shared" si="337"/>
        <v>0.87702202299746645</v>
      </c>
      <c r="AC204" s="153">
        <f t="shared" si="338"/>
        <v>4.5586001468217563E-2</v>
      </c>
      <c r="AD204" s="153"/>
      <c r="AE204" s="153">
        <f t="shared" si="339"/>
        <v>0.44291338582677164</v>
      </c>
      <c r="AF204" s="317">
        <f t="shared" si="340"/>
        <v>2829.7481481481486</v>
      </c>
      <c r="AG204" s="463">
        <f t="shared" si="341"/>
        <v>1.1626476377952754E-2</v>
      </c>
      <c r="AI204" s="153">
        <f t="shared" si="342"/>
        <v>0.42651187668385154</v>
      </c>
      <c r="AJ204" s="153">
        <f t="shared" si="343"/>
        <v>0.66979683095168663</v>
      </c>
      <c r="AK204" s="153">
        <f t="shared" si="344"/>
        <v>1.5465312206344577</v>
      </c>
      <c r="AM204" s="317">
        <f t="shared" si="345"/>
        <v>94</v>
      </c>
      <c r="AN204" s="147">
        <f t="shared" si="346"/>
        <v>155.20578627540795</v>
      </c>
      <c r="AP204">
        <f t="shared" si="347"/>
        <v>94</v>
      </c>
      <c r="AQ204">
        <f t="shared" si="348"/>
        <v>155.20578627540795</v>
      </c>
      <c r="AS204" s="5">
        <f t="shared" si="364"/>
        <v>6.4430587544302664</v>
      </c>
      <c r="AT204" s="5">
        <f t="shared" si="349"/>
        <v>4.4653122063445778</v>
      </c>
      <c r="AU204" s="5">
        <f t="shared" si="304"/>
        <v>1.9777465480856886</v>
      </c>
      <c r="AV204" s="5"/>
      <c r="AW204" s="153">
        <f t="shared" si="305"/>
        <v>0.69304229195088685</v>
      </c>
      <c r="AX204" s="153">
        <f t="shared" si="360"/>
        <v>2.0888888888888895</v>
      </c>
      <c r="AY204" s="153">
        <f t="shared" si="361"/>
        <v>0.10279965004374451</v>
      </c>
      <c r="AZ204" s="153">
        <f t="shared" si="365"/>
        <v>20.320000000000007</v>
      </c>
      <c r="BA204" s="147">
        <f t="shared" si="350"/>
        <v>3.0231480258994696</v>
      </c>
      <c r="BB204" s="147">
        <f t="shared" si="351"/>
        <v>40.602461380740735</v>
      </c>
      <c r="BC204" s="5">
        <f t="shared" si="359"/>
        <v>0.45903253214828321</v>
      </c>
      <c r="BD204" s="147">
        <f t="shared" si="352"/>
        <v>46.599549511124621</v>
      </c>
      <c r="BF204" s="153">
        <f t="shared" si="366"/>
        <v>0.32193065252651193</v>
      </c>
      <c r="BG204" s="153">
        <f t="shared" si="362"/>
        <v>0.21425044507498306</v>
      </c>
      <c r="BI204" s="463">
        <f t="shared" si="306"/>
        <v>3.6273770762651016E-2</v>
      </c>
      <c r="BJ204" s="463">
        <f t="shared" si="307"/>
        <v>1.5240000000000002E-2</v>
      </c>
      <c r="BK204" s="463">
        <f t="shared" si="308"/>
        <v>1.9400723284425992E-3</v>
      </c>
      <c r="BL204" s="463">
        <f t="shared" si="309"/>
        <v>6.6712289361702138E-3</v>
      </c>
      <c r="BM204">
        <f t="shared" si="310"/>
        <v>2.6099999999999999E-3</v>
      </c>
      <c r="BN204">
        <f t="shared" si="353"/>
        <v>1.5520578627540795E-6</v>
      </c>
      <c r="BO204" s="463">
        <f t="shared" si="354"/>
        <v>6.8089271315306094E-2</v>
      </c>
      <c r="BP204" s="147">
        <f t="shared" si="311"/>
        <v>62.735072027263833</v>
      </c>
      <c r="BQ204" s="463">
        <f t="shared" si="355"/>
        <v>7.0978085456128853E-2</v>
      </c>
      <c r="BT204" s="147">
        <f t="shared" si="312"/>
        <v>70.978085456128852</v>
      </c>
      <c r="BU204" s="463">
        <f t="shared" si="313"/>
        <v>0.10363934503614576</v>
      </c>
      <c r="BV204" s="463">
        <f t="shared" si="314"/>
        <v>4.5903253214828334E-2</v>
      </c>
      <c r="BW204" s="463">
        <f t="shared" si="315"/>
        <v>0</v>
      </c>
      <c r="BX204" s="463"/>
      <c r="BY204" s="463">
        <f t="shared" si="316"/>
        <v>3.4814814814814819E-2</v>
      </c>
      <c r="BZ204" s="147">
        <f t="shared" si="317"/>
        <v>184.35741306578893</v>
      </c>
      <c r="CA204" s="153">
        <f t="shared" si="318"/>
        <v>0.31807057054918159</v>
      </c>
      <c r="CB204" s="5">
        <f t="shared" si="319"/>
        <v>1.88</v>
      </c>
      <c r="CC204" s="153">
        <f t="shared" si="320"/>
        <v>0.85529556020136666</v>
      </c>
      <c r="CD204" s="5">
        <f t="shared" si="321"/>
        <v>85.529556020136667</v>
      </c>
      <c r="CG204" s="59">
        <f t="shared" si="356"/>
        <v>-50</v>
      </c>
      <c r="CH204">
        <f t="shared" si="357"/>
        <v>-50</v>
      </c>
    </row>
    <row r="205" spans="5:86" x14ac:dyDescent="0.25">
      <c r="E205" s="150">
        <v>95</v>
      </c>
      <c r="F205" s="191">
        <f t="shared" si="358"/>
        <v>9.5000000000000001E-2</v>
      </c>
      <c r="G205" s="191"/>
      <c r="H205" s="191">
        <f t="shared" si="322"/>
        <v>1.9</v>
      </c>
      <c r="I205" s="472">
        <f t="shared" si="323"/>
        <v>9</v>
      </c>
      <c r="J205" s="386">
        <f t="shared" si="324"/>
        <v>20.32</v>
      </c>
      <c r="K205" s="386">
        <f t="shared" si="325"/>
        <v>29.32</v>
      </c>
      <c r="L205" s="386"/>
      <c r="M205" s="191">
        <f t="shared" si="326"/>
        <v>0.69304229195088674</v>
      </c>
      <c r="N205" s="152">
        <f t="shared" si="327"/>
        <v>2.1177466575716233</v>
      </c>
      <c r="O205" s="152">
        <f t="shared" si="363"/>
        <v>1.9</v>
      </c>
      <c r="P205" s="191">
        <f t="shared" si="328"/>
        <v>0.10588733287858117</v>
      </c>
      <c r="Q205" s="191">
        <f t="shared" si="329"/>
        <v>20</v>
      </c>
      <c r="R205" s="191"/>
      <c r="S205" s="152">
        <f t="shared" si="330"/>
        <v>23.096673498487565</v>
      </c>
      <c r="T205" s="152">
        <f t="shared" si="331"/>
        <v>20</v>
      </c>
      <c r="U205" s="191">
        <f t="shared" si="332"/>
        <v>0.67692232915330031</v>
      </c>
      <c r="V205" s="191">
        <f t="shared" si="333"/>
        <v>4.5128155276886686</v>
      </c>
      <c r="W205" s="191">
        <f t="shared" si="334"/>
        <v>1.9987864049802175</v>
      </c>
      <c r="X205" s="175">
        <f t="shared" si="335"/>
        <v>350</v>
      </c>
      <c r="Y205" s="386">
        <f t="shared" si="303"/>
        <v>153.57204115671942</v>
      </c>
      <c r="AA205" s="191">
        <f t="shared" si="336"/>
        <v>0.29701812512180864</v>
      </c>
      <c r="AB205" s="153">
        <f t="shared" si="337"/>
        <v>0.87702202299746645</v>
      </c>
      <c r="AC205" s="153">
        <f t="shared" si="338"/>
        <v>4.5586001468217563E-2</v>
      </c>
      <c r="AD205" s="153"/>
      <c r="AE205" s="153">
        <f t="shared" si="339"/>
        <v>0.44291338582677164</v>
      </c>
      <c r="AF205" s="317">
        <f t="shared" si="340"/>
        <v>2859.8518518518522</v>
      </c>
      <c r="AG205" s="463">
        <f t="shared" si="341"/>
        <v>1.1626476377952754E-2</v>
      </c>
      <c r="AI205" s="153">
        <f t="shared" si="342"/>
        <v>0.4287745550375151</v>
      </c>
      <c r="AJ205" s="153">
        <f t="shared" si="343"/>
        <v>0.67692232915330031</v>
      </c>
      <c r="AK205" s="153">
        <f t="shared" si="344"/>
        <v>1.5512815527688668</v>
      </c>
      <c r="AM205" s="317">
        <f t="shared" si="345"/>
        <v>95</v>
      </c>
      <c r="AN205" s="147">
        <f t="shared" si="346"/>
        <v>153.57204115671942</v>
      </c>
      <c r="AP205">
        <f t="shared" si="347"/>
        <v>95</v>
      </c>
      <c r="AQ205">
        <f t="shared" si="348"/>
        <v>153.57204115671942</v>
      </c>
      <c r="AS205" s="5">
        <f t="shared" si="364"/>
        <v>6.5116019326688868</v>
      </c>
      <c r="AT205" s="5">
        <f t="shared" si="349"/>
        <v>4.5128155276886686</v>
      </c>
      <c r="AU205" s="5">
        <f t="shared" si="304"/>
        <v>1.9987864049802182</v>
      </c>
      <c r="AV205" s="5"/>
      <c r="AW205" s="153">
        <f t="shared" si="305"/>
        <v>0.69304229195088662</v>
      </c>
      <c r="AX205" s="153">
        <f t="shared" si="360"/>
        <v>2.1111111111111107</v>
      </c>
      <c r="AY205" s="153">
        <f t="shared" si="361"/>
        <v>0.10389326334208229</v>
      </c>
      <c r="AZ205" s="153">
        <f t="shared" si="365"/>
        <v>20.319999999999986</v>
      </c>
      <c r="BA205" s="147">
        <f t="shared" si="350"/>
        <v>3.0231480258994696</v>
      </c>
      <c r="BB205" s="147">
        <f t="shared" si="351"/>
        <v>41.46790674074073</v>
      </c>
      <c r="BC205" s="5">
        <f t="shared" si="359"/>
        <v>0.46885113203239687</v>
      </c>
      <c r="BD205" s="147">
        <f t="shared" si="352"/>
        <v>47.588816906943386</v>
      </c>
      <c r="BF205" s="153">
        <f t="shared" si="366"/>
        <v>0.3253554467023258</v>
      </c>
      <c r="BG205" s="153">
        <f t="shared" si="362"/>
        <v>0.21652970512897232</v>
      </c>
      <c r="BI205" s="463">
        <f t="shared" si="306"/>
        <v>3.7049658344604483E-2</v>
      </c>
      <c r="BJ205" s="463">
        <f t="shared" si="307"/>
        <v>1.524E-2</v>
      </c>
      <c r="BK205" s="463">
        <f t="shared" si="308"/>
        <v>1.9196505144589927E-3</v>
      </c>
      <c r="BL205" s="463">
        <f t="shared" si="309"/>
        <v>6.6010054736842108E-3</v>
      </c>
      <c r="BM205">
        <f t="shared" si="310"/>
        <v>2.6099999999999999E-3</v>
      </c>
      <c r="BN205">
        <f t="shared" si="353"/>
        <v>1.5357204115671942E-6</v>
      </c>
      <c r="BO205" s="463">
        <f t="shared" si="354"/>
        <v>6.8894493397768958E-2</v>
      </c>
      <c r="BP205" s="147">
        <f t="shared" si="311"/>
        <v>63.420314332747679</v>
      </c>
      <c r="BQ205" s="463">
        <f t="shared" si="355"/>
        <v>7.211022648727515E-2</v>
      </c>
      <c r="BT205" s="147">
        <f t="shared" si="312"/>
        <v>72.110226487275156</v>
      </c>
      <c r="BU205" s="463">
        <f t="shared" si="313"/>
        <v>0.10585616669886996</v>
      </c>
      <c r="BV205" s="463">
        <f t="shared" si="314"/>
        <v>4.6885113203239702E-2</v>
      </c>
      <c r="BW205" s="463">
        <f t="shared" si="315"/>
        <v>0</v>
      </c>
      <c r="BX205" s="463"/>
      <c r="BY205" s="463">
        <f t="shared" si="316"/>
        <v>3.5185185185185187E-2</v>
      </c>
      <c r="BZ205" s="147">
        <f t="shared" si="317"/>
        <v>187.92646508729484</v>
      </c>
      <c r="CA205" s="153">
        <f t="shared" si="318"/>
        <v>0.32345700590731769</v>
      </c>
      <c r="CB205" s="5">
        <f t="shared" si="319"/>
        <v>1.9</v>
      </c>
      <c r="CC205" s="153">
        <f t="shared" si="320"/>
        <v>0.8545251808117037</v>
      </c>
      <c r="CD205" s="5">
        <f t="shared" si="321"/>
        <v>85.452518081170368</v>
      </c>
      <c r="CG205" s="59">
        <f t="shared" si="356"/>
        <v>-50</v>
      </c>
      <c r="CH205">
        <f t="shared" si="357"/>
        <v>-50</v>
      </c>
    </row>
    <row r="206" spans="5:86" x14ac:dyDescent="0.25">
      <c r="E206" s="150">
        <v>96</v>
      </c>
      <c r="F206" s="191">
        <f t="shared" si="358"/>
        <v>9.6000000000000002E-2</v>
      </c>
      <c r="G206" s="191"/>
      <c r="H206" s="191">
        <f t="shared" ref="H206:H210" si="367">F206*Vout</f>
        <v>1.92</v>
      </c>
      <c r="I206" s="472">
        <f t="shared" si="323"/>
        <v>9</v>
      </c>
      <c r="J206" s="386">
        <f t="shared" si="324"/>
        <v>20.32</v>
      </c>
      <c r="K206" s="386">
        <f t="shared" si="325"/>
        <v>29.32</v>
      </c>
      <c r="L206" s="386"/>
      <c r="M206" s="191">
        <f t="shared" si="326"/>
        <v>0.69304229195088674</v>
      </c>
      <c r="N206" s="152">
        <f t="shared" ref="N206:N210" si="368">M206*I206*(Isw_max+VIN_min/Lmag*ILIM_delay)*0.5*Efficiency</f>
        <v>2.1177466575716233</v>
      </c>
      <c r="O206" s="152">
        <f t="shared" si="363"/>
        <v>1.92</v>
      </c>
      <c r="P206" s="191">
        <f t="shared" ref="P206:P210" si="369">N206/Vout</f>
        <v>0.10588733287858117</v>
      </c>
      <c r="Q206" s="191">
        <f t="shared" si="329"/>
        <v>20</v>
      </c>
      <c r="R206" s="191"/>
      <c r="S206" s="152">
        <f t="shared" si="330"/>
        <v>22.765379285575012</v>
      </c>
      <c r="T206" s="152">
        <f t="shared" ref="T206:T210" si="370">MIN(Vout, S206)</f>
        <v>20</v>
      </c>
      <c r="U206" s="191">
        <f t="shared" si="332"/>
        <v>0.68404782735491398</v>
      </c>
      <c r="V206" s="191">
        <f t="shared" ref="V206:V210" si="371">L*U206/I206*1000000</f>
        <v>4.5603188490327602</v>
      </c>
      <c r="W206" s="191">
        <f t="shared" si="334"/>
        <v>2.019826261874746</v>
      </c>
      <c r="X206" s="175">
        <f t="shared" si="335"/>
        <v>350</v>
      </c>
      <c r="Y206" s="386">
        <f t="shared" si="303"/>
        <v>151.97233239467025</v>
      </c>
      <c r="AA206" s="191">
        <f t="shared" si="336"/>
        <v>0.29701812512180864</v>
      </c>
      <c r="AB206" s="153">
        <f t="shared" ref="AB206:AB210" si="372">L*AA206/J206*1000000</f>
        <v>0.87702202299746645</v>
      </c>
      <c r="AC206" s="153">
        <f t="shared" ref="AC206:AC210" si="373">0.5*AB206*AA206*Nps*X206/1000</f>
        <v>4.5586001468217563E-2</v>
      </c>
      <c r="AD206" s="153"/>
      <c r="AE206" s="153">
        <f t="shared" si="339"/>
        <v>0.44291338582677164</v>
      </c>
      <c r="AF206" s="317">
        <f t="shared" ref="AF206:AF210" si="374">MAX(12000,F206/(0.5*AE206/1000000*Isw_min*Nps))/1000</f>
        <v>2889.9555555555557</v>
      </c>
      <c r="AG206" s="463">
        <f t="shared" si="341"/>
        <v>1.1626476377952754E-2</v>
      </c>
      <c r="AI206" s="153">
        <f t="shared" si="342"/>
        <v>0.43102535556839017</v>
      </c>
      <c r="AJ206" s="153">
        <f t="shared" ref="AJ206:AJ210" si="375">MAX(IF(F206&gt;AC206,U206,AI206),Isw_min)</f>
        <v>0.68404782735491398</v>
      </c>
      <c r="AK206" s="153">
        <f t="shared" ref="AK206:AK210" si="376">IF(F206&gt;AG206, (AJ206-Isw_min)/1.2*0.8+1.2, AF206*0.2/350+1)</f>
        <v>1.5560318849032759</v>
      </c>
      <c r="AM206" s="317">
        <f t="shared" si="345"/>
        <v>96</v>
      </c>
      <c r="AN206" s="147">
        <f t="shared" si="346"/>
        <v>151.97233239467025</v>
      </c>
      <c r="AP206">
        <f t="shared" si="347"/>
        <v>96</v>
      </c>
      <c r="AQ206">
        <f t="shared" si="348"/>
        <v>151.97233239467025</v>
      </c>
      <c r="AS206" s="5">
        <f t="shared" si="364"/>
        <v>6.5801451109075071</v>
      </c>
      <c r="AT206" s="5">
        <f t="shared" si="349"/>
        <v>4.5603188490327602</v>
      </c>
      <c r="AU206" s="5">
        <f t="shared" si="304"/>
        <v>2.0198262618747469</v>
      </c>
      <c r="AV206" s="5"/>
      <c r="AW206" s="153">
        <f t="shared" si="305"/>
        <v>0.69304229195088674</v>
      </c>
      <c r="AX206" s="153">
        <f t="shared" si="360"/>
        <v>2.1333333333333329</v>
      </c>
      <c r="AY206" s="153">
        <f t="shared" si="361"/>
        <v>0.10498687664041996</v>
      </c>
      <c r="AZ206" s="153">
        <f t="shared" si="365"/>
        <v>20.319999999999993</v>
      </c>
      <c r="BA206" s="147">
        <f t="shared" si="350"/>
        <v>3.0231480258994696</v>
      </c>
      <c r="BB206" s="147">
        <f t="shared" si="351"/>
        <v>42.342478506666652</v>
      </c>
      <c r="BC206" s="5">
        <f t="shared" si="359"/>
        <v>0.47877363244438448</v>
      </c>
      <c r="BD206" s="147">
        <f t="shared" si="352"/>
        <v>48.588474355549558</v>
      </c>
      <c r="BF206" s="153">
        <f t="shared" si="366"/>
        <v>0.32878024087813978</v>
      </c>
      <c r="BG206" s="153">
        <f t="shared" si="362"/>
        <v>0.21880896518296145</v>
      </c>
      <c r="BI206" s="463">
        <f t="shared" si="306"/>
        <v>3.7833756377160667E-2</v>
      </c>
      <c r="BJ206" s="463">
        <f t="shared" si="307"/>
        <v>1.5239999999999998E-2</v>
      </c>
      <c r="BK206" s="463">
        <f t="shared" si="308"/>
        <v>1.8996541549333779E-3</v>
      </c>
      <c r="BL206" s="463">
        <f t="shared" si="309"/>
        <v>6.5322449999999999E-3</v>
      </c>
      <c r="BM206">
        <f t="shared" si="310"/>
        <v>2.6099999999999999E-3</v>
      </c>
      <c r="BN206">
        <f t="shared" si="353"/>
        <v>1.5197233239467025E-6</v>
      </c>
      <c r="BO206" s="463">
        <f t="shared" ref="BO206:BO210" si="377">(BJ206+BK206+BL206+BM206+BN206+BI206*(1+RdsonTC*(Ta-25)))/(1-BI206*RdsonTC*ThetaJA)</f>
        <v>6.9711340391180904E-2</v>
      </c>
      <c r="BP206" s="147">
        <f t="shared" si="311"/>
        <v>64.115655532094038</v>
      </c>
      <c r="BQ206" s="463">
        <f t="shared" si="355"/>
        <v>7.3250305518750974E-2</v>
      </c>
      <c r="BT206" s="147">
        <f t="shared" si="312"/>
        <v>73.250305518750977</v>
      </c>
      <c r="BU206" s="463">
        <f t="shared" si="313"/>
        <v>0.10809644679188762</v>
      </c>
      <c r="BV206" s="463">
        <f t="shared" si="314"/>
        <v>4.7877363244438434E-2</v>
      </c>
      <c r="BW206" s="463">
        <f t="shared" si="315"/>
        <v>0</v>
      </c>
      <c r="BX206" s="463"/>
      <c r="BY206" s="463">
        <f t="shared" si="316"/>
        <v>3.5555555555555556E-2</v>
      </c>
      <c r="BZ206" s="147">
        <f t="shared" si="317"/>
        <v>191.5293655918816</v>
      </c>
      <c r="CA206" s="153">
        <f t="shared" si="318"/>
        <v>0.32889532664272664</v>
      </c>
      <c r="CB206" s="5">
        <f t="shared" si="319"/>
        <v>1.92</v>
      </c>
      <c r="CC206" s="153">
        <f t="shared" si="320"/>
        <v>0.85375249672748454</v>
      </c>
      <c r="CD206" s="5">
        <f t="shared" si="321"/>
        <v>85.375249672748453</v>
      </c>
      <c r="CG206" s="59">
        <f t="shared" si="356"/>
        <v>-50</v>
      </c>
      <c r="CH206">
        <f t="shared" si="357"/>
        <v>-50</v>
      </c>
    </row>
    <row r="207" spans="5:86" x14ac:dyDescent="0.25">
      <c r="E207" s="150">
        <v>97</v>
      </c>
      <c r="F207" s="191">
        <f t="shared" ref="F207:F210" si="378">IF(PLOT_TYPE=1, E207/100*Iout_max, min_I*EXP(N207*rr/100))</f>
        <v>9.7000000000000003E-2</v>
      </c>
      <c r="G207" s="191"/>
      <c r="H207" s="191">
        <f t="shared" si="367"/>
        <v>1.94</v>
      </c>
      <c r="I207" s="472">
        <f t="shared" si="323"/>
        <v>9</v>
      </c>
      <c r="J207" s="386">
        <f t="shared" si="324"/>
        <v>20.32</v>
      </c>
      <c r="K207" s="386">
        <f t="shared" si="325"/>
        <v>29.32</v>
      </c>
      <c r="L207" s="386"/>
      <c r="M207" s="191">
        <f t="shared" si="326"/>
        <v>0.69304229195088674</v>
      </c>
      <c r="N207" s="152">
        <f t="shared" si="368"/>
        <v>2.1177466575716233</v>
      </c>
      <c r="O207" s="152">
        <f t="shared" si="363"/>
        <v>1.94</v>
      </c>
      <c r="P207" s="191">
        <f t="shared" si="369"/>
        <v>0.10588733287858117</v>
      </c>
      <c r="Q207" s="191">
        <f t="shared" si="329"/>
        <v>20</v>
      </c>
      <c r="R207" s="191"/>
      <c r="S207" s="152">
        <f t="shared" si="330"/>
        <v>22.440965408169173</v>
      </c>
      <c r="T207" s="152">
        <f t="shared" si="370"/>
        <v>20</v>
      </c>
      <c r="U207" s="191">
        <f t="shared" si="332"/>
        <v>0.69117332555652766</v>
      </c>
      <c r="V207" s="191">
        <f t="shared" si="371"/>
        <v>4.6078221703768518</v>
      </c>
      <c r="W207" s="191">
        <f t="shared" si="334"/>
        <v>2.0408661187692747</v>
      </c>
      <c r="X207" s="175">
        <f t="shared" si="335"/>
        <v>350</v>
      </c>
      <c r="Y207" s="386">
        <f t="shared" si="303"/>
        <v>150.40560731843655</v>
      </c>
      <c r="AA207" s="191">
        <f t="shared" si="336"/>
        <v>0.29701812512180864</v>
      </c>
      <c r="AB207" s="153">
        <f t="shared" si="372"/>
        <v>0.87702202299746645</v>
      </c>
      <c r="AC207" s="153">
        <f t="shared" si="373"/>
        <v>4.5586001468217563E-2</v>
      </c>
      <c r="AD207" s="153"/>
      <c r="AE207" s="153">
        <f t="shared" si="339"/>
        <v>0.44291338582677164</v>
      </c>
      <c r="AF207" s="317">
        <f t="shared" si="374"/>
        <v>2920.0592592592598</v>
      </c>
      <c r="AG207" s="463">
        <f t="shared" si="341"/>
        <v>1.1626476377952754E-2</v>
      </c>
      <c r="AI207" s="153">
        <f t="shared" si="342"/>
        <v>0.43326446339169711</v>
      </c>
      <c r="AJ207" s="153">
        <f t="shared" si="375"/>
        <v>0.69117332555652766</v>
      </c>
      <c r="AK207" s="153">
        <f t="shared" si="376"/>
        <v>1.560782217037685</v>
      </c>
      <c r="AM207" s="317">
        <f t="shared" si="345"/>
        <v>97</v>
      </c>
      <c r="AN207" s="147">
        <f t="shared" si="346"/>
        <v>150.40560731843655</v>
      </c>
      <c r="AP207">
        <f t="shared" si="347"/>
        <v>97</v>
      </c>
      <c r="AQ207">
        <f t="shared" si="348"/>
        <v>150.40560731843655</v>
      </c>
      <c r="AS207" s="5">
        <f t="shared" si="364"/>
        <v>6.6486882891461265</v>
      </c>
      <c r="AT207" s="5">
        <f t="shared" si="349"/>
        <v>4.6078221703768518</v>
      </c>
      <c r="AU207" s="5">
        <f t="shared" si="304"/>
        <v>2.0408661187692747</v>
      </c>
      <c r="AV207" s="5"/>
      <c r="AW207" s="153">
        <f t="shared" si="305"/>
        <v>0.69304229195088674</v>
      </c>
      <c r="AX207" s="153">
        <f t="shared" si="360"/>
        <v>2.155555555555555</v>
      </c>
      <c r="AY207" s="153">
        <f t="shared" si="361"/>
        <v>0.10608048993875767</v>
      </c>
      <c r="AZ207" s="153">
        <f t="shared" si="365"/>
        <v>20.319999999999993</v>
      </c>
      <c r="BA207" s="147">
        <f t="shared" si="350"/>
        <v>3.0231480258994696</v>
      </c>
      <c r="BB207" s="147">
        <f t="shared" si="351"/>
        <v>43.22617667851852</v>
      </c>
      <c r="BC207" s="5">
        <f t="shared" si="359"/>
        <v>0.48880003338424599</v>
      </c>
      <c r="BD207" s="147">
        <f t="shared" si="352"/>
        <v>49.59852185694313</v>
      </c>
      <c r="BF207" s="153">
        <f t="shared" si="366"/>
        <v>0.33220503505395377</v>
      </c>
      <c r="BG207" s="153">
        <f t="shared" si="362"/>
        <v>0.22108822523695063</v>
      </c>
      <c r="BI207" s="463">
        <f t="shared" si="306"/>
        <v>3.8626064860319526E-2</v>
      </c>
      <c r="BJ207" s="463">
        <f t="shared" si="307"/>
        <v>1.5239999999999998E-2</v>
      </c>
      <c r="BK207" s="463">
        <f t="shared" si="308"/>
        <v>1.8800700914804569E-3</v>
      </c>
      <c r="BL207" s="463">
        <f t="shared" si="309"/>
        <v>6.4649022680412374E-3</v>
      </c>
      <c r="BM207">
        <f t="shared" si="310"/>
        <v>2.6099999999999999E-3</v>
      </c>
      <c r="BN207">
        <f t="shared" si="353"/>
        <v>1.5040560731843655E-6</v>
      </c>
      <c r="BO207" s="463">
        <f t="shared" si="377"/>
        <v>7.0539762280460161E-2</v>
      </c>
      <c r="BP207" s="147">
        <f t="shared" si="311"/>
        <v>64.821037219841216</v>
      </c>
      <c r="BQ207" s="463">
        <f t="shared" si="355"/>
        <v>7.4398322550556409E-2</v>
      </c>
      <c r="BT207" s="147">
        <f t="shared" si="312"/>
        <v>74.398322550556415</v>
      </c>
      <c r="BU207" s="463">
        <f t="shared" si="313"/>
        <v>0.11036018531519866</v>
      </c>
      <c r="BV207" s="463">
        <f t="shared" si="314"/>
        <v>4.8880003338424613E-2</v>
      </c>
      <c r="BW207" s="463">
        <f t="shared" si="315"/>
        <v>0</v>
      </c>
      <c r="BX207" s="463"/>
      <c r="BY207" s="463">
        <f t="shared" si="316"/>
        <v>3.5925925925925931E-2</v>
      </c>
      <c r="BZ207" s="147">
        <f t="shared" si="317"/>
        <v>195.1661145795492</v>
      </c>
      <c r="CA207" s="153">
        <f t="shared" si="318"/>
        <v>0.33438547434994681</v>
      </c>
      <c r="CB207" s="5">
        <f t="shared" si="319"/>
        <v>1.94</v>
      </c>
      <c r="CC207" s="153">
        <f t="shared" si="320"/>
        <v>0.85297766006638831</v>
      </c>
      <c r="CD207" s="5">
        <f t="shared" si="321"/>
        <v>85.297766006638824</v>
      </c>
      <c r="CG207" s="59">
        <f t="shared" si="356"/>
        <v>-50</v>
      </c>
      <c r="CH207">
        <f t="shared" si="357"/>
        <v>-50</v>
      </c>
    </row>
    <row r="208" spans="5:86" x14ac:dyDescent="0.25">
      <c r="E208" s="150">
        <v>98</v>
      </c>
      <c r="F208" s="191">
        <f t="shared" si="378"/>
        <v>9.8000000000000004E-2</v>
      </c>
      <c r="G208" s="191"/>
      <c r="H208" s="191">
        <f t="shared" si="367"/>
        <v>1.96</v>
      </c>
      <c r="I208" s="472">
        <f t="shared" si="323"/>
        <v>9</v>
      </c>
      <c r="J208" s="386">
        <f t="shared" si="324"/>
        <v>20.32</v>
      </c>
      <c r="K208" s="386">
        <f t="shared" si="325"/>
        <v>29.32</v>
      </c>
      <c r="L208" s="386"/>
      <c r="M208" s="191">
        <f t="shared" si="326"/>
        <v>0.69304229195088674</v>
      </c>
      <c r="N208" s="152">
        <f t="shared" si="368"/>
        <v>2.1177466575716233</v>
      </c>
      <c r="O208" s="152">
        <f t="shared" si="363"/>
        <v>1.96</v>
      </c>
      <c r="P208" s="191">
        <f t="shared" si="369"/>
        <v>0.10588733287858117</v>
      </c>
      <c r="Q208" s="191">
        <f t="shared" si="329"/>
        <v>20</v>
      </c>
      <c r="R208" s="191"/>
      <c r="S208" s="152">
        <f t="shared" si="330"/>
        <v>22.12322178131857</v>
      </c>
      <c r="T208" s="152">
        <f t="shared" si="370"/>
        <v>20</v>
      </c>
      <c r="U208" s="191">
        <f t="shared" si="332"/>
        <v>0.69829882375814134</v>
      </c>
      <c r="V208" s="191">
        <f t="shared" si="371"/>
        <v>4.6553254917209426</v>
      </c>
      <c r="W208" s="191">
        <f t="shared" si="334"/>
        <v>2.061905975663803</v>
      </c>
      <c r="X208" s="175">
        <f t="shared" si="335"/>
        <v>350</v>
      </c>
      <c r="Y208" s="386">
        <f t="shared" si="303"/>
        <v>148.87085622335047</v>
      </c>
      <c r="AA208" s="191">
        <f t="shared" si="336"/>
        <v>0.29701812512180864</v>
      </c>
      <c r="AB208" s="153">
        <f t="shared" si="372"/>
        <v>0.87702202299746645</v>
      </c>
      <c r="AC208" s="153">
        <f t="shared" si="373"/>
        <v>4.5586001468217563E-2</v>
      </c>
      <c r="AD208" s="153"/>
      <c r="AE208" s="153">
        <f t="shared" si="339"/>
        <v>0.44291338582677164</v>
      </c>
      <c r="AF208" s="317">
        <f t="shared" si="374"/>
        <v>2950.1629629629638</v>
      </c>
      <c r="AG208" s="463">
        <f t="shared" si="341"/>
        <v>1.1626476377952754E-2</v>
      </c>
      <c r="AI208" s="153">
        <f t="shared" si="342"/>
        <v>0.43549205886368736</v>
      </c>
      <c r="AJ208" s="153">
        <f t="shared" si="375"/>
        <v>0.69829882375814134</v>
      </c>
      <c r="AK208" s="153">
        <f t="shared" si="376"/>
        <v>1.5655325491720942</v>
      </c>
      <c r="AM208" s="317">
        <f t="shared" si="345"/>
        <v>98</v>
      </c>
      <c r="AN208" s="147">
        <f t="shared" si="346"/>
        <v>148.87085622335047</v>
      </c>
      <c r="AP208">
        <f t="shared" si="347"/>
        <v>98</v>
      </c>
      <c r="AQ208">
        <f t="shared" si="348"/>
        <v>148.87085622335047</v>
      </c>
      <c r="AS208" s="5">
        <f t="shared" si="364"/>
        <v>6.717231467384746</v>
      </c>
      <c r="AT208" s="5">
        <f t="shared" si="349"/>
        <v>4.6553254917209426</v>
      </c>
      <c r="AU208" s="5">
        <f t="shared" si="304"/>
        <v>2.0619059756638034</v>
      </c>
      <c r="AV208" s="5"/>
      <c r="AW208" s="153">
        <f t="shared" si="305"/>
        <v>0.69304229195088674</v>
      </c>
      <c r="AX208" s="153">
        <f t="shared" si="360"/>
        <v>2.1777777777777776</v>
      </c>
      <c r="AY208" s="153">
        <f t="shared" si="361"/>
        <v>0.10717410323709538</v>
      </c>
      <c r="AZ208" s="153">
        <f t="shared" si="365"/>
        <v>20.319999999999997</v>
      </c>
      <c r="BA208" s="147">
        <f t="shared" si="350"/>
        <v>3.0231480258994696</v>
      </c>
      <c r="BB208" s="147">
        <f t="shared" si="351"/>
        <v>44.119001256296301</v>
      </c>
      <c r="BC208" s="5">
        <f t="shared" si="359"/>
        <v>0.49893033485198202</v>
      </c>
      <c r="BD208" s="147">
        <f t="shared" si="352"/>
        <v>50.618959411124131</v>
      </c>
      <c r="BF208" s="153">
        <f t="shared" si="366"/>
        <v>0.3356298292297677</v>
      </c>
      <c r="BG208" s="153">
        <f t="shared" si="362"/>
        <v>0.2233674852909398</v>
      </c>
      <c r="BI208" s="463">
        <f t="shared" si="306"/>
        <v>3.9426583794081059E-2</v>
      </c>
      <c r="BJ208" s="463">
        <f t="shared" si="307"/>
        <v>1.524E-2</v>
      </c>
      <c r="BK208" s="463">
        <f t="shared" si="308"/>
        <v>1.8608857027918807E-3</v>
      </c>
      <c r="BL208" s="463">
        <f t="shared" si="309"/>
        <v>6.3989338775510213E-3</v>
      </c>
      <c r="BM208">
        <f t="shared" si="310"/>
        <v>2.6099999999999999E-3</v>
      </c>
      <c r="BN208">
        <f t="shared" si="353"/>
        <v>1.4887085622335047E-6</v>
      </c>
      <c r="BO208" s="463">
        <f t="shared" si="377"/>
        <v>7.1379711528990322E-2</v>
      </c>
      <c r="BP208" s="147">
        <f t="shared" si="311"/>
        <v>65.536403374423955</v>
      </c>
      <c r="BQ208" s="463">
        <f t="shared" si="355"/>
        <v>7.555427758269144E-2</v>
      </c>
      <c r="BT208" s="147">
        <f t="shared" si="312"/>
        <v>75.554277582691441</v>
      </c>
      <c r="BU208" s="463">
        <f t="shared" si="313"/>
        <v>0.11264738226880303</v>
      </c>
      <c r="BV208" s="463">
        <f t="shared" si="314"/>
        <v>4.9893033485198211E-2</v>
      </c>
      <c r="BW208" s="463">
        <f t="shared" si="315"/>
        <v>0</v>
      </c>
      <c r="BX208" s="463"/>
      <c r="BY208" s="463">
        <f t="shared" si="316"/>
        <v>3.6296296296296299E-2</v>
      </c>
      <c r="BZ208" s="147">
        <f t="shared" si="317"/>
        <v>198.83671205029754</v>
      </c>
      <c r="CA208" s="153">
        <f t="shared" si="318"/>
        <v>0.33992739300741293</v>
      </c>
      <c r="CB208" s="5">
        <f t="shared" si="319"/>
        <v>1.96</v>
      </c>
      <c r="CC208" s="153">
        <f t="shared" si="320"/>
        <v>0.85220081553838989</v>
      </c>
      <c r="CD208" s="5">
        <f t="shared" si="321"/>
        <v>85.220081553838995</v>
      </c>
      <c r="CG208" s="59">
        <f t="shared" si="356"/>
        <v>-50</v>
      </c>
      <c r="CH208">
        <f t="shared" si="357"/>
        <v>-50</v>
      </c>
    </row>
    <row r="209" spans="5:88" x14ac:dyDescent="0.25">
      <c r="E209" s="150">
        <v>99</v>
      </c>
      <c r="F209" s="191">
        <f t="shared" si="378"/>
        <v>9.9000000000000005E-2</v>
      </c>
      <c r="G209" s="191"/>
      <c r="H209" s="191">
        <f t="shared" si="367"/>
        <v>1.98</v>
      </c>
      <c r="I209" s="472">
        <f t="shared" si="323"/>
        <v>9</v>
      </c>
      <c r="J209" s="386">
        <f t="shared" si="324"/>
        <v>20.32</v>
      </c>
      <c r="K209" s="386">
        <f t="shared" si="325"/>
        <v>29.32</v>
      </c>
      <c r="L209" s="386"/>
      <c r="M209" s="191">
        <f t="shared" si="326"/>
        <v>0.69304229195088674</v>
      </c>
      <c r="N209" s="152">
        <f t="shared" si="368"/>
        <v>2.1177466575716233</v>
      </c>
      <c r="O209" s="152">
        <f t="shared" si="363"/>
        <v>1.98</v>
      </c>
      <c r="P209" s="191">
        <f t="shared" si="369"/>
        <v>0.10588733287858117</v>
      </c>
      <c r="Q209" s="191">
        <f t="shared" si="329"/>
        <v>20</v>
      </c>
      <c r="R209" s="191"/>
      <c r="S209" s="152">
        <f t="shared" si="330"/>
        <v>21.811946815508097</v>
      </c>
      <c r="T209" s="152">
        <f t="shared" si="370"/>
        <v>20</v>
      </c>
      <c r="U209" s="191">
        <f t="shared" si="332"/>
        <v>0.70542432195975513</v>
      </c>
      <c r="V209" s="191">
        <f t="shared" si="371"/>
        <v>4.7028288130650342</v>
      </c>
      <c r="W209" s="191">
        <f t="shared" si="334"/>
        <v>2.0829458325583321</v>
      </c>
      <c r="X209" s="175">
        <f t="shared" si="335"/>
        <v>350</v>
      </c>
      <c r="Y209" s="386">
        <f t="shared" si="303"/>
        <v>147.36711020089237</v>
      </c>
      <c r="AA209" s="191">
        <f t="shared" si="336"/>
        <v>0.29701812512180864</v>
      </c>
      <c r="AB209" s="153">
        <f t="shared" si="372"/>
        <v>0.87702202299746645</v>
      </c>
      <c r="AC209" s="153">
        <f t="shared" si="373"/>
        <v>4.5586001468217563E-2</v>
      </c>
      <c r="AD209" s="153"/>
      <c r="AE209" s="153">
        <f t="shared" si="339"/>
        <v>0.44291338582677164</v>
      </c>
      <c r="AF209" s="317">
        <f t="shared" si="374"/>
        <v>2980.2666666666673</v>
      </c>
      <c r="AG209" s="463">
        <f t="shared" si="341"/>
        <v>1.1626476377952754E-2</v>
      </c>
      <c r="AI209" s="153">
        <f t="shared" si="342"/>
        <v>0.43770831775118396</v>
      </c>
      <c r="AJ209" s="153">
        <f t="shared" si="375"/>
        <v>0.70542432195975513</v>
      </c>
      <c r="AK209" s="153">
        <f t="shared" si="376"/>
        <v>1.5702828813065035</v>
      </c>
      <c r="AM209" s="317">
        <f t="shared" si="345"/>
        <v>99</v>
      </c>
      <c r="AN209" s="147">
        <f t="shared" si="346"/>
        <v>147.36711020089237</v>
      </c>
      <c r="AP209">
        <f t="shared" si="347"/>
        <v>99</v>
      </c>
      <c r="AQ209">
        <f t="shared" si="348"/>
        <v>147.36711020089237</v>
      </c>
      <c r="AS209" s="5">
        <f t="shared" si="364"/>
        <v>6.7857746456233663</v>
      </c>
      <c r="AT209" s="5">
        <f t="shared" si="349"/>
        <v>4.7028288130650342</v>
      </c>
      <c r="AU209" s="5">
        <f t="shared" si="304"/>
        <v>2.0829458325583321</v>
      </c>
      <c r="AV209" s="5"/>
      <c r="AW209" s="153">
        <f t="shared" si="305"/>
        <v>0.69304229195088674</v>
      </c>
      <c r="AX209" s="153">
        <f t="shared" si="360"/>
        <v>2.2000000000000006</v>
      </c>
      <c r="AY209" s="153">
        <f t="shared" si="361"/>
        <v>0.1082677165354331</v>
      </c>
      <c r="AZ209" s="153">
        <f t="shared" si="365"/>
        <v>20.32</v>
      </c>
      <c r="BA209" s="147">
        <f t="shared" si="350"/>
        <v>3.0231480258994696</v>
      </c>
      <c r="BB209" s="147">
        <f t="shared" si="351"/>
        <v>45.020952239999993</v>
      </c>
      <c r="BC209" s="5">
        <f t="shared" si="359"/>
        <v>0.50916453684759222</v>
      </c>
      <c r="BD209" s="147">
        <f t="shared" si="352"/>
        <v>51.64978701809256</v>
      </c>
      <c r="BF209" s="153">
        <f t="shared" si="366"/>
        <v>0.33905462340558173</v>
      </c>
      <c r="BG209" s="153">
        <f t="shared" si="362"/>
        <v>0.22564674534492901</v>
      </c>
      <c r="BI209" s="463">
        <f t="shared" si="306"/>
        <v>4.0235313178445295E-2</v>
      </c>
      <c r="BJ209" s="463">
        <f t="shared" si="307"/>
        <v>1.524E-2</v>
      </c>
      <c r="BK209" s="463">
        <f t="shared" si="308"/>
        <v>1.8420888775111546E-3</v>
      </c>
      <c r="BL209" s="463">
        <f t="shared" si="309"/>
        <v>6.3342981818181815E-3</v>
      </c>
      <c r="BM209">
        <f t="shared" si="310"/>
        <v>2.6099999999999999E-3</v>
      </c>
      <c r="BN209">
        <f t="shared" si="353"/>
        <v>1.4736711020089237E-6</v>
      </c>
      <c r="BO209" s="463">
        <f t="shared" si="377"/>
        <v>7.2231142958398803E-2</v>
      </c>
      <c r="BP209" s="147">
        <f t="shared" si="311"/>
        <v>66.261700237774633</v>
      </c>
      <c r="BQ209" s="463">
        <f t="shared" si="355"/>
        <v>7.6718170615156067E-2</v>
      </c>
      <c r="BT209" s="147">
        <f t="shared" si="312"/>
        <v>76.718170615156069</v>
      </c>
      <c r="BU209" s="463">
        <f t="shared" si="313"/>
        <v>0.11495803765270085</v>
      </c>
      <c r="BV209" s="463">
        <f t="shared" si="314"/>
        <v>5.0916453684759243E-2</v>
      </c>
      <c r="BW209" s="463">
        <f t="shared" si="315"/>
        <v>0</v>
      </c>
      <c r="BX209" s="463"/>
      <c r="BY209" s="463">
        <f t="shared" si="316"/>
        <v>3.6666666666666681E-2</v>
      </c>
      <c r="BZ209" s="147">
        <f t="shared" si="317"/>
        <v>202.54115800412677</v>
      </c>
      <c r="CA209" s="153">
        <f t="shared" si="318"/>
        <v>0.34552102885705749</v>
      </c>
      <c r="CB209" s="5">
        <f t="shared" si="319"/>
        <v>1.98</v>
      </c>
      <c r="CC209" s="153">
        <f t="shared" si="320"/>
        <v>0.85142210086705883</v>
      </c>
      <c r="CD209" s="5">
        <f t="shared" si="321"/>
        <v>85.142210086705887</v>
      </c>
      <c r="CG209" s="59">
        <f t="shared" si="356"/>
        <v>-50</v>
      </c>
      <c r="CH209">
        <f t="shared" si="357"/>
        <v>-50</v>
      </c>
    </row>
    <row r="210" spans="5:88" x14ac:dyDescent="0.25">
      <c r="E210" s="150">
        <v>100</v>
      </c>
      <c r="F210" s="191">
        <f t="shared" si="378"/>
        <v>0.1</v>
      </c>
      <c r="G210" s="191"/>
      <c r="H210" s="191">
        <f t="shared" si="367"/>
        <v>2</v>
      </c>
      <c r="I210" s="472">
        <f t="shared" si="323"/>
        <v>9</v>
      </c>
      <c r="J210" s="386">
        <f t="shared" si="324"/>
        <v>20.32</v>
      </c>
      <c r="K210" s="386">
        <f t="shared" si="325"/>
        <v>29.32</v>
      </c>
      <c r="L210" s="386"/>
      <c r="M210" s="191">
        <f t="shared" si="326"/>
        <v>0.69304229195088674</v>
      </c>
      <c r="N210" s="152">
        <f t="shared" si="368"/>
        <v>2.1177466575716233</v>
      </c>
      <c r="O210" s="152">
        <f t="shared" si="363"/>
        <v>2</v>
      </c>
      <c r="P210" s="191">
        <f t="shared" si="369"/>
        <v>0.10588733287858117</v>
      </c>
      <c r="Q210" s="191">
        <f t="shared" si="329"/>
        <v>20</v>
      </c>
      <c r="R210" s="191"/>
      <c r="S210" s="152">
        <f t="shared" si="330"/>
        <v>21.506946991993718</v>
      </c>
      <c r="T210" s="152">
        <f t="shared" si="370"/>
        <v>20</v>
      </c>
      <c r="U210" s="191">
        <f t="shared" si="332"/>
        <v>0.71254982016136881</v>
      </c>
      <c r="V210" s="191">
        <f t="shared" si="371"/>
        <v>4.7503321344091249</v>
      </c>
      <c r="W210" s="191">
        <f t="shared" si="334"/>
        <v>2.1039856894528608</v>
      </c>
      <c r="X210" s="175">
        <f t="shared" si="335"/>
        <v>350</v>
      </c>
      <c r="Y210" s="386">
        <f t="shared" si="303"/>
        <v>145.89343909888345</v>
      </c>
      <c r="AA210" s="191">
        <f t="shared" si="336"/>
        <v>0.29701812512180864</v>
      </c>
      <c r="AB210" s="153">
        <f t="shared" si="372"/>
        <v>0.87702202299746645</v>
      </c>
      <c r="AC210" s="153">
        <f t="shared" si="373"/>
        <v>4.5586001468217563E-2</v>
      </c>
      <c r="AD210" s="153"/>
      <c r="AE210" s="153">
        <f t="shared" si="339"/>
        <v>0.44291338582677164</v>
      </c>
      <c r="AF210" s="317">
        <f t="shared" si="374"/>
        <v>3010.3703703703709</v>
      </c>
      <c r="AG210" s="463">
        <f t="shared" si="341"/>
        <v>1.1626476377952754E-2</v>
      </c>
      <c r="AI210" s="153">
        <f t="shared" si="342"/>
        <v>0.43991341139343493</v>
      </c>
      <c r="AJ210" s="153">
        <f t="shared" si="375"/>
        <v>0.71254982016136881</v>
      </c>
      <c r="AK210" s="153">
        <f t="shared" si="376"/>
        <v>1.5750332134409124</v>
      </c>
      <c r="AM210" s="317">
        <f t="shared" si="345"/>
        <v>100</v>
      </c>
      <c r="AN210" s="147">
        <f t="shared" si="346"/>
        <v>145.89343909888345</v>
      </c>
      <c r="AP210">
        <f t="shared" si="347"/>
        <v>100</v>
      </c>
      <c r="AQ210">
        <f t="shared" si="348"/>
        <v>145.89343909888345</v>
      </c>
      <c r="AS210" s="5">
        <f t="shared" si="364"/>
        <v>6.8543178238619857</v>
      </c>
      <c r="AT210" s="5">
        <f t="shared" si="349"/>
        <v>4.7503321344091249</v>
      </c>
      <c r="AU210" s="5">
        <f t="shared" si="304"/>
        <v>2.1039856894528608</v>
      </c>
      <c r="AV210" s="5"/>
      <c r="AW210" s="153">
        <f t="shared" si="305"/>
        <v>0.69304229195088674</v>
      </c>
      <c r="AX210" s="153">
        <f t="shared" si="360"/>
        <v>2.2222222222222228</v>
      </c>
      <c r="AY210" s="153">
        <f t="shared" si="361"/>
        <v>0.10936132983377081</v>
      </c>
      <c r="AZ210" s="153">
        <f t="shared" si="365"/>
        <v>20.32</v>
      </c>
      <c r="BA210" s="147">
        <f t="shared" si="350"/>
        <v>3.0231480258994696</v>
      </c>
      <c r="BB210" s="147">
        <f t="shared" si="351"/>
        <v>45.932029629629632</v>
      </c>
      <c r="BC210" s="5">
        <f t="shared" si="359"/>
        <v>0.51950263937107677</v>
      </c>
      <c r="BD210" s="147">
        <f t="shared" si="352"/>
        <v>52.691004677848412</v>
      </c>
      <c r="BF210" s="153">
        <f t="shared" si="366"/>
        <v>0.34247941758139566</v>
      </c>
      <c r="BG210" s="153">
        <f t="shared" si="362"/>
        <v>0.22792600539891819</v>
      </c>
      <c r="BI210" s="463">
        <f t="shared" si="306"/>
        <v>4.1052253013412192E-2</v>
      </c>
      <c r="BJ210" s="463">
        <f t="shared" si="307"/>
        <v>1.524E-2</v>
      </c>
      <c r="BK210" s="463">
        <f t="shared" si="308"/>
        <v>1.8236679887360429E-3</v>
      </c>
      <c r="BL210" s="463">
        <f t="shared" si="309"/>
        <v>6.2709552E-3</v>
      </c>
      <c r="BM210">
        <f t="shared" si="310"/>
        <v>2.6099999999999999E-3</v>
      </c>
      <c r="BN210">
        <f t="shared" si="353"/>
        <v>1.4589343909888345E-6</v>
      </c>
      <c r="BO210" s="463">
        <f t="shared" si="377"/>
        <v>7.3094013635562685E-2</v>
      </c>
      <c r="BP210" s="147">
        <f t="shared" si="311"/>
        <v>66.996876202148243</v>
      </c>
      <c r="BQ210" s="463">
        <f t="shared" si="355"/>
        <v>7.7890001647950291E-2</v>
      </c>
      <c r="BT210" s="147">
        <f t="shared" si="312"/>
        <v>77.890001647950285</v>
      </c>
      <c r="BU210" s="463">
        <f t="shared" si="313"/>
        <v>0.11729215146689198</v>
      </c>
      <c r="BV210" s="463">
        <f t="shared" si="314"/>
        <v>5.1950263937107687E-2</v>
      </c>
      <c r="BW210" s="463">
        <f t="shared" si="315"/>
        <v>0</v>
      </c>
      <c r="BX210" s="463"/>
      <c r="BY210" s="463">
        <f t="shared" si="316"/>
        <v>3.7037037037037049E-2</v>
      </c>
      <c r="BZ210" s="147">
        <f t="shared" si="317"/>
        <v>206.27945244103674</v>
      </c>
      <c r="CA210" s="153">
        <f t="shared" si="318"/>
        <v>0.3511663302911352</v>
      </c>
      <c r="CB210" s="5">
        <f t="shared" si="319"/>
        <v>2</v>
      </c>
      <c r="CC210" s="153">
        <f t="shared" si="320"/>
        <v>0.8506416471829743</v>
      </c>
      <c r="CD210" s="5">
        <f t="shared" si="321"/>
        <v>85.064164718297434</v>
      </c>
      <c r="CG210" s="59">
        <f t="shared" si="356"/>
        <v>-50</v>
      </c>
      <c r="CH210">
        <f t="shared" si="357"/>
        <v>-50</v>
      </c>
    </row>
    <row r="211" spans="5:88" x14ac:dyDescent="0.25">
      <c r="E211" s="150"/>
      <c r="F211" s="191"/>
      <c r="G211" s="191"/>
      <c r="H211" s="191"/>
      <c r="I211" s="472"/>
      <c r="J211" s="386"/>
      <c r="K211" s="386"/>
      <c r="L211" s="386"/>
      <c r="M211" s="191"/>
      <c r="N211" s="152"/>
      <c r="O211" s="152"/>
      <c r="P211" s="191"/>
      <c r="Q211" s="191"/>
      <c r="R211" s="191"/>
      <c r="S211" s="152"/>
      <c r="T211" s="152"/>
      <c r="U211" s="191"/>
      <c r="V211" s="191"/>
      <c r="W211" s="191"/>
      <c r="X211" s="175"/>
      <c r="Y211" s="386"/>
      <c r="AA211" s="191"/>
      <c r="AB211" s="153"/>
      <c r="AC211" s="153"/>
      <c r="AD211" s="153"/>
      <c r="AE211" s="153"/>
      <c r="AF211" s="317"/>
      <c r="AG211" s="463"/>
      <c r="AI211" s="153"/>
      <c r="AJ211" s="153"/>
      <c r="AK211" s="153"/>
      <c r="AM211" s="317"/>
      <c r="AN211" s="147"/>
      <c r="AS211" s="5"/>
      <c r="AT211" s="5"/>
      <c r="AU211" s="5"/>
      <c r="AV211" s="5"/>
      <c r="AW211" s="153"/>
      <c r="AX211" s="153"/>
      <c r="BA211" s="147"/>
      <c r="BB211" s="147"/>
      <c r="BC211" s="5"/>
      <c r="BD211" s="147"/>
      <c r="BQ211" s="463"/>
      <c r="CB211" s="5"/>
      <c r="CG211" s="59"/>
      <c r="CI211" s="465">
        <f>MAX(CH110:CH210)</f>
        <v>-50</v>
      </c>
      <c r="CJ211" s="59" t="s">
        <v>45</v>
      </c>
    </row>
    <row r="212" spans="5:88" x14ac:dyDescent="0.25">
      <c r="E212" s="150">
        <v>101</v>
      </c>
      <c r="F212" s="191">
        <f>Ioutmax_Vinmin</f>
        <v>0.10588733287858117</v>
      </c>
      <c r="H212" s="191">
        <f t="shared" ref="H212" si="379">F212*Vout</f>
        <v>2.1177466575716233</v>
      </c>
      <c r="I212" s="472">
        <f t="shared" si="323"/>
        <v>9</v>
      </c>
      <c r="J212" s="386">
        <f t="shared" ref="J212" si="380">(T212+Vfwd1)*Nps</f>
        <v>20.149085339534516</v>
      </c>
      <c r="K212" s="386">
        <f t="shared" ref="K212" si="381">(Vout+Vfwd1)*Nps+I212</f>
        <v>29.32</v>
      </c>
      <c r="L212" s="386"/>
      <c r="M212" s="191">
        <f t="shared" ref="M212" si="382">(Vout+Vfwd1)*Nps/((Vout+Vfwd1)*Nps+I212)</f>
        <v>0.69304229195088674</v>
      </c>
      <c r="N212" s="152">
        <f>M212*I212*(Isw_max+VIN_min/Lmag*ILIM_delay)*0.5*Efficiency</f>
        <v>2.1177466575716233</v>
      </c>
      <c r="O212" s="152">
        <f t="shared" ref="O212" si="383">T212*F212</f>
        <v>2.0996489600250849</v>
      </c>
      <c r="P212" s="191">
        <f t="shared" ref="P212" si="384">N212/Vout</f>
        <v>0.10588733287858117</v>
      </c>
      <c r="Q212" s="191">
        <f t="shared" ref="Q212" si="385">MIN(Vout,N212/F212)</f>
        <v>20</v>
      </c>
      <c r="R212" s="191"/>
      <c r="S212" s="152">
        <f t="shared" ref="S212" si="386">(SQRT(Isw_max^2*Nps^2*I212^2+4*Isw_max*F212/Efficiency*(Nps^2*Vfwd1*I212-Nps*I212^2)+4*(F212/Efficiency)^2*Nps^2*Vfwd1^2+8*(F212/Efficiency)^2*Nps*Vfwd1*I212+4*(F212/Efficiency)^2*I212^2)-2*F212/Efficiency*I212-2*F212/Efficiency*Nps*Vfwd1+Isw_max*Nps*I212)/(4*F212/Efficiency*Nps)</f>
        <v>19.829085339534515</v>
      </c>
      <c r="T212" s="152">
        <f t="shared" ref="T212" si="387">MIN(Vout, S212)</f>
        <v>19.829085339534515</v>
      </c>
      <c r="U212" s="191">
        <f>MIN(2*Vout*F212/(Efficiency*I212*M212), Isw_max)</f>
        <v>0.75</v>
      </c>
      <c r="V212" s="191">
        <f t="shared" ref="V212" si="388">L*U212/I212*1000000</f>
        <v>5</v>
      </c>
      <c r="W212" s="191">
        <f t="shared" ref="W212" si="389">L*U212/J212*1000000</f>
        <v>2.2333519979542453</v>
      </c>
      <c r="X212" s="175">
        <f t="shared" ref="X212" si="390">IF(1/((350000*L)*(1/I212+1/J212))&gt;Isw_min, 350, 0.001/((Isw_min*L)*(1/I212+1/J212)))</f>
        <v>350</v>
      </c>
      <c r="Y212" s="386">
        <f t="shared" ref="Y212" si="391">MIN(1/(V212+W212)*1000, 350)</f>
        <v>138.24849119506729</v>
      </c>
      <c r="AA212" s="191">
        <f t="shared" ref="AA212" si="392">1/((X212*1000*L)*(1/I212+1/J212))</f>
        <v>0.29624676684657286</v>
      </c>
      <c r="AB212" s="153">
        <f t="shared" ref="AB212" si="393">L*AA212/J212*1000000</f>
        <v>0.88216441149903868</v>
      </c>
      <c r="AC212" s="153">
        <f t="shared" ref="AC212" si="394">0.5*AB212*AA212*Nps*X212/1000</f>
        <v>4.5734212078397479E-2</v>
      </c>
      <c r="AD212" s="153"/>
      <c r="AE212" s="153">
        <f t="shared" ref="AE212" si="395">L*Isw_min/J212*1000000</f>
        <v>0.44667039959084903</v>
      </c>
      <c r="AF212" s="317">
        <f>MAX(12000,F212/(0.5*AE212/1000000*Isw_min*Nps))/1000</f>
        <v>3160.7894911796011</v>
      </c>
      <c r="AG212" s="463">
        <f t="shared" ref="AG212" si="396">0.5*AE212/1000000*Isw_min*Nps*X212*1000</f>
        <v>1.1725097989259787E-2</v>
      </c>
      <c r="AI212" s="153">
        <f t="shared" ref="AI212" si="397">SQRT(F212/(0.5*L/J212*Fsw_DCM*Nps))</f>
        <v>0.45077001913088682</v>
      </c>
      <c r="AJ212" s="153">
        <f t="shared" ref="AJ212" si="398">MAX(IF(F212&gt;AC212,U212,AI212),Isw_min)</f>
        <v>0.75</v>
      </c>
      <c r="AK212" s="153">
        <f t="shared" ref="AK212" si="399">IF(F212&gt;AG212, (AJ212-Isw_min)/1.08*0.8+1.2, AF212*0.2/350+1)</f>
        <v>1.6444444444444444</v>
      </c>
      <c r="AM212" s="317">
        <f t="shared" ref="AM212" si="400">F212*1000</f>
        <v>105.88733287858116</v>
      </c>
      <c r="AN212" s="147">
        <f t="shared" ref="AN212" si="401">IF(F212&gt;AG212, Y212, AF212)</f>
        <v>138.24849119506729</v>
      </c>
      <c r="AS212" s="5">
        <f t="shared" ref="AS212" si="402">1/AN212*1000</f>
        <v>7.2333519979542462</v>
      </c>
      <c r="AT212" s="5">
        <f t="shared" ref="AT212" si="403">L*AJ212/I212*1000000</f>
        <v>5</v>
      </c>
      <c r="AU212" s="5">
        <f t="shared" si="304"/>
        <v>2.2333519979542462</v>
      </c>
      <c r="AV212" s="5"/>
      <c r="AW212" s="153"/>
      <c r="AX212" s="153"/>
      <c r="BA212" s="147">
        <f>L*Isw_max^2/(2*Vout_ripple*Vout)*1000000000*((1+M212)/2)^2</f>
        <v>3.0231480258994696</v>
      </c>
      <c r="BB212" s="147">
        <f>L*F212^2/(2*Cout*Vout*Nps^2)*1000000000*((1+M212)/(1-M212))^2+F212*RCoutEsr</f>
        <v>51.480874351474725</v>
      </c>
      <c r="BC212" s="5">
        <f t="shared" si="359"/>
        <v>0.58391033689487803</v>
      </c>
      <c r="BD212" s="147">
        <f>((CB212/I212/Efficiency)*AU212/Cin+(CB212/I212/Efficiency)*RCinEsr)*1000</f>
        <v>58.669687267596693</v>
      </c>
      <c r="BQ212" s="463">
        <f>(Vfwd2*F212+BG212^2*Rdiode)*(1+Diode_TC/1000*(Ta-25))</f>
        <v>4.0448961159618005E-2</v>
      </c>
      <c r="CB212" s="5">
        <f t="shared" si="319"/>
        <v>2.0996489600250849</v>
      </c>
      <c r="CG212" s="59"/>
    </row>
    <row r="213" spans="5:88" x14ac:dyDescent="0.25">
      <c r="H213" s="191"/>
      <c r="I213" s="472"/>
      <c r="J213" s="386"/>
      <c r="K213" s="386"/>
      <c r="L213" s="386"/>
      <c r="M213" s="191"/>
      <c r="N213" s="152"/>
      <c r="O213" s="152"/>
      <c r="P213" s="191"/>
      <c r="Q213" s="191"/>
      <c r="R213" s="191"/>
      <c r="S213" s="152"/>
      <c r="T213" s="152"/>
      <c r="U213" s="191"/>
      <c r="V213" s="191"/>
      <c r="W213" s="191"/>
      <c r="X213" s="175"/>
      <c r="Y213" s="386"/>
      <c r="AA213" s="191"/>
      <c r="AB213" s="153"/>
      <c r="AC213" s="153"/>
      <c r="AD213" s="153"/>
      <c r="AE213" s="153"/>
      <c r="AF213" s="317"/>
      <c r="AI213" s="153"/>
      <c r="AJ213" s="153"/>
      <c r="AK213" s="153"/>
      <c r="AM213" s="317"/>
      <c r="AN213" s="147"/>
      <c r="AS213" s="5"/>
      <c r="AT213" s="5"/>
      <c r="AU213" s="5"/>
      <c r="AV213" s="5"/>
      <c r="AW213" s="153"/>
      <c r="AX213" s="153"/>
      <c r="BA213" s="147"/>
      <c r="BB213" s="147"/>
      <c r="BC213" s="5"/>
      <c r="BD213" s="147"/>
      <c r="BQ213" s="463"/>
      <c r="CG213" s="59"/>
    </row>
    <row r="214" spans="5:88" x14ac:dyDescent="0.25">
      <c r="E214" s="162" t="s">
        <v>442</v>
      </c>
      <c r="H214" s="191"/>
      <c r="I214" s="472"/>
      <c r="J214" s="386"/>
      <c r="K214" s="386"/>
      <c r="L214" s="386"/>
      <c r="M214" s="191"/>
      <c r="N214" s="152"/>
      <c r="O214" s="152"/>
      <c r="P214" s="191"/>
      <c r="Q214" s="191"/>
      <c r="R214" s="191"/>
      <c r="S214" s="152"/>
      <c r="T214" s="152"/>
      <c r="U214" s="191"/>
      <c r="V214" s="191"/>
      <c r="W214" s="191"/>
      <c r="X214" s="175"/>
      <c r="Y214" s="386"/>
      <c r="AA214" s="191"/>
      <c r="AB214" s="153"/>
      <c r="AC214" s="153"/>
      <c r="AD214" s="153"/>
      <c r="AE214" s="153"/>
      <c r="AF214" s="317"/>
      <c r="AI214" s="153"/>
      <c r="AJ214" s="153"/>
      <c r="AK214" s="153"/>
      <c r="AM214" s="317"/>
      <c r="AN214" s="147"/>
      <c r="AS214" s="5"/>
      <c r="AT214" s="5"/>
      <c r="AU214" s="5"/>
      <c r="AV214" s="5"/>
      <c r="AW214" s="153"/>
      <c r="AX214" s="153"/>
      <c r="BA214" s="147"/>
      <c r="BB214" s="147"/>
      <c r="BC214" s="5"/>
      <c r="BD214" s="147"/>
      <c r="BQ214" s="463"/>
      <c r="CG214" s="59"/>
    </row>
    <row r="215" spans="5:88" ht="45" customHeight="1" thickBot="1" x14ac:dyDescent="0.3">
      <c r="E215" s="214" t="s">
        <v>25</v>
      </c>
      <c r="F215" s="387" t="s">
        <v>194</v>
      </c>
      <c r="G215" s="233"/>
      <c r="H215" s="462" t="s">
        <v>223</v>
      </c>
      <c r="I215" s="215" t="s">
        <v>419</v>
      </c>
      <c r="J215" s="216" t="s">
        <v>425</v>
      </c>
      <c r="K215" s="462" t="s">
        <v>420</v>
      </c>
      <c r="L215" s="462"/>
      <c r="M215" s="217" t="s">
        <v>48</v>
      </c>
      <c r="N215" s="462" t="s">
        <v>409</v>
      </c>
      <c r="O215" s="462" t="s">
        <v>671</v>
      </c>
      <c r="P215" s="462" t="s">
        <v>410</v>
      </c>
      <c r="Q215" s="462" t="s">
        <v>440</v>
      </c>
      <c r="R215" s="462"/>
      <c r="S215" s="462" t="s">
        <v>672</v>
      </c>
      <c r="T215" s="462" t="s">
        <v>670</v>
      </c>
      <c r="U215" s="462" t="s">
        <v>421</v>
      </c>
      <c r="V215" s="462" t="s">
        <v>473</v>
      </c>
      <c r="W215" s="462" t="s">
        <v>472</v>
      </c>
      <c r="X215" s="476" t="s">
        <v>427</v>
      </c>
      <c r="Y215" s="473" t="s">
        <v>432</v>
      </c>
      <c r="AA215" s="218" t="s">
        <v>424</v>
      </c>
      <c r="AB215" s="218" t="s">
        <v>471</v>
      </c>
      <c r="AC215" s="218" t="s">
        <v>430</v>
      </c>
      <c r="AD215" s="475"/>
      <c r="AE215" s="218" t="s">
        <v>470</v>
      </c>
      <c r="AF215" s="218" t="s">
        <v>433</v>
      </c>
      <c r="AG215" s="218" t="s">
        <v>434</v>
      </c>
      <c r="AH215" s="475"/>
      <c r="AI215" s="218" t="s">
        <v>436</v>
      </c>
      <c r="AJ215" s="477" t="s">
        <v>437</v>
      </c>
      <c r="AK215" s="477" t="s">
        <v>438</v>
      </c>
      <c r="AM215" s="474" t="s">
        <v>274</v>
      </c>
      <c r="AN215" s="474" t="s">
        <v>439</v>
      </c>
      <c r="AP215" s="218" t="s">
        <v>274</v>
      </c>
      <c r="AQ215" s="218" t="s">
        <v>439</v>
      </c>
      <c r="AR215" s="478"/>
      <c r="AS215" s="218" t="s">
        <v>474</v>
      </c>
      <c r="AT215" s="218" t="s">
        <v>468</v>
      </c>
      <c r="AU215" s="218" t="s">
        <v>469</v>
      </c>
      <c r="AV215" s="218" t="s">
        <v>668</v>
      </c>
      <c r="AW215" s="218" t="s">
        <v>48</v>
      </c>
      <c r="AX215" s="478" t="s">
        <v>666</v>
      </c>
      <c r="AY215" s="475" t="s">
        <v>665</v>
      </c>
      <c r="AZ215" s="475" t="s">
        <v>667</v>
      </c>
      <c r="BA215" s="218" t="s">
        <v>489</v>
      </c>
      <c r="BB215" s="218" t="s">
        <v>794</v>
      </c>
      <c r="BC215" s="218" t="s">
        <v>525</v>
      </c>
      <c r="BD215" s="218" t="s">
        <v>795</v>
      </c>
      <c r="BE215" s="475"/>
      <c r="BF215" s="486" t="s">
        <v>463</v>
      </c>
      <c r="BG215" s="218" t="s">
        <v>464</v>
      </c>
      <c r="BH215" s="475"/>
      <c r="BI215" s="486" t="s">
        <v>481</v>
      </c>
      <c r="BJ215" s="218" t="s">
        <v>482</v>
      </c>
      <c r="BK215" s="218" t="s">
        <v>480</v>
      </c>
      <c r="BL215" s="218" t="s">
        <v>476</v>
      </c>
      <c r="BM215" s="218" t="s">
        <v>485</v>
      </c>
      <c r="BN215" s="218"/>
      <c r="BO215" s="218"/>
      <c r="BP215" s="218" t="s">
        <v>500</v>
      </c>
      <c r="BQ215" s="486" t="s">
        <v>483</v>
      </c>
      <c r="BR215" s="218" t="s">
        <v>484</v>
      </c>
      <c r="BS215" s="218" t="s">
        <v>492</v>
      </c>
      <c r="BT215" s="218" t="s">
        <v>496</v>
      </c>
      <c r="BU215" s="486" t="s">
        <v>465</v>
      </c>
      <c r="BV215" s="218" t="s">
        <v>466</v>
      </c>
      <c r="BW215" s="218" t="s">
        <v>475</v>
      </c>
      <c r="BX215" s="218"/>
      <c r="BY215" s="218" t="s">
        <v>493</v>
      </c>
      <c r="BZ215" s="218" t="s">
        <v>495</v>
      </c>
      <c r="CA215" s="486" t="s">
        <v>491</v>
      </c>
      <c r="CB215" s="218" t="s">
        <v>223</v>
      </c>
      <c r="CC215" s="218" t="s">
        <v>47</v>
      </c>
      <c r="CD215" s="218" t="s">
        <v>494</v>
      </c>
      <c r="CE215" s="218"/>
      <c r="CG215" s="59"/>
    </row>
    <row r="216" spans="5:88" x14ac:dyDescent="0.25">
      <c r="E216" s="150">
        <v>0.1</v>
      </c>
      <c r="F216" s="191">
        <v>1.0000000000000001E-9</v>
      </c>
      <c r="G216" s="191"/>
      <c r="H216" s="191">
        <f t="shared" ref="H216:H247" si="404">F216*Vout</f>
        <v>2E-8</v>
      </c>
      <c r="I216" s="472">
        <f t="shared" ref="I216:I247" si="405">VIN_max</f>
        <v>21</v>
      </c>
      <c r="J216" s="386">
        <f t="shared" ref="J216:J247" si="406">(T216+Vfwd1)*Nps</f>
        <v>20.32</v>
      </c>
      <c r="K216" s="386">
        <f t="shared" ref="K216:K247" si="407">(Vout+Vfwd1)*Nps+I216</f>
        <v>41.32</v>
      </c>
      <c r="L216" s="386"/>
      <c r="M216" s="191">
        <f t="shared" ref="M216:M247" si="408">(Vout+Vfwd1)*Nps/((Vout+Vfwd1)*Nps+I216)</f>
        <v>0.49177153920619554</v>
      </c>
      <c r="N216" s="152">
        <f t="shared" ref="N216:N247" si="409">M216*I216*(Isw_max+VIN_max/Lmag*ILIM_delay)*0.5*Efficiency</f>
        <v>3.5342268151016456</v>
      </c>
      <c r="O216" s="152">
        <f t="shared" si="363"/>
        <v>2E-8</v>
      </c>
      <c r="P216" s="191">
        <f t="shared" ref="P216:P247" si="410">N216/Vout</f>
        <v>0.17671134075508227</v>
      </c>
      <c r="Q216" s="191">
        <f t="shared" ref="Q216:Q247" si="411">MIN(Vout,N216/F216)</f>
        <v>20</v>
      </c>
      <c r="R216" s="191"/>
      <c r="S216" s="152">
        <f t="shared" ref="S216:S247" si="412">(SQRT(Isw_max^2*Nps^2*I216^2+4*Isw_max*F216/Efficiency*(Nps^2*Vfwd1*I216-Nps*I216^2)+4*(F216/Efficiency)^2*Nps^2*Vfwd1^2+8*(F216/Efficiency)^2*Nps*Vfwd1*I216+4*(F216/Efficiency)^2*I216^2)-2*F216/Efficiency*I216-2*F216/Efficiency*Nps*Vfwd1+Isw_max*Nps*I216)/(4*F216/Efficiency*Nps)</f>
        <v>7087499979</v>
      </c>
      <c r="T216" s="152">
        <f t="shared" ref="T216:T247" si="413">MIN(Vout, S216)</f>
        <v>20</v>
      </c>
      <c r="U216" s="191">
        <f t="shared" ref="U216:U247" si="414">MIN(2*Vout*F216/(Efficiency*I216*M216), Isw_max)</f>
        <v>4.3036287130775319E-9</v>
      </c>
      <c r="V216" s="191">
        <f t="shared" ref="V216:V247" si="415">L*U216/I216*1000000</f>
        <v>1.2296082037364376E-8</v>
      </c>
      <c r="W216" s="191">
        <f t="shared" ref="W216:W247" si="416">L*U216/J216*1000000</f>
        <v>1.2707565097669879E-8</v>
      </c>
      <c r="X216" s="175">
        <f t="shared" ref="X216:X247" si="417">IF(1/((350000*L)*(1/I216+1/J216))&gt;Isw_min, 350, 0.001/((Isw_min*L)*(1/I216+1/J216)))</f>
        <v>350</v>
      </c>
      <c r="Y216" s="386">
        <f t="shared" ref="Y216:Y275" si="418">MIN(1/(V216+W216)*1000, 350)</f>
        <v>350</v>
      </c>
      <c r="AA216" s="191">
        <f t="shared" ref="AA216:AA247" si="419">1/((X216*1000*L)*(1/I216+1/J216))</f>
        <v>0.49177153920619554</v>
      </c>
      <c r="AB216" s="153">
        <f t="shared" ref="AB216:AB247" si="420">L*AA216/J216*1000000</f>
        <v>1.452081316553727</v>
      </c>
      <c r="AC216" s="153">
        <f t="shared" ref="AC216:AC247" si="421">0.5*AB216*AA216*Nps*X216/1000</f>
        <v>0.1249661462164824</v>
      </c>
      <c r="AD216" s="153"/>
      <c r="AE216" s="153">
        <f t="shared" ref="AE216:AE247" si="422">L*Isw_min/J216*1000000</f>
        <v>0.44291338582677164</v>
      </c>
      <c r="AF216" s="317">
        <f t="shared" ref="AF216:AF247" si="423">MAX(12000,F216/(0.5*AE216/1000000*Isw_min*Nps))/1000</f>
        <v>12</v>
      </c>
      <c r="AG216" s="463">
        <f t="shared" ref="AG216:AG247" si="424">0.5*AE216/1000000*Isw_min*Nps*X216*1000</f>
        <v>1.1626476377952754E-2</v>
      </c>
      <c r="AI216" s="153">
        <f t="shared" ref="AI216:AI247" si="425">SQRT(F216/(0.5*L/J216*Fsw_DCM*Nps))</f>
        <v>4.3991341139343498E-5</v>
      </c>
      <c r="AJ216" s="153">
        <f t="shared" ref="AJ216:AJ247" si="426">MAX(IF(F216&gt;AC216,U216,AI216),Isw_min)</f>
        <v>0.15</v>
      </c>
      <c r="AK216" s="153">
        <f t="shared" ref="AK216:AK247" si="427">IF(F216&gt;AG216, (AJ216-Isw_min)/1.2*0.8+1.2, AF216*0.2/350+1)</f>
        <v>1.0068571428571429</v>
      </c>
      <c r="AM216" s="317">
        <f t="shared" ref="AM216:AM247" si="428">F216*1000</f>
        <v>1.0000000000000002E-6</v>
      </c>
      <c r="AN216" s="147">
        <f t="shared" ref="AN216:AN247" si="429">IF(F216&gt;AG216, Y216, AF216)</f>
        <v>12</v>
      </c>
      <c r="AP216">
        <f t="shared" ref="AP216:AP247" si="430">IF(H216&gt;N216, "",AM216)</f>
        <v>1.0000000000000002E-6</v>
      </c>
      <c r="AQ216">
        <f t="shared" ref="AQ216:AQ247" si="431">IF(H216&gt;N216, "",AN216)</f>
        <v>12</v>
      </c>
      <c r="AS216" s="5">
        <f t="shared" si="364"/>
        <v>83.333333333333329</v>
      </c>
      <c r="AT216" s="5">
        <f t="shared" ref="AT216:AT247" si="432">L*AJ216/I216*1000000</f>
        <v>0.42857142857142855</v>
      </c>
      <c r="AU216" s="5">
        <f t="shared" si="304"/>
        <v>82.904761904761898</v>
      </c>
      <c r="AV216" s="5"/>
      <c r="AW216" s="153">
        <f t="shared" si="305"/>
        <v>5.1428571428571426E-3</v>
      </c>
      <c r="AX216" s="153"/>
      <c r="BA216" s="147">
        <f t="shared" ref="BA216:BA247" si="433">L*Isw_max^2/(2*Vout_ripple*Vout)*1000000000*((1+M216)/2)^2</f>
        <v>2.347082921094211</v>
      </c>
      <c r="BB216" s="147">
        <f t="shared" ref="BB216:BB247" si="434">L*F216^2/(2*Cout*Vout*Nps^2)*1000000000*((1+M216)/(1-M216))^2+F216*RCoutEsr</f>
        <v>3.0000012923434016E-9</v>
      </c>
      <c r="BC216" s="5">
        <f t="shared" si="359"/>
        <v>8.7729906777525816E-8</v>
      </c>
      <c r="BD216" s="147">
        <f t="shared" ref="BD216:BD247" si="435">((CB216/I216/Efficiency)*AU216/Cin+(CB216/I216/Efficiency)*RCinEsr)*1000</f>
        <v>0</v>
      </c>
      <c r="BQ216" s="463">
        <f t="shared" ref="BQ216:BQ247" si="436">(Vfwd2*F216+BG216^2*Rdiode)*(1+Diode_TC/1000*(Ta-25))</f>
        <v>3.8200000000000003E-10</v>
      </c>
      <c r="CG216" s="59">
        <f t="shared" ref="CG216:CG247" si="437">IF(ABS(F216-Ioutmax_Vinmax)&lt;Iout/200, AN216, -50)</f>
        <v>-50</v>
      </c>
      <c r="CH216">
        <f t="shared" ref="CH216:CH247" si="438">IF(ABS(F216-Ioutmax_Vinmin)&lt;Iout/200, N216*CC216, -50)</f>
        <v>-50</v>
      </c>
    </row>
    <row r="217" spans="5:88" x14ac:dyDescent="0.25">
      <c r="E217" s="150">
        <v>1</v>
      </c>
      <c r="F217" s="191">
        <f t="shared" ref="F217:F248" si="439">IF(PLOT_TYPE=1, E217/100*Iout_max, min_I*EXP(N217*rr/100))</f>
        <v>1E-3</v>
      </c>
      <c r="G217" s="191"/>
      <c r="H217" s="191">
        <f t="shared" si="404"/>
        <v>0.02</v>
      </c>
      <c r="I217" s="472">
        <f t="shared" si="405"/>
        <v>21</v>
      </c>
      <c r="J217" s="386">
        <f t="shared" si="406"/>
        <v>20.32</v>
      </c>
      <c r="K217" s="386">
        <f t="shared" si="407"/>
        <v>41.32</v>
      </c>
      <c r="L217" s="386"/>
      <c r="M217" s="191">
        <f t="shared" si="408"/>
        <v>0.49177153920619554</v>
      </c>
      <c r="N217" s="152">
        <f t="shared" si="409"/>
        <v>3.5342268151016456</v>
      </c>
      <c r="O217" s="152">
        <f t="shared" si="363"/>
        <v>0.02</v>
      </c>
      <c r="P217" s="191">
        <f t="shared" si="410"/>
        <v>0.17671134075508227</v>
      </c>
      <c r="Q217" s="191">
        <f t="shared" si="411"/>
        <v>20</v>
      </c>
      <c r="R217" s="191"/>
      <c r="S217" s="152">
        <f t="shared" si="412"/>
        <v>7066.5009509226347</v>
      </c>
      <c r="T217" s="152">
        <f t="shared" si="413"/>
        <v>20</v>
      </c>
      <c r="U217" s="191">
        <f t="shared" si="414"/>
        <v>4.3036287130775314E-3</v>
      </c>
      <c r="V217" s="191">
        <f t="shared" si="415"/>
        <v>1.2296082037364375E-2</v>
      </c>
      <c r="W217" s="191">
        <f t="shared" si="416"/>
        <v>1.2707565097669876E-2</v>
      </c>
      <c r="X217" s="175">
        <f t="shared" si="417"/>
        <v>350</v>
      </c>
      <c r="Y217" s="386">
        <f t="shared" si="418"/>
        <v>350</v>
      </c>
      <c r="AA217" s="191">
        <f t="shared" si="419"/>
        <v>0.49177153920619554</v>
      </c>
      <c r="AB217" s="153">
        <f t="shared" si="420"/>
        <v>1.452081316553727</v>
      </c>
      <c r="AC217" s="153">
        <f t="shared" si="421"/>
        <v>0.1249661462164824</v>
      </c>
      <c r="AD217" s="153"/>
      <c r="AE217" s="153">
        <f t="shared" si="422"/>
        <v>0.44291338582677164</v>
      </c>
      <c r="AF217" s="317">
        <f t="shared" si="423"/>
        <v>30.103703703703708</v>
      </c>
      <c r="AG217" s="463">
        <f t="shared" si="424"/>
        <v>1.1626476377952754E-2</v>
      </c>
      <c r="AI217" s="153">
        <f t="shared" si="425"/>
        <v>4.3991341139343491E-2</v>
      </c>
      <c r="AJ217" s="153">
        <f t="shared" si="426"/>
        <v>0.15</v>
      </c>
      <c r="AK217" s="153">
        <f t="shared" si="427"/>
        <v>1.0172021164021163</v>
      </c>
      <c r="AM217" s="317">
        <f t="shared" si="428"/>
        <v>1</v>
      </c>
      <c r="AN217" s="147">
        <f t="shared" si="429"/>
        <v>30.103703703703708</v>
      </c>
      <c r="AP217">
        <f t="shared" si="430"/>
        <v>1</v>
      </c>
      <c r="AQ217">
        <f t="shared" si="431"/>
        <v>30.103703703703708</v>
      </c>
      <c r="AS217" s="5">
        <f t="shared" si="364"/>
        <v>33.218503937007867</v>
      </c>
      <c r="AT217" s="5">
        <f t="shared" si="432"/>
        <v>0.42857142857142855</v>
      </c>
      <c r="AU217" s="5">
        <f t="shared" si="304"/>
        <v>32.789932508436436</v>
      </c>
      <c r="AV217" s="5"/>
      <c r="AW217" s="153">
        <f t="shared" si="305"/>
        <v>1.2901587301587303E-2</v>
      </c>
      <c r="AX217" s="153"/>
      <c r="BA217" s="147">
        <f t="shared" si="433"/>
        <v>2.347082921094211</v>
      </c>
      <c r="BB217" s="147">
        <f t="shared" si="434"/>
        <v>4.2923434013605443E-3</v>
      </c>
      <c r="BC217" s="5">
        <f t="shared" si="359"/>
        <v>3.4698341278768717E-2</v>
      </c>
      <c r="BD217" s="147">
        <f t="shared" si="435"/>
        <v>0</v>
      </c>
      <c r="BQ217" s="463">
        <f t="shared" si="436"/>
        <v>3.8200000000000002E-4</v>
      </c>
      <c r="CG217" s="59">
        <f t="shared" si="437"/>
        <v>-50</v>
      </c>
      <c r="CH217">
        <f t="shared" si="438"/>
        <v>-50</v>
      </c>
    </row>
    <row r="218" spans="5:88" x14ac:dyDescent="0.25">
      <c r="E218" s="150">
        <v>2</v>
      </c>
      <c r="F218" s="191">
        <f t="shared" si="439"/>
        <v>2E-3</v>
      </c>
      <c r="G218" s="191"/>
      <c r="H218" s="191">
        <f t="shared" si="404"/>
        <v>0.04</v>
      </c>
      <c r="I218" s="472">
        <f t="shared" si="405"/>
        <v>21</v>
      </c>
      <c r="J218" s="386">
        <f t="shared" si="406"/>
        <v>20.32</v>
      </c>
      <c r="K218" s="386">
        <f t="shared" si="407"/>
        <v>41.32</v>
      </c>
      <c r="L218" s="386"/>
      <c r="M218" s="191">
        <f t="shared" si="408"/>
        <v>0.49177153920619554</v>
      </c>
      <c r="N218" s="152">
        <f t="shared" si="409"/>
        <v>3.5342268151016456</v>
      </c>
      <c r="O218" s="152">
        <f t="shared" si="363"/>
        <v>0.04</v>
      </c>
      <c r="P218" s="191">
        <f t="shared" si="410"/>
        <v>0.17671134075508227</v>
      </c>
      <c r="Q218" s="191">
        <f t="shared" si="411"/>
        <v>20</v>
      </c>
      <c r="R218" s="191"/>
      <c r="S218" s="152">
        <f t="shared" si="412"/>
        <v>3522.7519074262959</v>
      </c>
      <c r="T218" s="152">
        <f t="shared" si="413"/>
        <v>20</v>
      </c>
      <c r="U218" s="191">
        <f t="shared" si="414"/>
        <v>8.6072574261550627E-3</v>
      </c>
      <c r="V218" s="191">
        <f t="shared" si="415"/>
        <v>2.4592164074728751E-2</v>
      </c>
      <c r="W218" s="191">
        <f t="shared" si="416"/>
        <v>2.5415130195339752E-2</v>
      </c>
      <c r="X218" s="175">
        <f t="shared" si="417"/>
        <v>350</v>
      </c>
      <c r="Y218" s="386">
        <f t="shared" si="418"/>
        <v>350</v>
      </c>
      <c r="AA218" s="191">
        <f t="shared" si="419"/>
        <v>0.49177153920619554</v>
      </c>
      <c r="AB218" s="153">
        <f t="shared" si="420"/>
        <v>1.452081316553727</v>
      </c>
      <c r="AC218" s="153">
        <f t="shared" si="421"/>
        <v>0.1249661462164824</v>
      </c>
      <c r="AD218" s="153"/>
      <c r="AE218" s="153">
        <f t="shared" si="422"/>
        <v>0.44291338582677164</v>
      </c>
      <c r="AF218" s="317">
        <f t="shared" si="423"/>
        <v>60.207407407407416</v>
      </c>
      <c r="AG218" s="463">
        <f t="shared" si="424"/>
        <v>1.1626476377952754E-2</v>
      </c>
      <c r="AI218" s="153">
        <f t="shared" si="425"/>
        <v>6.2213151266241051E-2</v>
      </c>
      <c r="AJ218" s="153">
        <f t="shared" si="426"/>
        <v>0.15</v>
      </c>
      <c r="AK218" s="153">
        <f t="shared" si="427"/>
        <v>1.0344042328042329</v>
      </c>
      <c r="AM218" s="317">
        <f t="shared" si="428"/>
        <v>2</v>
      </c>
      <c r="AN218" s="147">
        <f t="shared" si="429"/>
        <v>60.207407407407416</v>
      </c>
      <c r="AP218">
        <f t="shared" si="430"/>
        <v>2</v>
      </c>
      <c r="AQ218">
        <f t="shared" si="431"/>
        <v>60.207407407407416</v>
      </c>
      <c r="AS218" s="5">
        <f t="shared" si="364"/>
        <v>16.609251968503933</v>
      </c>
      <c r="AT218" s="5">
        <f t="shared" si="432"/>
        <v>0.42857142857142855</v>
      </c>
      <c r="AU218" s="5">
        <f t="shared" si="304"/>
        <v>16.180680539932506</v>
      </c>
      <c r="AV218" s="5"/>
      <c r="AW218" s="153">
        <f t="shared" si="305"/>
        <v>2.5803174603174606E-2</v>
      </c>
      <c r="AX218" s="153"/>
      <c r="BA218" s="147">
        <f t="shared" si="433"/>
        <v>2.347082921094211</v>
      </c>
      <c r="BB218" s="147">
        <f t="shared" si="434"/>
        <v>1.1169373605442175E-2</v>
      </c>
      <c r="BC218" s="5">
        <f t="shared" si="359"/>
        <v>3.4244826539539697E-2</v>
      </c>
      <c r="BD218" s="147">
        <f t="shared" si="435"/>
        <v>0</v>
      </c>
      <c r="BQ218" s="463">
        <f t="shared" si="436"/>
        <v>7.6400000000000003E-4</v>
      </c>
      <c r="CG218" s="59">
        <f t="shared" si="437"/>
        <v>-50</v>
      </c>
      <c r="CH218">
        <f t="shared" si="438"/>
        <v>-50</v>
      </c>
    </row>
    <row r="219" spans="5:88" x14ac:dyDescent="0.25">
      <c r="E219" s="150">
        <v>3</v>
      </c>
      <c r="F219" s="191">
        <f t="shared" si="439"/>
        <v>3.0000000000000001E-3</v>
      </c>
      <c r="G219" s="191"/>
      <c r="H219" s="191">
        <f t="shared" si="404"/>
        <v>0.06</v>
      </c>
      <c r="I219" s="472">
        <f t="shared" si="405"/>
        <v>21</v>
      </c>
      <c r="J219" s="386">
        <f t="shared" si="406"/>
        <v>20.32</v>
      </c>
      <c r="K219" s="386">
        <f t="shared" si="407"/>
        <v>41.32</v>
      </c>
      <c r="L219" s="386"/>
      <c r="M219" s="191">
        <f t="shared" si="408"/>
        <v>0.49177153920619554</v>
      </c>
      <c r="N219" s="152">
        <f t="shared" si="409"/>
        <v>3.5342268151016456</v>
      </c>
      <c r="O219" s="152">
        <f t="shared" si="363"/>
        <v>0.06</v>
      </c>
      <c r="P219" s="191">
        <f t="shared" si="410"/>
        <v>0.17671134075508227</v>
      </c>
      <c r="Q219" s="191">
        <f t="shared" si="411"/>
        <v>20</v>
      </c>
      <c r="R219" s="191"/>
      <c r="S219" s="152">
        <f t="shared" si="412"/>
        <v>2341.5028695594733</v>
      </c>
      <c r="T219" s="152">
        <f t="shared" si="413"/>
        <v>20</v>
      </c>
      <c r="U219" s="191">
        <f t="shared" si="414"/>
        <v>1.2910886139232594E-2</v>
      </c>
      <c r="V219" s="191">
        <f t="shared" si="415"/>
        <v>3.6888246112093126E-2</v>
      </c>
      <c r="W219" s="191">
        <f t="shared" si="416"/>
        <v>3.8122695293009629E-2</v>
      </c>
      <c r="X219" s="175">
        <f t="shared" si="417"/>
        <v>350</v>
      </c>
      <c r="Y219" s="386">
        <f t="shared" si="418"/>
        <v>350</v>
      </c>
      <c r="AA219" s="191">
        <f t="shared" si="419"/>
        <v>0.49177153920619554</v>
      </c>
      <c r="AB219" s="153">
        <f t="shared" si="420"/>
        <v>1.452081316553727</v>
      </c>
      <c r="AC219" s="153">
        <f t="shared" si="421"/>
        <v>0.1249661462164824</v>
      </c>
      <c r="AD219" s="153"/>
      <c r="AE219" s="153">
        <f t="shared" si="422"/>
        <v>0.44291338582677164</v>
      </c>
      <c r="AF219" s="317">
        <f t="shared" si="423"/>
        <v>90.311111111111117</v>
      </c>
      <c r="AG219" s="463">
        <f t="shared" si="424"/>
        <v>1.1626476377952754E-2</v>
      </c>
      <c r="AI219" s="153">
        <f t="shared" si="425"/>
        <v>7.6195237946437872E-2</v>
      </c>
      <c r="AJ219" s="153">
        <f t="shared" si="426"/>
        <v>0.15</v>
      </c>
      <c r="AK219" s="153">
        <f t="shared" si="427"/>
        <v>1.0516063492063492</v>
      </c>
      <c r="AM219" s="317">
        <f t="shared" si="428"/>
        <v>3</v>
      </c>
      <c r="AN219" s="147">
        <f t="shared" si="429"/>
        <v>90.311111111111117</v>
      </c>
      <c r="AP219">
        <f t="shared" si="430"/>
        <v>3</v>
      </c>
      <c r="AQ219">
        <f t="shared" si="431"/>
        <v>90.311111111111117</v>
      </c>
      <c r="AS219" s="5">
        <f t="shared" si="364"/>
        <v>11.072834645669291</v>
      </c>
      <c r="AT219" s="5">
        <f t="shared" si="432"/>
        <v>0.42857142857142855</v>
      </c>
      <c r="AU219" s="5">
        <f t="shared" si="304"/>
        <v>10.644263217097862</v>
      </c>
      <c r="AV219" s="5"/>
      <c r="AW219" s="153">
        <f t="shared" si="305"/>
        <v>3.8704761904761902E-2</v>
      </c>
      <c r="AX219" s="153"/>
      <c r="BA219" s="147">
        <f t="shared" si="433"/>
        <v>2.347082921094211</v>
      </c>
      <c r="BB219" s="147">
        <f t="shared" si="434"/>
        <v>2.0631090612244898E-2</v>
      </c>
      <c r="BC219" s="5">
        <f t="shared" si="359"/>
        <v>3.3791311800310669E-2</v>
      </c>
      <c r="BD219" s="147">
        <f t="shared" si="435"/>
        <v>0</v>
      </c>
      <c r="BQ219" s="463">
        <f t="shared" si="436"/>
        <v>1.1460000000000001E-3</v>
      </c>
      <c r="CG219" s="59">
        <f t="shared" si="437"/>
        <v>-50</v>
      </c>
      <c r="CH219">
        <f t="shared" si="438"/>
        <v>-50</v>
      </c>
    </row>
    <row r="220" spans="5:88" x14ac:dyDescent="0.25">
      <c r="E220" s="150">
        <v>4</v>
      </c>
      <c r="F220" s="191">
        <f t="shared" si="439"/>
        <v>4.0000000000000001E-3</v>
      </c>
      <c r="G220" s="191"/>
      <c r="H220" s="191">
        <f t="shared" si="404"/>
        <v>0.08</v>
      </c>
      <c r="I220" s="472">
        <f t="shared" si="405"/>
        <v>21</v>
      </c>
      <c r="J220" s="386">
        <f t="shared" si="406"/>
        <v>20.32</v>
      </c>
      <c r="K220" s="386">
        <f t="shared" si="407"/>
        <v>41.32</v>
      </c>
      <c r="L220" s="386"/>
      <c r="M220" s="191">
        <f t="shared" si="408"/>
        <v>0.49177153920619554</v>
      </c>
      <c r="N220" s="152">
        <f t="shared" si="409"/>
        <v>3.5342268151016456</v>
      </c>
      <c r="O220" s="152">
        <f t="shared" si="363"/>
        <v>0.08</v>
      </c>
      <c r="P220" s="191">
        <f t="shared" si="410"/>
        <v>0.17671134075508227</v>
      </c>
      <c r="Q220" s="191">
        <f t="shared" si="411"/>
        <v>20</v>
      </c>
      <c r="R220" s="191"/>
      <c r="S220" s="152">
        <f t="shared" si="412"/>
        <v>1750.8788373712091</v>
      </c>
      <c r="T220" s="152">
        <f t="shared" si="413"/>
        <v>20</v>
      </c>
      <c r="U220" s="191">
        <f t="shared" si="414"/>
        <v>1.7214514852310125E-2</v>
      </c>
      <c r="V220" s="191">
        <f t="shared" si="415"/>
        <v>4.9184328149457501E-2</v>
      </c>
      <c r="W220" s="191">
        <f t="shared" si="416"/>
        <v>5.0830260390679505E-2</v>
      </c>
      <c r="X220" s="175">
        <f t="shared" si="417"/>
        <v>350</v>
      </c>
      <c r="Y220" s="386">
        <f t="shared" si="418"/>
        <v>350</v>
      </c>
      <c r="AA220" s="191">
        <f t="shared" si="419"/>
        <v>0.49177153920619554</v>
      </c>
      <c r="AB220" s="153">
        <f t="shared" si="420"/>
        <v>1.452081316553727</v>
      </c>
      <c r="AC220" s="153">
        <f t="shared" si="421"/>
        <v>0.1249661462164824</v>
      </c>
      <c r="AD220" s="153"/>
      <c r="AE220" s="153">
        <f t="shared" si="422"/>
        <v>0.44291338582677164</v>
      </c>
      <c r="AF220" s="317">
        <f t="shared" si="423"/>
        <v>120.41481481481483</v>
      </c>
      <c r="AG220" s="463">
        <f t="shared" si="424"/>
        <v>1.1626476377952754E-2</v>
      </c>
      <c r="AI220" s="153">
        <f t="shared" si="425"/>
        <v>8.7982682278686983E-2</v>
      </c>
      <c r="AJ220" s="153">
        <f t="shared" si="426"/>
        <v>0.15</v>
      </c>
      <c r="AK220" s="153">
        <f t="shared" si="427"/>
        <v>1.0688084656084655</v>
      </c>
      <c r="AM220" s="317">
        <f t="shared" si="428"/>
        <v>4</v>
      </c>
      <c r="AN220" s="147">
        <f t="shared" si="429"/>
        <v>120.41481481481483</v>
      </c>
      <c r="AP220">
        <f t="shared" si="430"/>
        <v>4</v>
      </c>
      <c r="AQ220">
        <f t="shared" si="431"/>
        <v>120.41481481481483</v>
      </c>
      <c r="AS220" s="5">
        <f t="shared" si="364"/>
        <v>8.3046259842519667</v>
      </c>
      <c r="AT220" s="5">
        <f t="shared" si="432"/>
        <v>0.42857142857142855</v>
      </c>
      <c r="AU220" s="5">
        <f t="shared" si="304"/>
        <v>7.8760545556805379</v>
      </c>
      <c r="AV220" s="5"/>
      <c r="AW220" s="153">
        <f t="shared" si="305"/>
        <v>5.1606349206349211E-2</v>
      </c>
      <c r="AX220" s="153"/>
      <c r="BA220" s="147">
        <f t="shared" si="433"/>
        <v>2.347082921094211</v>
      </c>
      <c r="BB220" s="147">
        <f t="shared" si="434"/>
        <v>3.2677494421768705E-2</v>
      </c>
      <c r="BC220" s="5">
        <f t="shared" si="359"/>
        <v>3.3337797061081642E-2</v>
      </c>
      <c r="BD220" s="147">
        <f t="shared" si="435"/>
        <v>0</v>
      </c>
      <c r="BQ220" s="463">
        <f t="shared" si="436"/>
        <v>1.5280000000000001E-3</v>
      </c>
      <c r="CG220" s="59">
        <f t="shared" si="437"/>
        <v>-50</v>
      </c>
      <c r="CH220">
        <f t="shared" si="438"/>
        <v>-50</v>
      </c>
    </row>
    <row r="221" spans="5:88" x14ac:dyDescent="0.25">
      <c r="E221" s="150">
        <v>5</v>
      </c>
      <c r="F221" s="191">
        <f t="shared" si="439"/>
        <v>5.000000000000001E-3</v>
      </c>
      <c r="G221" s="191"/>
      <c r="H221" s="191">
        <f t="shared" si="404"/>
        <v>0.10000000000000002</v>
      </c>
      <c r="I221" s="472">
        <f t="shared" si="405"/>
        <v>21</v>
      </c>
      <c r="J221" s="386">
        <f t="shared" si="406"/>
        <v>20.32</v>
      </c>
      <c r="K221" s="386">
        <f t="shared" si="407"/>
        <v>41.32</v>
      </c>
      <c r="L221" s="386"/>
      <c r="M221" s="191">
        <f t="shared" si="408"/>
        <v>0.49177153920619554</v>
      </c>
      <c r="N221" s="152">
        <f t="shared" si="409"/>
        <v>3.5342268151016456</v>
      </c>
      <c r="O221" s="152">
        <f t="shared" si="363"/>
        <v>0.10000000000000002</v>
      </c>
      <c r="P221" s="191">
        <f t="shared" si="410"/>
        <v>0.17671134075508227</v>
      </c>
      <c r="Q221" s="191">
        <f t="shared" si="411"/>
        <v>20</v>
      </c>
      <c r="R221" s="191"/>
      <c r="S221" s="152">
        <f t="shared" si="412"/>
        <v>1396.5048109111085</v>
      </c>
      <c r="T221" s="152">
        <f t="shared" si="413"/>
        <v>20</v>
      </c>
      <c r="U221" s="191">
        <f t="shared" si="414"/>
        <v>2.1518143565387664E-2</v>
      </c>
      <c r="V221" s="191">
        <f t="shared" si="415"/>
        <v>6.1480410186821904E-2</v>
      </c>
      <c r="W221" s="191">
        <f t="shared" si="416"/>
        <v>6.3537825488349409E-2</v>
      </c>
      <c r="X221" s="175">
        <f t="shared" si="417"/>
        <v>350</v>
      </c>
      <c r="Y221" s="386">
        <f t="shared" si="418"/>
        <v>350</v>
      </c>
      <c r="AA221" s="191">
        <f t="shared" si="419"/>
        <v>0.49177153920619554</v>
      </c>
      <c r="AB221" s="153">
        <f t="shared" si="420"/>
        <v>1.452081316553727</v>
      </c>
      <c r="AC221" s="153">
        <f t="shared" si="421"/>
        <v>0.1249661462164824</v>
      </c>
      <c r="AD221" s="153"/>
      <c r="AE221" s="153">
        <f t="shared" si="422"/>
        <v>0.44291338582677164</v>
      </c>
      <c r="AF221" s="317">
        <f t="shared" si="423"/>
        <v>150.51851851851856</v>
      </c>
      <c r="AG221" s="463">
        <f t="shared" si="424"/>
        <v>1.1626476377952754E-2</v>
      </c>
      <c r="AI221" s="153">
        <f t="shared" si="425"/>
        <v>9.8367629208955115E-2</v>
      </c>
      <c r="AJ221" s="153">
        <f t="shared" si="426"/>
        <v>0.15</v>
      </c>
      <c r="AK221" s="153">
        <f t="shared" si="427"/>
        <v>1.0860105820105821</v>
      </c>
      <c r="AM221" s="317">
        <f t="shared" si="428"/>
        <v>5.0000000000000009</v>
      </c>
      <c r="AN221" s="147">
        <f t="shared" si="429"/>
        <v>150.51851851851856</v>
      </c>
      <c r="AP221">
        <f t="shared" si="430"/>
        <v>5.0000000000000009</v>
      </c>
      <c r="AQ221">
        <f t="shared" si="431"/>
        <v>150.51851851851856</v>
      </c>
      <c r="AS221" s="5">
        <f t="shared" si="364"/>
        <v>6.6437007874015723</v>
      </c>
      <c r="AT221" s="5">
        <f t="shared" si="432"/>
        <v>0.42857142857142855</v>
      </c>
      <c r="AU221" s="5">
        <f t="shared" si="304"/>
        <v>6.2151293588301435</v>
      </c>
      <c r="AV221" s="5"/>
      <c r="AW221" s="153">
        <f t="shared" si="305"/>
        <v>6.4507936507936528E-2</v>
      </c>
      <c r="AX221" s="153"/>
      <c r="BA221" s="147">
        <f t="shared" si="433"/>
        <v>2.347082921094211</v>
      </c>
      <c r="BB221" s="147">
        <f t="shared" si="434"/>
        <v>4.7308585034013625E-2</v>
      </c>
      <c r="BC221" s="5">
        <f t="shared" si="359"/>
        <v>3.2884282321852622E-2</v>
      </c>
      <c r="BD221" s="147">
        <f t="shared" si="435"/>
        <v>0</v>
      </c>
      <c r="BQ221" s="463">
        <f t="shared" si="436"/>
        <v>1.9100000000000005E-3</v>
      </c>
      <c r="CG221" s="59">
        <f t="shared" si="437"/>
        <v>-50</v>
      </c>
      <c r="CH221">
        <f t="shared" si="438"/>
        <v>-50</v>
      </c>
    </row>
    <row r="222" spans="5:88" x14ac:dyDescent="0.25">
      <c r="E222" s="150">
        <v>6</v>
      </c>
      <c r="F222" s="191">
        <f t="shared" si="439"/>
        <v>6.0000000000000001E-3</v>
      </c>
      <c r="G222" s="191"/>
      <c r="H222" s="191">
        <f t="shared" si="404"/>
        <v>0.12</v>
      </c>
      <c r="I222" s="472">
        <f t="shared" si="405"/>
        <v>21</v>
      </c>
      <c r="J222" s="386">
        <f t="shared" si="406"/>
        <v>20.32</v>
      </c>
      <c r="K222" s="386">
        <f t="shared" si="407"/>
        <v>41.32</v>
      </c>
      <c r="L222" s="386"/>
      <c r="M222" s="191">
        <f t="shared" si="408"/>
        <v>0.49177153920619554</v>
      </c>
      <c r="N222" s="152">
        <f t="shared" si="409"/>
        <v>3.5342268151016456</v>
      </c>
      <c r="O222" s="152">
        <f t="shared" si="363"/>
        <v>0.12</v>
      </c>
      <c r="P222" s="191">
        <f t="shared" si="410"/>
        <v>0.17671134075508227</v>
      </c>
      <c r="Q222" s="191">
        <f t="shared" si="411"/>
        <v>20</v>
      </c>
      <c r="R222" s="191"/>
      <c r="S222" s="152">
        <f t="shared" si="412"/>
        <v>1160.2557902293472</v>
      </c>
      <c r="T222" s="152">
        <f t="shared" si="413"/>
        <v>20</v>
      </c>
      <c r="U222" s="191">
        <f t="shared" si="414"/>
        <v>2.5821772278465188E-2</v>
      </c>
      <c r="V222" s="191">
        <f t="shared" si="415"/>
        <v>7.3776492224186252E-2</v>
      </c>
      <c r="W222" s="191">
        <f t="shared" si="416"/>
        <v>7.6245390586019257E-2</v>
      </c>
      <c r="X222" s="175">
        <f t="shared" si="417"/>
        <v>350</v>
      </c>
      <c r="Y222" s="386">
        <f t="shared" si="418"/>
        <v>350</v>
      </c>
      <c r="AA222" s="191">
        <f t="shared" si="419"/>
        <v>0.49177153920619554</v>
      </c>
      <c r="AB222" s="153">
        <f t="shared" si="420"/>
        <v>1.452081316553727</v>
      </c>
      <c r="AC222" s="153">
        <f t="shared" si="421"/>
        <v>0.1249661462164824</v>
      </c>
      <c r="AD222" s="153"/>
      <c r="AE222" s="153">
        <f t="shared" si="422"/>
        <v>0.44291338582677164</v>
      </c>
      <c r="AF222" s="317">
        <f t="shared" si="423"/>
        <v>180.62222222222223</v>
      </c>
      <c r="AG222" s="463">
        <f t="shared" si="424"/>
        <v>1.1626476377952754E-2</v>
      </c>
      <c r="AI222" s="153">
        <f t="shared" si="425"/>
        <v>0.10775633889209754</v>
      </c>
      <c r="AJ222" s="153">
        <f t="shared" si="426"/>
        <v>0.15</v>
      </c>
      <c r="AK222" s="153">
        <f t="shared" si="427"/>
        <v>1.1032126984126984</v>
      </c>
      <c r="AM222" s="317">
        <f t="shared" si="428"/>
        <v>6</v>
      </c>
      <c r="AN222" s="147">
        <f t="shared" si="429"/>
        <v>180.62222222222223</v>
      </c>
      <c r="AP222">
        <f t="shared" si="430"/>
        <v>6</v>
      </c>
      <c r="AQ222">
        <f t="shared" si="431"/>
        <v>180.62222222222223</v>
      </c>
      <c r="AS222" s="5">
        <f t="shared" si="364"/>
        <v>5.5364173228346454</v>
      </c>
      <c r="AT222" s="5">
        <f t="shared" si="432"/>
        <v>0.42857142857142855</v>
      </c>
      <c r="AU222" s="5">
        <f t="shared" si="304"/>
        <v>5.1078458942632166</v>
      </c>
      <c r="AV222" s="5"/>
      <c r="AW222" s="153">
        <f t="shared" si="305"/>
        <v>7.7409523809523803E-2</v>
      </c>
      <c r="AX222" s="153"/>
      <c r="BA222" s="147">
        <f t="shared" si="433"/>
        <v>2.347082921094211</v>
      </c>
      <c r="BB222" s="147">
        <f t="shared" si="434"/>
        <v>6.4524362448979591E-2</v>
      </c>
      <c r="BC222" s="5">
        <f t="shared" si="359"/>
        <v>3.2430767582623594E-2</v>
      </c>
      <c r="BD222" s="147">
        <f t="shared" si="435"/>
        <v>0</v>
      </c>
      <c r="BQ222" s="463">
        <f t="shared" si="436"/>
        <v>2.2920000000000002E-3</v>
      </c>
      <c r="CG222" s="59">
        <f t="shared" si="437"/>
        <v>-50</v>
      </c>
      <c r="CH222">
        <f t="shared" si="438"/>
        <v>-50</v>
      </c>
    </row>
    <row r="223" spans="5:88" x14ac:dyDescent="0.25">
      <c r="E223" s="150">
        <v>7</v>
      </c>
      <c r="F223" s="191">
        <f t="shared" si="439"/>
        <v>7.000000000000001E-3</v>
      </c>
      <c r="G223" s="191"/>
      <c r="H223" s="191">
        <f t="shared" si="404"/>
        <v>0.14000000000000001</v>
      </c>
      <c r="I223" s="472">
        <f t="shared" si="405"/>
        <v>21</v>
      </c>
      <c r="J223" s="386">
        <f t="shared" si="406"/>
        <v>20.32</v>
      </c>
      <c r="K223" s="386">
        <f t="shared" si="407"/>
        <v>41.32</v>
      </c>
      <c r="L223" s="386"/>
      <c r="M223" s="191">
        <f t="shared" si="408"/>
        <v>0.49177153920619554</v>
      </c>
      <c r="N223" s="152">
        <f t="shared" si="409"/>
        <v>3.5342268151016456</v>
      </c>
      <c r="O223" s="152">
        <f t="shared" si="363"/>
        <v>0.14000000000000001</v>
      </c>
      <c r="P223" s="191">
        <f t="shared" si="410"/>
        <v>0.17671134075508227</v>
      </c>
      <c r="Q223" s="191">
        <f t="shared" si="411"/>
        <v>20</v>
      </c>
      <c r="R223" s="191"/>
      <c r="S223" s="152">
        <f t="shared" si="412"/>
        <v>991.50677537667536</v>
      </c>
      <c r="T223" s="152">
        <f t="shared" si="413"/>
        <v>20</v>
      </c>
      <c r="U223" s="191">
        <f t="shared" si="414"/>
        <v>3.0125400991542723E-2</v>
      </c>
      <c r="V223" s="191">
        <f t="shared" si="415"/>
        <v>8.6072574261550641E-2</v>
      </c>
      <c r="W223" s="191">
        <f t="shared" si="416"/>
        <v>8.8952955683689133E-2</v>
      </c>
      <c r="X223" s="175">
        <f t="shared" si="417"/>
        <v>350</v>
      </c>
      <c r="Y223" s="386">
        <f t="shared" si="418"/>
        <v>350</v>
      </c>
      <c r="AA223" s="191">
        <f t="shared" si="419"/>
        <v>0.49177153920619554</v>
      </c>
      <c r="AB223" s="153">
        <f t="shared" si="420"/>
        <v>1.452081316553727</v>
      </c>
      <c r="AC223" s="153">
        <f t="shared" si="421"/>
        <v>0.1249661462164824</v>
      </c>
      <c r="AD223" s="153"/>
      <c r="AE223" s="153">
        <f t="shared" si="422"/>
        <v>0.44291338582677164</v>
      </c>
      <c r="AF223" s="317">
        <f t="shared" si="423"/>
        <v>210.72592592592599</v>
      </c>
      <c r="AG223" s="463">
        <f t="shared" si="424"/>
        <v>1.1626476377952754E-2</v>
      </c>
      <c r="AI223" s="153">
        <f t="shared" si="425"/>
        <v>0.11639014849490771</v>
      </c>
      <c r="AJ223" s="153">
        <f t="shared" si="426"/>
        <v>0.15</v>
      </c>
      <c r="AK223" s="153">
        <f t="shared" si="427"/>
        <v>1.1204148148148148</v>
      </c>
      <c r="AM223" s="317">
        <f t="shared" si="428"/>
        <v>7.0000000000000009</v>
      </c>
      <c r="AN223" s="147">
        <f t="shared" si="429"/>
        <v>210.72592592592599</v>
      </c>
      <c r="AP223">
        <f t="shared" si="430"/>
        <v>7.0000000000000009</v>
      </c>
      <c r="AQ223">
        <f t="shared" si="431"/>
        <v>210.72592592592599</v>
      </c>
      <c r="AS223" s="5">
        <f t="shared" si="364"/>
        <v>4.7455005624296946</v>
      </c>
      <c r="AT223" s="5">
        <f t="shared" si="432"/>
        <v>0.42857142857142855</v>
      </c>
      <c r="AU223" s="5">
        <f t="shared" si="304"/>
        <v>4.3169291338582658</v>
      </c>
      <c r="AV223" s="5"/>
      <c r="AW223" s="153">
        <f t="shared" si="305"/>
        <v>9.0311111111111134E-2</v>
      </c>
      <c r="AX223" s="153"/>
      <c r="BA223" s="147">
        <f t="shared" si="433"/>
        <v>2.347082921094211</v>
      </c>
      <c r="BB223" s="147">
        <f t="shared" si="434"/>
        <v>8.4324826666666672E-2</v>
      </c>
      <c r="BC223" s="5">
        <f t="shared" si="359"/>
        <v>3.197725284339456E-2</v>
      </c>
      <c r="BD223" s="147">
        <f t="shared" si="435"/>
        <v>0</v>
      </c>
      <c r="BQ223" s="463">
        <f t="shared" si="436"/>
        <v>2.6740000000000002E-3</v>
      </c>
      <c r="CG223" s="59">
        <f t="shared" si="437"/>
        <v>-50</v>
      </c>
      <c r="CH223">
        <f t="shared" si="438"/>
        <v>-50</v>
      </c>
    </row>
    <row r="224" spans="5:88" x14ac:dyDescent="0.25">
      <c r="E224" s="150">
        <v>8</v>
      </c>
      <c r="F224" s="191">
        <f t="shared" si="439"/>
        <v>8.0000000000000002E-3</v>
      </c>
      <c r="G224" s="191"/>
      <c r="H224" s="191">
        <f t="shared" si="404"/>
        <v>0.16</v>
      </c>
      <c r="I224" s="472">
        <f t="shared" si="405"/>
        <v>21</v>
      </c>
      <c r="J224" s="386">
        <f t="shared" si="406"/>
        <v>20.32</v>
      </c>
      <c r="K224" s="386">
        <f t="shared" si="407"/>
        <v>41.32</v>
      </c>
      <c r="L224" s="386"/>
      <c r="M224" s="191">
        <f t="shared" si="408"/>
        <v>0.49177153920619554</v>
      </c>
      <c r="N224" s="152">
        <f t="shared" si="409"/>
        <v>3.5342268151016456</v>
      </c>
      <c r="O224" s="152">
        <f t="shared" si="363"/>
        <v>0.16</v>
      </c>
      <c r="P224" s="191">
        <f t="shared" si="410"/>
        <v>0.17671134075508227</v>
      </c>
      <c r="Q224" s="191">
        <f t="shared" si="411"/>
        <v>20</v>
      </c>
      <c r="R224" s="191"/>
      <c r="S224" s="152">
        <f t="shared" si="412"/>
        <v>864.94526640443223</v>
      </c>
      <c r="T224" s="152">
        <f t="shared" si="413"/>
        <v>20</v>
      </c>
      <c r="U224" s="191">
        <f t="shared" si="414"/>
        <v>3.4429029704620251E-2</v>
      </c>
      <c r="V224" s="191">
        <f t="shared" si="415"/>
        <v>9.8368656298915003E-2</v>
      </c>
      <c r="W224" s="191">
        <f t="shared" si="416"/>
        <v>0.10166052078135901</v>
      </c>
      <c r="X224" s="175">
        <f t="shared" si="417"/>
        <v>350</v>
      </c>
      <c r="Y224" s="386">
        <f t="shared" si="418"/>
        <v>350</v>
      </c>
      <c r="AA224" s="191">
        <f t="shared" si="419"/>
        <v>0.49177153920619554</v>
      </c>
      <c r="AB224" s="153">
        <f t="shared" si="420"/>
        <v>1.452081316553727</v>
      </c>
      <c r="AC224" s="153">
        <f t="shared" si="421"/>
        <v>0.1249661462164824</v>
      </c>
      <c r="AD224" s="153"/>
      <c r="AE224" s="153">
        <f t="shared" si="422"/>
        <v>0.44291338582677164</v>
      </c>
      <c r="AF224" s="317">
        <f t="shared" si="423"/>
        <v>240.82962962962966</v>
      </c>
      <c r="AG224" s="463">
        <f t="shared" si="424"/>
        <v>1.1626476377952754E-2</v>
      </c>
      <c r="AI224" s="153">
        <f t="shared" si="425"/>
        <v>0.1244263025324821</v>
      </c>
      <c r="AJ224" s="153">
        <f t="shared" si="426"/>
        <v>0.15</v>
      </c>
      <c r="AK224" s="153">
        <f t="shared" si="427"/>
        <v>1.1376169312169313</v>
      </c>
      <c r="AM224" s="317">
        <f t="shared" si="428"/>
        <v>8</v>
      </c>
      <c r="AN224" s="147">
        <f t="shared" si="429"/>
        <v>240.82962962962966</v>
      </c>
      <c r="AP224">
        <f t="shared" si="430"/>
        <v>8</v>
      </c>
      <c r="AQ224">
        <f t="shared" si="431"/>
        <v>240.82962962962966</v>
      </c>
      <c r="AS224" s="5">
        <f t="shared" si="364"/>
        <v>4.1523129921259834</v>
      </c>
      <c r="AT224" s="5">
        <f t="shared" si="432"/>
        <v>0.42857142857142855</v>
      </c>
      <c r="AU224" s="5">
        <f t="shared" si="304"/>
        <v>3.723741563554555</v>
      </c>
      <c r="AV224" s="5"/>
      <c r="AW224" s="153">
        <f t="shared" si="305"/>
        <v>0.10321269841269842</v>
      </c>
      <c r="AX224" s="153"/>
      <c r="BA224" s="147">
        <f t="shared" si="433"/>
        <v>2.347082921094211</v>
      </c>
      <c r="BB224" s="147">
        <f t="shared" si="434"/>
        <v>0.10670997768707483</v>
      </c>
      <c r="BC224" s="5">
        <f t="shared" si="359"/>
        <v>3.1523738104165547E-2</v>
      </c>
      <c r="BD224" s="147">
        <f t="shared" si="435"/>
        <v>0</v>
      </c>
      <c r="BQ224" s="463">
        <f t="shared" si="436"/>
        <v>3.0560000000000001E-3</v>
      </c>
      <c r="CG224" s="59">
        <f t="shared" si="437"/>
        <v>-50</v>
      </c>
      <c r="CH224">
        <f t="shared" si="438"/>
        <v>-50</v>
      </c>
    </row>
    <row r="225" spans="5:86" x14ac:dyDescent="0.25">
      <c r="E225" s="150">
        <v>9</v>
      </c>
      <c r="F225" s="191">
        <f t="shared" si="439"/>
        <v>8.9999999999999993E-3</v>
      </c>
      <c r="G225" s="191"/>
      <c r="H225" s="191">
        <f t="shared" si="404"/>
        <v>0.18</v>
      </c>
      <c r="I225" s="472">
        <f t="shared" si="405"/>
        <v>21</v>
      </c>
      <c r="J225" s="386">
        <f t="shared" si="406"/>
        <v>20.32</v>
      </c>
      <c r="K225" s="386">
        <f t="shared" si="407"/>
        <v>41.32</v>
      </c>
      <c r="L225" s="386"/>
      <c r="M225" s="191">
        <f t="shared" si="408"/>
        <v>0.49177153920619554</v>
      </c>
      <c r="N225" s="152">
        <f t="shared" si="409"/>
        <v>3.5342268151016456</v>
      </c>
      <c r="O225" s="152">
        <f t="shared" si="363"/>
        <v>0.18</v>
      </c>
      <c r="P225" s="191">
        <f t="shared" si="410"/>
        <v>0.17671134075508227</v>
      </c>
      <c r="Q225" s="191">
        <f t="shared" si="411"/>
        <v>20</v>
      </c>
      <c r="R225" s="191"/>
      <c r="S225" s="152">
        <f t="shared" si="412"/>
        <v>766.50876336454905</v>
      </c>
      <c r="T225" s="152">
        <f t="shared" si="413"/>
        <v>20</v>
      </c>
      <c r="U225" s="191">
        <f t="shared" si="414"/>
        <v>3.8732658417697782E-2</v>
      </c>
      <c r="V225" s="191">
        <f t="shared" si="415"/>
        <v>0.11066473833627938</v>
      </c>
      <c r="W225" s="191">
        <f t="shared" si="416"/>
        <v>0.11436808587902889</v>
      </c>
      <c r="X225" s="175">
        <f t="shared" si="417"/>
        <v>350</v>
      </c>
      <c r="Y225" s="386">
        <f t="shared" si="418"/>
        <v>350</v>
      </c>
      <c r="AA225" s="191">
        <f t="shared" si="419"/>
        <v>0.49177153920619554</v>
      </c>
      <c r="AB225" s="153">
        <f t="shared" si="420"/>
        <v>1.452081316553727</v>
      </c>
      <c r="AC225" s="153">
        <f t="shared" si="421"/>
        <v>0.1249661462164824</v>
      </c>
      <c r="AD225" s="153"/>
      <c r="AE225" s="153">
        <f t="shared" si="422"/>
        <v>0.44291338582677164</v>
      </c>
      <c r="AF225" s="317">
        <f t="shared" si="423"/>
        <v>270.93333333333339</v>
      </c>
      <c r="AG225" s="463">
        <f t="shared" si="424"/>
        <v>1.1626476377952754E-2</v>
      </c>
      <c r="AI225" s="153">
        <f t="shared" si="425"/>
        <v>0.13197402341803047</v>
      </c>
      <c r="AJ225" s="153">
        <f t="shared" si="426"/>
        <v>0.15</v>
      </c>
      <c r="AK225" s="153">
        <f t="shared" si="427"/>
        <v>1.1548190476190476</v>
      </c>
      <c r="AM225" s="317">
        <f t="shared" si="428"/>
        <v>9</v>
      </c>
      <c r="AN225" s="147">
        <f t="shared" si="429"/>
        <v>270.93333333333339</v>
      </c>
      <c r="AP225">
        <f t="shared" si="430"/>
        <v>9</v>
      </c>
      <c r="AQ225">
        <f t="shared" si="431"/>
        <v>270.93333333333339</v>
      </c>
      <c r="AS225" s="5">
        <f t="shared" si="364"/>
        <v>3.690944881889763</v>
      </c>
      <c r="AT225" s="5">
        <f t="shared" si="432"/>
        <v>0.42857142857142855</v>
      </c>
      <c r="AU225" s="5">
        <f t="shared" si="304"/>
        <v>3.2623734533183346</v>
      </c>
      <c r="AV225" s="5"/>
      <c r="AW225" s="153">
        <f t="shared" si="305"/>
        <v>0.11611428571428574</v>
      </c>
      <c r="AX225" s="153"/>
      <c r="BA225" s="147">
        <f t="shared" si="433"/>
        <v>2.347082921094211</v>
      </c>
      <c r="BB225" s="147">
        <f t="shared" si="434"/>
        <v>0.13167981551020408</v>
      </c>
      <c r="BC225" s="5">
        <f t="shared" si="359"/>
        <v>3.1070223364936516E-2</v>
      </c>
      <c r="BD225" s="147">
        <f t="shared" si="435"/>
        <v>0</v>
      </c>
      <c r="BQ225" s="463">
        <f t="shared" si="436"/>
        <v>3.4379999999999997E-3</v>
      </c>
      <c r="CG225" s="59">
        <f t="shared" si="437"/>
        <v>-50</v>
      </c>
      <c r="CH225">
        <f t="shared" si="438"/>
        <v>-50</v>
      </c>
    </row>
    <row r="226" spans="5:86" x14ac:dyDescent="0.25">
      <c r="E226" s="150">
        <v>10</v>
      </c>
      <c r="F226" s="191">
        <f t="shared" si="439"/>
        <v>1.0000000000000002E-2</v>
      </c>
      <c r="G226" s="191"/>
      <c r="H226" s="191">
        <f t="shared" si="404"/>
        <v>0.20000000000000004</v>
      </c>
      <c r="I226" s="472">
        <f t="shared" si="405"/>
        <v>21</v>
      </c>
      <c r="J226" s="386">
        <f t="shared" si="406"/>
        <v>20.32</v>
      </c>
      <c r="K226" s="386">
        <f t="shared" si="407"/>
        <v>41.32</v>
      </c>
      <c r="L226" s="386"/>
      <c r="M226" s="191">
        <f t="shared" si="408"/>
        <v>0.49177153920619554</v>
      </c>
      <c r="N226" s="152">
        <f t="shared" si="409"/>
        <v>3.5342268151016456</v>
      </c>
      <c r="O226" s="152">
        <f t="shared" si="363"/>
        <v>0.20000000000000004</v>
      </c>
      <c r="P226" s="191">
        <f t="shared" si="410"/>
        <v>0.17671134075508227</v>
      </c>
      <c r="Q226" s="191">
        <f t="shared" si="411"/>
        <v>20</v>
      </c>
      <c r="R226" s="191"/>
      <c r="S226" s="152">
        <f t="shared" si="412"/>
        <v>687.75976630956018</v>
      </c>
      <c r="T226" s="152">
        <f t="shared" si="413"/>
        <v>20</v>
      </c>
      <c r="U226" s="191">
        <f t="shared" si="414"/>
        <v>4.3036287130775328E-2</v>
      </c>
      <c r="V226" s="191">
        <f t="shared" si="415"/>
        <v>0.12296082037364381</v>
      </c>
      <c r="W226" s="191">
        <f t="shared" si="416"/>
        <v>0.12707565097669882</v>
      </c>
      <c r="X226" s="175">
        <f t="shared" si="417"/>
        <v>350</v>
      </c>
      <c r="Y226" s="386">
        <f t="shared" si="418"/>
        <v>350</v>
      </c>
      <c r="AA226" s="191">
        <f t="shared" si="419"/>
        <v>0.49177153920619554</v>
      </c>
      <c r="AB226" s="153">
        <f t="shared" si="420"/>
        <v>1.452081316553727</v>
      </c>
      <c r="AC226" s="153">
        <f t="shared" si="421"/>
        <v>0.1249661462164824</v>
      </c>
      <c r="AD226" s="153"/>
      <c r="AE226" s="153">
        <f t="shared" si="422"/>
        <v>0.44291338582677164</v>
      </c>
      <c r="AF226" s="317">
        <f t="shared" si="423"/>
        <v>301.03703703703712</v>
      </c>
      <c r="AG226" s="463">
        <f t="shared" si="424"/>
        <v>1.1626476377952754E-2</v>
      </c>
      <c r="AI226" s="153">
        <f t="shared" si="425"/>
        <v>0.13911283532579213</v>
      </c>
      <c r="AJ226" s="153">
        <f t="shared" si="426"/>
        <v>0.15</v>
      </c>
      <c r="AK226" s="153">
        <f t="shared" si="427"/>
        <v>1.1720211640211642</v>
      </c>
      <c r="AM226" s="317">
        <f t="shared" si="428"/>
        <v>10.000000000000002</v>
      </c>
      <c r="AN226" s="147">
        <f t="shared" si="429"/>
        <v>301.03703703703712</v>
      </c>
      <c r="AP226">
        <f t="shared" si="430"/>
        <v>10.000000000000002</v>
      </c>
      <c r="AQ226">
        <f t="shared" si="431"/>
        <v>301.03703703703712</v>
      </c>
      <c r="AS226" s="5">
        <f t="shared" si="364"/>
        <v>3.3218503937007862</v>
      </c>
      <c r="AT226" s="5">
        <f t="shared" si="432"/>
        <v>0.42857142857142855</v>
      </c>
      <c r="AU226" s="5">
        <f t="shared" si="304"/>
        <v>2.8932789651293578</v>
      </c>
      <c r="AV226" s="5"/>
      <c r="AW226" s="153">
        <f t="shared" si="305"/>
        <v>0.12901587301587306</v>
      </c>
      <c r="AX226" s="153"/>
      <c r="BA226" s="147">
        <f t="shared" si="433"/>
        <v>2.347082921094211</v>
      </c>
      <c r="BB226" s="147">
        <f t="shared" si="434"/>
        <v>0.1592343401360545</v>
      </c>
      <c r="BC226" s="5">
        <f t="shared" si="359"/>
        <v>3.0616708625707499E-2</v>
      </c>
      <c r="BD226" s="147">
        <f t="shared" si="435"/>
        <v>0</v>
      </c>
      <c r="BQ226" s="463">
        <f t="shared" si="436"/>
        <v>3.8200000000000009E-3</v>
      </c>
      <c r="CG226" s="59">
        <f t="shared" si="437"/>
        <v>-50</v>
      </c>
      <c r="CH226">
        <f t="shared" si="438"/>
        <v>-50</v>
      </c>
    </row>
    <row r="227" spans="5:86" x14ac:dyDescent="0.25">
      <c r="E227" s="150">
        <v>11</v>
      </c>
      <c r="F227" s="191">
        <f t="shared" si="439"/>
        <v>1.1000000000000001E-2</v>
      </c>
      <c r="G227" s="191"/>
      <c r="H227" s="191">
        <f t="shared" si="404"/>
        <v>0.22000000000000003</v>
      </c>
      <c r="I227" s="472">
        <f t="shared" si="405"/>
        <v>21</v>
      </c>
      <c r="J227" s="386">
        <f t="shared" si="406"/>
        <v>20.32</v>
      </c>
      <c r="K227" s="386">
        <f t="shared" si="407"/>
        <v>41.32</v>
      </c>
      <c r="L227" s="386"/>
      <c r="M227" s="191">
        <f t="shared" si="408"/>
        <v>0.49177153920619554</v>
      </c>
      <c r="N227" s="152">
        <f t="shared" si="409"/>
        <v>3.5342268151016456</v>
      </c>
      <c r="O227" s="152">
        <f t="shared" si="363"/>
        <v>0.22000000000000003</v>
      </c>
      <c r="P227" s="191">
        <f t="shared" si="410"/>
        <v>0.17671134075508227</v>
      </c>
      <c r="Q227" s="191">
        <f t="shared" si="411"/>
        <v>20</v>
      </c>
      <c r="R227" s="191"/>
      <c r="S227" s="152">
        <f t="shared" si="412"/>
        <v>623.32895711079379</v>
      </c>
      <c r="T227" s="152">
        <f t="shared" si="413"/>
        <v>20</v>
      </c>
      <c r="U227" s="191">
        <f t="shared" si="414"/>
        <v>4.7339915843852852E-2</v>
      </c>
      <c r="V227" s="191">
        <f t="shared" si="415"/>
        <v>0.13525690241100816</v>
      </c>
      <c r="W227" s="191">
        <f t="shared" si="416"/>
        <v>0.13978321607436867</v>
      </c>
      <c r="X227" s="175">
        <f t="shared" si="417"/>
        <v>350</v>
      </c>
      <c r="Y227" s="386">
        <f t="shared" si="418"/>
        <v>350</v>
      </c>
      <c r="AA227" s="191">
        <f t="shared" si="419"/>
        <v>0.49177153920619554</v>
      </c>
      <c r="AB227" s="153">
        <f t="shared" si="420"/>
        <v>1.452081316553727</v>
      </c>
      <c r="AC227" s="153">
        <f t="shared" si="421"/>
        <v>0.1249661462164824</v>
      </c>
      <c r="AD227" s="153"/>
      <c r="AE227" s="153">
        <f t="shared" si="422"/>
        <v>0.44291338582677164</v>
      </c>
      <c r="AF227" s="317">
        <f t="shared" si="423"/>
        <v>331.14074074074085</v>
      </c>
      <c r="AG227" s="463">
        <f t="shared" si="424"/>
        <v>1.1626476377952754E-2</v>
      </c>
      <c r="AI227" s="153">
        <f t="shared" si="425"/>
        <v>0.145902772583728</v>
      </c>
      <c r="AJ227" s="153">
        <f t="shared" si="426"/>
        <v>0.15</v>
      </c>
      <c r="AK227" s="153">
        <f t="shared" si="427"/>
        <v>1.1892232804232805</v>
      </c>
      <c r="AM227" s="317">
        <f t="shared" si="428"/>
        <v>11.000000000000002</v>
      </c>
      <c r="AN227" s="147">
        <f t="shared" si="429"/>
        <v>331.14074074074085</v>
      </c>
      <c r="AP227">
        <f t="shared" si="430"/>
        <v>11.000000000000002</v>
      </c>
      <c r="AQ227">
        <f t="shared" si="431"/>
        <v>331.14074074074085</v>
      </c>
      <c r="AS227" s="5">
        <f t="shared" si="364"/>
        <v>3.0198639942734422</v>
      </c>
      <c r="AT227" s="5">
        <f t="shared" si="432"/>
        <v>0.42857142857142855</v>
      </c>
      <c r="AU227" s="5">
        <f t="shared" si="304"/>
        <v>2.5912925657020138</v>
      </c>
      <c r="AV227" s="5"/>
      <c r="AW227" s="153">
        <f t="shared" si="305"/>
        <v>0.14191746031746036</v>
      </c>
      <c r="AX227" s="153"/>
      <c r="BA227" s="147">
        <f t="shared" si="433"/>
        <v>2.347082921094211</v>
      </c>
      <c r="BB227" s="147">
        <f t="shared" si="434"/>
        <v>0.18937355156462587</v>
      </c>
      <c r="BC227" s="5">
        <f t="shared" si="359"/>
        <v>3.0163193886478472E-2</v>
      </c>
      <c r="BD227" s="147">
        <f t="shared" si="435"/>
        <v>0</v>
      </c>
      <c r="BQ227" s="463">
        <f t="shared" si="436"/>
        <v>4.202E-3</v>
      </c>
      <c r="CG227" s="59">
        <f t="shared" si="437"/>
        <v>-50</v>
      </c>
      <c r="CH227">
        <f t="shared" si="438"/>
        <v>-50</v>
      </c>
    </row>
    <row r="228" spans="5:86" x14ac:dyDescent="0.25">
      <c r="E228" s="150">
        <v>12</v>
      </c>
      <c r="F228" s="191">
        <f t="shared" si="439"/>
        <v>1.2E-2</v>
      </c>
      <c r="G228" s="191"/>
      <c r="H228" s="191">
        <f t="shared" si="404"/>
        <v>0.24</v>
      </c>
      <c r="I228" s="472">
        <f t="shared" si="405"/>
        <v>21</v>
      </c>
      <c r="J228" s="386">
        <f t="shared" si="406"/>
        <v>20.32</v>
      </c>
      <c r="K228" s="386">
        <f t="shared" si="407"/>
        <v>41.32</v>
      </c>
      <c r="L228" s="386"/>
      <c r="M228" s="191">
        <f t="shared" si="408"/>
        <v>0.49177153920619554</v>
      </c>
      <c r="N228" s="152">
        <f t="shared" si="409"/>
        <v>3.5342268151016456</v>
      </c>
      <c r="O228" s="152">
        <f t="shared" si="363"/>
        <v>0.24</v>
      </c>
      <c r="P228" s="191">
        <f t="shared" si="410"/>
        <v>0.17671134075508227</v>
      </c>
      <c r="Q228" s="191">
        <f t="shared" si="411"/>
        <v>20</v>
      </c>
      <c r="R228" s="191"/>
      <c r="S228" s="152">
        <f t="shared" si="412"/>
        <v>569.63679036746919</v>
      </c>
      <c r="T228" s="152">
        <f t="shared" si="413"/>
        <v>20</v>
      </c>
      <c r="U228" s="191">
        <f t="shared" si="414"/>
        <v>5.1643544556930376E-2</v>
      </c>
      <c r="V228" s="191">
        <f t="shared" si="415"/>
        <v>0.1475529844483725</v>
      </c>
      <c r="W228" s="191">
        <f t="shared" si="416"/>
        <v>0.15249078117203851</v>
      </c>
      <c r="X228" s="175">
        <f t="shared" si="417"/>
        <v>350</v>
      </c>
      <c r="Y228" s="386">
        <f t="shared" si="418"/>
        <v>350</v>
      </c>
      <c r="AA228" s="191">
        <f t="shared" si="419"/>
        <v>0.49177153920619554</v>
      </c>
      <c r="AB228" s="153">
        <f t="shared" si="420"/>
        <v>1.452081316553727</v>
      </c>
      <c r="AC228" s="153">
        <f t="shared" si="421"/>
        <v>0.1249661462164824</v>
      </c>
      <c r="AD228" s="153"/>
      <c r="AE228" s="153">
        <f t="shared" si="422"/>
        <v>0.44291338582677164</v>
      </c>
      <c r="AF228" s="317">
        <f t="shared" si="423"/>
        <v>361.24444444444447</v>
      </c>
      <c r="AG228" s="463">
        <f t="shared" si="424"/>
        <v>1.1626476377952754E-2</v>
      </c>
      <c r="AI228" s="153">
        <f t="shared" si="425"/>
        <v>0.15239047589287574</v>
      </c>
      <c r="AJ228" s="153">
        <f t="shared" si="426"/>
        <v>0.15239047589287574</v>
      </c>
      <c r="AK228" s="153">
        <f t="shared" si="427"/>
        <v>1.2015936505952505</v>
      </c>
      <c r="AM228" s="317">
        <f t="shared" si="428"/>
        <v>12</v>
      </c>
      <c r="AN228" s="147">
        <f t="shared" si="429"/>
        <v>350</v>
      </c>
      <c r="AP228">
        <f t="shared" si="430"/>
        <v>12</v>
      </c>
      <c r="AQ228">
        <f t="shared" si="431"/>
        <v>350</v>
      </c>
      <c r="AS228" s="5">
        <f t="shared" si="364"/>
        <v>2.8571428571428572</v>
      </c>
      <c r="AT228" s="5">
        <f t="shared" si="432"/>
        <v>0.43540135969393068</v>
      </c>
      <c r="AU228" s="5">
        <f t="shared" si="304"/>
        <v>2.4217414974489264</v>
      </c>
      <c r="AV228" s="5"/>
      <c r="AW228" s="153">
        <f t="shared" si="305"/>
        <v>0.15239047589287574</v>
      </c>
      <c r="AX228" s="153"/>
      <c r="BA228" s="147">
        <f t="shared" si="433"/>
        <v>2.347082921094211</v>
      </c>
      <c r="BB228" s="147">
        <f t="shared" si="434"/>
        <v>0.22209744979591836</v>
      </c>
      <c r="BC228" s="5">
        <f t="shared" si="359"/>
        <v>3.0752272983478431E-2</v>
      </c>
      <c r="BD228" s="147">
        <f t="shared" si="435"/>
        <v>0</v>
      </c>
      <c r="BQ228" s="463">
        <f t="shared" si="436"/>
        <v>4.5840000000000004E-3</v>
      </c>
      <c r="CG228" s="59">
        <f t="shared" si="437"/>
        <v>-50</v>
      </c>
      <c r="CH228">
        <f t="shared" si="438"/>
        <v>-50</v>
      </c>
    </row>
    <row r="229" spans="5:86" x14ac:dyDescent="0.25">
      <c r="E229" s="150">
        <v>13</v>
      </c>
      <c r="F229" s="191">
        <f t="shared" si="439"/>
        <v>1.3000000000000001E-2</v>
      </c>
      <c r="G229" s="191"/>
      <c r="H229" s="191">
        <f t="shared" si="404"/>
        <v>0.26</v>
      </c>
      <c r="I229" s="472">
        <f t="shared" si="405"/>
        <v>21</v>
      </c>
      <c r="J229" s="386">
        <f t="shared" si="406"/>
        <v>20.32</v>
      </c>
      <c r="K229" s="386">
        <f t="shared" si="407"/>
        <v>41.32</v>
      </c>
      <c r="L229" s="386"/>
      <c r="M229" s="191">
        <f t="shared" si="408"/>
        <v>0.49177153920619554</v>
      </c>
      <c r="N229" s="152">
        <f t="shared" si="409"/>
        <v>3.5342268151016456</v>
      </c>
      <c r="O229" s="152">
        <f t="shared" si="363"/>
        <v>0.26</v>
      </c>
      <c r="P229" s="191">
        <f t="shared" si="410"/>
        <v>0.17671134075508227</v>
      </c>
      <c r="Q229" s="191">
        <f t="shared" si="411"/>
        <v>20</v>
      </c>
      <c r="R229" s="191"/>
      <c r="S229" s="152">
        <f t="shared" si="412"/>
        <v>524.20511928083408</v>
      </c>
      <c r="T229" s="152">
        <f t="shared" si="413"/>
        <v>20</v>
      </c>
      <c r="U229" s="191">
        <f t="shared" si="414"/>
        <v>5.5947173270007915E-2</v>
      </c>
      <c r="V229" s="191">
        <f t="shared" si="415"/>
        <v>0.15984906648573688</v>
      </c>
      <c r="W229" s="191">
        <f t="shared" si="416"/>
        <v>0.16519834626970839</v>
      </c>
      <c r="X229" s="175">
        <f t="shared" si="417"/>
        <v>350</v>
      </c>
      <c r="Y229" s="386">
        <f t="shared" si="418"/>
        <v>350</v>
      </c>
      <c r="AA229" s="191">
        <f t="shared" si="419"/>
        <v>0.49177153920619554</v>
      </c>
      <c r="AB229" s="153">
        <f t="shared" si="420"/>
        <v>1.452081316553727</v>
      </c>
      <c r="AC229" s="153">
        <f t="shared" si="421"/>
        <v>0.1249661462164824</v>
      </c>
      <c r="AD229" s="153"/>
      <c r="AE229" s="153">
        <f t="shared" si="422"/>
        <v>0.44291338582677164</v>
      </c>
      <c r="AF229" s="317">
        <f t="shared" si="423"/>
        <v>391.34814814814825</v>
      </c>
      <c r="AG229" s="463">
        <f t="shared" si="424"/>
        <v>1.1626476377952754E-2</v>
      </c>
      <c r="AI229" s="153">
        <f t="shared" si="425"/>
        <v>0.15861303615433142</v>
      </c>
      <c r="AJ229" s="153">
        <f t="shared" si="426"/>
        <v>0.15861303615433142</v>
      </c>
      <c r="AK229" s="153">
        <f t="shared" si="427"/>
        <v>1.2057420241028876</v>
      </c>
      <c r="AM229" s="317">
        <f t="shared" si="428"/>
        <v>13.000000000000002</v>
      </c>
      <c r="AN229" s="147">
        <f t="shared" si="429"/>
        <v>350</v>
      </c>
      <c r="AP229">
        <f t="shared" si="430"/>
        <v>13.000000000000002</v>
      </c>
      <c r="AQ229">
        <f t="shared" si="431"/>
        <v>350</v>
      </c>
      <c r="AS229" s="5">
        <f t="shared" si="364"/>
        <v>2.8571428571428572</v>
      </c>
      <c r="AT229" s="5">
        <f t="shared" si="432"/>
        <v>0.45318010329808978</v>
      </c>
      <c r="AU229" s="5">
        <f t="shared" si="304"/>
        <v>2.4039627538447674</v>
      </c>
      <c r="AV229" s="5"/>
      <c r="AW229" s="153">
        <f t="shared" si="305"/>
        <v>0.15861303615433142</v>
      </c>
      <c r="AX229" s="153"/>
      <c r="BA229" s="147">
        <f t="shared" si="433"/>
        <v>2.347082921094211</v>
      </c>
      <c r="BB229" s="147">
        <f t="shared" si="434"/>
        <v>0.25740603482993207</v>
      </c>
      <c r="BC229" s="5">
        <f t="shared" si="359"/>
        <v>3.3070387089928023E-2</v>
      </c>
      <c r="BD229" s="147">
        <f t="shared" si="435"/>
        <v>0</v>
      </c>
      <c r="BQ229" s="463">
        <f t="shared" si="436"/>
        <v>4.9660000000000008E-3</v>
      </c>
      <c r="CG229" s="59">
        <f t="shared" si="437"/>
        <v>-50</v>
      </c>
      <c r="CH229">
        <f t="shared" si="438"/>
        <v>-50</v>
      </c>
    </row>
    <row r="230" spans="5:86" x14ac:dyDescent="0.25">
      <c r="E230" s="150">
        <v>14</v>
      </c>
      <c r="F230" s="191">
        <f t="shared" si="439"/>
        <v>1.4000000000000002E-2</v>
      </c>
      <c r="G230" s="191"/>
      <c r="H230" s="191">
        <f t="shared" si="404"/>
        <v>0.28000000000000003</v>
      </c>
      <c r="I230" s="472">
        <f t="shared" si="405"/>
        <v>21</v>
      </c>
      <c r="J230" s="386">
        <f t="shared" si="406"/>
        <v>20.32</v>
      </c>
      <c r="K230" s="386">
        <f t="shared" si="407"/>
        <v>41.32</v>
      </c>
      <c r="L230" s="386"/>
      <c r="M230" s="191">
        <f t="shared" si="408"/>
        <v>0.49177153920619554</v>
      </c>
      <c r="N230" s="152">
        <f t="shared" si="409"/>
        <v>3.5342268151016456</v>
      </c>
      <c r="O230" s="152">
        <f t="shared" si="363"/>
        <v>0.28000000000000003</v>
      </c>
      <c r="P230" s="191">
        <f t="shared" si="410"/>
        <v>0.17671134075508227</v>
      </c>
      <c r="Q230" s="191">
        <f t="shared" si="411"/>
        <v>20</v>
      </c>
      <c r="R230" s="191"/>
      <c r="S230" s="152">
        <f t="shared" si="412"/>
        <v>485.26383901081562</v>
      </c>
      <c r="T230" s="152">
        <f t="shared" si="413"/>
        <v>20</v>
      </c>
      <c r="U230" s="191">
        <f t="shared" si="414"/>
        <v>6.0250801983085446E-2</v>
      </c>
      <c r="V230" s="191">
        <f t="shared" si="415"/>
        <v>0.17214514852310128</v>
      </c>
      <c r="W230" s="191">
        <f t="shared" si="416"/>
        <v>0.17790591136737827</v>
      </c>
      <c r="X230" s="175">
        <f t="shared" si="417"/>
        <v>350</v>
      </c>
      <c r="Y230" s="386">
        <f t="shared" si="418"/>
        <v>350</v>
      </c>
      <c r="AA230" s="191">
        <f t="shared" si="419"/>
        <v>0.49177153920619554</v>
      </c>
      <c r="AB230" s="153">
        <f t="shared" si="420"/>
        <v>1.452081316553727</v>
      </c>
      <c r="AC230" s="153">
        <f t="shared" si="421"/>
        <v>0.1249661462164824</v>
      </c>
      <c r="AD230" s="153"/>
      <c r="AE230" s="153">
        <f t="shared" si="422"/>
        <v>0.44291338582677164</v>
      </c>
      <c r="AF230" s="317">
        <f t="shared" si="423"/>
        <v>421.45185185185198</v>
      </c>
      <c r="AG230" s="463">
        <f t="shared" si="424"/>
        <v>1.1626476377952754E-2</v>
      </c>
      <c r="AI230" s="153">
        <f t="shared" si="425"/>
        <v>0.16460052652811696</v>
      </c>
      <c r="AJ230" s="153">
        <f t="shared" si="426"/>
        <v>0.16460052652811696</v>
      </c>
      <c r="AK230" s="153">
        <f t="shared" si="427"/>
        <v>1.2097336843520778</v>
      </c>
      <c r="AM230" s="317">
        <f t="shared" si="428"/>
        <v>14.000000000000002</v>
      </c>
      <c r="AN230" s="147">
        <f t="shared" si="429"/>
        <v>350</v>
      </c>
      <c r="AP230">
        <f t="shared" si="430"/>
        <v>14.000000000000002</v>
      </c>
      <c r="AQ230">
        <f t="shared" si="431"/>
        <v>350</v>
      </c>
      <c r="AS230" s="5">
        <f t="shared" si="364"/>
        <v>2.8571428571428572</v>
      </c>
      <c r="AT230" s="5">
        <f t="shared" si="432"/>
        <v>0.47028721865176276</v>
      </c>
      <c r="AU230" s="5">
        <f t="shared" si="304"/>
        <v>2.3868556384910944</v>
      </c>
      <c r="AV230" s="5"/>
      <c r="AW230" s="153">
        <f t="shared" si="305"/>
        <v>0.16460052652811696</v>
      </c>
      <c r="AX230" s="153"/>
      <c r="BA230" s="147">
        <f t="shared" si="433"/>
        <v>2.347082921094211</v>
      </c>
      <c r="BB230" s="147">
        <f t="shared" si="434"/>
        <v>0.29529930666666671</v>
      </c>
      <c r="BC230" s="5">
        <f t="shared" si="359"/>
        <v>3.5360824273942139E-2</v>
      </c>
      <c r="BD230" s="147">
        <f t="shared" si="435"/>
        <v>0</v>
      </c>
      <c r="BQ230" s="463">
        <f t="shared" si="436"/>
        <v>5.3480000000000003E-3</v>
      </c>
      <c r="CG230" s="59">
        <f t="shared" si="437"/>
        <v>-50</v>
      </c>
      <c r="CH230">
        <f t="shared" si="438"/>
        <v>-50</v>
      </c>
    </row>
    <row r="231" spans="5:86" x14ac:dyDescent="0.25">
      <c r="E231" s="150">
        <v>15</v>
      </c>
      <c r="F231" s="191">
        <f t="shared" si="439"/>
        <v>1.4999999999999999E-2</v>
      </c>
      <c r="G231" s="191"/>
      <c r="H231" s="191">
        <f t="shared" si="404"/>
        <v>0.3</v>
      </c>
      <c r="I231" s="472">
        <f t="shared" si="405"/>
        <v>21</v>
      </c>
      <c r="J231" s="386">
        <f t="shared" si="406"/>
        <v>20.32</v>
      </c>
      <c r="K231" s="386">
        <f t="shared" si="407"/>
        <v>41.32</v>
      </c>
      <c r="L231" s="386"/>
      <c r="M231" s="191">
        <f t="shared" si="408"/>
        <v>0.49177153920619554</v>
      </c>
      <c r="N231" s="152">
        <f t="shared" si="409"/>
        <v>3.5342268151016456</v>
      </c>
      <c r="O231" s="152">
        <f t="shared" si="363"/>
        <v>0.3</v>
      </c>
      <c r="P231" s="191">
        <f t="shared" si="410"/>
        <v>0.17671134075508227</v>
      </c>
      <c r="Q231" s="191">
        <f t="shared" si="411"/>
        <v>20</v>
      </c>
      <c r="R231" s="191"/>
      <c r="S231" s="152">
        <f t="shared" si="412"/>
        <v>451.51487269001615</v>
      </c>
      <c r="T231" s="152">
        <f t="shared" si="413"/>
        <v>20</v>
      </c>
      <c r="U231" s="191">
        <f t="shared" si="414"/>
        <v>6.455443069616297E-2</v>
      </c>
      <c r="V231" s="191">
        <f t="shared" si="415"/>
        <v>0.18444123056046563</v>
      </c>
      <c r="W231" s="191">
        <f t="shared" si="416"/>
        <v>0.19061347646504814</v>
      </c>
      <c r="X231" s="175">
        <f t="shared" si="417"/>
        <v>350</v>
      </c>
      <c r="Y231" s="386">
        <f t="shared" si="418"/>
        <v>350</v>
      </c>
      <c r="AA231" s="191">
        <f t="shared" si="419"/>
        <v>0.49177153920619554</v>
      </c>
      <c r="AB231" s="153">
        <f t="shared" si="420"/>
        <v>1.452081316553727</v>
      </c>
      <c r="AC231" s="153">
        <f t="shared" si="421"/>
        <v>0.1249661462164824</v>
      </c>
      <c r="AD231" s="153"/>
      <c r="AE231" s="153">
        <f t="shared" si="422"/>
        <v>0.44291338582677164</v>
      </c>
      <c r="AF231" s="317">
        <f t="shared" si="423"/>
        <v>451.5555555555556</v>
      </c>
      <c r="AG231" s="463">
        <f t="shared" si="424"/>
        <v>1.1626476377952754E-2</v>
      </c>
      <c r="AI231" s="153">
        <f t="shared" si="425"/>
        <v>0.17037773161000655</v>
      </c>
      <c r="AJ231" s="153">
        <f t="shared" si="426"/>
        <v>0.17037773161000655</v>
      </c>
      <c r="AK231" s="153">
        <f t="shared" si="427"/>
        <v>1.2135851544066709</v>
      </c>
      <c r="AM231" s="317">
        <f t="shared" si="428"/>
        <v>15</v>
      </c>
      <c r="AN231" s="147">
        <f t="shared" si="429"/>
        <v>350</v>
      </c>
      <c r="AP231">
        <f t="shared" si="430"/>
        <v>15</v>
      </c>
      <c r="AQ231">
        <f t="shared" si="431"/>
        <v>350</v>
      </c>
      <c r="AS231" s="5">
        <f t="shared" si="364"/>
        <v>2.8571428571428572</v>
      </c>
      <c r="AT231" s="5">
        <f t="shared" si="432"/>
        <v>0.48679351888573308</v>
      </c>
      <c r="AU231" s="5">
        <f t="shared" si="304"/>
        <v>2.3703493382571241</v>
      </c>
      <c r="AV231" s="5"/>
      <c r="AW231" s="153">
        <f t="shared" si="305"/>
        <v>0.17037773161000658</v>
      </c>
      <c r="AX231" s="153"/>
      <c r="BA231" s="147">
        <f t="shared" si="433"/>
        <v>2.347082921094211</v>
      </c>
      <c r="BB231" s="147">
        <f t="shared" si="434"/>
        <v>0.33577726530612245</v>
      </c>
      <c r="BC231" s="5">
        <f t="shared" si="359"/>
        <v>3.7624592670747997E-2</v>
      </c>
      <c r="BD231" s="147">
        <f t="shared" si="435"/>
        <v>0</v>
      </c>
      <c r="BQ231" s="463">
        <f t="shared" si="436"/>
        <v>5.7299999999999999E-3</v>
      </c>
      <c r="CG231" s="59">
        <f t="shared" si="437"/>
        <v>-50</v>
      </c>
      <c r="CH231">
        <f t="shared" si="438"/>
        <v>-50</v>
      </c>
    </row>
    <row r="232" spans="5:86" x14ac:dyDescent="0.25">
      <c r="E232" s="150">
        <v>16</v>
      </c>
      <c r="F232" s="191">
        <f t="shared" si="439"/>
        <v>1.6E-2</v>
      </c>
      <c r="G232" s="191"/>
      <c r="H232" s="191">
        <f t="shared" si="404"/>
        <v>0.32</v>
      </c>
      <c r="I232" s="472">
        <f t="shared" si="405"/>
        <v>21</v>
      </c>
      <c r="J232" s="386">
        <f t="shared" si="406"/>
        <v>20.32</v>
      </c>
      <c r="K232" s="386">
        <f t="shared" si="407"/>
        <v>41.32</v>
      </c>
      <c r="L232" s="386"/>
      <c r="M232" s="191">
        <f t="shared" si="408"/>
        <v>0.49177153920619554</v>
      </c>
      <c r="N232" s="152">
        <f t="shared" si="409"/>
        <v>3.5342268151016456</v>
      </c>
      <c r="O232" s="152">
        <f t="shared" si="363"/>
        <v>0.32</v>
      </c>
      <c r="P232" s="191">
        <f t="shared" si="410"/>
        <v>0.17671134075508227</v>
      </c>
      <c r="Q232" s="191">
        <f t="shared" si="411"/>
        <v>20</v>
      </c>
      <c r="R232" s="191"/>
      <c r="S232" s="152">
        <f t="shared" si="412"/>
        <v>421.98466268246324</v>
      </c>
      <c r="T232" s="152">
        <f t="shared" si="413"/>
        <v>20</v>
      </c>
      <c r="U232" s="191">
        <f t="shared" si="414"/>
        <v>6.8858059409240502E-2</v>
      </c>
      <c r="V232" s="191">
        <f t="shared" si="415"/>
        <v>0.19673731259783001</v>
      </c>
      <c r="W232" s="191">
        <f t="shared" si="416"/>
        <v>0.20332104156271802</v>
      </c>
      <c r="X232" s="175">
        <f t="shared" si="417"/>
        <v>350</v>
      </c>
      <c r="Y232" s="386">
        <f t="shared" si="418"/>
        <v>350</v>
      </c>
      <c r="AA232" s="191">
        <f t="shared" si="419"/>
        <v>0.49177153920619554</v>
      </c>
      <c r="AB232" s="153">
        <f t="shared" si="420"/>
        <v>1.452081316553727</v>
      </c>
      <c r="AC232" s="153">
        <f t="shared" si="421"/>
        <v>0.1249661462164824</v>
      </c>
      <c r="AD232" s="153"/>
      <c r="AE232" s="153">
        <f t="shared" si="422"/>
        <v>0.44291338582677164</v>
      </c>
      <c r="AF232" s="317">
        <f t="shared" si="423"/>
        <v>481.65925925925933</v>
      </c>
      <c r="AG232" s="463">
        <f t="shared" si="424"/>
        <v>1.1626476377952754E-2</v>
      </c>
      <c r="AI232" s="153">
        <f t="shared" si="425"/>
        <v>0.17596536455737397</v>
      </c>
      <c r="AJ232" s="153">
        <f t="shared" si="426"/>
        <v>0.17596536455737397</v>
      </c>
      <c r="AK232" s="153">
        <f t="shared" si="427"/>
        <v>1.2173102430382492</v>
      </c>
      <c r="AM232" s="317">
        <f t="shared" si="428"/>
        <v>16</v>
      </c>
      <c r="AN232" s="147">
        <f t="shared" si="429"/>
        <v>350</v>
      </c>
      <c r="AP232">
        <f t="shared" si="430"/>
        <v>16</v>
      </c>
      <c r="AQ232">
        <f t="shared" si="431"/>
        <v>350</v>
      </c>
      <c r="AS232" s="5">
        <f t="shared" si="364"/>
        <v>2.8571428571428572</v>
      </c>
      <c r="AT232" s="5">
        <f t="shared" si="432"/>
        <v>0.50275818444963993</v>
      </c>
      <c r="AU232" s="5">
        <f t="shared" si="304"/>
        <v>2.3543846726932172</v>
      </c>
      <c r="AV232" s="5"/>
      <c r="AW232" s="153">
        <f t="shared" si="305"/>
        <v>0.17596536455737397</v>
      </c>
      <c r="AX232" s="153"/>
      <c r="BA232" s="147">
        <f t="shared" si="433"/>
        <v>2.347082921094211</v>
      </c>
      <c r="BB232" s="147">
        <f t="shared" si="434"/>
        <v>0.37883991074829926</v>
      </c>
      <c r="BC232" s="5">
        <f t="shared" si="359"/>
        <v>3.9862597632901037E-2</v>
      </c>
      <c r="BD232" s="147">
        <f t="shared" si="435"/>
        <v>0</v>
      </c>
      <c r="BQ232" s="463">
        <f t="shared" si="436"/>
        <v>6.1120000000000002E-3</v>
      </c>
      <c r="CG232" s="59">
        <f t="shared" si="437"/>
        <v>-50</v>
      </c>
      <c r="CH232">
        <f t="shared" si="438"/>
        <v>-50</v>
      </c>
    </row>
    <row r="233" spans="5:86" x14ac:dyDescent="0.25">
      <c r="E233" s="150">
        <v>17</v>
      </c>
      <c r="F233" s="191">
        <f t="shared" si="439"/>
        <v>1.7000000000000001E-2</v>
      </c>
      <c r="G233" s="191"/>
      <c r="H233" s="191">
        <f t="shared" si="404"/>
        <v>0.34</v>
      </c>
      <c r="I233" s="472">
        <f t="shared" si="405"/>
        <v>21</v>
      </c>
      <c r="J233" s="386">
        <f t="shared" si="406"/>
        <v>20.32</v>
      </c>
      <c r="K233" s="386">
        <f t="shared" si="407"/>
        <v>41.32</v>
      </c>
      <c r="L233" s="386"/>
      <c r="M233" s="191">
        <f t="shared" si="408"/>
        <v>0.49177153920619554</v>
      </c>
      <c r="N233" s="152">
        <f t="shared" si="409"/>
        <v>3.5342268151016456</v>
      </c>
      <c r="O233" s="152">
        <f t="shared" si="363"/>
        <v>0.34</v>
      </c>
      <c r="P233" s="191">
        <f t="shared" si="410"/>
        <v>0.17671134075508227</v>
      </c>
      <c r="Q233" s="191">
        <f t="shared" si="411"/>
        <v>20</v>
      </c>
      <c r="R233" s="191"/>
      <c r="S233" s="152">
        <f t="shared" si="412"/>
        <v>395.92872375104065</v>
      </c>
      <c r="T233" s="152">
        <f t="shared" si="413"/>
        <v>20</v>
      </c>
      <c r="U233" s="191">
        <f t="shared" si="414"/>
        <v>7.3161688122318047E-2</v>
      </c>
      <c r="V233" s="191">
        <f t="shared" si="415"/>
        <v>0.20903339463519444</v>
      </c>
      <c r="W233" s="191">
        <f t="shared" si="416"/>
        <v>0.21602860666038795</v>
      </c>
      <c r="X233" s="175">
        <f t="shared" si="417"/>
        <v>350</v>
      </c>
      <c r="Y233" s="386">
        <f t="shared" si="418"/>
        <v>350</v>
      </c>
      <c r="AA233" s="191">
        <f t="shared" si="419"/>
        <v>0.49177153920619554</v>
      </c>
      <c r="AB233" s="153">
        <f t="shared" si="420"/>
        <v>1.452081316553727</v>
      </c>
      <c r="AC233" s="153">
        <f t="shared" si="421"/>
        <v>0.1249661462164824</v>
      </c>
      <c r="AD233" s="153"/>
      <c r="AE233" s="153">
        <f t="shared" si="422"/>
        <v>0.44291338582677164</v>
      </c>
      <c r="AF233" s="317">
        <f t="shared" si="423"/>
        <v>511.76296296296312</v>
      </c>
      <c r="AG233" s="463">
        <f t="shared" si="424"/>
        <v>1.1626476377952754E-2</v>
      </c>
      <c r="AI233" s="153">
        <f t="shared" si="425"/>
        <v>0.18138094613009281</v>
      </c>
      <c r="AJ233" s="153">
        <f t="shared" si="426"/>
        <v>0.18138094613009281</v>
      </c>
      <c r="AK233" s="153">
        <f t="shared" si="427"/>
        <v>1.2209206307533951</v>
      </c>
      <c r="AM233" s="317">
        <f t="shared" si="428"/>
        <v>17</v>
      </c>
      <c r="AN233" s="147">
        <f t="shared" si="429"/>
        <v>350</v>
      </c>
      <c r="AP233">
        <f t="shared" si="430"/>
        <v>17</v>
      </c>
      <c r="AQ233">
        <f t="shared" si="431"/>
        <v>350</v>
      </c>
      <c r="AS233" s="5">
        <f t="shared" si="364"/>
        <v>2.8571428571428572</v>
      </c>
      <c r="AT233" s="5">
        <f t="shared" si="432"/>
        <v>0.51823127465740815</v>
      </c>
      <c r="AU233" s="5">
        <f t="shared" si="304"/>
        <v>2.3389115824854492</v>
      </c>
      <c r="AV233" s="5"/>
      <c r="AW233" s="153">
        <f t="shared" si="305"/>
        <v>0.18138094613009284</v>
      </c>
      <c r="AX233" s="153"/>
      <c r="BA233" s="147">
        <f t="shared" si="433"/>
        <v>2.347082921094211</v>
      </c>
      <c r="BB233" s="147">
        <f t="shared" si="434"/>
        <v>0.42448724299319734</v>
      </c>
      <c r="BC233" s="5">
        <f t="shared" si="359"/>
        <v>4.2075658097621836E-2</v>
      </c>
      <c r="BD233" s="147">
        <f t="shared" si="435"/>
        <v>0</v>
      </c>
      <c r="BQ233" s="463">
        <f t="shared" si="436"/>
        <v>6.4939999999999998E-3</v>
      </c>
      <c r="CG233" s="59">
        <f t="shared" si="437"/>
        <v>-50</v>
      </c>
      <c r="CH233">
        <f t="shared" si="438"/>
        <v>-50</v>
      </c>
    </row>
    <row r="234" spans="5:86" x14ac:dyDescent="0.25">
      <c r="E234" s="150">
        <v>18</v>
      </c>
      <c r="F234" s="191">
        <f t="shared" si="439"/>
        <v>1.7999999999999999E-2</v>
      </c>
      <c r="G234" s="191"/>
      <c r="H234" s="191">
        <f t="shared" si="404"/>
        <v>0.36</v>
      </c>
      <c r="I234" s="472">
        <f t="shared" si="405"/>
        <v>21</v>
      </c>
      <c r="J234" s="386">
        <f t="shared" si="406"/>
        <v>20.32</v>
      </c>
      <c r="K234" s="386">
        <f t="shared" si="407"/>
        <v>41.32</v>
      </c>
      <c r="L234" s="386"/>
      <c r="M234" s="191">
        <f t="shared" si="408"/>
        <v>0.49177153920619554</v>
      </c>
      <c r="N234" s="152">
        <f t="shared" si="409"/>
        <v>3.5342268151016456</v>
      </c>
      <c r="O234" s="152">
        <f t="shared" si="363"/>
        <v>0.36</v>
      </c>
      <c r="P234" s="191">
        <f t="shared" si="410"/>
        <v>0.17671134075508227</v>
      </c>
      <c r="Q234" s="191">
        <f t="shared" si="411"/>
        <v>20</v>
      </c>
      <c r="R234" s="191"/>
      <c r="S234" s="152">
        <f t="shared" si="412"/>
        <v>372.76801183577822</v>
      </c>
      <c r="T234" s="152">
        <f t="shared" si="413"/>
        <v>20</v>
      </c>
      <c r="U234" s="191">
        <f t="shared" si="414"/>
        <v>7.7465316835395565E-2</v>
      </c>
      <c r="V234" s="191">
        <f t="shared" si="415"/>
        <v>0.22132947667255876</v>
      </c>
      <c r="W234" s="191">
        <f t="shared" si="416"/>
        <v>0.22873617175805777</v>
      </c>
      <c r="X234" s="175">
        <f t="shared" si="417"/>
        <v>350</v>
      </c>
      <c r="Y234" s="386">
        <f t="shared" si="418"/>
        <v>350</v>
      </c>
      <c r="AA234" s="191">
        <f t="shared" si="419"/>
        <v>0.49177153920619554</v>
      </c>
      <c r="AB234" s="153">
        <f t="shared" si="420"/>
        <v>1.452081316553727</v>
      </c>
      <c r="AC234" s="153">
        <f t="shared" si="421"/>
        <v>0.1249661462164824</v>
      </c>
      <c r="AD234" s="153"/>
      <c r="AE234" s="153">
        <f t="shared" si="422"/>
        <v>0.44291338582677164</v>
      </c>
      <c r="AF234" s="317">
        <f t="shared" si="423"/>
        <v>541.86666666666679</v>
      </c>
      <c r="AG234" s="463">
        <f t="shared" si="424"/>
        <v>1.1626476377952754E-2</v>
      </c>
      <c r="AI234" s="153">
        <f t="shared" si="425"/>
        <v>0.18663945379872315</v>
      </c>
      <c r="AJ234" s="153">
        <f t="shared" si="426"/>
        <v>0.18663945379872315</v>
      </c>
      <c r="AK234" s="153">
        <f t="shared" si="427"/>
        <v>1.224426302532482</v>
      </c>
      <c r="AM234" s="317">
        <f t="shared" si="428"/>
        <v>18</v>
      </c>
      <c r="AN234" s="147">
        <f t="shared" si="429"/>
        <v>350</v>
      </c>
      <c r="AP234">
        <f t="shared" si="430"/>
        <v>18</v>
      </c>
      <c r="AQ234">
        <f t="shared" si="431"/>
        <v>350</v>
      </c>
      <c r="AS234" s="5">
        <f t="shared" si="364"/>
        <v>2.8571428571428572</v>
      </c>
      <c r="AT234" s="5">
        <f t="shared" si="432"/>
        <v>0.53325558228206615</v>
      </c>
      <c r="AU234" s="5">
        <f t="shared" ref="AU234:AU297" si="440">AS234-AT234</f>
        <v>2.3238872748607911</v>
      </c>
      <c r="AV234" s="5"/>
      <c r="AW234" s="153">
        <f t="shared" ref="AW234:AW297" si="441">AT234/AS234</f>
        <v>0.18663945379872315</v>
      </c>
      <c r="AX234" s="153"/>
      <c r="BA234" s="147">
        <f t="shared" si="433"/>
        <v>2.347082921094211</v>
      </c>
      <c r="BB234" s="147">
        <f t="shared" si="434"/>
        <v>0.47271926204081627</v>
      </c>
      <c r="BC234" s="5">
        <f t="shared" si="359"/>
        <v>4.4264519521157918E-2</v>
      </c>
      <c r="BD234" s="147">
        <f t="shared" si="435"/>
        <v>0</v>
      </c>
      <c r="BQ234" s="463">
        <f t="shared" si="436"/>
        <v>6.8759999999999993E-3</v>
      </c>
      <c r="CG234" s="59">
        <f t="shared" si="437"/>
        <v>-50</v>
      </c>
      <c r="CH234">
        <f t="shared" si="438"/>
        <v>-50</v>
      </c>
    </row>
    <row r="235" spans="5:86" x14ac:dyDescent="0.25">
      <c r="E235" s="150">
        <v>19</v>
      </c>
      <c r="F235" s="191">
        <f t="shared" si="439"/>
        <v>1.9000000000000003E-2</v>
      </c>
      <c r="G235" s="191"/>
      <c r="H235" s="191">
        <f t="shared" si="404"/>
        <v>0.38000000000000006</v>
      </c>
      <c r="I235" s="472">
        <f t="shared" si="405"/>
        <v>21</v>
      </c>
      <c r="J235" s="386">
        <f t="shared" si="406"/>
        <v>20.32</v>
      </c>
      <c r="K235" s="386">
        <f t="shared" si="407"/>
        <v>41.32</v>
      </c>
      <c r="L235" s="386"/>
      <c r="M235" s="191">
        <f t="shared" si="408"/>
        <v>0.49177153920619554</v>
      </c>
      <c r="N235" s="152">
        <f t="shared" si="409"/>
        <v>3.5342268151016456</v>
      </c>
      <c r="O235" s="152">
        <f t="shared" si="363"/>
        <v>0.38000000000000006</v>
      </c>
      <c r="P235" s="191">
        <f t="shared" si="410"/>
        <v>0.17671134075508227</v>
      </c>
      <c r="Q235" s="191">
        <f t="shared" si="411"/>
        <v>20</v>
      </c>
      <c r="R235" s="191"/>
      <c r="S235" s="152">
        <f t="shared" si="412"/>
        <v>352.0453869021589</v>
      </c>
      <c r="T235" s="152">
        <f t="shared" si="413"/>
        <v>20</v>
      </c>
      <c r="U235" s="191">
        <f t="shared" si="414"/>
        <v>8.176894554847311E-2</v>
      </c>
      <c r="V235" s="191">
        <f t="shared" si="415"/>
        <v>0.23362555870992319</v>
      </c>
      <c r="W235" s="191">
        <f t="shared" si="416"/>
        <v>0.2414437368557277</v>
      </c>
      <c r="X235" s="175">
        <f t="shared" si="417"/>
        <v>350</v>
      </c>
      <c r="Y235" s="386">
        <f t="shared" si="418"/>
        <v>350</v>
      </c>
      <c r="AA235" s="191">
        <f t="shared" si="419"/>
        <v>0.49177153920619554</v>
      </c>
      <c r="AB235" s="153">
        <f t="shared" si="420"/>
        <v>1.452081316553727</v>
      </c>
      <c r="AC235" s="153">
        <f t="shared" si="421"/>
        <v>0.1249661462164824</v>
      </c>
      <c r="AD235" s="153"/>
      <c r="AE235" s="153">
        <f t="shared" si="422"/>
        <v>0.44291338582677164</v>
      </c>
      <c r="AF235" s="317">
        <f t="shared" si="423"/>
        <v>571.97037037037057</v>
      </c>
      <c r="AG235" s="463">
        <f t="shared" si="424"/>
        <v>1.1626476377952754E-2</v>
      </c>
      <c r="AI235" s="153">
        <f t="shared" si="425"/>
        <v>0.19175381041722173</v>
      </c>
      <c r="AJ235" s="153">
        <f t="shared" si="426"/>
        <v>0.19175381041722173</v>
      </c>
      <c r="AK235" s="153">
        <f t="shared" si="427"/>
        <v>1.2278358736114812</v>
      </c>
      <c r="AM235" s="317">
        <f t="shared" si="428"/>
        <v>19.000000000000004</v>
      </c>
      <c r="AN235" s="147">
        <f t="shared" si="429"/>
        <v>350</v>
      </c>
      <c r="AP235">
        <f t="shared" si="430"/>
        <v>19.000000000000004</v>
      </c>
      <c r="AQ235">
        <f t="shared" si="431"/>
        <v>350</v>
      </c>
      <c r="AS235" s="5">
        <f t="shared" si="364"/>
        <v>2.8571428571428572</v>
      </c>
      <c r="AT235" s="5">
        <f t="shared" si="432"/>
        <v>0.54786802976349069</v>
      </c>
      <c r="AU235" s="5">
        <f t="shared" si="440"/>
        <v>2.3092748273793666</v>
      </c>
      <c r="AV235" s="5"/>
      <c r="AW235" s="153">
        <f t="shared" si="441"/>
        <v>0.19175381041722173</v>
      </c>
      <c r="AX235" s="153"/>
      <c r="BA235" s="147">
        <f t="shared" si="433"/>
        <v>2.347082921094211</v>
      </c>
      <c r="BB235" s="147">
        <f t="shared" si="434"/>
        <v>0.52353596789115664</v>
      </c>
      <c r="BC235" s="5">
        <f t="shared" si="359"/>
        <v>4.6429864254188331E-2</v>
      </c>
      <c r="BD235" s="147">
        <f t="shared" si="435"/>
        <v>0</v>
      </c>
      <c r="BQ235" s="463">
        <f t="shared" si="436"/>
        <v>7.2580000000000014E-3</v>
      </c>
      <c r="CG235" s="59">
        <f t="shared" si="437"/>
        <v>-50</v>
      </c>
      <c r="CH235">
        <f t="shared" si="438"/>
        <v>-50</v>
      </c>
    </row>
    <row r="236" spans="5:86" x14ac:dyDescent="0.25">
      <c r="E236" s="150">
        <v>20</v>
      </c>
      <c r="F236" s="191">
        <f t="shared" si="439"/>
        <v>2.0000000000000004E-2</v>
      </c>
      <c r="G236" s="191"/>
      <c r="H236" s="191">
        <f t="shared" si="404"/>
        <v>0.40000000000000008</v>
      </c>
      <c r="I236" s="472">
        <f t="shared" si="405"/>
        <v>21</v>
      </c>
      <c r="J236" s="386">
        <f t="shared" si="406"/>
        <v>20.32</v>
      </c>
      <c r="K236" s="386">
        <f t="shared" si="407"/>
        <v>41.32</v>
      </c>
      <c r="L236" s="386"/>
      <c r="M236" s="191">
        <f t="shared" si="408"/>
        <v>0.49177153920619554</v>
      </c>
      <c r="N236" s="152">
        <f t="shared" si="409"/>
        <v>3.5342268151016456</v>
      </c>
      <c r="O236" s="152">
        <f t="shared" si="363"/>
        <v>0.40000000000000008</v>
      </c>
      <c r="P236" s="191">
        <f t="shared" si="410"/>
        <v>0.17671134075508227</v>
      </c>
      <c r="Q236" s="191">
        <f t="shared" si="411"/>
        <v>20</v>
      </c>
      <c r="R236" s="191"/>
      <c r="S236" s="152">
        <f t="shared" si="412"/>
        <v>333.39513693493706</v>
      </c>
      <c r="T236" s="152">
        <f t="shared" si="413"/>
        <v>20</v>
      </c>
      <c r="U236" s="191">
        <f t="shared" si="414"/>
        <v>8.6072574261550655E-2</v>
      </c>
      <c r="V236" s="191">
        <f t="shared" si="415"/>
        <v>0.24592164074728762</v>
      </c>
      <c r="W236" s="191">
        <f t="shared" si="416"/>
        <v>0.25415130195339763</v>
      </c>
      <c r="X236" s="175">
        <f t="shared" si="417"/>
        <v>350</v>
      </c>
      <c r="Y236" s="386">
        <f t="shared" si="418"/>
        <v>350</v>
      </c>
      <c r="AA236" s="191">
        <f t="shared" si="419"/>
        <v>0.49177153920619554</v>
      </c>
      <c r="AB236" s="153">
        <f t="shared" si="420"/>
        <v>1.452081316553727</v>
      </c>
      <c r="AC236" s="153">
        <f t="shared" si="421"/>
        <v>0.1249661462164824</v>
      </c>
      <c r="AD236" s="153"/>
      <c r="AE236" s="153">
        <f t="shared" si="422"/>
        <v>0.44291338582677164</v>
      </c>
      <c r="AF236" s="317">
        <f t="shared" si="423"/>
        <v>602.07407407407425</v>
      </c>
      <c r="AG236" s="463">
        <f t="shared" si="424"/>
        <v>1.1626476377952754E-2</v>
      </c>
      <c r="AI236" s="153">
        <f t="shared" si="425"/>
        <v>0.19673525841791023</v>
      </c>
      <c r="AJ236" s="153">
        <f t="shared" si="426"/>
        <v>0.19673525841791023</v>
      </c>
      <c r="AK236" s="153">
        <f t="shared" si="427"/>
        <v>1.2311568389452734</v>
      </c>
      <c r="AM236" s="317">
        <f t="shared" si="428"/>
        <v>20.000000000000004</v>
      </c>
      <c r="AN236" s="147">
        <f t="shared" si="429"/>
        <v>350</v>
      </c>
      <c r="AP236">
        <f t="shared" si="430"/>
        <v>20.000000000000004</v>
      </c>
      <c r="AQ236">
        <f t="shared" si="431"/>
        <v>350</v>
      </c>
      <c r="AS236" s="5">
        <f t="shared" si="364"/>
        <v>2.8571428571428572</v>
      </c>
      <c r="AT236" s="5">
        <f t="shared" si="432"/>
        <v>0.56210073833688645</v>
      </c>
      <c r="AU236" s="5">
        <f t="shared" si="440"/>
        <v>2.2950421188059709</v>
      </c>
      <c r="AV236" s="5"/>
      <c r="AW236" s="153">
        <f t="shared" si="441"/>
        <v>0.19673525841791026</v>
      </c>
      <c r="AX236" s="153"/>
      <c r="BA236" s="147">
        <f t="shared" si="433"/>
        <v>2.347082921094211</v>
      </c>
      <c r="BB236" s="147">
        <f t="shared" si="434"/>
        <v>0.57693736054421807</v>
      </c>
      <c r="BC236" s="5">
        <f t="shared" si="359"/>
        <v>4.8572319974729557E-2</v>
      </c>
      <c r="BD236" s="147">
        <f t="shared" si="435"/>
        <v>0</v>
      </c>
      <c r="BQ236" s="463">
        <f t="shared" si="436"/>
        <v>7.6400000000000018E-3</v>
      </c>
      <c r="CG236" s="59">
        <f t="shared" si="437"/>
        <v>-50</v>
      </c>
      <c r="CH236">
        <f t="shared" si="438"/>
        <v>-50</v>
      </c>
    </row>
    <row r="237" spans="5:86" x14ac:dyDescent="0.25">
      <c r="E237" s="150">
        <v>21</v>
      </c>
      <c r="F237" s="191">
        <f t="shared" si="439"/>
        <v>2.1000000000000001E-2</v>
      </c>
      <c r="G237" s="191"/>
      <c r="H237" s="191">
        <f t="shared" si="404"/>
        <v>0.42000000000000004</v>
      </c>
      <c r="I237" s="472">
        <f t="shared" si="405"/>
        <v>21</v>
      </c>
      <c r="J237" s="386">
        <f t="shared" si="406"/>
        <v>20.32</v>
      </c>
      <c r="K237" s="386">
        <f t="shared" si="407"/>
        <v>41.32</v>
      </c>
      <c r="L237" s="386"/>
      <c r="M237" s="191">
        <f t="shared" si="408"/>
        <v>0.49177153920619554</v>
      </c>
      <c r="N237" s="152">
        <f t="shared" si="409"/>
        <v>3.5342268151016456</v>
      </c>
      <c r="O237" s="152">
        <f t="shared" si="363"/>
        <v>0.42000000000000004</v>
      </c>
      <c r="P237" s="191">
        <f t="shared" si="410"/>
        <v>0.17671134075508227</v>
      </c>
      <c r="Q237" s="191">
        <f t="shared" si="411"/>
        <v>20</v>
      </c>
      <c r="R237" s="191"/>
      <c r="S237" s="152">
        <f t="shared" si="412"/>
        <v>316.52120936229704</v>
      </c>
      <c r="T237" s="152">
        <f t="shared" si="413"/>
        <v>20</v>
      </c>
      <c r="U237" s="191">
        <f t="shared" si="414"/>
        <v>9.0376202974628173E-2</v>
      </c>
      <c r="V237" s="191">
        <f t="shared" si="415"/>
        <v>0.25821772278465194</v>
      </c>
      <c r="W237" s="191">
        <f t="shared" si="416"/>
        <v>0.26685886705106743</v>
      </c>
      <c r="X237" s="175">
        <f t="shared" si="417"/>
        <v>350</v>
      </c>
      <c r="Y237" s="386">
        <f t="shared" si="418"/>
        <v>350</v>
      </c>
      <c r="AA237" s="191">
        <f t="shared" si="419"/>
        <v>0.49177153920619554</v>
      </c>
      <c r="AB237" s="153">
        <f t="shared" si="420"/>
        <v>1.452081316553727</v>
      </c>
      <c r="AC237" s="153">
        <f t="shared" si="421"/>
        <v>0.1249661462164824</v>
      </c>
      <c r="AD237" s="153"/>
      <c r="AE237" s="153">
        <f t="shared" si="422"/>
        <v>0.44291338582677164</v>
      </c>
      <c r="AF237" s="317">
        <f t="shared" si="423"/>
        <v>632.17777777777792</v>
      </c>
      <c r="AG237" s="463">
        <f t="shared" si="424"/>
        <v>1.1626476377952754E-2</v>
      </c>
      <c r="AI237" s="153">
        <f t="shared" si="425"/>
        <v>0.20159365069366644</v>
      </c>
      <c r="AJ237" s="153">
        <f t="shared" si="426"/>
        <v>0.20159365069366644</v>
      </c>
      <c r="AK237" s="153">
        <f t="shared" si="427"/>
        <v>1.234395767129111</v>
      </c>
      <c r="AM237" s="317">
        <f t="shared" si="428"/>
        <v>21</v>
      </c>
      <c r="AN237" s="147">
        <f t="shared" si="429"/>
        <v>350</v>
      </c>
      <c r="AP237">
        <f t="shared" si="430"/>
        <v>21</v>
      </c>
      <c r="AQ237">
        <f t="shared" si="431"/>
        <v>350</v>
      </c>
      <c r="AS237" s="5">
        <f t="shared" si="364"/>
        <v>2.8571428571428572</v>
      </c>
      <c r="AT237" s="5">
        <f t="shared" si="432"/>
        <v>0.5759818591247613</v>
      </c>
      <c r="AU237" s="5">
        <f t="shared" si="440"/>
        <v>2.281160998018096</v>
      </c>
      <c r="AV237" s="5"/>
      <c r="AW237" s="153">
        <f t="shared" si="441"/>
        <v>0.20159365069366644</v>
      </c>
      <c r="AX237" s="153"/>
      <c r="BA237" s="147">
        <f t="shared" si="433"/>
        <v>2.347082921094211</v>
      </c>
      <c r="BB237" s="147">
        <f t="shared" si="434"/>
        <v>0.63292344000000011</v>
      </c>
      <c r="BC237" s="5">
        <f t="shared" si="359"/>
        <v>5.069246662262436E-2</v>
      </c>
      <c r="BD237" s="147">
        <f t="shared" si="435"/>
        <v>0</v>
      </c>
      <c r="BQ237" s="463">
        <f t="shared" si="436"/>
        <v>8.0220000000000014E-3</v>
      </c>
      <c r="CG237" s="59">
        <f t="shared" si="437"/>
        <v>-50</v>
      </c>
      <c r="CH237">
        <f t="shared" si="438"/>
        <v>-50</v>
      </c>
    </row>
    <row r="238" spans="5:86" x14ac:dyDescent="0.25">
      <c r="E238" s="150">
        <v>22</v>
      </c>
      <c r="F238" s="191">
        <f t="shared" si="439"/>
        <v>2.2000000000000002E-2</v>
      </c>
      <c r="G238" s="191"/>
      <c r="H238" s="191">
        <f t="shared" si="404"/>
        <v>0.44000000000000006</v>
      </c>
      <c r="I238" s="472">
        <f t="shared" si="405"/>
        <v>21</v>
      </c>
      <c r="J238" s="386">
        <f t="shared" si="406"/>
        <v>20.32</v>
      </c>
      <c r="K238" s="386">
        <f t="shared" si="407"/>
        <v>41.32</v>
      </c>
      <c r="L238" s="386"/>
      <c r="M238" s="191">
        <f t="shared" si="408"/>
        <v>0.49177153920619554</v>
      </c>
      <c r="N238" s="152">
        <f t="shared" si="409"/>
        <v>3.5342268151016456</v>
      </c>
      <c r="O238" s="152">
        <f t="shared" si="363"/>
        <v>0.44000000000000006</v>
      </c>
      <c r="P238" s="191">
        <f t="shared" si="410"/>
        <v>0.17671134075508227</v>
      </c>
      <c r="Q238" s="191">
        <f t="shared" si="411"/>
        <v>20</v>
      </c>
      <c r="R238" s="191"/>
      <c r="S238" s="152">
        <f t="shared" si="412"/>
        <v>301.18137936433499</v>
      </c>
      <c r="T238" s="152">
        <f t="shared" si="413"/>
        <v>20</v>
      </c>
      <c r="U238" s="191">
        <f t="shared" si="414"/>
        <v>9.4679831687705704E-2</v>
      </c>
      <c r="V238" s="191">
        <f t="shared" si="415"/>
        <v>0.27051380482201631</v>
      </c>
      <c r="W238" s="191">
        <f t="shared" si="416"/>
        <v>0.27956643214873733</v>
      </c>
      <c r="X238" s="175">
        <f t="shared" si="417"/>
        <v>350</v>
      </c>
      <c r="Y238" s="386">
        <f t="shared" si="418"/>
        <v>350</v>
      </c>
      <c r="AA238" s="191">
        <f t="shared" si="419"/>
        <v>0.49177153920619554</v>
      </c>
      <c r="AB238" s="153">
        <f t="shared" si="420"/>
        <v>1.452081316553727</v>
      </c>
      <c r="AC238" s="153">
        <f t="shared" si="421"/>
        <v>0.1249661462164824</v>
      </c>
      <c r="AD238" s="153"/>
      <c r="AE238" s="153">
        <f t="shared" si="422"/>
        <v>0.44291338582677164</v>
      </c>
      <c r="AF238" s="317">
        <f t="shared" si="423"/>
        <v>662.28148148148171</v>
      </c>
      <c r="AG238" s="463">
        <f t="shared" si="424"/>
        <v>1.1626476377952754E-2</v>
      </c>
      <c r="AI238" s="153">
        <f t="shared" si="425"/>
        <v>0.20633767977574552</v>
      </c>
      <c r="AJ238" s="153">
        <f t="shared" si="426"/>
        <v>0.20633767977574552</v>
      </c>
      <c r="AK238" s="153">
        <f t="shared" si="427"/>
        <v>1.2375584531838304</v>
      </c>
      <c r="AM238" s="317">
        <f t="shared" si="428"/>
        <v>22.000000000000004</v>
      </c>
      <c r="AN238" s="147">
        <f t="shared" si="429"/>
        <v>350</v>
      </c>
      <c r="AP238">
        <f t="shared" si="430"/>
        <v>22.000000000000004</v>
      </c>
      <c r="AQ238">
        <f t="shared" si="431"/>
        <v>350</v>
      </c>
      <c r="AS238" s="5">
        <f t="shared" si="364"/>
        <v>2.8571428571428572</v>
      </c>
      <c r="AT238" s="5">
        <f t="shared" si="432"/>
        <v>0.58953622793070148</v>
      </c>
      <c r="AU238" s="5">
        <f t="shared" si="440"/>
        <v>2.2676066292121559</v>
      </c>
      <c r="AV238" s="5"/>
      <c r="AW238" s="153">
        <f t="shared" si="441"/>
        <v>0.20633767977574552</v>
      </c>
      <c r="AX238" s="153"/>
      <c r="BA238" s="147">
        <f t="shared" si="433"/>
        <v>2.347082921094211</v>
      </c>
      <c r="BB238" s="147">
        <f t="shared" si="434"/>
        <v>0.69149420625850344</v>
      </c>
      <c r="BC238" s="5">
        <f t="shared" si="359"/>
        <v>5.2790842161552845E-2</v>
      </c>
      <c r="BD238" s="147">
        <f t="shared" si="435"/>
        <v>0</v>
      </c>
      <c r="BQ238" s="463">
        <f t="shared" si="436"/>
        <v>8.404E-3</v>
      </c>
      <c r="CG238" s="59">
        <f t="shared" si="437"/>
        <v>-50</v>
      </c>
      <c r="CH238">
        <f t="shared" si="438"/>
        <v>-50</v>
      </c>
    </row>
    <row r="239" spans="5:86" x14ac:dyDescent="0.25">
      <c r="E239" s="150">
        <v>23</v>
      </c>
      <c r="F239" s="191">
        <f t="shared" si="439"/>
        <v>2.3000000000000003E-2</v>
      </c>
      <c r="G239" s="191"/>
      <c r="H239" s="191">
        <f t="shared" si="404"/>
        <v>0.46000000000000008</v>
      </c>
      <c r="I239" s="472">
        <f t="shared" si="405"/>
        <v>21</v>
      </c>
      <c r="J239" s="386">
        <f t="shared" si="406"/>
        <v>20.32</v>
      </c>
      <c r="K239" s="386">
        <f t="shared" si="407"/>
        <v>41.32</v>
      </c>
      <c r="L239" s="386"/>
      <c r="M239" s="191">
        <f t="shared" si="408"/>
        <v>0.49177153920619554</v>
      </c>
      <c r="N239" s="152">
        <f t="shared" si="409"/>
        <v>3.5342268151016456</v>
      </c>
      <c r="O239" s="152">
        <f t="shared" si="363"/>
        <v>0.46000000000000008</v>
      </c>
      <c r="P239" s="191">
        <f t="shared" si="410"/>
        <v>0.17671134075508227</v>
      </c>
      <c r="Q239" s="191">
        <f t="shared" si="411"/>
        <v>20</v>
      </c>
      <c r="R239" s="191"/>
      <c r="S239" s="152">
        <f t="shared" si="412"/>
        <v>287.17554818802739</v>
      </c>
      <c r="T239" s="152">
        <f t="shared" si="413"/>
        <v>20</v>
      </c>
      <c r="U239" s="191">
        <f t="shared" si="414"/>
        <v>9.8983460400783249E-2</v>
      </c>
      <c r="V239" s="191">
        <f t="shared" si="415"/>
        <v>0.28280988685938069</v>
      </c>
      <c r="W239" s="191">
        <f t="shared" si="416"/>
        <v>0.29227399724640724</v>
      </c>
      <c r="X239" s="175">
        <f t="shared" si="417"/>
        <v>350</v>
      </c>
      <c r="Y239" s="386">
        <f t="shared" si="418"/>
        <v>350</v>
      </c>
      <c r="AA239" s="191">
        <f t="shared" si="419"/>
        <v>0.49177153920619554</v>
      </c>
      <c r="AB239" s="153">
        <f t="shared" si="420"/>
        <v>1.452081316553727</v>
      </c>
      <c r="AC239" s="153">
        <f t="shared" si="421"/>
        <v>0.1249661462164824</v>
      </c>
      <c r="AD239" s="153"/>
      <c r="AE239" s="153">
        <f t="shared" si="422"/>
        <v>0.44291338582677164</v>
      </c>
      <c r="AF239" s="317">
        <f t="shared" si="423"/>
        <v>692.38518518518538</v>
      </c>
      <c r="AG239" s="463">
        <f t="shared" si="424"/>
        <v>1.1626476377952754E-2</v>
      </c>
      <c r="AI239" s="153">
        <f t="shared" si="425"/>
        <v>0.21097506058886722</v>
      </c>
      <c r="AJ239" s="153">
        <f t="shared" si="426"/>
        <v>0.21097506058886722</v>
      </c>
      <c r="AK239" s="153">
        <f t="shared" si="427"/>
        <v>1.2406500403925782</v>
      </c>
      <c r="AM239" s="317">
        <f t="shared" si="428"/>
        <v>23.000000000000004</v>
      </c>
      <c r="AN239" s="147">
        <f t="shared" si="429"/>
        <v>350</v>
      </c>
      <c r="AP239">
        <f t="shared" si="430"/>
        <v>23.000000000000004</v>
      </c>
      <c r="AQ239">
        <f t="shared" si="431"/>
        <v>350</v>
      </c>
      <c r="AS239" s="5">
        <f t="shared" si="364"/>
        <v>2.8571428571428572</v>
      </c>
      <c r="AT239" s="5">
        <f t="shared" si="432"/>
        <v>0.60278588739676353</v>
      </c>
      <c r="AU239" s="5">
        <f t="shared" si="440"/>
        <v>2.2543569697460937</v>
      </c>
      <c r="AV239" s="5"/>
      <c r="AW239" s="153">
        <f t="shared" si="441"/>
        <v>0.21097506058886722</v>
      </c>
      <c r="AX239" s="153"/>
      <c r="BA239" s="147">
        <f t="shared" si="433"/>
        <v>2.347082921094211</v>
      </c>
      <c r="BB239" s="147">
        <f t="shared" si="434"/>
        <v>0.75264965931972827</v>
      </c>
      <c r="BC239" s="5">
        <f t="shared" si="359"/>
        <v>5.4867947411809698E-2</v>
      </c>
      <c r="BD239" s="147">
        <f t="shared" si="435"/>
        <v>0</v>
      </c>
      <c r="BQ239" s="463">
        <f t="shared" si="436"/>
        <v>8.7860000000000004E-3</v>
      </c>
      <c r="CG239" s="59">
        <f t="shared" si="437"/>
        <v>-50</v>
      </c>
      <c r="CH239">
        <f t="shared" si="438"/>
        <v>-50</v>
      </c>
    </row>
    <row r="240" spans="5:86" x14ac:dyDescent="0.25">
      <c r="E240" s="150">
        <v>24</v>
      </c>
      <c r="F240" s="191">
        <f t="shared" si="439"/>
        <v>2.4E-2</v>
      </c>
      <c r="G240" s="191"/>
      <c r="H240" s="191">
        <f t="shared" si="404"/>
        <v>0.48</v>
      </c>
      <c r="I240" s="472">
        <f t="shared" si="405"/>
        <v>21</v>
      </c>
      <c r="J240" s="386">
        <f t="shared" si="406"/>
        <v>20.32</v>
      </c>
      <c r="K240" s="386">
        <f t="shared" si="407"/>
        <v>41.32</v>
      </c>
      <c r="L240" s="386"/>
      <c r="M240" s="191">
        <f t="shared" si="408"/>
        <v>0.49177153920619554</v>
      </c>
      <c r="N240" s="152">
        <f t="shared" si="409"/>
        <v>3.5342268151016456</v>
      </c>
      <c r="O240" s="152">
        <f t="shared" si="363"/>
        <v>0.48</v>
      </c>
      <c r="P240" s="191">
        <f t="shared" si="410"/>
        <v>0.17671134075508227</v>
      </c>
      <c r="Q240" s="191">
        <f t="shared" si="411"/>
        <v>20</v>
      </c>
      <c r="R240" s="191"/>
      <c r="S240" s="152">
        <f t="shared" si="412"/>
        <v>274.33696688345924</v>
      </c>
      <c r="T240" s="152">
        <f t="shared" si="413"/>
        <v>20</v>
      </c>
      <c r="U240" s="191">
        <f t="shared" si="414"/>
        <v>0.10328708911386075</v>
      </c>
      <c r="V240" s="191">
        <f t="shared" si="415"/>
        <v>0.29510596889674501</v>
      </c>
      <c r="W240" s="191">
        <f t="shared" si="416"/>
        <v>0.30498156234407703</v>
      </c>
      <c r="X240" s="175">
        <f t="shared" si="417"/>
        <v>350</v>
      </c>
      <c r="Y240" s="386">
        <f t="shared" si="418"/>
        <v>350</v>
      </c>
      <c r="AA240" s="191">
        <f t="shared" si="419"/>
        <v>0.49177153920619554</v>
      </c>
      <c r="AB240" s="153">
        <f t="shared" si="420"/>
        <v>1.452081316553727</v>
      </c>
      <c r="AC240" s="153">
        <f t="shared" si="421"/>
        <v>0.1249661462164824</v>
      </c>
      <c r="AD240" s="153"/>
      <c r="AE240" s="153">
        <f t="shared" si="422"/>
        <v>0.44291338582677164</v>
      </c>
      <c r="AF240" s="317">
        <f t="shared" si="423"/>
        <v>722.48888888888894</v>
      </c>
      <c r="AG240" s="463">
        <f t="shared" si="424"/>
        <v>1.1626476377952754E-2</v>
      </c>
      <c r="AI240" s="153">
        <f t="shared" si="425"/>
        <v>0.21551267778419508</v>
      </c>
      <c r="AJ240" s="153">
        <f t="shared" si="426"/>
        <v>0.21551267778419508</v>
      </c>
      <c r="AK240" s="153">
        <f t="shared" si="427"/>
        <v>1.2436751185227968</v>
      </c>
      <c r="AM240" s="317">
        <f t="shared" si="428"/>
        <v>24</v>
      </c>
      <c r="AN240" s="147">
        <f t="shared" si="429"/>
        <v>350</v>
      </c>
      <c r="AP240">
        <f t="shared" si="430"/>
        <v>24</v>
      </c>
      <c r="AQ240">
        <f t="shared" si="431"/>
        <v>350</v>
      </c>
      <c r="AS240" s="5">
        <f t="shared" si="364"/>
        <v>2.8571428571428572</v>
      </c>
      <c r="AT240" s="5">
        <f t="shared" si="432"/>
        <v>0.6157505079548431</v>
      </c>
      <c r="AU240" s="5">
        <f t="shared" si="440"/>
        <v>2.2413923491880139</v>
      </c>
      <c r="AV240" s="5"/>
      <c r="AW240" s="153">
        <f t="shared" si="441"/>
        <v>0.21551267778419508</v>
      </c>
      <c r="AX240" s="153"/>
      <c r="BA240" s="147">
        <f t="shared" si="433"/>
        <v>2.347082921094211</v>
      </c>
      <c r="BB240" s="147">
        <f t="shared" si="434"/>
        <v>0.81638979918367349</v>
      </c>
      <c r="BC240" s="5">
        <f t="shared" si="359"/>
        <v>5.6924250138108291E-2</v>
      </c>
      <c r="BD240" s="147">
        <f t="shared" si="435"/>
        <v>0</v>
      </c>
      <c r="BQ240" s="463">
        <f t="shared" si="436"/>
        <v>9.1680000000000008E-3</v>
      </c>
      <c r="CG240" s="59">
        <f t="shared" si="437"/>
        <v>-50</v>
      </c>
      <c r="CH240">
        <f t="shared" si="438"/>
        <v>-50</v>
      </c>
    </row>
    <row r="241" spans="5:86" x14ac:dyDescent="0.25">
      <c r="E241" s="150">
        <v>25</v>
      </c>
      <c r="F241" s="191">
        <f t="shared" si="439"/>
        <v>2.5000000000000001E-2</v>
      </c>
      <c r="G241" s="191"/>
      <c r="H241" s="191">
        <f t="shared" si="404"/>
        <v>0.5</v>
      </c>
      <c r="I241" s="472">
        <f t="shared" si="405"/>
        <v>21</v>
      </c>
      <c r="J241" s="386">
        <f t="shared" si="406"/>
        <v>20.32</v>
      </c>
      <c r="K241" s="386">
        <f t="shared" si="407"/>
        <v>41.32</v>
      </c>
      <c r="L241" s="386"/>
      <c r="M241" s="191">
        <f t="shared" si="408"/>
        <v>0.49177153920619554</v>
      </c>
      <c r="N241" s="152">
        <f t="shared" si="409"/>
        <v>3.5342268151016456</v>
      </c>
      <c r="O241" s="152">
        <f t="shared" si="363"/>
        <v>0.5</v>
      </c>
      <c r="P241" s="191">
        <f t="shared" si="410"/>
        <v>0.17671134075508227</v>
      </c>
      <c r="Q241" s="191">
        <f t="shared" si="411"/>
        <v>20</v>
      </c>
      <c r="R241" s="191"/>
      <c r="S241" s="152">
        <f t="shared" si="412"/>
        <v>262.52556634336082</v>
      </c>
      <c r="T241" s="152">
        <f t="shared" si="413"/>
        <v>20</v>
      </c>
      <c r="U241" s="191">
        <f t="shared" si="414"/>
        <v>0.1075907178269383</v>
      </c>
      <c r="V241" s="191">
        <f t="shared" si="415"/>
        <v>0.30740205093410944</v>
      </c>
      <c r="W241" s="191">
        <f t="shared" si="416"/>
        <v>0.31768912744174693</v>
      </c>
      <c r="X241" s="175">
        <f t="shared" si="417"/>
        <v>350</v>
      </c>
      <c r="Y241" s="386">
        <f t="shared" si="418"/>
        <v>350</v>
      </c>
      <c r="AA241" s="191">
        <f t="shared" si="419"/>
        <v>0.49177153920619554</v>
      </c>
      <c r="AB241" s="153">
        <f t="shared" si="420"/>
        <v>1.452081316553727</v>
      </c>
      <c r="AC241" s="153">
        <f t="shared" si="421"/>
        <v>0.1249661462164824</v>
      </c>
      <c r="AD241" s="153"/>
      <c r="AE241" s="153">
        <f t="shared" si="422"/>
        <v>0.44291338582677164</v>
      </c>
      <c r="AF241" s="317">
        <f t="shared" si="423"/>
        <v>752.59259259259272</v>
      </c>
      <c r="AG241" s="463">
        <f t="shared" si="424"/>
        <v>1.1626476377952754E-2</v>
      </c>
      <c r="AI241" s="153">
        <f t="shared" si="425"/>
        <v>0.21995670569671746</v>
      </c>
      <c r="AJ241" s="153">
        <f t="shared" si="426"/>
        <v>0.21995670569671746</v>
      </c>
      <c r="AK241" s="153">
        <f t="shared" si="427"/>
        <v>1.2466378037978116</v>
      </c>
      <c r="AM241" s="317">
        <f t="shared" si="428"/>
        <v>25</v>
      </c>
      <c r="AN241" s="147">
        <f t="shared" si="429"/>
        <v>350</v>
      </c>
      <c r="AP241">
        <f t="shared" si="430"/>
        <v>25</v>
      </c>
      <c r="AQ241">
        <f t="shared" si="431"/>
        <v>350</v>
      </c>
      <c r="AS241" s="5">
        <f t="shared" si="364"/>
        <v>2.8571428571428572</v>
      </c>
      <c r="AT241" s="5">
        <f t="shared" si="432"/>
        <v>0.62844773056204994</v>
      </c>
      <c r="AU241" s="5">
        <f t="shared" si="440"/>
        <v>2.2286951265808073</v>
      </c>
      <c r="AV241" s="5"/>
      <c r="AW241" s="153">
        <f t="shared" si="441"/>
        <v>0.21995670569671746</v>
      </c>
      <c r="AX241" s="153"/>
      <c r="BA241" s="147">
        <f t="shared" si="433"/>
        <v>2.347082921094211</v>
      </c>
      <c r="BB241" s="147">
        <f t="shared" si="434"/>
        <v>0.88271462585034044</v>
      </c>
      <c r="BC241" s="5">
        <f t="shared" si="359"/>
        <v>5.8960188533883795E-2</v>
      </c>
      <c r="BD241" s="147">
        <f t="shared" si="435"/>
        <v>0</v>
      </c>
      <c r="BQ241" s="463">
        <f t="shared" si="436"/>
        <v>9.5500000000000012E-3</v>
      </c>
      <c r="CG241" s="59">
        <f t="shared" si="437"/>
        <v>-50</v>
      </c>
      <c r="CH241">
        <f t="shared" si="438"/>
        <v>-50</v>
      </c>
    </row>
    <row r="242" spans="5:86" x14ac:dyDescent="0.25">
      <c r="E242" s="150">
        <v>26</v>
      </c>
      <c r="F242" s="191">
        <f t="shared" si="439"/>
        <v>2.6000000000000002E-2</v>
      </c>
      <c r="G242" s="191"/>
      <c r="H242" s="191">
        <f t="shared" si="404"/>
        <v>0.52</v>
      </c>
      <c r="I242" s="472">
        <f t="shared" si="405"/>
        <v>21</v>
      </c>
      <c r="J242" s="386">
        <f t="shared" si="406"/>
        <v>20.32</v>
      </c>
      <c r="K242" s="386">
        <f t="shared" si="407"/>
        <v>41.32</v>
      </c>
      <c r="L242" s="386"/>
      <c r="M242" s="191">
        <f t="shared" si="408"/>
        <v>0.49177153920619554</v>
      </c>
      <c r="N242" s="152">
        <f t="shared" si="409"/>
        <v>3.5342268151016456</v>
      </c>
      <c r="O242" s="152">
        <f t="shared" si="363"/>
        <v>0.52</v>
      </c>
      <c r="P242" s="191">
        <f t="shared" si="410"/>
        <v>0.17671134075508227</v>
      </c>
      <c r="Q242" s="191">
        <f t="shared" si="411"/>
        <v>20</v>
      </c>
      <c r="R242" s="191"/>
      <c r="S242" s="152">
        <f t="shared" si="412"/>
        <v>251.62282656429247</v>
      </c>
      <c r="T242" s="152">
        <f t="shared" si="413"/>
        <v>20</v>
      </c>
      <c r="U242" s="191">
        <f t="shared" si="414"/>
        <v>0.11189434654001583</v>
      </c>
      <c r="V242" s="191">
        <f t="shared" si="415"/>
        <v>0.31969813297147376</v>
      </c>
      <c r="W242" s="191">
        <f t="shared" si="416"/>
        <v>0.33039669253941678</v>
      </c>
      <c r="X242" s="175">
        <f t="shared" si="417"/>
        <v>350</v>
      </c>
      <c r="Y242" s="386">
        <f t="shared" si="418"/>
        <v>350</v>
      </c>
      <c r="AA242" s="191">
        <f t="shared" si="419"/>
        <v>0.49177153920619554</v>
      </c>
      <c r="AB242" s="153">
        <f t="shared" si="420"/>
        <v>1.452081316553727</v>
      </c>
      <c r="AC242" s="153">
        <f t="shared" si="421"/>
        <v>0.1249661462164824</v>
      </c>
      <c r="AD242" s="153"/>
      <c r="AE242" s="153">
        <f t="shared" si="422"/>
        <v>0.44291338582677164</v>
      </c>
      <c r="AF242" s="317">
        <f t="shared" si="423"/>
        <v>782.69629629629651</v>
      </c>
      <c r="AG242" s="463">
        <f t="shared" si="424"/>
        <v>1.1626476377952754E-2</v>
      </c>
      <c r="AI242" s="153">
        <f t="shared" si="425"/>
        <v>0.22431270689862953</v>
      </c>
      <c r="AJ242" s="153">
        <f t="shared" si="426"/>
        <v>0.22431270689862953</v>
      </c>
      <c r="AK242" s="153">
        <f t="shared" si="427"/>
        <v>1.2495418045990863</v>
      </c>
      <c r="AM242" s="317">
        <f t="shared" si="428"/>
        <v>26.000000000000004</v>
      </c>
      <c r="AN242" s="147">
        <f t="shared" si="429"/>
        <v>350</v>
      </c>
      <c r="AP242">
        <f t="shared" si="430"/>
        <v>26.000000000000004</v>
      </c>
      <c r="AQ242">
        <f t="shared" si="431"/>
        <v>350</v>
      </c>
      <c r="AS242" s="5">
        <f t="shared" si="364"/>
        <v>2.8571428571428572</v>
      </c>
      <c r="AT242" s="5">
        <f t="shared" si="432"/>
        <v>0.64089344828179873</v>
      </c>
      <c r="AU242" s="5">
        <f t="shared" si="440"/>
        <v>2.2162494088610583</v>
      </c>
      <c r="AV242" s="5"/>
      <c r="AW242" s="153">
        <f t="shared" si="441"/>
        <v>0.22431270689862956</v>
      </c>
      <c r="AX242" s="153"/>
      <c r="BA242" s="147">
        <f t="shared" si="433"/>
        <v>2.347082921094211</v>
      </c>
      <c r="BB242" s="147">
        <f t="shared" si="434"/>
        <v>0.95162413931972822</v>
      </c>
      <c r="BC242" s="5">
        <f t="shared" si="359"/>
        <v>6.0976174212050288E-2</v>
      </c>
      <c r="BD242" s="147">
        <f t="shared" si="435"/>
        <v>0</v>
      </c>
      <c r="BQ242" s="463">
        <f t="shared" si="436"/>
        <v>9.9320000000000016E-3</v>
      </c>
      <c r="CG242" s="59">
        <f t="shared" si="437"/>
        <v>-50</v>
      </c>
      <c r="CH242">
        <f t="shared" si="438"/>
        <v>-50</v>
      </c>
    </row>
    <row r="243" spans="5:86" x14ac:dyDescent="0.25">
      <c r="E243" s="150">
        <v>27</v>
      </c>
      <c r="F243" s="191">
        <f t="shared" si="439"/>
        <v>2.7000000000000003E-2</v>
      </c>
      <c r="G243" s="191"/>
      <c r="H243" s="191">
        <f t="shared" si="404"/>
        <v>0.54</v>
      </c>
      <c r="I243" s="472">
        <f t="shared" si="405"/>
        <v>21</v>
      </c>
      <c r="J243" s="386">
        <f t="shared" si="406"/>
        <v>20.32</v>
      </c>
      <c r="K243" s="386">
        <f t="shared" si="407"/>
        <v>41.32</v>
      </c>
      <c r="L243" s="386"/>
      <c r="M243" s="191">
        <f t="shared" si="408"/>
        <v>0.49177153920619554</v>
      </c>
      <c r="N243" s="152">
        <f t="shared" si="409"/>
        <v>3.5342268151016456</v>
      </c>
      <c r="O243" s="152">
        <f t="shared" si="363"/>
        <v>0.54</v>
      </c>
      <c r="P243" s="191">
        <f t="shared" si="410"/>
        <v>0.17671134075508227</v>
      </c>
      <c r="Q243" s="191">
        <f t="shared" si="411"/>
        <v>20</v>
      </c>
      <c r="R243" s="191"/>
      <c r="S243" s="152">
        <f t="shared" si="412"/>
        <v>241.52778607201304</v>
      </c>
      <c r="T243" s="152">
        <f t="shared" si="413"/>
        <v>20</v>
      </c>
      <c r="U243" s="191">
        <f t="shared" si="414"/>
        <v>0.11619797525309336</v>
      </c>
      <c r="V243" s="191">
        <f t="shared" si="415"/>
        <v>0.33199421500883819</v>
      </c>
      <c r="W243" s="191">
        <f t="shared" si="416"/>
        <v>0.34310425763708668</v>
      </c>
      <c r="X243" s="175">
        <f t="shared" si="417"/>
        <v>350</v>
      </c>
      <c r="Y243" s="386">
        <f t="shared" si="418"/>
        <v>350</v>
      </c>
      <c r="AA243" s="191">
        <f t="shared" si="419"/>
        <v>0.49177153920619554</v>
      </c>
      <c r="AB243" s="153">
        <f t="shared" si="420"/>
        <v>1.452081316553727</v>
      </c>
      <c r="AC243" s="153">
        <f t="shared" si="421"/>
        <v>0.1249661462164824</v>
      </c>
      <c r="AD243" s="153"/>
      <c r="AE243" s="153">
        <f t="shared" si="422"/>
        <v>0.44291338582677164</v>
      </c>
      <c r="AF243" s="317">
        <f t="shared" si="423"/>
        <v>812.80000000000018</v>
      </c>
      <c r="AG243" s="463">
        <f t="shared" si="424"/>
        <v>1.1626476377952754E-2</v>
      </c>
      <c r="AI243" s="153">
        <f t="shared" si="425"/>
        <v>0.22858571383931364</v>
      </c>
      <c r="AJ243" s="153">
        <f t="shared" si="426"/>
        <v>0.22858571383931364</v>
      </c>
      <c r="AK243" s="153">
        <f t="shared" si="427"/>
        <v>1.2523904758928757</v>
      </c>
      <c r="AM243" s="317">
        <f t="shared" si="428"/>
        <v>27.000000000000004</v>
      </c>
      <c r="AN243" s="147">
        <f t="shared" si="429"/>
        <v>350</v>
      </c>
      <c r="AP243">
        <f t="shared" si="430"/>
        <v>27.000000000000004</v>
      </c>
      <c r="AQ243">
        <f t="shared" si="431"/>
        <v>350</v>
      </c>
      <c r="AS243" s="5">
        <f t="shared" si="364"/>
        <v>2.8571428571428572</v>
      </c>
      <c r="AT243" s="5">
        <f t="shared" si="432"/>
        <v>0.65310203954089607</v>
      </c>
      <c r="AU243" s="5">
        <f t="shared" si="440"/>
        <v>2.2040408176019612</v>
      </c>
      <c r="AV243" s="5"/>
      <c r="AW243" s="153">
        <f t="shared" si="441"/>
        <v>0.22858571383931361</v>
      </c>
      <c r="AX243" s="153"/>
      <c r="BA243" s="147">
        <f t="shared" si="433"/>
        <v>2.347082921094211</v>
      </c>
      <c r="BB243" s="147">
        <f t="shared" si="434"/>
        <v>1.0231183395918371</v>
      </c>
      <c r="BC243" s="5">
        <f t="shared" si="359"/>
        <v>6.2972594788627462E-2</v>
      </c>
      <c r="BD243" s="147">
        <f t="shared" si="435"/>
        <v>0</v>
      </c>
      <c r="BQ243" s="463">
        <f t="shared" si="436"/>
        <v>1.0314000000000002E-2</v>
      </c>
      <c r="CG243" s="59">
        <f t="shared" si="437"/>
        <v>-50</v>
      </c>
      <c r="CH243">
        <f t="shared" si="438"/>
        <v>-50</v>
      </c>
    </row>
    <row r="244" spans="5:86" x14ac:dyDescent="0.25">
      <c r="E244" s="150">
        <v>28</v>
      </c>
      <c r="F244" s="191">
        <f t="shared" si="439"/>
        <v>2.8000000000000004E-2</v>
      </c>
      <c r="G244" s="191"/>
      <c r="H244" s="191">
        <f t="shared" si="404"/>
        <v>0.56000000000000005</v>
      </c>
      <c r="I244" s="472">
        <f t="shared" si="405"/>
        <v>21</v>
      </c>
      <c r="J244" s="386">
        <f t="shared" si="406"/>
        <v>20.32</v>
      </c>
      <c r="K244" s="386">
        <f t="shared" si="407"/>
        <v>41.32</v>
      </c>
      <c r="L244" s="386"/>
      <c r="M244" s="191">
        <f t="shared" si="408"/>
        <v>0.49177153920619554</v>
      </c>
      <c r="N244" s="152">
        <f t="shared" si="409"/>
        <v>3.5342268151016456</v>
      </c>
      <c r="O244" s="152">
        <f t="shared" si="363"/>
        <v>0.56000000000000005</v>
      </c>
      <c r="P244" s="191">
        <f t="shared" si="410"/>
        <v>0.17671134075508227</v>
      </c>
      <c r="Q244" s="191">
        <f t="shared" si="411"/>
        <v>20</v>
      </c>
      <c r="R244" s="191"/>
      <c r="S244" s="152">
        <f t="shared" si="412"/>
        <v>232.15390646998637</v>
      </c>
      <c r="T244" s="152">
        <f t="shared" si="413"/>
        <v>20</v>
      </c>
      <c r="U244" s="191">
        <f t="shared" si="414"/>
        <v>0.12050160396617089</v>
      </c>
      <c r="V244" s="191">
        <f t="shared" si="415"/>
        <v>0.34429029704620256</v>
      </c>
      <c r="W244" s="191">
        <f t="shared" si="416"/>
        <v>0.35581182273475653</v>
      </c>
      <c r="X244" s="175">
        <f t="shared" si="417"/>
        <v>350</v>
      </c>
      <c r="Y244" s="386">
        <f t="shared" si="418"/>
        <v>350</v>
      </c>
      <c r="AA244" s="191">
        <f t="shared" si="419"/>
        <v>0.49177153920619554</v>
      </c>
      <c r="AB244" s="153">
        <f t="shared" si="420"/>
        <v>1.452081316553727</v>
      </c>
      <c r="AC244" s="153">
        <f t="shared" si="421"/>
        <v>0.1249661462164824</v>
      </c>
      <c r="AD244" s="153"/>
      <c r="AE244" s="153">
        <f t="shared" si="422"/>
        <v>0.44291338582677164</v>
      </c>
      <c r="AF244" s="317">
        <f t="shared" si="423"/>
        <v>842.90370370370397</v>
      </c>
      <c r="AG244" s="463">
        <f t="shared" si="424"/>
        <v>1.1626476377952754E-2</v>
      </c>
      <c r="AI244" s="153">
        <f t="shared" si="425"/>
        <v>0.23278029698981542</v>
      </c>
      <c r="AJ244" s="153">
        <f t="shared" si="426"/>
        <v>0.23278029698981542</v>
      </c>
      <c r="AK244" s="153">
        <f t="shared" si="427"/>
        <v>1.2551868646598769</v>
      </c>
      <c r="AM244" s="317">
        <f t="shared" si="428"/>
        <v>28.000000000000004</v>
      </c>
      <c r="AN244" s="147">
        <f t="shared" si="429"/>
        <v>350</v>
      </c>
      <c r="AP244">
        <f t="shared" si="430"/>
        <v>28.000000000000004</v>
      </c>
      <c r="AQ244">
        <f t="shared" si="431"/>
        <v>350</v>
      </c>
      <c r="AS244" s="5">
        <f t="shared" si="364"/>
        <v>2.8571428571428572</v>
      </c>
      <c r="AT244" s="5">
        <f t="shared" si="432"/>
        <v>0.66508656282804413</v>
      </c>
      <c r="AU244" s="5">
        <f t="shared" si="440"/>
        <v>2.192056294314813</v>
      </c>
      <c r="AV244" s="5"/>
      <c r="AW244" s="153">
        <f t="shared" si="441"/>
        <v>0.23278029698981545</v>
      </c>
      <c r="AX244" s="153"/>
      <c r="BA244" s="147">
        <f t="shared" si="433"/>
        <v>2.347082921094211</v>
      </c>
      <c r="BB244" s="147">
        <f t="shared" si="434"/>
        <v>1.0971972266666667</v>
      </c>
      <c r="BC244" s="5">
        <f t="shared" si="359"/>
        <v>6.494981612784631E-2</v>
      </c>
      <c r="BD244" s="147">
        <f t="shared" si="435"/>
        <v>0</v>
      </c>
      <c r="BQ244" s="463">
        <f t="shared" si="436"/>
        <v>1.0696000000000001E-2</v>
      </c>
      <c r="CG244" s="59">
        <f t="shared" si="437"/>
        <v>-50</v>
      </c>
      <c r="CH244">
        <f t="shared" si="438"/>
        <v>-50</v>
      </c>
    </row>
    <row r="245" spans="5:86" x14ac:dyDescent="0.25">
      <c r="E245" s="150">
        <v>29</v>
      </c>
      <c r="F245" s="191">
        <f t="shared" si="439"/>
        <v>2.8999999999999998E-2</v>
      </c>
      <c r="G245" s="191"/>
      <c r="H245" s="191">
        <f t="shared" si="404"/>
        <v>0.57999999999999996</v>
      </c>
      <c r="I245" s="472">
        <f t="shared" si="405"/>
        <v>21</v>
      </c>
      <c r="J245" s="386">
        <f t="shared" si="406"/>
        <v>20.32</v>
      </c>
      <c r="K245" s="386">
        <f t="shared" si="407"/>
        <v>41.32</v>
      </c>
      <c r="L245" s="386"/>
      <c r="M245" s="191">
        <f t="shared" si="408"/>
        <v>0.49177153920619554</v>
      </c>
      <c r="N245" s="152">
        <f t="shared" si="409"/>
        <v>3.5342268151016456</v>
      </c>
      <c r="O245" s="152">
        <f t="shared" si="363"/>
        <v>0.57999999999999996</v>
      </c>
      <c r="P245" s="191">
        <f t="shared" si="410"/>
        <v>0.17671134075508227</v>
      </c>
      <c r="Q245" s="191">
        <f t="shared" si="411"/>
        <v>20</v>
      </c>
      <c r="R245" s="191"/>
      <c r="S245" s="152">
        <f t="shared" si="412"/>
        <v>223.42658570199248</v>
      </c>
      <c r="T245" s="152">
        <f t="shared" si="413"/>
        <v>20</v>
      </c>
      <c r="U245" s="191">
        <f t="shared" si="414"/>
        <v>0.12480523267924841</v>
      </c>
      <c r="V245" s="191">
        <f t="shared" si="415"/>
        <v>0.35658637908356694</v>
      </c>
      <c r="W245" s="191">
        <f t="shared" si="416"/>
        <v>0.36851938783242644</v>
      </c>
      <c r="X245" s="175">
        <f t="shared" si="417"/>
        <v>350</v>
      </c>
      <c r="Y245" s="386">
        <f t="shared" si="418"/>
        <v>350</v>
      </c>
      <c r="AA245" s="191">
        <f t="shared" si="419"/>
        <v>0.49177153920619554</v>
      </c>
      <c r="AB245" s="153">
        <f t="shared" si="420"/>
        <v>1.452081316553727</v>
      </c>
      <c r="AC245" s="153">
        <f t="shared" si="421"/>
        <v>0.1249661462164824</v>
      </c>
      <c r="AD245" s="153"/>
      <c r="AE245" s="153">
        <f t="shared" si="422"/>
        <v>0.44291338582677164</v>
      </c>
      <c r="AF245" s="317">
        <f t="shared" si="423"/>
        <v>873.00740740740753</v>
      </c>
      <c r="AG245" s="463">
        <f t="shared" si="424"/>
        <v>1.1626476377952754E-2</v>
      </c>
      <c r="AI245" s="153">
        <f t="shared" si="425"/>
        <v>0.23690062212224086</v>
      </c>
      <c r="AJ245" s="153">
        <f t="shared" si="426"/>
        <v>0.23690062212224086</v>
      </c>
      <c r="AK245" s="153">
        <f t="shared" si="427"/>
        <v>1.2579337480814938</v>
      </c>
      <c r="AM245" s="317">
        <f t="shared" si="428"/>
        <v>28.999999999999996</v>
      </c>
      <c r="AN245" s="147">
        <f t="shared" si="429"/>
        <v>350</v>
      </c>
      <c r="AP245">
        <f t="shared" si="430"/>
        <v>28.999999999999996</v>
      </c>
      <c r="AQ245">
        <f t="shared" si="431"/>
        <v>350</v>
      </c>
      <c r="AS245" s="5">
        <f t="shared" si="364"/>
        <v>2.8571428571428572</v>
      </c>
      <c r="AT245" s="5">
        <f t="shared" si="432"/>
        <v>0.67685892034925965</v>
      </c>
      <c r="AU245" s="5">
        <f t="shared" si="440"/>
        <v>2.1802839367935976</v>
      </c>
      <c r="AV245" s="5"/>
      <c r="AW245" s="153">
        <f t="shared" si="441"/>
        <v>0.23690062212224086</v>
      </c>
      <c r="AX245" s="153"/>
      <c r="BA245" s="147">
        <f t="shared" si="433"/>
        <v>2.347082921094211</v>
      </c>
      <c r="BB245" s="147">
        <f t="shared" si="434"/>
        <v>1.1738608005442175</v>
      </c>
      <c r="BC245" s="5">
        <f t="shared" ref="BC245:BC308" si="442">H245/Efficiency/I245*AU245/Vinripple1</f>
        <v>6.6908184303718865E-2</v>
      </c>
      <c r="BD245" s="147">
        <f t="shared" si="435"/>
        <v>0</v>
      </c>
      <c r="BQ245" s="463">
        <f t="shared" si="436"/>
        <v>1.1077999999999999E-2</v>
      </c>
      <c r="CG245" s="59">
        <f t="shared" si="437"/>
        <v>-50</v>
      </c>
      <c r="CH245">
        <f t="shared" si="438"/>
        <v>-50</v>
      </c>
    </row>
    <row r="246" spans="5:86" x14ac:dyDescent="0.25">
      <c r="E246" s="150">
        <v>30</v>
      </c>
      <c r="F246" s="191">
        <f t="shared" si="439"/>
        <v>0.03</v>
      </c>
      <c r="G246" s="191"/>
      <c r="H246" s="191">
        <f t="shared" si="404"/>
        <v>0.6</v>
      </c>
      <c r="I246" s="472">
        <f t="shared" si="405"/>
        <v>21</v>
      </c>
      <c r="J246" s="386">
        <f t="shared" si="406"/>
        <v>20.32</v>
      </c>
      <c r="K246" s="386">
        <f t="shared" si="407"/>
        <v>41.32</v>
      </c>
      <c r="L246" s="386"/>
      <c r="M246" s="191">
        <f t="shared" si="408"/>
        <v>0.49177153920619554</v>
      </c>
      <c r="N246" s="152">
        <f t="shared" si="409"/>
        <v>3.5342268151016456</v>
      </c>
      <c r="O246" s="152">
        <f t="shared" si="363"/>
        <v>0.6</v>
      </c>
      <c r="P246" s="191">
        <f t="shared" si="410"/>
        <v>0.17671134075508227</v>
      </c>
      <c r="Q246" s="191">
        <f t="shared" si="411"/>
        <v>20</v>
      </c>
      <c r="R246" s="191"/>
      <c r="S246" s="152">
        <f t="shared" si="412"/>
        <v>215.28116866221873</v>
      </c>
      <c r="T246" s="152">
        <f t="shared" si="413"/>
        <v>20</v>
      </c>
      <c r="U246" s="191">
        <f t="shared" si="414"/>
        <v>0.12910886139232594</v>
      </c>
      <c r="V246" s="191">
        <f t="shared" si="415"/>
        <v>0.36888246112093126</v>
      </c>
      <c r="W246" s="191">
        <f t="shared" si="416"/>
        <v>0.38122695293009629</v>
      </c>
      <c r="X246" s="175">
        <f t="shared" si="417"/>
        <v>350</v>
      </c>
      <c r="Y246" s="386">
        <f t="shared" si="418"/>
        <v>350</v>
      </c>
      <c r="AA246" s="191">
        <f t="shared" si="419"/>
        <v>0.49177153920619554</v>
      </c>
      <c r="AB246" s="153">
        <f t="shared" si="420"/>
        <v>1.452081316553727</v>
      </c>
      <c r="AC246" s="153">
        <f t="shared" si="421"/>
        <v>0.1249661462164824</v>
      </c>
      <c r="AD246" s="153"/>
      <c r="AE246" s="153">
        <f t="shared" si="422"/>
        <v>0.44291338582677164</v>
      </c>
      <c r="AF246" s="317">
        <f t="shared" si="423"/>
        <v>903.1111111111112</v>
      </c>
      <c r="AG246" s="463">
        <f t="shared" si="424"/>
        <v>1.1626476377952754E-2</v>
      </c>
      <c r="AI246" s="153">
        <f t="shared" si="425"/>
        <v>0.24095049876923447</v>
      </c>
      <c r="AJ246" s="153">
        <f t="shared" si="426"/>
        <v>0.24095049876923447</v>
      </c>
      <c r="AK246" s="153">
        <f t="shared" si="427"/>
        <v>1.2606336658461563</v>
      </c>
      <c r="AM246" s="317">
        <f t="shared" si="428"/>
        <v>30</v>
      </c>
      <c r="AN246" s="147">
        <f t="shared" si="429"/>
        <v>350</v>
      </c>
      <c r="AP246">
        <f t="shared" si="430"/>
        <v>30</v>
      </c>
      <c r="AQ246">
        <f t="shared" si="431"/>
        <v>350</v>
      </c>
      <c r="AS246" s="5">
        <f t="shared" si="364"/>
        <v>2.8571428571428572</v>
      </c>
      <c r="AT246" s="5">
        <f t="shared" si="432"/>
        <v>0.6884299964835271</v>
      </c>
      <c r="AU246" s="5">
        <f t="shared" si="440"/>
        <v>2.1687128606593302</v>
      </c>
      <c r="AV246" s="5"/>
      <c r="AW246" s="153">
        <f t="shared" si="441"/>
        <v>0.24095049876923447</v>
      </c>
      <c r="AX246" s="153"/>
      <c r="BA246" s="147">
        <f t="shared" si="433"/>
        <v>2.347082921094211</v>
      </c>
      <c r="BB246" s="147">
        <f t="shared" si="434"/>
        <v>1.25310906122449</v>
      </c>
      <c r="BC246" s="5">
        <f t="shared" si="442"/>
        <v>6.8848027322518421E-2</v>
      </c>
      <c r="BD246" s="147">
        <f t="shared" si="435"/>
        <v>0</v>
      </c>
      <c r="BQ246" s="463">
        <f t="shared" si="436"/>
        <v>1.146E-2</v>
      </c>
      <c r="CG246" s="59">
        <f t="shared" si="437"/>
        <v>-50</v>
      </c>
      <c r="CH246">
        <f t="shared" si="438"/>
        <v>-50</v>
      </c>
    </row>
    <row r="247" spans="5:86" x14ac:dyDescent="0.25">
      <c r="E247" s="150">
        <v>31</v>
      </c>
      <c r="F247" s="191">
        <f t="shared" si="439"/>
        <v>3.1E-2</v>
      </c>
      <c r="G247" s="191"/>
      <c r="H247" s="191">
        <f t="shared" si="404"/>
        <v>0.62</v>
      </c>
      <c r="I247" s="472">
        <f t="shared" si="405"/>
        <v>21</v>
      </c>
      <c r="J247" s="386">
        <f t="shared" si="406"/>
        <v>20.32</v>
      </c>
      <c r="K247" s="386">
        <f t="shared" si="407"/>
        <v>41.32</v>
      </c>
      <c r="L247" s="386"/>
      <c r="M247" s="191">
        <f t="shared" si="408"/>
        <v>0.49177153920619554</v>
      </c>
      <c r="N247" s="152">
        <f t="shared" si="409"/>
        <v>3.5342268151016456</v>
      </c>
      <c r="O247" s="152">
        <f t="shared" si="363"/>
        <v>0.62</v>
      </c>
      <c r="P247" s="191">
        <f t="shared" si="410"/>
        <v>0.17671134075508227</v>
      </c>
      <c r="Q247" s="191">
        <f t="shared" si="411"/>
        <v>20</v>
      </c>
      <c r="R247" s="191"/>
      <c r="S247" s="152">
        <f t="shared" si="412"/>
        <v>207.66134284856247</v>
      </c>
      <c r="T247" s="152">
        <f t="shared" si="413"/>
        <v>20</v>
      </c>
      <c r="U247" s="191">
        <f t="shared" si="414"/>
        <v>0.13341249010540349</v>
      </c>
      <c r="V247" s="191">
        <f t="shared" si="415"/>
        <v>0.38117854315829569</v>
      </c>
      <c r="W247" s="191">
        <f t="shared" si="416"/>
        <v>0.39393451802776619</v>
      </c>
      <c r="X247" s="175">
        <f t="shared" si="417"/>
        <v>350</v>
      </c>
      <c r="Y247" s="386">
        <f t="shared" si="418"/>
        <v>350</v>
      </c>
      <c r="AA247" s="191">
        <f t="shared" si="419"/>
        <v>0.49177153920619554</v>
      </c>
      <c r="AB247" s="153">
        <f t="shared" si="420"/>
        <v>1.452081316553727</v>
      </c>
      <c r="AC247" s="153">
        <f t="shared" si="421"/>
        <v>0.1249661462164824</v>
      </c>
      <c r="AD247" s="153"/>
      <c r="AE247" s="153">
        <f t="shared" si="422"/>
        <v>0.44291338582677164</v>
      </c>
      <c r="AF247" s="317">
        <f t="shared" si="423"/>
        <v>933.21481481481499</v>
      </c>
      <c r="AG247" s="463">
        <f t="shared" si="424"/>
        <v>1.1626476377952754E-2</v>
      </c>
      <c r="AI247" s="153">
        <f t="shared" si="425"/>
        <v>0.24493342146873495</v>
      </c>
      <c r="AJ247" s="153">
        <f t="shared" si="426"/>
        <v>0.24493342146873495</v>
      </c>
      <c r="AK247" s="153">
        <f t="shared" si="427"/>
        <v>1.2632889476458233</v>
      </c>
      <c r="AM247" s="317">
        <f t="shared" si="428"/>
        <v>31</v>
      </c>
      <c r="AN247" s="147">
        <f t="shared" si="429"/>
        <v>350</v>
      </c>
      <c r="AP247">
        <f t="shared" si="430"/>
        <v>31</v>
      </c>
      <c r="AQ247">
        <f t="shared" si="431"/>
        <v>350</v>
      </c>
      <c r="AS247" s="5">
        <f t="shared" si="364"/>
        <v>2.8571428571428572</v>
      </c>
      <c r="AT247" s="5">
        <f t="shared" si="432"/>
        <v>0.69980977562495705</v>
      </c>
      <c r="AU247" s="5">
        <f t="shared" si="440"/>
        <v>2.1573330815179004</v>
      </c>
      <c r="AV247" s="5"/>
      <c r="AW247" s="153">
        <f t="shared" si="441"/>
        <v>0.24493342146873495</v>
      </c>
      <c r="AX247" s="153"/>
      <c r="BA247" s="147">
        <f t="shared" si="433"/>
        <v>2.347082921094211</v>
      </c>
      <c r="BB247" s="147">
        <f t="shared" si="434"/>
        <v>1.334942008707483</v>
      </c>
      <c r="BC247" s="5">
        <f t="shared" si="442"/>
        <v>7.0769656642386145E-2</v>
      </c>
      <c r="BD247" s="147">
        <f t="shared" si="435"/>
        <v>0</v>
      </c>
      <c r="BQ247" s="463">
        <f t="shared" si="436"/>
        <v>1.1842E-2</v>
      </c>
      <c r="CG247" s="59">
        <f t="shared" si="437"/>
        <v>-50</v>
      </c>
      <c r="CH247">
        <f t="shared" si="438"/>
        <v>-50</v>
      </c>
    </row>
    <row r="248" spans="5:86" x14ac:dyDescent="0.25">
      <c r="E248" s="150">
        <v>32</v>
      </c>
      <c r="F248" s="191">
        <f t="shared" si="439"/>
        <v>3.2000000000000001E-2</v>
      </c>
      <c r="G248" s="191"/>
      <c r="H248" s="191">
        <f t="shared" ref="H248:H279" si="443">F248*Vout</f>
        <v>0.64</v>
      </c>
      <c r="I248" s="472">
        <f t="shared" ref="I248:I279" si="444">VIN_max</f>
        <v>21</v>
      </c>
      <c r="J248" s="386">
        <f t="shared" ref="J248:J279" si="445">(T248+Vfwd1)*Nps</f>
        <v>20.32</v>
      </c>
      <c r="K248" s="386">
        <f t="shared" ref="K248:K279" si="446">(Vout+Vfwd1)*Nps+I248</f>
        <v>41.32</v>
      </c>
      <c r="L248" s="386"/>
      <c r="M248" s="191">
        <f t="shared" ref="M248:M279" si="447">(Vout+Vfwd1)*Nps/((Vout+Vfwd1)*Nps+I248)</f>
        <v>0.49177153920619554</v>
      </c>
      <c r="N248" s="152">
        <f t="shared" ref="N248:N279" si="448">M248*I248*(Isw_max+VIN_max/Lmag*ILIM_delay)*0.5*Efficiency</f>
        <v>3.5342268151016456</v>
      </c>
      <c r="O248" s="152">
        <f t="shared" si="363"/>
        <v>0.64</v>
      </c>
      <c r="P248" s="191">
        <f t="shared" ref="P248:P279" si="449">N248/Vout</f>
        <v>0.17671134075508227</v>
      </c>
      <c r="Q248" s="191">
        <f t="shared" ref="Q248:Q279" si="450">MIN(Vout,N248/F248)</f>
        <v>20</v>
      </c>
      <c r="R248" s="191"/>
      <c r="S248" s="152">
        <f t="shared" ref="S248:S279" si="451">(SQRT(Isw_max^2*Nps^2*I248^2+4*Isw_max*F248/Efficiency*(Nps^2*Vfwd1*I248-Nps*I248^2)+4*(F248/Efficiency)^2*Nps^2*Vfwd1^2+8*(F248/Efficiency)^2*Nps*Vfwd1*I248+4*(F248/Efficiency)^2*I248^2)-2*F248/Efficiency*I248-2*F248/Efficiency*Nps*Vfwd1+Isw_max*Nps*I248)/(4*F248/Efficiency*Nps)</f>
        <v>200.51783483094101</v>
      </c>
      <c r="T248" s="152">
        <f t="shared" ref="T248:T279" si="452">MIN(Vout, S248)</f>
        <v>20</v>
      </c>
      <c r="U248" s="191">
        <f t="shared" ref="U248:U279" si="453">MIN(2*Vout*F248/(Efficiency*I248*M248), Isw_max)</f>
        <v>0.137716118818481</v>
      </c>
      <c r="V248" s="191">
        <f t="shared" ref="V248:V279" si="454">L*U248/I248*1000000</f>
        <v>0.39347462519566001</v>
      </c>
      <c r="W248" s="191">
        <f t="shared" ref="W248:W279" si="455">L*U248/J248*1000000</f>
        <v>0.40664208312543604</v>
      </c>
      <c r="X248" s="175">
        <f t="shared" ref="X248:X279" si="456">IF(1/((350000*L)*(1/I248+1/J248))&gt;Isw_min, 350, 0.001/((Isw_min*L)*(1/I248+1/J248)))</f>
        <v>350</v>
      </c>
      <c r="Y248" s="386">
        <f t="shared" si="418"/>
        <v>350</v>
      </c>
      <c r="AA248" s="191">
        <f t="shared" ref="AA248:AA279" si="457">1/((X248*1000*L)*(1/I248+1/J248))</f>
        <v>0.49177153920619554</v>
      </c>
      <c r="AB248" s="153">
        <f t="shared" ref="AB248:AB279" si="458">L*AA248/J248*1000000</f>
        <v>1.452081316553727</v>
      </c>
      <c r="AC248" s="153">
        <f t="shared" ref="AC248:AC279" si="459">0.5*AB248*AA248*Nps*X248/1000</f>
        <v>0.1249661462164824</v>
      </c>
      <c r="AD248" s="153"/>
      <c r="AE248" s="153">
        <f t="shared" ref="AE248:AE279" si="460">L*Isw_min/J248*1000000</f>
        <v>0.44291338582677164</v>
      </c>
      <c r="AF248" s="317">
        <f t="shared" ref="AF248:AF279" si="461">MAX(12000,F248/(0.5*AE248/1000000*Isw_min*Nps))/1000</f>
        <v>963.31851851851866</v>
      </c>
      <c r="AG248" s="463">
        <f t="shared" ref="AG248:AG279" si="462">0.5*AE248/1000000*Isw_min*Nps*X248*1000</f>
        <v>1.1626476377952754E-2</v>
      </c>
      <c r="AI248" s="153">
        <f t="shared" ref="AI248:AI279" si="463">SQRT(F248/(0.5*L/J248*Fsw_DCM*Nps))</f>
        <v>0.24885260506496421</v>
      </c>
      <c r="AJ248" s="153">
        <f t="shared" ref="AJ248:AJ279" si="464">MAX(IF(F248&gt;AC248,U248,AI248),Isw_min)</f>
        <v>0.24885260506496421</v>
      </c>
      <c r="AK248" s="153">
        <f t="shared" ref="AK248:AK279" si="465">IF(F248&gt;AG248, (AJ248-Isw_min)/1.2*0.8+1.2, AF248*0.2/350+1)</f>
        <v>1.2659017367099761</v>
      </c>
      <c r="AM248" s="317">
        <f t="shared" ref="AM248:AM279" si="466">F248*1000</f>
        <v>32</v>
      </c>
      <c r="AN248" s="147">
        <f t="shared" ref="AN248:AN279" si="467">IF(F248&gt;AG248, Y248, AF248)</f>
        <v>350</v>
      </c>
      <c r="AP248">
        <f t="shared" ref="AP248:AP279" si="468">IF(H248&gt;N248, "",AM248)</f>
        <v>32</v>
      </c>
      <c r="AQ248">
        <f t="shared" ref="AQ248:AQ279" si="469">IF(H248&gt;N248, "",AN248)</f>
        <v>350</v>
      </c>
      <c r="AS248" s="5">
        <f t="shared" si="364"/>
        <v>2.8571428571428572</v>
      </c>
      <c r="AT248" s="5">
        <f t="shared" ref="AT248:AT279" si="470">L*AJ248/I248*1000000</f>
        <v>0.71100744304275487</v>
      </c>
      <c r="AU248" s="5">
        <f t="shared" si="440"/>
        <v>2.1461354141001023</v>
      </c>
      <c r="AV248" s="5"/>
      <c r="AW248" s="153">
        <f t="shared" si="441"/>
        <v>0.24885260506496421</v>
      </c>
      <c r="AX248" s="153"/>
      <c r="BA248" s="147">
        <f t="shared" ref="BA248:BA279" si="471">L*Isw_max^2/(2*Vout_ripple*Vout)*1000000000*((1+M248)/2)^2</f>
        <v>2.347082921094211</v>
      </c>
      <c r="BB248" s="147">
        <f t="shared" ref="BB248:BB279" si="472">L*F248^2/(2*Cout*Vout*Nps^2)*1000000000*((1+M248)/(1-M248))^2+F248*RCoutEsr</f>
        <v>1.4193596429931972</v>
      </c>
      <c r="BC248" s="5">
        <f t="shared" si="442"/>
        <v>7.2673368519791837E-2</v>
      </c>
      <c r="BD248" s="147">
        <f t="shared" ref="BD248:BD279" si="473">((CB248/I248/Efficiency)*AU248/Cin+(CB248/I248/Efficiency)*RCinEsr)*1000</f>
        <v>0</v>
      </c>
      <c r="BQ248" s="463">
        <f t="shared" ref="BQ248:BQ279" si="474">(Vfwd2*F248+BG248^2*Rdiode)*(1+Diode_TC/1000*(Ta-25))</f>
        <v>1.2224E-2</v>
      </c>
      <c r="CG248" s="59">
        <f t="shared" ref="CG248:CG279" si="475">IF(ABS(F248-Ioutmax_Vinmax)&lt;Iout/200, AN248, -50)</f>
        <v>-50</v>
      </c>
      <c r="CH248">
        <f t="shared" ref="CH248:CH279" si="476">IF(ABS(F248-Ioutmax_Vinmin)&lt;Iout/200, N248*CC248, -50)</f>
        <v>-50</v>
      </c>
    </row>
    <row r="249" spans="5:86" x14ac:dyDescent="0.25">
      <c r="E249" s="150">
        <v>33</v>
      </c>
      <c r="F249" s="191">
        <f t="shared" ref="F249:F280" si="477">IF(PLOT_TYPE=1, E249/100*Iout_max, min_I*EXP(N249*rr/100))</f>
        <v>3.3000000000000002E-2</v>
      </c>
      <c r="G249" s="191"/>
      <c r="H249" s="191">
        <f t="shared" si="443"/>
        <v>0.66</v>
      </c>
      <c r="I249" s="472">
        <f t="shared" si="444"/>
        <v>21</v>
      </c>
      <c r="J249" s="386">
        <f t="shared" si="445"/>
        <v>20.32</v>
      </c>
      <c r="K249" s="386">
        <f t="shared" si="446"/>
        <v>41.32</v>
      </c>
      <c r="L249" s="386"/>
      <c r="M249" s="191">
        <f t="shared" si="447"/>
        <v>0.49177153920619554</v>
      </c>
      <c r="N249" s="152">
        <f t="shared" si="448"/>
        <v>3.5342268151016456</v>
      </c>
      <c r="O249" s="152">
        <f t="shared" si="363"/>
        <v>0.66</v>
      </c>
      <c r="P249" s="191">
        <f t="shared" si="449"/>
        <v>0.17671134075508227</v>
      </c>
      <c r="Q249" s="191">
        <f t="shared" si="450"/>
        <v>20</v>
      </c>
      <c r="R249" s="191"/>
      <c r="S249" s="152">
        <f t="shared" si="451"/>
        <v>193.80734372536622</v>
      </c>
      <c r="T249" s="152">
        <f t="shared" si="452"/>
        <v>20</v>
      </c>
      <c r="U249" s="191">
        <f t="shared" si="453"/>
        <v>0.14201974753155855</v>
      </c>
      <c r="V249" s="191">
        <f t="shared" si="454"/>
        <v>0.40577070723302444</v>
      </c>
      <c r="W249" s="191">
        <f t="shared" si="455"/>
        <v>0.419349648223106</v>
      </c>
      <c r="X249" s="175">
        <f t="shared" si="456"/>
        <v>350</v>
      </c>
      <c r="Y249" s="386">
        <f t="shared" si="418"/>
        <v>350</v>
      </c>
      <c r="AA249" s="191">
        <f t="shared" si="457"/>
        <v>0.49177153920619554</v>
      </c>
      <c r="AB249" s="153">
        <f t="shared" si="458"/>
        <v>1.452081316553727</v>
      </c>
      <c r="AC249" s="153">
        <f t="shared" si="459"/>
        <v>0.1249661462164824</v>
      </c>
      <c r="AD249" s="153"/>
      <c r="AE249" s="153">
        <f t="shared" si="460"/>
        <v>0.44291338582677164</v>
      </c>
      <c r="AF249" s="317">
        <f t="shared" si="461"/>
        <v>993.42222222222233</v>
      </c>
      <c r="AG249" s="463">
        <f t="shared" si="462"/>
        <v>1.1626476377952754E-2</v>
      </c>
      <c r="AI249" s="153">
        <f t="shared" si="463"/>
        <v>0.25271101508018434</v>
      </c>
      <c r="AJ249" s="153">
        <f t="shared" si="464"/>
        <v>0.25271101508018434</v>
      </c>
      <c r="AK249" s="153">
        <f t="shared" si="465"/>
        <v>1.2684740100534562</v>
      </c>
      <c r="AM249" s="317">
        <f t="shared" si="466"/>
        <v>33</v>
      </c>
      <c r="AN249" s="147">
        <f t="shared" si="467"/>
        <v>350</v>
      </c>
      <c r="AP249">
        <f t="shared" si="468"/>
        <v>33</v>
      </c>
      <c r="AQ249">
        <f t="shared" si="469"/>
        <v>350</v>
      </c>
      <c r="AS249" s="5">
        <f t="shared" si="364"/>
        <v>2.8571428571428572</v>
      </c>
      <c r="AT249" s="5">
        <f t="shared" si="470"/>
        <v>0.72203147165766957</v>
      </c>
      <c r="AU249" s="5">
        <f t="shared" si="440"/>
        <v>2.1351113854851875</v>
      </c>
      <c r="AV249" s="5"/>
      <c r="AW249" s="153">
        <f t="shared" si="441"/>
        <v>0.25271101508018434</v>
      </c>
      <c r="AX249" s="153"/>
      <c r="BA249" s="147">
        <f t="shared" si="471"/>
        <v>2.347082921094211</v>
      </c>
      <c r="BB249" s="147">
        <f t="shared" si="472"/>
        <v>1.5063619640816328</v>
      </c>
      <c r="BC249" s="5">
        <f t="shared" si="442"/>
        <v>7.455944520741925E-2</v>
      </c>
      <c r="BD249" s="147">
        <f t="shared" si="473"/>
        <v>0</v>
      </c>
      <c r="BQ249" s="463">
        <f t="shared" si="474"/>
        <v>1.2606000000000001E-2</v>
      </c>
      <c r="CG249" s="59">
        <f t="shared" si="475"/>
        <v>-50</v>
      </c>
      <c r="CH249">
        <f t="shared" si="476"/>
        <v>-50</v>
      </c>
    </row>
    <row r="250" spans="5:86" x14ac:dyDescent="0.25">
      <c r="E250" s="150">
        <v>34</v>
      </c>
      <c r="F250" s="191">
        <f t="shared" si="477"/>
        <v>3.4000000000000002E-2</v>
      </c>
      <c r="G250" s="191"/>
      <c r="H250" s="191">
        <f t="shared" si="443"/>
        <v>0.68</v>
      </c>
      <c r="I250" s="472">
        <f t="shared" si="444"/>
        <v>21</v>
      </c>
      <c r="J250" s="386">
        <f t="shared" si="445"/>
        <v>20.32</v>
      </c>
      <c r="K250" s="386">
        <f t="shared" si="446"/>
        <v>41.32</v>
      </c>
      <c r="L250" s="386"/>
      <c r="M250" s="191">
        <f t="shared" si="447"/>
        <v>0.49177153920619554</v>
      </c>
      <c r="N250" s="152">
        <f t="shared" si="448"/>
        <v>3.5342268151016456</v>
      </c>
      <c r="O250" s="152">
        <f t="shared" si="363"/>
        <v>0.68</v>
      </c>
      <c r="P250" s="191">
        <f t="shared" si="449"/>
        <v>0.17671134075508227</v>
      </c>
      <c r="Q250" s="191">
        <f t="shared" si="450"/>
        <v>20</v>
      </c>
      <c r="R250" s="191"/>
      <c r="S250" s="152">
        <f t="shared" si="451"/>
        <v>187.49166287847942</v>
      </c>
      <c r="T250" s="152">
        <f t="shared" si="452"/>
        <v>20</v>
      </c>
      <c r="U250" s="191">
        <f t="shared" si="453"/>
        <v>0.14632337624463609</v>
      </c>
      <c r="V250" s="191">
        <f t="shared" si="454"/>
        <v>0.41806678927038887</v>
      </c>
      <c r="W250" s="191">
        <f t="shared" si="455"/>
        <v>0.4320572133207759</v>
      </c>
      <c r="X250" s="175">
        <f t="shared" si="456"/>
        <v>350</v>
      </c>
      <c r="Y250" s="386">
        <f t="shared" si="418"/>
        <v>350</v>
      </c>
      <c r="AA250" s="191">
        <f t="shared" si="457"/>
        <v>0.49177153920619554</v>
      </c>
      <c r="AB250" s="153">
        <f t="shared" si="458"/>
        <v>1.452081316553727</v>
      </c>
      <c r="AC250" s="153">
        <f t="shared" si="459"/>
        <v>0.1249661462164824</v>
      </c>
      <c r="AD250" s="153"/>
      <c r="AE250" s="153">
        <f t="shared" si="460"/>
        <v>0.44291338582677164</v>
      </c>
      <c r="AF250" s="317">
        <f t="shared" si="461"/>
        <v>1023.5259259259262</v>
      </c>
      <c r="AG250" s="463">
        <f t="shared" si="462"/>
        <v>1.1626476377952754E-2</v>
      </c>
      <c r="AI250" s="153">
        <f t="shared" si="463"/>
        <v>0.25651139397324096</v>
      </c>
      <c r="AJ250" s="153">
        <f t="shared" si="464"/>
        <v>0.25651139397324096</v>
      </c>
      <c r="AK250" s="153">
        <f t="shared" si="465"/>
        <v>1.2710075959821605</v>
      </c>
      <c r="AM250" s="317">
        <f t="shared" si="466"/>
        <v>34</v>
      </c>
      <c r="AN250" s="147">
        <f t="shared" si="467"/>
        <v>350</v>
      </c>
      <c r="AP250">
        <f t="shared" si="468"/>
        <v>34</v>
      </c>
      <c r="AQ250">
        <f t="shared" si="469"/>
        <v>350</v>
      </c>
      <c r="AS250" s="5">
        <f t="shared" si="364"/>
        <v>2.8571428571428572</v>
      </c>
      <c r="AT250" s="5">
        <f t="shared" si="470"/>
        <v>0.73288969706640283</v>
      </c>
      <c r="AU250" s="5">
        <f t="shared" si="440"/>
        <v>2.1242531600764543</v>
      </c>
      <c r="AV250" s="5"/>
      <c r="AW250" s="153">
        <f t="shared" si="441"/>
        <v>0.25651139397324096</v>
      </c>
      <c r="AX250" s="153"/>
      <c r="BA250" s="147">
        <f t="shared" si="471"/>
        <v>2.347082921094211</v>
      </c>
      <c r="BB250" s="147">
        <f t="shared" si="472"/>
        <v>1.5959489719727895</v>
      </c>
      <c r="BC250" s="5">
        <f t="shared" si="442"/>
        <v>7.6428156023914756E-2</v>
      </c>
      <c r="BD250" s="147">
        <f t="shared" si="473"/>
        <v>0</v>
      </c>
      <c r="BQ250" s="463">
        <f t="shared" si="474"/>
        <v>1.2988E-2</v>
      </c>
      <c r="CG250" s="59">
        <f t="shared" si="475"/>
        <v>-50</v>
      </c>
      <c r="CH250">
        <f t="shared" si="476"/>
        <v>-50</v>
      </c>
    </row>
    <row r="251" spans="5:86" x14ac:dyDescent="0.25">
      <c r="E251" s="150">
        <v>35</v>
      </c>
      <c r="F251" s="191">
        <f t="shared" si="477"/>
        <v>3.4999999999999996E-2</v>
      </c>
      <c r="G251" s="191"/>
      <c r="H251" s="191">
        <f t="shared" si="443"/>
        <v>0.7</v>
      </c>
      <c r="I251" s="472">
        <f t="shared" si="444"/>
        <v>21</v>
      </c>
      <c r="J251" s="386">
        <f t="shared" si="445"/>
        <v>20.32</v>
      </c>
      <c r="K251" s="386">
        <f t="shared" si="446"/>
        <v>41.32</v>
      </c>
      <c r="L251" s="386"/>
      <c r="M251" s="191">
        <f t="shared" si="447"/>
        <v>0.49177153920619554</v>
      </c>
      <c r="N251" s="152">
        <f t="shared" si="448"/>
        <v>3.5342268151016456</v>
      </c>
      <c r="O251" s="152">
        <f t="shared" si="363"/>
        <v>0.7</v>
      </c>
      <c r="P251" s="191">
        <f t="shared" si="449"/>
        <v>0.17671134075508227</v>
      </c>
      <c r="Q251" s="191">
        <f t="shared" si="450"/>
        <v>20</v>
      </c>
      <c r="R251" s="191"/>
      <c r="S251" s="152">
        <f t="shared" si="451"/>
        <v>181.53695212045321</v>
      </c>
      <c r="T251" s="152">
        <f t="shared" si="452"/>
        <v>20</v>
      </c>
      <c r="U251" s="191">
        <f t="shared" si="453"/>
        <v>0.15062700495771361</v>
      </c>
      <c r="V251" s="191">
        <f t="shared" si="454"/>
        <v>0.43036287130775319</v>
      </c>
      <c r="W251" s="191">
        <f t="shared" si="455"/>
        <v>0.44476477841844569</v>
      </c>
      <c r="X251" s="175">
        <f t="shared" si="456"/>
        <v>350</v>
      </c>
      <c r="Y251" s="386">
        <f t="shared" si="418"/>
        <v>350</v>
      </c>
      <c r="AA251" s="191">
        <f t="shared" si="457"/>
        <v>0.49177153920619554</v>
      </c>
      <c r="AB251" s="153">
        <f t="shared" si="458"/>
        <v>1.452081316553727</v>
      </c>
      <c r="AC251" s="153">
        <f t="shared" si="459"/>
        <v>0.1249661462164824</v>
      </c>
      <c r="AD251" s="153"/>
      <c r="AE251" s="153">
        <f t="shared" si="460"/>
        <v>0.44291338582677164</v>
      </c>
      <c r="AF251" s="317">
        <f t="shared" si="461"/>
        <v>1053.6296296296296</v>
      </c>
      <c r="AG251" s="463">
        <f t="shared" si="462"/>
        <v>1.1626476377952754E-2</v>
      </c>
      <c r="AI251" s="153">
        <f t="shared" si="463"/>
        <v>0.26025628394590844</v>
      </c>
      <c r="AJ251" s="153">
        <f t="shared" si="464"/>
        <v>0.26025628394590844</v>
      </c>
      <c r="AK251" s="153">
        <f t="shared" si="465"/>
        <v>1.2735041892972723</v>
      </c>
      <c r="AM251" s="317">
        <f t="shared" si="466"/>
        <v>34.999999999999993</v>
      </c>
      <c r="AN251" s="147">
        <f t="shared" si="467"/>
        <v>350</v>
      </c>
      <c r="AP251">
        <f t="shared" si="468"/>
        <v>34.999999999999993</v>
      </c>
      <c r="AQ251">
        <f t="shared" si="469"/>
        <v>350</v>
      </c>
      <c r="AS251" s="5">
        <f t="shared" si="364"/>
        <v>2.8571428571428572</v>
      </c>
      <c r="AT251" s="5">
        <f t="shared" si="470"/>
        <v>0.74358938270259556</v>
      </c>
      <c r="AU251" s="5">
        <f t="shared" si="440"/>
        <v>2.1135534744402618</v>
      </c>
      <c r="AV251" s="5"/>
      <c r="AW251" s="153">
        <f t="shared" si="441"/>
        <v>0.26025628394590844</v>
      </c>
      <c r="AX251" s="153"/>
      <c r="BA251" s="147">
        <f t="shared" si="471"/>
        <v>2.347082921094211</v>
      </c>
      <c r="BB251" s="147">
        <f t="shared" si="472"/>
        <v>1.6881206666666666</v>
      </c>
      <c r="BC251" s="5">
        <f t="shared" si="442"/>
        <v>7.8279758312602282E-2</v>
      </c>
      <c r="BD251" s="147">
        <f t="shared" si="473"/>
        <v>0</v>
      </c>
      <c r="BQ251" s="463">
        <f t="shared" si="474"/>
        <v>1.3369999999999998E-2</v>
      </c>
      <c r="CG251" s="59">
        <f t="shared" si="475"/>
        <v>-50</v>
      </c>
      <c r="CH251">
        <f t="shared" si="476"/>
        <v>-50</v>
      </c>
    </row>
    <row r="252" spans="5:86" x14ac:dyDescent="0.25">
      <c r="E252" s="150">
        <v>36</v>
      </c>
      <c r="F252" s="191">
        <f t="shared" si="477"/>
        <v>3.5999999999999997E-2</v>
      </c>
      <c r="G252" s="191"/>
      <c r="H252" s="191">
        <f t="shared" si="443"/>
        <v>0.72</v>
      </c>
      <c r="I252" s="472">
        <f t="shared" si="444"/>
        <v>21</v>
      </c>
      <c r="J252" s="386">
        <f t="shared" si="445"/>
        <v>20.32</v>
      </c>
      <c r="K252" s="386">
        <f t="shared" si="446"/>
        <v>41.32</v>
      </c>
      <c r="L252" s="386"/>
      <c r="M252" s="191">
        <f t="shared" si="447"/>
        <v>0.49177153920619554</v>
      </c>
      <c r="N252" s="152">
        <f t="shared" si="448"/>
        <v>3.5342268151016456</v>
      </c>
      <c r="O252" s="152">
        <f t="shared" si="363"/>
        <v>0.72</v>
      </c>
      <c r="P252" s="191">
        <f t="shared" si="449"/>
        <v>0.17671134075508227</v>
      </c>
      <c r="Q252" s="191">
        <f t="shared" si="450"/>
        <v>20</v>
      </c>
      <c r="R252" s="191"/>
      <c r="S252" s="152">
        <f t="shared" si="451"/>
        <v>175.91313130907955</v>
      </c>
      <c r="T252" s="152">
        <f t="shared" si="452"/>
        <v>20</v>
      </c>
      <c r="U252" s="191">
        <f t="shared" si="453"/>
        <v>0.15493063367079113</v>
      </c>
      <c r="V252" s="191">
        <f t="shared" si="454"/>
        <v>0.44265895334511751</v>
      </c>
      <c r="W252" s="191">
        <f t="shared" si="455"/>
        <v>0.45747234351611554</v>
      </c>
      <c r="X252" s="175">
        <f t="shared" si="456"/>
        <v>350</v>
      </c>
      <c r="Y252" s="386">
        <f t="shared" si="418"/>
        <v>350</v>
      </c>
      <c r="AA252" s="191">
        <f t="shared" si="457"/>
        <v>0.49177153920619554</v>
      </c>
      <c r="AB252" s="153">
        <f t="shared" si="458"/>
        <v>1.452081316553727</v>
      </c>
      <c r="AC252" s="153">
        <f t="shared" si="459"/>
        <v>0.1249661462164824</v>
      </c>
      <c r="AD252" s="153"/>
      <c r="AE252" s="153">
        <f t="shared" si="460"/>
        <v>0.44291338582677164</v>
      </c>
      <c r="AF252" s="317">
        <f t="shared" si="461"/>
        <v>1083.7333333333336</v>
      </c>
      <c r="AG252" s="463">
        <f t="shared" si="462"/>
        <v>1.1626476377952754E-2</v>
      </c>
      <c r="AI252" s="153">
        <f t="shared" si="463"/>
        <v>0.26394804683606093</v>
      </c>
      <c r="AJ252" s="153">
        <f t="shared" si="464"/>
        <v>0.26394804683606093</v>
      </c>
      <c r="AK252" s="153">
        <f t="shared" si="465"/>
        <v>1.2759653645573739</v>
      </c>
      <c r="AM252" s="317">
        <f t="shared" si="466"/>
        <v>36</v>
      </c>
      <c r="AN252" s="147">
        <f t="shared" si="467"/>
        <v>350</v>
      </c>
      <c r="AP252">
        <f t="shared" si="468"/>
        <v>36</v>
      </c>
      <c r="AQ252">
        <f t="shared" si="469"/>
        <v>350</v>
      </c>
      <c r="AS252" s="5">
        <f t="shared" si="364"/>
        <v>2.8571428571428572</v>
      </c>
      <c r="AT252" s="5">
        <f t="shared" si="470"/>
        <v>0.75413727667445984</v>
      </c>
      <c r="AU252" s="5">
        <f t="shared" si="440"/>
        <v>2.1030055804683974</v>
      </c>
      <c r="AV252" s="5"/>
      <c r="AW252" s="153">
        <f t="shared" si="441"/>
        <v>0.26394804683606093</v>
      </c>
      <c r="AX252" s="153"/>
      <c r="BA252" s="147">
        <f t="shared" si="471"/>
        <v>2.347082921094211</v>
      </c>
      <c r="BB252" s="147">
        <f t="shared" si="472"/>
        <v>1.782877048163265</v>
      </c>
      <c r="BC252" s="5">
        <f t="shared" si="442"/>
        <v>8.0114498303557991E-2</v>
      </c>
      <c r="BD252" s="147">
        <f t="shared" si="473"/>
        <v>0</v>
      </c>
      <c r="BQ252" s="463">
        <f t="shared" si="474"/>
        <v>1.3751999999999999E-2</v>
      </c>
      <c r="CG252" s="59">
        <f t="shared" si="475"/>
        <v>-50</v>
      </c>
      <c r="CH252">
        <f t="shared" si="476"/>
        <v>-50</v>
      </c>
    </row>
    <row r="253" spans="5:86" x14ac:dyDescent="0.25">
      <c r="E253" s="150">
        <v>37</v>
      </c>
      <c r="F253" s="191">
        <f t="shared" si="477"/>
        <v>3.6999999999999998E-2</v>
      </c>
      <c r="G253" s="191"/>
      <c r="H253" s="191">
        <f t="shared" si="443"/>
        <v>0.74</v>
      </c>
      <c r="I253" s="472">
        <f t="shared" si="444"/>
        <v>21</v>
      </c>
      <c r="J253" s="386">
        <f t="shared" si="445"/>
        <v>20.32</v>
      </c>
      <c r="K253" s="386">
        <f t="shared" si="446"/>
        <v>41.32</v>
      </c>
      <c r="L253" s="386"/>
      <c r="M253" s="191">
        <f t="shared" si="447"/>
        <v>0.49177153920619554</v>
      </c>
      <c r="N253" s="152">
        <f t="shared" si="448"/>
        <v>3.5342268151016456</v>
      </c>
      <c r="O253" s="152">
        <f t="shared" si="363"/>
        <v>0.74</v>
      </c>
      <c r="P253" s="191">
        <f t="shared" si="449"/>
        <v>0.17671134075508227</v>
      </c>
      <c r="Q253" s="191">
        <f t="shared" si="450"/>
        <v>20</v>
      </c>
      <c r="R253" s="191"/>
      <c r="S253" s="152">
        <f t="shared" si="451"/>
        <v>170.59337221806192</v>
      </c>
      <c r="T253" s="152">
        <f t="shared" si="452"/>
        <v>20</v>
      </c>
      <c r="U253" s="191">
        <f t="shared" si="453"/>
        <v>0.15923426238386867</v>
      </c>
      <c r="V253" s="191">
        <f t="shared" si="454"/>
        <v>0.45495503538248189</v>
      </c>
      <c r="W253" s="191">
        <f t="shared" si="455"/>
        <v>0.47017990861378539</v>
      </c>
      <c r="X253" s="175">
        <f t="shared" si="456"/>
        <v>350</v>
      </c>
      <c r="Y253" s="386">
        <f t="shared" si="418"/>
        <v>350</v>
      </c>
      <c r="AA253" s="191">
        <f t="shared" si="457"/>
        <v>0.49177153920619554</v>
      </c>
      <c r="AB253" s="153">
        <f t="shared" si="458"/>
        <v>1.452081316553727</v>
      </c>
      <c r="AC253" s="153">
        <f t="shared" si="459"/>
        <v>0.1249661462164824</v>
      </c>
      <c r="AD253" s="153"/>
      <c r="AE253" s="153">
        <f t="shared" si="460"/>
        <v>0.44291338582677164</v>
      </c>
      <c r="AF253" s="317">
        <f t="shared" si="461"/>
        <v>1113.8370370370371</v>
      </c>
      <c r="AG253" s="463">
        <f t="shared" si="462"/>
        <v>1.1626476377952754E-2</v>
      </c>
      <c r="AI253" s="153">
        <f t="shared" si="463"/>
        <v>0.26758888153996518</v>
      </c>
      <c r="AJ253" s="153">
        <f t="shared" si="464"/>
        <v>0.26758888153996518</v>
      </c>
      <c r="AK253" s="153">
        <f t="shared" si="465"/>
        <v>1.2783925876933102</v>
      </c>
      <c r="AM253" s="317">
        <f t="shared" si="466"/>
        <v>37</v>
      </c>
      <c r="AN253" s="147">
        <f t="shared" si="467"/>
        <v>350</v>
      </c>
      <c r="AP253">
        <f t="shared" si="468"/>
        <v>37</v>
      </c>
      <c r="AQ253">
        <f t="shared" si="469"/>
        <v>350</v>
      </c>
      <c r="AS253" s="5">
        <f t="shared" si="364"/>
        <v>2.8571428571428572</v>
      </c>
      <c r="AT253" s="5">
        <f t="shared" si="470"/>
        <v>0.76453966154275765</v>
      </c>
      <c r="AU253" s="5">
        <f t="shared" si="440"/>
        <v>2.0926031956000997</v>
      </c>
      <c r="AV253" s="5"/>
      <c r="AW253" s="153">
        <f t="shared" si="441"/>
        <v>0.26758888153996518</v>
      </c>
      <c r="AX253" s="153"/>
      <c r="BA253" s="147">
        <f t="shared" si="471"/>
        <v>2.347082921094211</v>
      </c>
      <c r="BB253" s="147">
        <f t="shared" si="472"/>
        <v>1.8802181164625851</v>
      </c>
      <c r="BC253" s="5">
        <f t="shared" si="442"/>
        <v>8.1932611891220822E-2</v>
      </c>
      <c r="BD253" s="147">
        <f t="shared" si="473"/>
        <v>0</v>
      </c>
      <c r="BQ253" s="463">
        <f t="shared" si="474"/>
        <v>1.4134000000000001E-2</v>
      </c>
      <c r="CG253" s="59">
        <f t="shared" si="475"/>
        <v>-50</v>
      </c>
      <c r="CH253">
        <f t="shared" si="476"/>
        <v>-50</v>
      </c>
    </row>
    <row r="254" spans="5:86" x14ac:dyDescent="0.25">
      <c r="E254" s="150">
        <v>38</v>
      </c>
      <c r="F254" s="191">
        <f t="shared" si="477"/>
        <v>3.8000000000000006E-2</v>
      </c>
      <c r="G254" s="191"/>
      <c r="H254" s="191">
        <f t="shared" si="443"/>
        <v>0.76000000000000012</v>
      </c>
      <c r="I254" s="472">
        <f t="shared" si="444"/>
        <v>21</v>
      </c>
      <c r="J254" s="386">
        <f t="shared" si="445"/>
        <v>20.32</v>
      </c>
      <c r="K254" s="386">
        <f t="shared" si="446"/>
        <v>41.32</v>
      </c>
      <c r="L254" s="386"/>
      <c r="M254" s="191">
        <f t="shared" si="447"/>
        <v>0.49177153920619554</v>
      </c>
      <c r="N254" s="152">
        <f t="shared" si="448"/>
        <v>3.5342268151016456</v>
      </c>
      <c r="O254" s="152">
        <f t="shared" si="363"/>
        <v>0.76000000000000012</v>
      </c>
      <c r="P254" s="191">
        <f t="shared" si="449"/>
        <v>0.17671134075508227</v>
      </c>
      <c r="Q254" s="191">
        <f t="shared" si="450"/>
        <v>20</v>
      </c>
      <c r="R254" s="191"/>
      <c r="S254" s="152">
        <f t="shared" si="451"/>
        <v>165.55367065347377</v>
      </c>
      <c r="T254" s="152">
        <f t="shared" si="452"/>
        <v>20</v>
      </c>
      <c r="U254" s="191">
        <f t="shared" si="453"/>
        <v>0.16353789109694622</v>
      </c>
      <c r="V254" s="191">
        <f t="shared" si="454"/>
        <v>0.46725111741984637</v>
      </c>
      <c r="W254" s="191">
        <f t="shared" si="455"/>
        <v>0.48288747371145541</v>
      </c>
      <c r="X254" s="175">
        <f t="shared" si="456"/>
        <v>350</v>
      </c>
      <c r="Y254" s="386">
        <f t="shared" si="418"/>
        <v>350</v>
      </c>
      <c r="AA254" s="191">
        <f t="shared" si="457"/>
        <v>0.49177153920619554</v>
      </c>
      <c r="AB254" s="153">
        <f t="shared" si="458"/>
        <v>1.452081316553727</v>
      </c>
      <c r="AC254" s="153">
        <f t="shared" si="459"/>
        <v>0.1249661462164824</v>
      </c>
      <c r="AD254" s="153"/>
      <c r="AE254" s="153">
        <f t="shared" si="460"/>
        <v>0.44291338582677164</v>
      </c>
      <c r="AF254" s="317">
        <f t="shared" si="461"/>
        <v>1143.9407407407411</v>
      </c>
      <c r="AG254" s="463">
        <f t="shared" si="462"/>
        <v>1.1626476377952754E-2</v>
      </c>
      <c r="AI254" s="153">
        <f t="shared" si="463"/>
        <v>0.27118083932875425</v>
      </c>
      <c r="AJ254" s="153">
        <f t="shared" si="464"/>
        <v>0.27118083932875425</v>
      </c>
      <c r="AK254" s="153">
        <f t="shared" si="465"/>
        <v>1.2807872262191695</v>
      </c>
      <c r="AM254" s="317">
        <f t="shared" si="466"/>
        <v>38.000000000000007</v>
      </c>
      <c r="AN254" s="147">
        <f t="shared" si="467"/>
        <v>350</v>
      </c>
      <c r="AP254">
        <f t="shared" si="468"/>
        <v>38.000000000000007</v>
      </c>
      <c r="AQ254">
        <f t="shared" si="469"/>
        <v>350</v>
      </c>
      <c r="AS254" s="5">
        <f t="shared" si="364"/>
        <v>2.8571428571428572</v>
      </c>
      <c r="AT254" s="5">
        <f t="shared" si="470"/>
        <v>0.77480239808215512</v>
      </c>
      <c r="AU254" s="5">
        <f t="shared" si="440"/>
        <v>2.0823404590607022</v>
      </c>
      <c r="AV254" s="5"/>
      <c r="AW254" s="153">
        <f t="shared" si="441"/>
        <v>0.27118083932875431</v>
      </c>
      <c r="AX254" s="153"/>
      <c r="BA254" s="147">
        <f t="shared" si="471"/>
        <v>2.347082921094211</v>
      </c>
      <c r="BB254" s="147">
        <f t="shared" si="472"/>
        <v>1.9801438715646267</v>
      </c>
      <c r="BC254" s="5">
        <f t="shared" si="442"/>
        <v>8.3734325337890686E-2</v>
      </c>
      <c r="BD254" s="147">
        <f t="shared" si="473"/>
        <v>0</v>
      </c>
      <c r="BQ254" s="463">
        <f t="shared" si="474"/>
        <v>1.4516000000000003E-2</v>
      </c>
      <c r="CG254" s="59">
        <f t="shared" si="475"/>
        <v>-50</v>
      </c>
      <c r="CH254">
        <f t="shared" si="476"/>
        <v>-50</v>
      </c>
    </row>
    <row r="255" spans="5:86" x14ac:dyDescent="0.25">
      <c r="E255" s="150">
        <v>39</v>
      </c>
      <c r="F255" s="191">
        <f t="shared" si="477"/>
        <v>3.9000000000000007E-2</v>
      </c>
      <c r="G255" s="191"/>
      <c r="H255" s="191">
        <f t="shared" si="443"/>
        <v>0.78000000000000014</v>
      </c>
      <c r="I255" s="472">
        <f t="shared" si="444"/>
        <v>21</v>
      </c>
      <c r="J255" s="386">
        <f t="shared" si="445"/>
        <v>20.32</v>
      </c>
      <c r="K255" s="386">
        <f t="shared" si="446"/>
        <v>41.32</v>
      </c>
      <c r="L255" s="386"/>
      <c r="M255" s="191">
        <f t="shared" si="447"/>
        <v>0.49177153920619554</v>
      </c>
      <c r="N255" s="152">
        <f t="shared" si="448"/>
        <v>3.5342268151016456</v>
      </c>
      <c r="O255" s="152">
        <f t="shared" si="363"/>
        <v>0.78000000000000014</v>
      </c>
      <c r="P255" s="191">
        <f t="shared" si="449"/>
        <v>0.17671134075508227</v>
      </c>
      <c r="Q255" s="191">
        <f t="shared" si="450"/>
        <v>20</v>
      </c>
      <c r="R255" s="191"/>
      <c r="S255" s="152">
        <f t="shared" si="451"/>
        <v>160.77248439845746</v>
      </c>
      <c r="T255" s="152">
        <f t="shared" si="452"/>
        <v>20</v>
      </c>
      <c r="U255" s="191">
        <f t="shared" si="453"/>
        <v>0.16784151981002376</v>
      </c>
      <c r="V255" s="191">
        <f t="shared" si="454"/>
        <v>0.47954719945721086</v>
      </c>
      <c r="W255" s="191">
        <f t="shared" si="455"/>
        <v>0.49559503880912531</v>
      </c>
      <c r="X255" s="175">
        <f t="shared" si="456"/>
        <v>350</v>
      </c>
      <c r="Y255" s="386">
        <f t="shared" si="418"/>
        <v>350</v>
      </c>
      <c r="AA255" s="191">
        <f t="shared" si="457"/>
        <v>0.49177153920619554</v>
      </c>
      <c r="AB255" s="153">
        <f t="shared" si="458"/>
        <v>1.452081316553727</v>
      </c>
      <c r="AC255" s="153">
        <f t="shared" si="459"/>
        <v>0.1249661462164824</v>
      </c>
      <c r="AD255" s="153"/>
      <c r="AE255" s="153">
        <f t="shared" si="460"/>
        <v>0.44291338582677164</v>
      </c>
      <c r="AF255" s="317">
        <f t="shared" si="461"/>
        <v>1174.0444444444447</v>
      </c>
      <c r="AG255" s="463">
        <f t="shared" si="462"/>
        <v>1.1626476377952754E-2</v>
      </c>
      <c r="AI255" s="153">
        <f t="shared" si="463"/>
        <v>0.27472583736206124</v>
      </c>
      <c r="AJ255" s="153">
        <f t="shared" si="464"/>
        <v>0.27472583736206124</v>
      </c>
      <c r="AK255" s="153">
        <f t="shared" si="465"/>
        <v>1.283150558241374</v>
      </c>
      <c r="AM255" s="317">
        <f t="shared" si="466"/>
        <v>39.000000000000007</v>
      </c>
      <c r="AN255" s="147">
        <f t="shared" si="467"/>
        <v>350</v>
      </c>
      <c r="AP255">
        <f t="shared" si="468"/>
        <v>39.000000000000007</v>
      </c>
      <c r="AQ255">
        <f t="shared" si="469"/>
        <v>350</v>
      </c>
      <c r="AS255" s="5">
        <f t="shared" si="364"/>
        <v>2.8571428571428572</v>
      </c>
      <c r="AT255" s="5">
        <f t="shared" si="470"/>
        <v>0.78493096389160366</v>
      </c>
      <c r="AU255" s="5">
        <f t="shared" si="440"/>
        <v>2.0722118932512537</v>
      </c>
      <c r="AV255" s="5"/>
      <c r="AW255" s="153">
        <f t="shared" si="441"/>
        <v>0.2747258373620613</v>
      </c>
      <c r="AX255" s="153"/>
      <c r="BA255" s="147">
        <f t="shared" si="471"/>
        <v>2.347082921094211</v>
      </c>
      <c r="BB255" s="147">
        <f t="shared" si="472"/>
        <v>2.0826543134693885</v>
      </c>
      <c r="BC255" s="5">
        <f t="shared" si="442"/>
        <v>8.5519855911956516E-2</v>
      </c>
      <c r="BD255" s="147">
        <f t="shared" si="473"/>
        <v>0</v>
      </c>
      <c r="BQ255" s="463">
        <f t="shared" si="474"/>
        <v>1.4898000000000002E-2</v>
      </c>
      <c r="CG255" s="59">
        <f t="shared" si="475"/>
        <v>-50</v>
      </c>
      <c r="CH255">
        <f t="shared" si="476"/>
        <v>-50</v>
      </c>
    </row>
    <row r="256" spans="5:86" x14ac:dyDescent="0.25">
      <c r="E256" s="150">
        <v>40</v>
      </c>
      <c r="F256" s="191">
        <f t="shared" si="477"/>
        <v>4.0000000000000008E-2</v>
      </c>
      <c r="G256" s="191"/>
      <c r="H256" s="191">
        <f t="shared" si="443"/>
        <v>0.80000000000000016</v>
      </c>
      <c r="I256" s="472">
        <f t="shared" si="444"/>
        <v>21</v>
      </c>
      <c r="J256" s="386">
        <f t="shared" si="445"/>
        <v>20.32</v>
      </c>
      <c r="K256" s="386">
        <f t="shared" si="446"/>
        <v>41.32</v>
      </c>
      <c r="L256" s="386"/>
      <c r="M256" s="191">
        <f t="shared" si="447"/>
        <v>0.49177153920619554</v>
      </c>
      <c r="N256" s="152">
        <f t="shared" si="448"/>
        <v>3.5342268151016456</v>
      </c>
      <c r="O256" s="152">
        <f t="shared" si="363"/>
        <v>0.80000000000000016</v>
      </c>
      <c r="P256" s="191">
        <f t="shared" si="449"/>
        <v>0.17671134075508227</v>
      </c>
      <c r="Q256" s="191">
        <f t="shared" si="450"/>
        <v>20</v>
      </c>
      <c r="R256" s="191"/>
      <c r="S256" s="152">
        <f t="shared" si="451"/>
        <v>156.23042546621949</v>
      </c>
      <c r="T256" s="152">
        <f t="shared" si="452"/>
        <v>20</v>
      </c>
      <c r="U256" s="191">
        <f t="shared" si="453"/>
        <v>0.17214514852310131</v>
      </c>
      <c r="V256" s="191">
        <f t="shared" si="454"/>
        <v>0.49184328149457524</v>
      </c>
      <c r="W256" s="191">
        <f t="shared" si="455"/>
        <v>0.50830260390679527</v>
      </c>
      <c r="X256" s="175">
        <f t="shared" si="456"/>
        <v>350</v>
      </c>
      <c r="Y256" s="386">
        <f t="shared" si="418"/>
        <v>350</v>
      </c>
      <c r="AA256" s="191">
        <f t="shared" si="457"/>
        <v>0.49177153920619554</v>
      </c>
      <c r="AB256" s="153">
        <f t="shared" si="458"/>
        <v>1.452081316553727</v>
      </c>
      <c r="AC256" s="153">
        <f t="shared" si="459"/>
        <v>0.1249661462164824</v>
      </c>
      <c r="AD256" s="153"/>
      <c r="AE256" s="153">
        <f t="shared" si="460"/>
        <v>0.44291338582677164</v>
      </c>
      <c r="AF256" s="317">
        <f t="shared" si="461"/>
        <v>1204.1481481481485</v>
      </c>
      <c r="AG256" s="463">
        <f t="shared" si="462"/>
        <v>1.1626476377952754E-2</v>
      </c>
      <c r="AI256" s="153">
        <f t="shared" si="463"/>
        <v>0.27822567065158427</v>
      </c>
      <c r="AJ256" s="153">
        <f t="shared" si="464"/>
        <v>0.27822567065158427</v>
      </c>
      <c r="AK256" s="153">
        <f t="shared" si="465"/>
        <v>1.2854837804343895</v>
      </c>
      <c r="AM256" s="317">
        <f t="shared" si="466"/>
        <v>40.000000000000007</v>
      </c>
      <c r="AN256" s="147">
        <f t="shared" si="467"/>
        <v>350</v>
      </c>
      <c r="AP256">
        <f t="shared" si="468"/>
        <v>40.000000000000007</v>
      </c>
      <c r="AQ256">
        <f t="shared" si="469"/>
        <v>350</v>
      </c>
      <c r="AS256" s="5">
        <f t="shared" si="364"/>
        <v>2.8571428571428572</v>
      </c>
      <c r="AT256" s="5">
        <f t="shared" si="470"/>
        <v>0.79493048757595519</v>
      </c>
      <c r="AU256" s="5">
        <f t="shared" si="440"/>
        <v>2.0622123695669021</v>
      </c>
      <c r="AV256" s="5"/>
      <c r="AW256" s="153">
        <f t="shared" si="441"/>
        <v>0.27822567065158432</v>
      </c>
      <c r="AX256" s="153"/>
      <c r="BA256" s="147">
        <f t="shared" si="471"/>
        <v>2.347082921094211</v>
      </c>
      <c r="BB256" s="147">
        <f t="shared" si="472"/>
        <v>2.1877494421768722</v>
      </c>
      <c r="BC256" s="5">
        <f t="shared" si="442"/>
        <v>8.7289412468440325E-2</v>
      </c>
      <c r="BD256" s="147">
        <f t="shared" si="473"/>
        <v>0</v>
      </c>
      <c r="BQ256" s="463">
        <f t="shared" si="474"/>
        <v>1.5280000000000004E-2</v>
      </c>
      <c r="CG256" s="59">
        <f t="shared" si="475"/>
        <v>-50</v>
      </c>
      <c r="CH256">
        <f t="shared" si="476"/>
        <v>-50</v>
      </c>
    </row>
    <row r="257" spans="5:86" x14ac:dyDescent="0.25">
      <c r="E257" s="150">
        <v>41</v>
      </c>
      <c r="F257" s="191">
        <f t="shared" si="477"/>
        <v>4.1000000000000002E-2</v>
      </c>
      <c r="G257" s="191"/>
      <c r="H257" s="191">
        <f t="shared" si="443"/>
        <v>0.82000000000000006</v>
      </c>
      <c r="I257" s="472">
        <f t="shared" si="444"/>
        <v>21</v>
      </c>
      <c r="J257" s="386">
        <f t="shared" si="445"/>
        <v>20.32</v>
      </c>
      <c r="K257" s="386">
        <f t="shared" si="446"/>
        <v>41.32</v>
      </c>
      <c r="L257" s="386"/>
      <c r="M257" s="191">
        <f t="shared" si="447"/>
        <v>0.49177153920619554</v>
      </c>
      <c r="N257" s="152">
        <f t="shared" si="448"/>
        <v>3.5342268151016456</v>
      </c>
      <c r="O257" s="152">
        <f t="shared" si="363"/>
        <v>0.82000000000000006</v>
      </c>
      <c r="P257" s="191">
        <f t="shared" si="449"/>
        <v>0.17671134075508227</v>
      </c>
      <c r="Q257" s="191">
        <f t="shared" si="450"/>
        <v>20</v>
      </c>
      <c r="R257" s="191"/>
      <c r="S257" s="152">
        <f t="shared" si="451"/>
        <v>151.90999738917608</v>
      </c>
      <c r="T257" s="152">
        <f t="shared" si="452"/>
        <v>20</v>
      </c>
      <c r="U257" s="191">
        <f t="shared" si="453"/>
        <v>0.1764487772361788</v>
      </c>
      <c r="V257" s="191">
        <f t="shared" si="454"/>
        <v>0.50413936353193944</v>
      </c>
      <c r="W257" s="191">
        <f t="shared" si="455"/>
        <v>0.52101016900446495</v>
      </c>
      <c r="X257" s="175">
        <f t="shared" si="456"/>
        <v>350</v>
      </c>
      <c r="Y257" s="386">
        <f t="shared" si="418"/>
        <v>350</v>
      </c>
      <c r="AA257" s="191">
        <f t="shared" si="457"/>
        <v>0.49177153920619554</v>
      </c>
      <c r="AB257" s="153">
        <f t="shared" si="458"/>
        <v>1.452081316553727</v>
      </c>
      <c r="AC257" s="153">
        <f t="shared" si="459"/>
        <v>0.1249661462164824</v>
      </c>
      <c r="AD257" s="153"/>
      <c r="AE257" s="153">
        <f t="shared" si="460"/>
        <v>0.44291338582677164</v>
      </c>
      <c r="AF257" s="317">
        <f t="shared" si="461"/>
        <v>1234.2518518518521</v>
      </c>
      <c r="AG257" s="463">
        <f t="shared" si="462"/>
        <v>1.1626476377952754E-2</v>
      </c>
      <c r="AI257" s="153">
        <f t="shared" si="463"/>
        <v>0.28168202268650711</v>
      </c>
      <c r="AJ257" s="153">
        <f t="shared" si="464"/>
        <v>0.28168202268650711</v>
      </c>
      <c r="AK257" s="153">
        <f t="shared" si="465"/>
        <v>1.2877880151243382</v>
      </c>
      <c r="AM257" s="317">
        <f t="shared" si="466"/>
        <v>41</v>
      </c>
      <c r="AN257" s="147">
        <f t="shared" si="467"/>
        <v>350</v>
      </c>
      <c r="AP257">
        <f t="shared" si="468"/>
        <v>41</v>
      </c>
      <c r="AQ257">
        <f t="shared" si="469"/>
        <v>350</v>
      </c>
      <c r="AS257" s="5">
        <f t="shared" si="364"/>
        <v>2.8571428571428572</v>
      </c>
      <c r="AT257" s="5">
        <f t="shared" si="470"/>
        <v>0.80480577910430606</v>
      </c>
      <c r="AU257" s="5">
        <f t="shared" si="440"/>
        <v>2.0523370780385513</v>
      </c>
      <c r="AV257" s="5"/>
      <c r="AW257" s="153">
        <f t="shared" si="441"/>
        <v>0.28168202268650711</v>
      </c>
      <c r="AX257" s="153"/>
      <c r="BA257" s="147">
        <f t="shared" si="471"/>
        <v>2.347082921094211</v>
      </c>
      <c r="BB257" s="147">
        <f t="shared" si="472"/>
        <v>2.2954292576870756</v>
      </c>
      <c r="BC257" s="5">
        <f t="shared" si="442"/>
        <v>8.9043195978392178E-2</v>
      </c>
      <c r="BD257" s="147">
        <f t="shared" si="473"/>
        <v>0</v>
      </c>
      <c r="BQ257" s="463">
        <f t="shared" si="474"/>
        <v>1.5662000000000002E-2</v>
      </c>
      <c r="CG257" s="59">
        <f t="shared" si="475"/>
        <v>-50</v>
      </c>
      <c r="CH257">
        <f t="shared" si="476"/>
        <v>-50</v>
      </c>
    </row>
    <row r="258" spans="5:86" x14ac:dyDescent="0.25">
      <c r="E258" s="150">
        <v>42</v>
      </c>
      <c r="F258" s="191">
        <f t="shared" si="477"/>
        <v>4.2000000000000003E-2</v>
      </c>
      <c r="G258" s="191"/>
      <c r="H258" s="191">
        <f t="shared" si="443"/>
        <v>0.84000000000000008</v>
      </c>
      <c r="I258" s="472">
        <f t="shared" si="444"/>
        <v>21</v>
      </c>
      <c r="J258" s="386">
        <f t="shared" si="445"/>
        <v>20.32</v>
      </c>
      <c r="K258" s="386">
        <f t="shared" si="446"/>
        <v>41.32</v>
      </c>
      <c r="L258" s="386"/>
      <c r="M258" s="191">
        <f t="shared" si="447"/>
        <v>0.49177153920619554</v>
      </c>
      <c r="N258" s="152">
        <f t="shared" si="448"/>
        <v>3.5342268151016456</v>
      </c>
      <c r="O258" s="152">
        <f t="shared" si="363"/>
        <v>0.84000000000000008</v>
      </c>
      <c r="P258" s="191">
        <f t="shared" si="449"/>
        <v>0.17671134075508227</v>
      </c>
      <c r="Q258" s="191">
        <f t="shared" si="450"/>
        <v>20</v>
      </c>
      <c r="R258" s="191"/>
      <c r="S258" s="152">
        <f t="shared" si="451"/>
        <v>147.79537003822267</v>
      </c>
      <c r="T258" s="152">
        <f t="shared" si="452"/>
        <v>20</v>
      </c>
      <c r="U258" s="191">
        <f t="shared" si="453"/>
        <v>0.18075240594925635</v>
      </c>
      <c r="V258" s="191">
        <f t="shared" si="454"/>
        <v>0.51643544556930387</v>
      </c>
      <c r="W258" s="191">
        <f t="shared" si="455"/>
        <v>0.53371773410213486</v>
      </c>
      <c r="X258" s="175">
        <f t="shared" si="456"/>
        <v>350</v>
      </c>
      <c r="Y258" s="386">
        <f t="shared" si="418"/>
        <v>350</v>
      </c>
      <c r="AA258" s="191">
        <f t="shared" si="457"/>
        <v>0.49177153920619554</v>
      </c>
      <c r="AB258" s="153">
        <f t="shared" si="458"/>
        <v>1.452081316553727</v>
      </c>
      <c r="AC258" s="153">
        <f t="shared" si="459"/>
        <v>0.1249661462164824</v>
      </c>
      <c r="AD258" s="153"/>
      <c r="AE258" s="153">
        <f t="shared" si="460"/>
        <v>0.44291338582677164</v>
      </c>
      <c r="AF258" s="317">
        <f t="shared" si="461"/>
        <v>1264.3555555555558</v>
      </c>
      <c r="AG258" s="463">
        <f t="shared" si="462"/>
        <v>1.1626476377952754E-2</v>
      </c>
      <c r="AI258" s="153">
        <f t="shared" si="463"/>
        <v>0.28509647489928741</v>
      </c>
      <c r="AJ258" s="153">
        <f t="shared" si="464"/>
        <v>0.28509647489928741</v>
      </c>
      <c r="AK258" s="153">
        <f t="shared" si="465"/>
        <v>1.2900643165995249</v>
      </c>
      <c r="AM258" s="317">
        <f t="shared" si="466"/>
        <v>42</v>
      </c>
      <c r="AN258" s="147">
        <f t="shared" si="467"/>
        <v>350</v>
      </c>
      <c r="AP258">
        <f t="shared" si="468"/>
        <v>42</v>
      </c>
      <c r="AQ258">
        <f t="shared" si="469"/>
        <v>350</v>
      </c>
      <c r="AS258" s="5">
        <f t="shared" si="364"/>
        <v>2.8571428571428572</v>
      </c>
      <c r="AT258" s="5">
        <f t="shared" si="470"/>
        <v>0.814561356855107</v>
      </c>
      <c r="AU258" s="5">
        <f t="shared" si="440"/>
        <v>2.0425815002877501</v>
      </c>
      <c r="AV258" s="5"/>
      <c r="AW258" s="153">
        <f t="shared" si="441"/>
        <v>0.28509647489928747</v>
      </c>
      <c r="AX258" s="153"/>
      <c r="BA258" s="147">
        <f t="shared" si="471"/>
        <v>2.347082921094211</v>
      </c>
      <c r="BB258" s="147">
        <f t="shared" si="472"/>
        <v>2.4056937600000006</v>
      </c>
      <c r="BC258" s="5">
        <f t="shared" si="442"/>
        <v>9.0781400012788893E-2</v>
      </c>
      <c r="BD258" s="147">
        <f t="shared" si="473"/>
        <v>0</v>
      </c>
      <c r="BQ258" s="463">
        <f t="shared" si="474"/>
        <v>1.6044000000000003E-2</v>
      </c>
      <c r="CG258" s="59">
        <f t="shared" si="475"/>
        <v>-50</v>
      </c>
      <c r="CH258">
        <f t="shared" si="476"/>
        <v>-50</v>
      </c>
    </row>
    <row r="259" spans="5:86" x14ac:dyDescent="0.25">
      <c r="E259" s="150">
        <v>43</v>
      </c>
      <c r="F259" s="191">
        <f t="shared" si="477"/>
        <v>4.3000000000000003E-2</v>
      </c>
      <c r="G259" s="191"/>
      <c r="H259" s="191">
        <f t="shared" si="443"/>
        <v>0.8600000000000001</v>
      </c>
      <c r="I259" s="472">
        <f t="shared" si="444"/>
        <v>21</v>
      </c>
      <c r="J259" s="386">
        <f t="shared" si="445"/>
        <v>20.32</v>
      </c>
      <c r="K259" s="386">
        <f t="shared" si="446"/>
        <v>41.32</v>
      </c>
      <c r="L259" s="386"/>
      <c r="M259" s="191">
        <f t="shared" si="447"/>
        <v>0.49177153920619554</v>
      </c>
      <c r="N259" s="152">
        <f t="shared" si="448"/>
        <v>3.5342268151016456</v>
      </c>
      <c r="O259" s="152">
        <f t="shared" si="363"/>
        <v>0.8600000000000001</v>
      </c>
      <c r="P259" s="191">
        <f t="shared" si="449"/>
        <v>0.17671134075508227</v>
      </c>
      <c r="Q259" s="191">
        <f t="shared" si="450"/>
        <v>20</v>
      </c>
      <c r="R259" s="191"/>
      <c r="S259" s="152">
        <f t="shared" si="451"/>
        <v>143.87218586257291</v>
      </c>
      <c r="T259" s="152">
        <f t="shared" si="452"/>
        <v>20</v>
      </c>
      <c r="U259" s="191">
        <f t="shared" si="453"/>
        <v>0.18505603466233389</v>
      </c>
      <c r="V259" s="191">
        <f t="shared" si="454"/>
        <v>0.52873152760666831</v>
      </c>
      <c r="W259" s="191">
        <f t="shared" si="455"/>
        <v>0.54642529919980487</v>
      </c>
      <c r="X259" s="175">
        <f t="shared" si="456"/>
        <v>350</v>
      </c>
      <c r="Y259" s="386">
        <f t="shared" si="418"/>
        <v>350</v>
      </c>
      <c r="AA259" s="191">
        <f t="shared" si="457"/>
        <v>0.49177153920619554</v>
      </c>
      <c r="AB259" s="153">
        <f t="shared" si="458"/>
        <v>1.452081316553727</v>
      </c>
      <c r="AC259" s="153">
        <f t="shared" si="459"/>
        <v>0.1249661462164824</v>
      </c>
      <c r="AD259" s="153"/>
      <c r="AE259" s="153">
        <f t="shared" si="460"/>
        <v>0.44291338582677164</v>
      </c>
      <c r="AF259" s="317">
        <f t="shared" si="461"/>
        <v>1294.4592592592596</v>
      </c>
      <c r="AG259" s="463">
        <f t="shared" si="462"/>
        <v>1.1626476377952754E-2</v>
      </c>
      <c r="AI259" s="153">
        <f t="shared" si="463"/>
        <v>0.2884705151228425</v>
      </c>
      <c r="AJ259" s="153">
        <f t="shared" si="464"/>
        <v>0.2884705151228425</v>
      </c>
      <c r="AK259" s="153">
        <f t="shared" si="465"/>
        <v>1.2923136767485617</v>
      </c>
      <c r="AM259" s="317">
        <f t="shared" si="466"/>
        <v>43</v>
      </c>
      <c r="AN259" s="147">
        <f t="shared" si="467"/>
        <v>350</v>
      </c>
      <c r="AP259">
        <f t="shared" si="468"/>
        <v>43</v>
      </c>
      <c r="AQ259">
        <f t="shared" si="469"/>
        <v>350</v>
      </c>
      <c r="AS259" s="5">
        <f t="shared" si="364"/>
        <v>2.8571428571428572</v>
      </c>
      <c r="AT259" s="5">
        <f t="shared" si="470"/>
        <v>0.82420147177954994</v>
      </c>
      <c r="AU259" s="5">
        <f t="shared" si="440"/>
        <v>2.0329413853633072</v>
      </c>
      <c r="AV259" s="5"/>
      <c r="AW259" s="153">
        <f t="shared" si="441"/>
        <v>0.2884705151228425</v>
      </c>
      <c r="AX259" s="153"/>
      <c r="BA259" s="147">
        <f t="shared" si="471"/>
        <v>2.347082921094211</v>
      </c>
      <c r="BB259" s="147">
        <f t="shared" si="472"/>
        <v>2.518542949115647</v>
      </c>
      <c r="BC259" s="5">
        <f t="shared" si="442"/>
        <v>9.2504211185843607E-2</v>
      </c>
      <c r="BD259" s="147">
        <f t="shared" si="473"/>
        <v>0</v>
      </c>
      <c r="BQ259" s="463">
        <f t="shared" si="474"/>
        <v>1.6426000000000003E-2</v>
      </c>
      <c r="CG259" s="59">
        <f t="shared" si="475"/>
        <v>-50</v>
      </c>
      <c r="CH259">
        <f t="shared" si="476"/>
        <v>-50</v>
      </c>
    </row>
    <row r="260" spans="5:86" x14ac:dyDescent="0.25">
      <c r="E260" s="150">
        <v>44</v>
      </c>
      <c r="F260" s="191">
        <f t="shared" si="477"/>
        <v>4.4000000000000004E-2</v>
      </c>
      <c r="G260" s="191"/>
      <c r="H260" s="191">
        <f t="shared" si="443"/>
        <v>0.88000000000000012</v>
      </c>
      <c r="I260" s="472">
        <f t="shared" si="444"/>
        <v>21</v>
      </c>
      <c r="J260" s="386">
        <f t="shared" si="445"/>
        <v>20.32</v>
      </c>
      <c r="K260" s="386">
        <f t="shared" si="446"/>
        <v>41.32</v>
      </c>
      <c r="L260" s="386"/>
      <c r="M260" s="191">
        <f t="shared" si="447"/>
        <v>0.49177153920619554</v>
      </c>
      <c r="N260" s="152">
        <f t="shared" si="448"/>
        <v>3.5342268151016456</v>
      </c>
      <c r="O260" s="152">
        <f t="shared" si="363"/>
        <v>0.88000000000000012</v>
      </c>
      <c r="P260" s="191">
        <f t="shared" si="449"/>
        <v>0.17671134075508227</v>
      </c>
      <c r="Q260" s="191">
        <f t="shared" si="450"/>
        <v>20</v>
      </c>
      <c r="R260" s="191"/>
      <c r="S260" s="152">
        <f t="shared" si="451"/>
        <v>140.12739255144004</v>
      </c>
      <c r="T260" s="152">
        <f t="shared" si="452"/>
        <v>20</v>
      </c>
      <c r="U260" s="191">
        <f t="shared" si="453"/>
        <v>0.18935966337541141</v>
      </c>
      <c r="V260" s="191">
        <f t="shared" si="454"/>
        <v>0.54102760964403263</v>
      </c>
      <c r="W260" s="191">
        <f t="shared" si="455"/>
        <v>0.55913286429747466</v>
      </c>
      <c r="X260" s="175">
        <f t="shared" si="456"/>
        <v>350</v>
      </c>
      <c r="Y260" s="386">
        <f t="shared" si="418"/>
        <v>350</v>
      </c>
      <c r="AA260" s="191">
        <f t="shared" si="457"/>
        <v>0.49177153920619554</v>
      </c>
      <c r="AB260" s="153">
        <f t="shared" si="458"/>
        <v>1.452081316553727</v>
      </c>
      <c r="AC260" s="153">
        <f t="shared" si="459"/>
        <v>0.1249661462164824</v>
      </c>
      <c r="AD260" s="153"/>
      <c r="AE260" s="153">
        <f t="shared" si="460"/>
        <v>0.44291338582677164</v>
      </c>
      <c r="AF260" s="317">
        <f t="shared" si="461"/>
        <v>1324.5629629629634</v>
      </c>
      <c r="AG260" s="463">
        <f t="shared" si="462"/>
        <v>1.1626476377952754E-2</v>
      </c>
      <c r="AI260" s="153">
        <f t="shared" si="463"/>
        <v>0.29180554516745599</v>
      </c>
      <c r="AJ260" s="153">
        <f t="shared" si="464"/>
        <v>0.29180554516745599</v>
      </c>
      <c r="AK260" s="153">
        <f t="shared" si="465"/>
        <v>1.2945370301116372</v>
      </c>
      <c r="AM260" s="317">
        <f t="shared" si="466"/>
        <v>44.000000000000007</v>
      </c>
      <c r="AN260" s="147">
        <f t="shared" si="467"/>
        <v>350</v>
      </c>
      <c r="AP260">
        <f t="shared" si="468"/>
        <v>44.000000000000007</v>
      </c>
      <c r="AQ260">
        <f t="shared" si="469"/>
        <v>350</v>
      </c>
      <c r="AS260" s="5">
        <f t="shared" si="364"/>
        <v>2.8571428571428572</v>
      </c>
      <c r="AT260" s="5">
        <f t="shared" si="470"/>
        <v>0.83373012904987431</v>
      </c>
      <c r="AU260" s="5">
        <f t="shared" si="440"/>
        <v>2.0234127280929828</v>
      </c>
      <c r="AV260" s="5"/>
      <c r="AW260" s="153">
        <f t="shared" si="441"/>
        <v>0.29180554516745599</v>
      </c>
      <c r="AX260" s="153"/>
      <c r="BA260" s="147">
        <f t="shared" si="471"/>
        <v>2.347082921094211</v>
      </c>
      <c r="BB260" s="147">
        <f t="shared" si="472"/>
        <v>2.6339768250340141</v>
      </c>
      <c r="BC260" s="5">
        <f t="shared" si="442"/>
        <v>9.4211809562001328E-2</v>
      </c>
      <c r="BD260" s="147">
        <f t="shared" si="473"/>
        <v>0</v>
      </c>
      <c r="BQ260" s="463">
        <f t="shared" si="474"/>
        <v>1.6808E-2</v>
      </c>
      <c r="CG260" s="59">
        <f t="shared" si="475"/>
        <v>-50</v>
      </c>
      <c r="CH260">
        <f t="shared" si="476"/>
        <v>-50</v>
      </c>
    </row>
    <row r="261" spans="5:86" x14ac:dyDescent="0.25">
      <c r="E261" s="150">
        <v>45</v>
      </c>
      <c r="F261" s="191">
        <f t="shared" si="477"/>
        <v>4.5000000000000005E-2</v>
      </c>
      <c r="G261" s="191"/>
      <c r="H261" s="191">
        <f t="shared" si="443"/>
        <v>0.90000000000000013</v>
      </c>
      <c r="I261" s="472">
        <f t="shared" si="444"/>
        <v>21</v>
      </c>
      <c r="J261" s="386">
        <f t="shared" si="445"/>
        <v>20.32</v>
      </c>
      <c r="K261" s="386">
        <f t="shared" si="446"/>
        <v>41.32</v>
      </c>
      <c r="L261" s="386"/>
      <c r="M261" s="191">
        <f t="shared" si="447"/>
        <v>0.49177153920619554</v>
      </c>
      <c r="N261" s="152">
        <f t="shared" si="448"/>
        <v>3.5342268151016456</v>
      </c>
      <c r="O261" s="152">
        <f t="shared" si="363"/>
        <v>0.90000000000000013</v>
      </c>
      <c r="P261" s="191">
        <f t="shared" si="449"/>
        <v>0.17671134075508227</v>
      </c>
      <c r="Q261" s="191">
        <f t="shared" si="450"/>
        <v>20</v>
      </c>
      <c r="R261" s="191"/>
      <c r="S261" s="152">
        <f t="shared" si="451"/>
        <v>136.54909800749641</v>
      </c>
      <c r="T261" s="152">
        <f t="shared" si="452"/>
        <v>20</v>
      </c>
      <c r="U261" s="191">
        <f t="shared" si="453"/>
        <v>0.19366329208848895</v>
      </c>
      <c r="V261" s="191">
        <f t="shared" si="454"/>
        <v>0.55332369168139706</v>
      </c>
      <c r="W261" s="191">
        <f t="shared" si="455"/>
        <v>0.57184042939514457</v>
      </c>
      <c r="X261" s="175">
        <f t="shared" si="456"/>
        <v>350</v>
      </c>
      <c r="Y261" s="386">
        <f t="shared" si="418"/>
        <v>350</v>
      </c>
      <c r="AA261" s="191">
        <f t="shared" si="457"/>
        <v>0.49177153920619554</v>
      </c>
      <c r="AB261" s="153">
        <f t="shared" si="458"/>
        <v>1.452081316553727</v>
      </c>
      <c r="AC261" s="153">
        <f t="shared" si="459"/>
        <v>0.1249661462164824</v>
      </c>
      <c r="AD261" s="153"/>
      <c r="AE261" s="153">
        <f t="shared" si="460"/>
        <v>0.44291338582677164</v>
      </c>
      <c r="AF261" s="317">
        <f t="shared" si="461"/>
        <v>1354.666666666667</v>
      </c>
      <c r="AG261" s="463">
        <f t="shared" si="462"/>
        <v>1.1626476377952754E-2</v>
      </c>
      <c r="AI261" s="153">
        <f t="shared" si="463"/>
        <v>0.29510288762686532</v>
      </c>
      <c r="AJ261" s="153">
        <f t="shared" si="464"/>
        <v>0.29510288762686532</v>
      </c>
      <c r="AK261" s="153">
        <f t="shared" si="465"/>
        <v>1.2967352584179102</v>
      </c>
      <c r="AM261" s="317">
        <f t="shared" si="466"/>
        <v>45.000000000000007</v>
      </c>
      <c r="AN261" s="147">
        <f t="shared" si="467"/>
        <v>350</v>
      </c>
      <c r="AP261">
        <f t="shared" si="468"/>
        <v>45.000000000000007</v>
      </c>
      <c r="AQ261">
        <f t="shared" si="469"/>
        <v>350</v>
      </c>
      <c r="AS261" s="5">
        <f t="shared" si="364"/>
        <v>2.8571428571428572</v>
      </c>
      <c r="AT261" s="5">
        <f t="shared" si="470"/>
        <v>0.84315110750532962</v>
      </c>
      <c r="AU261" s="5">
        <f t="shared" si="440"/>
        <v>2.0139917496375275</v>
      </c>
      <c r="AV261" s="5"/>
      <c r="AW261" s="153">
        <f t="shared" si="441"/>
        <v>0.29510288762686537</v>
      </c>
      <c r="AX261" s="153"/>
      <c r="BA261" s="147">
        <f t="shared" si="471"/>
        <v>2.347082921094211</v>
      </c>
      <c r="BB261" s="147">
        <f t="shared" si="472"/>
        <v>2.7519953877551027</v>
      </c>
      <c r="BC261" s="5">
        <f t="shared" si="442"/>
        <v>9.5904369030358469E-2</v>
      </c>
      <c r="BD261" s="147">
        <f t="shared" si="473"/>
        <v>0</v>
      </c>
      <c r="BQ261" s="463">
        <f t="shared" si="474"/>
        <v>1.719E-2</v>
      </c>
      <c r="CG261" s="59">
        <f t="shared" si="475"/>
        <v>-50</v>
      </c>
      <c r="CH261">
        <f t="shared" si="476"/>
        <v>-50</v>
      </c>
    </row>
    <row r="262" spans="5:86" x14ac:dyDescent="0.25">
      <c r="E262" s="150">
        <v>46</v>
      </c>
      <c r="F262" s="191">
        <f t="shared" si="477"/>
        <v>4.6000000000000006E-2</v>
      </c>
      <c r="G262" s="191"/>
      <c r="H262" s="191">
        <f t="shared" si="443"/>
        <v>0.92000000000000015</v>
      </c>
      <c r="I262" s="472">
        <f t="shared" si="444"/>
        <v>21</v>
      </c>
      <c r="J262" s="386">
        <f t="shared" si="445"/>
        <v>20.32</v>
      </c>
      <c r="K262" s="386">
        <f t="shared" si="446"/>
        <v>41.32</v>
      </c>
      <c r="L262" s="386"/>
      <c r="M262" s="191">
        <f t="shared" si="447"/>
        <v>0.49177153920619554</v>
      </c>
      <c r="N262" s="152">
        <f t="shared" si="448"/>
        <v>3.5342268151016456</v>
      </c>
      <c r="O262" s="152">
        <f t="shared" ref="O262:O316" si="478">T262*F262</f>
        <v>0.92000000000000015</v>
      </c>
      <c r="P262" s="191">
        <f t="shared" si="449"/>
        <v>0.17671134075508227</v>
      </c>
      <c r="Q262" s="191">
        <f t="shared" si="450"/>
        <v>20</v>
      </c>
      <c r="R262" s="191"/>
      <c r="S262" s="152">
        <f t="shared" si="451"/>
        <v>133.12644423684065</v>
      </c>
      <c r="T262" s="152">
        <f t="shared" si="452"/>
        <v>20</v>
      </c>
      <c r="U262" s="191">
        <f t="shared" si="453"/>
        <v>0.1979669208015665</v>
      </c>
      <c r="V262" s="191">
        <f t="shared" si="454"/>
        <v>0.56561977371876138</v>
      </c>
      <c r="W262" s="191">
        <f t="shared" si="455"/>
        <v>0.58454799449281447</v>
      </c>
      <c r="X262" s="175">
        <f t="shared" si="456"/>
        <v>350</v>
      </c>
      <c r="Y262" s="386">
        <f t="shared" si="418"/>
        <v>350</v>
      </c>
      <c r="AA262" s="191">
        <f t="shared" si="457"/>
        <v>0.49177153920619554</v>
      </c>
      <c r="AB262" s="153">
        <f t="shared" si="458"/>
        <v>1.452081316553727</v>
      </c>
      <c r="AC262" s="153">
        <f t="shared" si="459"/>
        <v>0.1249661462164824</v>
      </c>
      <c r="AD262" s="153"/>
      <c r="AE262" s="153">
        <f t="shared" si="460"/>
        <v>0.44291338582677164</v>
      </c>
      <c r="AF262" s="317">
        <f t="shared" si="461"/>
        <v>1384.7703703703708</v>
      </c>
      <c r="AG262" s="463">
        <f t="shared" si="462"/>
        <v>1.1626476377952754E-2</v>
      </c>
      <c r="AI262" s="153">
        <f t="shared" si="463"/>
        <v>0.29836379200726149</v>
      </c>
      <c r="AJ262" s="153">
        <f t="shared" si="464"/>
        <v>0.29836379200726149</v>
      </c>
      <c r="AK262" s="153">
        <f t="shared" si="465"/>
        <v>1.2989091946715077</v>
      </c>
      <c r="AM262" s="317">
        <f t="shared" si="466"/>
        <v>46.000000000000007</v>
      </c>
      <c r="AN262" s="147">
        <f t="shared" si="467"/>
        <v>350</v>
      </c>
      <c r="AP262">
        <f t="shared" si="468"/>
        <v>46.000000000000007</v>
      </c>
      <c r="AQ262">
        <f t="shared" si="469"/>
        <v>350</v>
      </c>
      <c r="AS262" s="5">
        <f t="shared" si="364"/>
        <v>2.8571428571428572</v>
      </c>
      <c r="AT262" s="5">
        <f t="shared" si="470"/>
        <v>0.85246797716360423</v>
      </c>
      <c r="AU262" s="5">
        <f t="shared" si="440"/>
        <v>2.0046748799792531</v>
      </c>
      <c r="AV262" s="5"/>
      <c r="AW262" s="153">
        <f t="shared" si="441"/>
        <v>0.29836379200726149</v>
      </c>
      <c r="AX262" s="153"/>
      <c r="BA262" s="147">
        <f t="shared" si="471"/>
        <v>2.347082921094211</v>
      </c>
      <c r="BB262" s="147">
        <f t="shared" si="472"/>
        <v>2.8725986372789127</v>
      </c>
      <c r="BC262" s="5">
        <f t="shared" si="442"/>
        <v>9.7582057649783768E-2</v>
      </c>
      <c r="BD262" s="147">
        <f t="shared" si="473"/>
        <v>0</v>
      </c>
      <c r="BQ262" s="463">
        <f t="shared" si="474"/>
        <v>1.7572000000000001E-2</v>
      </c>
      <c r="CG262" s="59">
        <f t="shared" si="475"/>
        <v>-50</v>
      </c>
      <c r="CH262">
        <f t="shared" si="476"/>
        <v>-50</v>
      </c>
    </row>
    <row r="263" spans="5:86" x14ac:dyDescent="0.25">
      <c r="E263" s="150">
        <v>47</v>
      </c>
      <c r="F263" s="191">
        <f t="shared" si="477"/>
        <v>4.7E-2</v>
      </c>
      <c r="G263" s="191"/>
      <c r="H263" s="191">
        <f t="shared" si="443"/>
        <v>0.94</v>
      </c>
      <c r="I263" s="472">
        <f t="shared" si="444"/>
        <v>21</v>
      </c>
      <c r="J263" s="386">
        <f t="shared" si="445"/>
        <v>20.32</v>
      </c>
      <c r="K263" s="386">
        <f t="shared" si="446"/>
        <v>41.32</v>
      </c>
      <c r="L263" s="386"/>
      <c r="M263" s="191">
        <f t="shared" si="447"/>
        <v>0.49177153920619554</v>
      </c>
      <c r="N263" s="152">
        <f t="shared" si="448"/>
        <v>3.5342268151016456</v>
      </c>
      <c r="O263" s="152">
        <f t="shared" si="478"/>
        <v>0.94</v>
      </c>
      <c r="P263" s="191">
        <f t="shared" si="449"/>
        <v>0.17671134075508227</v>
      </c>
      <c r="Q263" s="191">
        <f t="shared" si="450"/>
        <v>20</v>
      </c>
      <c r="R263" s="191"/>
      <c r="S263" s="152">
        <f t="shared" si="451"/>
        <v>129.84949733812024</v>
      </c>
      <c r="T263" s="152">
        <f t="shared" si="452"/>
        <v>20</v>
      </c>
      <c r="U263" s="191">
        <f t="shared" si="453"/>
        <v>0.20227054951464399</v>
      </c>
      <c r="V263" s="191">
        <f t="shared" si="454"/>
        <v>0.5779158557561257</v>
      </c>
      <c r="W263" s="191">
        <f t="shared" si="455"/>
        <v>0.59725555959048415</v>
      </c>
      <c r="X263" s="175">
        <f t="shared" si="456"/>
        <v>350</v>
      </c>
      <c r="Y263" s="386">
        <f t="shared" si="418"/>
        <v>350</v>
      </c>
      <c r="AA263" s="191">
        <f t="shared" si="457"/>
        <v>0.49177153920619554</v>
      </c>
      <c r="AB263" s="153">
        <f t="shared" si="458"/>
        <v>1.452081316553727</v>
      </c>
      <c r="AC263" s="153">
        <f t="shared" si="459"/>
        <v>0.1249661462164824</v>
      </c>
      <c r="AD263" s="153"/>
      <c r="AE263" s="153">
        <f t="shared" si="460"/>
        <v>0.44291338582677164</v>
      </c>
      <c r="AF263" s="317">
        <f t="shared" si="461"/>
        <v>1414.8740740740743</v>
      </c>
      <c r="AG263" s="463">
        <f t="shared" si="462"/>
        <v>1.1626476377952754E-2</v>
      </c>
      <c r="AI263" s="153">
        <f t="shared" si="463"/>
        <v>0.30158944025975193</v>
      </c>
      <c r="AJ263" s="153">
        <f t="shared" si="464"/>
        <v>0.30158944025975193</v>
      </c>
      <c r="AK263" s="153">
        <f t="shared" si="465"/>
        <v>1.3010596268398347</v>
      </c>
      <c r="AM263" s="317">
        <f t="shared" si="466"/>
        <v>47</v>
      </c>
      <c r="AN263" s="147">
        <f t="shared" si="467"/>
        <v>350</v>
      </c>
      <c r="AP263">
        <f t="shared" si="468"/>
        <v>47</v>
      </c>
      <c r="AQ263">
        <f t="shared" si="469"/>
        <v>350</v>
      </c>
      <c r="AS263" s="5">
        <f t="shared" ref="AS263:AS316" si="479">1/AN263*1000</f>
        <v>2.8571428571428572</v>
      </c>
      <c r="AT263" s="5">
        <f t="shared" si="470"/>
        <v>0.86168411502786268</v>
      </c>
      <c r="AU263" s="5">
        <f t="shared" si="440"/>
        <v>1.9954587421149945</v>
      </c>
      <c r="AV263" s="5"/>
      <c r="AW263" s="153">
        <f t="shared" si="441"/>
        <v>0.30158944025975193</v>
      </c>
      <c r="AX263" s="153"/>
      <c r="BA263" s="147">
        <f t="shared" si="471"/>
        <v>2.347082921094211</v>
      </c>
      <c r="BB263" s="147">
        <f t="shared" si="472"/>
        <v>2.9957865736054421</v>
      </c>
      <c r="BC263" s="5">
        <f t="shared" si="442"/>
        <v>9.9245037967624058E-2</v>
      </c>
      <c r="BD263" s="147">
        <f t="shared" si="473"/>
        <v>0</v>
      </c>
      <c r="BQ263" s="463">
        <f t="shared" si="474"/>
        <v>1.7954000000000001E-2</v>
      </c>
      <c r="CG263" s="59">
        <f t="shared" si="475"/>
        <v>-50</v>
      </c>
      <c r="CH263">
        <f t="shared" si="476"/>
        <v>-50</v>
      </c>
    </row>
    <row r="264" spans="5:86" x14ac:dyDescent="0.25">
      <c r="E264" s="150">
        <v>48</v>
      </c>
      <c r="F264" s="191">
        <f t="shared" si="477"/>
        <v>4.8000000000000001E-2</v>
      </c>
      <c r="G264" s="191"/>
      <c r="H264" s="191">
        <f t="shared" si="443"/>
        <v>0.96</v>
      </c>
      <c r="I264" s="472">
        <f t="shared" si="444"/>
        <v>21</v>
      </c>
      <c r="J264" s="386">
        <f t="shared" si="445"/>
        <v>20.32</v>
      </c>
      <c r="K264" s="386">
        <f t="shared" si="446"/>
        <v>41.32</v>
      </c>
      <c r="L264" s="386"/>
      <c r="M264" s="191">
        <f t="shared" si="447"/>
        <v>0.49177153920619554</v>
      </c>
      <c r="N264" s="152">
        <f t="shared" si="448"/>
        <v>3.5342268151016456</v>
      </c>
      <c r="O264" s="152">
        <f t="shared" si="478"/>
        <v>0.96</v>
      </c>
      <c r="P264" s="191">
        <f t="shared" si="449"/>
        <v>0.17671134075508227</v>
      </c>
      <c r="Q264" s="191">
        <f t="shared" si="450"/>
        <v>20</v>
      </c>
      <c r="R264" s="191"/>
      <c r="S264" s="152">
        <f t="shared" si="451"/>
        <v>126.70915124301581</v>
      </c>
      <c r="T264" s="152">
        <f t="shared" si="452"/>
        <v>20</v>
      </c>
      <c r="U264" s="191">
        <f t="shared" si="453"/>
        <v>0.20657417822772151</v>
      </c>
      <c r="V264" s="191">
        <f t="shared" si="454"/>
        <v>0.59021193779349002</v>
      </c>
      <c r="W264" s="191">
        <f t="shared" si="455"/>
        <v>0.60996312468815406</v>
      </c>
      <c r="X264" s="175">
        <f t="shared" si="456"/>
        <v>350</v>
      </c>
      <c r="Y264" s="386">
        <f t="shared" si="418"/>
        <v>350</v>
      </c>
      <c r="AA264" s="191">
        <f t="shared" si="457"/>
        <v>0.49177153920619554</v>
      </c>
      <c r="AB264" s="153">
        <f t="shared" si="458"/>
        <v>1.452081316553727</v>
      </c>
      <c r="AC264" s="153">
        <f t="shared" si="459"/>
        <v>0.1249661462164824</v>
      </c>
      <c r="AD264" s="153"/>
      <c r="AE264" s="153">
        <f t="shared" si="460"/>
        <v>0.44291338582677164</v>
      </c>
      <c r="AF264" s="317">
        <f t="shared" si="461"/>
        <v>1444.9777777777779</v>
      </c>
      <c r="AG264" s="463">
        <f t="shared" si="462"/>
        <v>1.1626476377952754E-2</v>
      </c>
      <c r="AI264" s="153">
        <f t="shared" si="463"/>
        <v>0.30478095178575149</v>
      </c>
      <c r="AJ264" s="153">
        <f t="shared" si="464"/>
        <v>0.30478095178575149</v>
      </c>
      <c r="AK264" s="153">
        <f t="shared" si="465"/>
        <v>1.3031873011905009</v>
      </c>
      <c r="AM264" s="317">
        <f t="shared" si="466"/>
        <v>48</v>
      </c>
      <c r="AN264" s="147">
        <f t="shared" si="467"/>
        <v>350</v>
      </c>
      <c r="AP264">
        <f t="shared" si="468"/>
        <v>48</v>
      </c>
      <c r="AQ264">
        <f t="shared" si="469"/>
        <v>350</v>
      </c>
      <c r="AS264" s="5">
        <f t="shared" si="479"/>
        <v>2.8571428571428572</v>
      </c>
      <c r="AT264" s="5">
        <f t="shared" si="470"/>
        <v>0.87080271938786136</v>
      </c>
      <c r="AU264" s="5">
        <f t="shared" si="440"/>
        <v>1.9863401377549958</v>
      </c>
      <c r="AV264" s="5"/>
      <c r="AW264" s="153">
        <f t="shared" si="441"/>
        <v>0.30478095178575149</v>
      </c>
      <c r="AX264" s="153"/>
      <c r="BA264" s="147">
        <f t="shared" si="471"/>
        <v>2.347082921094211</v>
      </c>
      <c r="BB264" s="147">
        <f t="shared" si="472"/>
        <v>3.1215591967346938</v>
      </c>
      <c r="BC264" s="5">
        <f t="shared" si="442"/>
        <v>0.10089346731453948</v>
      </c>
      <c r="BD264" s="147">
        <f t="shared" si="473"/>
        <v>0</v>
      </c>
      <c r="BQ264" s="463">
        <f t="shared" si="474"/>
        <v>1.8336000000000002E-2</v>
      </c>
      <c r="CG264" s="59">
        <f t="shared" si="475"/>
        <v>-50</v>
      </c>
      <c r="CH264">
        <f t="shared" si="476"/>
        <v>-50</v>
      </c>
    </row>
    <row r="265" spans="5:86" x14ac:dyDescent="0.25">
      <c r="E265" s="150">
        <v>49</v>
      </c>
      <c r="F265" s="191">
        <f t="shared" si="477"/>
        <v>4.9000000000000002E-2</v>
      </c>
      <c r="G265" s="191"/>
      <c r="H265" s="191">
        <f t="shared" si="443"/>
        <v>0.98</v>
      </c>
      <c r="I265" s="472">
        <f t="shared" si="444"/>
        <v>21</v>
      </c>
      <c r="J265" s="386">
        <f t="shared" si="445"/>
        <v>20.32</v>
      </c>
      <c r="K265" s="386">
        <f t="shared" si="446"/>
        <v>41.32</v>
      </c>
      <c r="L265" s="386"/>
      <c r="M265" s="191">
        <f t="shared" si="447"/>
        <v>0.49177153920619554</v>
      </c>
      <c r="N265" s="152">
        <f t="shared" si="448"/>
        <v>3.5342268151016456</v>
      </c>
      <c r="O265" s="152">
        <f t="shared" si="478"/>
        <v>0.98</v>
      </c>
      <c r="P265" s="191">
        <f t="shared" si="449"/>
        <v>0.17671134075508227</v>
      </c>
      <c r="Q265" s="191">
        <f t="shared" si="450"/>
        <v>20</v>
      </c>
      <c r="R265" s="191"/>
      <c r="S265" s="152">
        <f t="shared" si="451"/>
        <v>123.69704324360781</v>
      </c>
      <c r="T265" s="152">
        <f t="shared" si="452"/>
        <v>20</v>
      </c>
      <c r="U265" s="191">
        <f t="shared" si="453"/>
        <v>0.21087780694079905</v>
      </c>
      <c r="V265" s="191">
        <f t="shared" si="454"/>
        <v>0.60250801983085445</v>
      </c>
      <c r="W265" s="191">
        <f t="shared" si="455"/>
        <v>0.62267068978582396</v>
      </c>
      <c r="X265" s="175">
        <f t="shared" si="456"/>
        <v>350</v>
      </c>
      <c r="Y265" s="386">
        <f t="shared" si="418"/>
        <v>350</v>
      </c>
      <c r="AA265" s="191">
        <f t="shared" si="457"/>
        <v>0.49177153920619554</v>
      </c>
      <c r="AB265" s="153">
        <f t="shared" si="458"/>
        <v>1.452081316553727</v>
      </c>
      <c r="AC265" s="153">
        <f t="shared" si="459"/>
        <v>0.1249661462164824</v>
      </c>
      <c r="AD265" s="153"/>
      <c r="AE265" s="153">
        <f t="shared" si="460"/>
        <v>0.44291338582677164</v>
      </c>
      <c r="AF265" s="317">
        <f t="shared" si="461"/>
        <v>1475.0814814814819</v>
      </c>
      <c r="AG265" s="463">
        <f t="shared" si="462"/>
        <v>1.1626476377952754E-2</v>
      </c>
      <c r="AI265" s="153">
        <f t="shared" si="463"/>
        <v>0.30793938797540443</v>
      </c>
      <c r="AJ265" s="153">
        <f t="shared" si="464"/>
        <v>0.30793938797540443</v>
      </c>
      <c r="AK265" s="153">
        <f t="shared" si="465"/>
        <v>1.3052929253169363</v>
      </c>
      <c r="AM265" s="317">
        <f t="shared" si="466"/>
        <v>49</v>
      </c>
      <c r="AN265" s="147">
        <f t="shared" si="467"/>
        <v>350</v>
      </c>
      <c r="AP265">
        <f t="shared" si="468"/>
        <v>49</v>
      </c>
      <c r="AQ265">
        <f t="shared" si="469"/>
        <v>350</v>
      </c>
      <c r="AS265" s="5">
        <f t="shared" si="479"/>
        <v>2.8571428571428572</v>
      </c>
      <c r="AT265" s="5">
        <f t="shared" si="470"/>
        <v>0.87982682278686997</v>
      </c>
      <c r="AU265" s="5">
        <f t="shared" si="440"/>
        <v>1.9773160343559872</v>
      </c>
      <c r="AV265" s="5"/>
      <c r="AW265" s="153">
        <f t="shared" si="441"/>
        <v>0.30793938797540449</v>
      </c>
      <c r="AX265" s="153"/>
      <c r="BA265" s="147">
        <f t="shared" si="471"/>
        <v>2.347082921094211</v>
      </c>
      <c r="BB265" s="147">
        <f t="shared" si="472"/>
        <v>3.2499165066666675</v>
      </c>
      <c r="BC265" s="5">
        <f t="shared" si="442"/>
        <v>0.10252749807771785</v>
      </c>
      <c r="BD265" s="147">
        <f t="shared" si="473"/>
        <v>0</v>
      </c>
      <c r="BQ265" s="463">
        <f t="shared" si="474"/>
        <v>1.8718000000000002E-2</v>
      </c>
      <c r="CG265" s="59">
        <f t="shared" si="475"/>
        <v>-50</v>
      </c>
      <c r="CH265">
        <f t="shared" si="476"/>
        <v>-50</v>
      </c>
    </row>
    <row r="266" spans="5:86" x14ac:dyDescent="0.25">
      <c r="E266" s="150">
        <v>50</v>
      </c>
      <c r="F266" s="191">
        <f t="shared" si="477"/>
        <v>0.05</v>
      </c>
      <c r="G266" s="191"/>
      <c r="H266" s="191">
        <f t="shared" si="443"/>
        <v>1</v>
      </c>
      <c r="I266" s="472">
        <f t="shared" si="444"/>
        <v>21</v>
      </c>
      <c r="J266" s="386">
        <f t="shared" si="445"/>
        <v>20.32</v>
      </c>
      <c r="K266" s="386">
        <f t="shared" si="446"/>
        <v>41.32</v>
      </c>
      <c r="L266" s="386"/>
      <c r="M266" s="191">
        <f t="shared" si="447"/>
        <v>0.49177153920619554</v>
      </c>
      <c r="N266" s="152">
        <f t="shared" si="448"/>
        <v>3.5342268151016456</v>
      </c>
      <c r="O266" s="152">
        <f t="shared" si="478"/>
        <v>1</v>
      </c>
      <c r="P266" s="191">
        <f t="shared" si="449"/>
        <v>0.17671134075508227</v>
      </c>
      <c r="Q266" s="191">
        <f t="shared" si="450"/>
        <v>20</v>
      </c>
      <c r="R266" s="191"/>
      <c r="S266" s="152">
        <f t="shared" si="451"/>
        <v>120.80547965646088</v>
      </c>
      <c r="T266" s="152">
        <f t="shared" si="452"/>
        <v>20</v>
      </c>
      <c r="U266" s="191">
        <f t="shared" si="453"/>
        <v>0.2151814356538766</v>
      </c>
      <c r="V266" s="191">
        <f t="shared" si="454"/>
        <v>0.61480410186821888</v>
      </c>
      <c r="W266" s="191">
        <f t="shared" si="455"/>
        <v>0.63537825488349386</v>
      </c>
      <c r="X266" s="175">
        <f t="shared" si="456"/>
        <v>350</v>
      </c>
      <c r="Y266" s="386">
        <f t="shared" si="418"/>
        <v>350</v>
      </c>
      <c r="AA266" s="191">
        <f t="shared" si="457"/>
        <v>0.49177153920619554</v>
      </c>
      <c r="AB266" s="153">
        <f t="shared" si="458"/>
        <v>1.452081316553727</v>
      </c>
      <c r="AC266" s="153">
        <f t="shared" si="459"/>
        <v>0.1249661462164824</v>
      </c>
      <c r="AD266" s="153"/>
      <c r="AE266" s="153">
        <f t="shared" si="460"/>
        <v>0.44291338582677164</v>
      </c>
      <c r="AF266" s="317">
        <f t="shared" si="461"/>
        <v>1505.1851851851854</v>
      </c>
      <c r="AG266" s="463">
        <f t="shared" si="462"/>
        <v>1.1626476377952754E-2</v>
      </c>
      <c r="AI266" s="153">
        <f t="shared" si="463"/>
        <v>0.31106575633120526</v>
      </c>
      <c r="AJ266" s="153">
        <f t="shared" si="464"/>
        <v>0.31106575633120526</v>
      </c>
      <c r="AK266" s="153">
        <f t="shared" si="465"/>
        <v>1.3073771708874702</v>
      </c>
      <c r="AM266" s="317">
        <f t="shared" si="466"/>
        <v>50</v>
      </c>
      <c r="AN266" s="147">
        <f t="shared" si="467"/>
        <v>350</v>
      </c>
      <c r="AP266">
        <f t="shared" si="468"/>
        <v>50</v>
      </c>
      <c r="AQ266">
        <f t="shared" si="469"/>
        <v>350</v>
      </c>
      <c r="AS266" s="5">
        <f t="shared" si="479"/>
        <v>2.8571428571428572</v>
      </c>
      <c r="AT266" s="5">
        <f t="shared" si="470"/>
        <v>0.8887593038034437</v>
      </c>
      <c r="AU266" s="5">
        <f t="shared" si="440"/>
        <v>1.9683835533394136</v>
      </c>
      <c r="AV266" s="5"/>
      <c r="AW266" s="153">
        <f t="shared" si="441"/>
        <v>0.31106575633120531</v>
      </c>
      <c r="AX266" s="153"/>
      <c r="BA266" s="147">
        <f t="shared" si="471"/>
        <v>2.347082921094211</v>
      </c>
      <c r="BB266" s="147">
        <f t="shared" si="472"/>
        <v>3.3808585034013614</v>
      </c>
      <c r="BC266" s="5">
        <f t="shared" si="442"/>
        <v>0.10414727795446634</v>
      </c>
      <c r="BD266" s="147">
        <f t="shared" si="473"/>
        <v>0</v>
      </c>
      <c r="BQ266" s="463">
        <f t="shared" si="474"/>
        <v>1.9100000000000002E-2</v>
      </c>
      <c r="CG266" s="59">
        <f t="shared" si="475"/>
        <v>-50</v>
      </c>
      <c r="CH266">
        <f t="shared" si="476"/>
        <v>-50</v>
      </c>
    </row>
    <row r="267" spans="5:86" x14ac:dyDescent="0.25">
      <c r="E267" s="150">
        <v>51</v>
      </c>
      <c r="F267" s="191">
        <f t="shared" si="477"/>
        <v>5.1000000000000004E-2</v>
      </c>
      <c r="G267" s="191"/>
      <c r="H267" s="191">
        <f t="shared" si="443"/>
        <v>1.02</v>
      </c>
      <c r="I267" s="472">
        <f t="shared" si="444"/>
        <v>21</v>
      </c>
      <c r="J267" s="386">
        <f t="shared" si="445"/>
        <v>20.32</v>
      </c>
      <c r="K267" s="386">
        <f t="shared" si="446"/>
        <v>41.32</v>
      </c>
      <c r="L267" s="386"/>
      <c r="M267" s="191">
        <f t="shared" si="447"/>
        <v>0.49177153920619554</v>
      </c>
      <c r="N267" s="152">
        <f t="shared" si="448"/>
        <v>3.5342268151016456</v>
      </c>
      <c r="O267" s="152">
        <f t="shared" si="478"/>
        <v>1.02</v>
      </c>
      <c r="P267" s="191">
        <f t="shared" si="449"/>
        <v>0.17671134075508227</v>
      </c>
      <c r="Q267" s="191">
        <f t="shared" si="450"/>
        <v>20</v>
      </c>
      <c r="R267" s="191"/>
      <c r="S267" s="152">
        <f t="shared" si="451"/>
        <v>118.02737023211263</v>
      </c>
      <c r="T267" s="152">
        <f t="shared" si="452"/>
        <v>20</v>
      </c>
      <c r="U267" s="191">
        <f t="shared" si="453"/>
        <v>0.21948506436695411</v>
      </c>
      <c r="V267" s="191">
        <f t="shared" si="454"/>
        <v>0.6271001839055832</v>
      </c>
      <c r="W267" s="191">
        <f t="shared" si="455"/>
        <v>0.64808581998116366</v>
      </c>
      <c r="X267" s="175">
        <f t="shared" si="456"/>
        <v>350</v>
      </c>
      <c r="Y267" s="386">
        <f t="shared" si="418"/>
        <v>350</v>
      </c>
      <c r="AA267" s="191">
        <f t="shared" si="457"/>
        <v>0.49177153920619554</v>
      </c>
      <c r="AB267" s="153">
        <f t="shared" si="458"/>
        <v>1.452081316553727</v>
      </c>
      <c r="AC267" s="153">
        <f t="shared" si="459"/>
        <v>0.1249661462164824</v>
      </c>
      <c r="AD267" s="153"/>
      <c r="AE267" s="153">
        <f t="shared" si="460"/>
        <v>0.44291338582677164</v>
      </c>
      <c r="AF267" s="317">
        <f t="shared" si="461"/>
        <v>1535.2888888888892</v>
      </c>
      <c r="AG267" s="463">
        <f t="shared" si="462"/>
        <v>1.1626476377952754E-2</v>
      </c>
      <c r="AI267" s="153">
        <f t="shared" si="463"/>
        <v>0.31416101422223425</v>
      </c>
      <c r="AJ267" s="153">
        <f t="shared" si="464"/>
        <v>0.31416101422223425</v>
      </c>
      <c r="AK267" s="153">
        <f t="shared" si="465"/>
        <v>1.3094406761481561</v>
      </c>
      <c r="AM267" s="317">
        <f t="shared" si="466"/>
        <v>51.000000000000007</v>
      </c>
      <c r="AN267" s="147">
        <f t="shared" si="467"/>
        <v>350</v>
      </c>
      <c r="AP267">
        <f t="shared" si="468"/>
        <v>51.000000000000007</v>
      </c>
      <c r="AQ267">
        <f t="shared" si="469"/>
        <v>350</v>
      </c>
      <c r="AS267" s="5">
        <f t="shared" si="479"/>
        <v>2.8571428571428572</v>
      </c>
      <c r="AT267" s="5">
        <f t="shared" si="470"/>
        <v>0.89760289777781221</v>
      </c>
      <c r="AU267" s="5">
        <f t="shared" si="440"/>
        <v>1.9595399593650451</v>
      </c>
      <c r="AV267" s="5"/>
      <c r="AW267" s="153">
        <f t="shared" si="441"/>
        <v>0.31416101422223425</v>
      </c>
      <c r="AX267" s="153"/>
      <c r="BA267" s="147">
        <f t="shared" si="471"/>
        <v>2.347082921094211</v>
      </c>
      <c r="BB267" s="147">
        <f t="shared" si="472"/>
        <v>3.5143851869387763</v>
      </c>
      <c r="BC267" s="5">
        <f t="shared" si="442"/>
        <v>0.1057529501879548</v>
      </c>
      <c r="BD267" s="147">
        <f t="shared" si="473"/>
        <v>0</v>
      </c>
      <c r="BQ267" s="463">
        <f t="shared" si="474"/>
        <v>1.9481999999999999E-2</v>
      </c>
      <c r="CG267" s="59">
        <f t="shared" si="475"/>
        <v>-50</v>
      </c>
      <c r="CH267">
        <f t="shared" si="476"/>
        <v>-50</v>
      </c>
    </row>
    <row r="268" spans="5:86" x14ac:dyDescent="0.25">
      <c r="E268" s="150">
        <v>52</v>
      </c>
      <c r="F268" s="191">
        <f t="shared" si="477"/>
        <v>5.2000000000000005E-2</v>
      </c>
      <c r="G268" s="191"/>
      <c r="H268" s="191">
        <f t="shared" si="443"/>
        <v>1.04</v>
      </c>
      <c r="I268" s="472">
        <f t="shared" si="444"/>
        <v>21</v>
      </c>
      <c r="J268" s="386">
        <f t="shared" si="445"/>
        <v>20.32</v>
      </c>
      <c r="K268" s="386">
        <f t="shared" si="446"/>
        <v>41.32</v>
      </c>
      <c r="L268" s="386"/>
      <c r="M268" s="191">
        <f t="shared" si="447"/>
        <v>0.49177153920619554</v>
      </c>
      <c r="N268" s="152">
        <f t="shared" si="448"/>
        <v>3.5342268151016456</v>
      </c>
      <c r="O268" s="152">
        <f t="shared" si="478"/>
        <v>1.04</v>
      </c>
      <c r="P268" s="191">
        <f t="shared" si="449"/>
        <v>0.17671134075508227</v>
      </c>
      <c r="Q268" s="191">
        <f t="shared" si="450"/>
        <v>20</v>
      </c>
      <c r="R268" s="191"/>
      <c r="S268" s="152">
        <f t="shared" si="451"/>
        <v>115.35617013270074</v>
      </c>
      <c r="T268" s="152">
        <f t="shared" si="452"/>
        <v>20</v>
      </c>
      <c r="U268" s="191">
        <f t="shared" si="453"/>
        <v>0.22378869308003166</v>
      </c>
      <c r="V268" s="191">
        <f t="shared" si="454"/>
        <v>0.63939626594294752</v>
      </c>
      <c r="W268" s="191">
        <f t="shared" si="455"/>
        <v>0.66079338507883356</v>
      </c>
      <c r="X268" s="175">
        <f t="shared" si="456"/>
        <v>350</v>
      </c>
      <c r="Y268" s="386">
        <f t="shared" si="418"/>
        <v>350</v>
      </c>
      <c r="AA268" s="191">
        <f t="shared" si="457"/>
        <v>0.49177153920619554</v>
      </c>
      <c r="AB268" s="153">
        <f t="shared" si="458"/>
        <v>1.452081316553727</v>
      </c>
      <c r="AC268" s="153">
        <f t="shared" si="459"/>
        <v>0.1249661462164824</v>
      </c>
      <c r="AD268" s="153"/>
      <c r="AE268" s="153">
        <f t="shared" si="460"/>
        <v>0.44291338582677164</v>
      </c>
      <c r="AF268" s="317">
        <f t="shared" si="461"/>
        <v>1565.392592592593</v>
      </c>
      <c r="AG268" s="463">
        <f t="shared" si="462"/>
        <v>1.1626476377952754E-2</v>
      </c>
      <c r="AI268" s="153">
        <f t="shared" si="463"/>
        <v>0.31722607230866284</v>
      </c>
      <c r="AJ268" s="153">
        <f t="shared" si="464"/>
        <v>0.31722607230866284</v>
      </c>
      <c r="AK268" s="153">
        <f t="shared" si="465"/>
        <v>1.3114840482057752</v>
      </c>
      <c r="AM268" s="317">
        <f t="shared" si="466"/>
        <v>52.000000000000007</v>
      </c>
      <c r="AN268" s="147">
        <f t="shared" si="467"/>
        <v>350</v>
      </c>
      <c r="AP268">
        <f t="shared" si="468"/>
        <v>52.000000000000007</v>
      </c>
      <c r="AQ268">
        <f t="shared" si="469"/>
        <v>350</v>
      </c>
      <c r="AS268" s="5">
        <f t="shared" si="479"/>
        <v>2.8571428571428572</v>
      </c>
      <c r="AT268" s="5">
        <f t="shared" si="470"/>
        <v>0.90636020659617955</v>
      </c>
      <c r="AU268" s="5">
        <f t="shared" si="440"/>
        <v>1.9507826505466777</v>
      </c>
      <c r="AV268" s="5"/>
      <c r="AW268" s="153">
        <f t="shared" si="441"/>
        <v>0.31722607230866284</v>
      </c>
      <c r="AX268" s="153"/>
      <c r="BA268" s="147">
        <f t="shared" si="471"/>
        <v>2.347082921094211</v>
      </c>
      <c r="BB268" s="147">
        <f t="shared" si="472"/>
        <v>3.6504965572789128</v>
      </c>
      <c r="BC268" s="5">
        <f t="shared" si="442"/>
        <v>0.10734465378669551</v>
      </c>
      <c r="BD268" s="147">
        <f t="shared" si="473"/>
        <v>0</v>
      </c>
      <c r="BQ268" s="463">
        <f t="shared" si="474"/>
        <v>1.9864000000000003E-2</v>
      </c>
      <c r="CG268" s="59">
        <f t="shared" si="475"/>
        <v>-50</v>
      </c>
      <c r="CH268">
        <f t="shared" si="476"/>
        <v>-50</v>
      </c>
    </row>
    <row r="269" spans="5:86" x14ac:dyDescent="0.25">
      <c r="E269" s="150">
        <v>53</v>
      </c>
      <c r="F269" s="191">
        <f t="shared" si="477"/>
        <v>5.3000000000000005E-2</v>
      </c>
      <c r="G269" s="191"/>
      <c r="H269" s="191">
        <f t="shared" si="443"/>
        <v>1.06</v>
      </c>
      <c r="I269" s="472">
        <f t="shared" si="444"/>
        <v>21</v>
      </c>
      <c r="J269" s="386">
        <f t="shared" si="445"/>
        <v>20.32</v>
      </c>
      <c r="K269" s="386">
        <f t="shared" si="446"/>
        <v>41.32</v>
      </c>
      <c r="L269" s="386"/>
      <c r="M269" s="191">
        <f t="shared" si="447"/>
        <v>0.49177153920619554</v>
      </c>
      <c r="N269" s="152">
        <f t="shared" si="448"/>
        <v>3.5342268151016456</v>
      </c>
      <c r="O269" s="152">
        <f t="shared" si="478"/>
        <v>1.06</v>
      </c>
      <c r="P269" s="191">
        <f t="shared" si="449"/>
        <v>0.17671134075508227</v>
      </c>
      <c r="Q269" s="191">
        <f t="shared" si="450"/>
        <v>20</v>
      </c>
      <c r="R269" s="191"/>
      <c r="S269" s="152">
        <f t="shared" si="451"/>
        <v>112.7858284781627</v>
      </c>
      <c r="T269" s="152">
        <f t="shared" si="452"/>
        <v>20</v>
      </c>
      <c r="U269" s="191">
        <f t="shared" si="453"/>
        <v>0.2280923217931092</v>
      </c>
      <c r="V269" s="191">
        <f t="shared" si="454"/>
        <v>0.65169234798031206</v>
      </c>
      <c r="W269" s="191">
        <f t="shared" si="455"/>
        <v>0.67350095017650347</v>
      </c>
      <c r="X269" s="175">
        <f t="shared" si="456"/>
        <v>350</v>
      </c>
      <c r="Y269" s="386">
        <f t="shared" si="418"/>
        <v>350</v>
      </c>
      <c r="AA269" s="191">
        <f t="shared" si="457"/>
        <v>0.49177153920619554</v>
      </c>
      <c r="AB269" s="153">
        <f t="shared" si="458"/>
        <v>1.452081316553727</v>
      </c>
      <c r="AC269" s="153">
        <f t="shared" si="459"/>
        <v>0.1249661462164824</v>
      </c>
      <c r="AD269" s="153"/>
      <c r="AE269" s="153">
        <f t="shared" si="460"/>
        <v>0.44291338582677164</v>
      </c>
      <c r="AF269" s="317">
        <f t="shared" si="461"/>
        <v>1595.4962962962966</v>
      </c>
      <c r="AG269" s="463">
        <f t="shared" si="462"/>
        <v>1.1626476377952754E-2</v>
      </c>
      <c r="AI269" s="153">
        <f t="shared" si="463"/>
        <v>0.32026179767124746</v>
      </c>
      <c r="AJ269" s="153">
        <f t="shared" si="464"/>
        <v>0.32026179767124746</v>
      </c>
      <c r="AK269" s="153">
        <f t="shared" si="465"/>
        <v>1.313507865114165</v>
      </c>
      <c r="AM269" s="317">
        <f t="shared" si="466"/>
        <v>53.000000000000007</v>
      </c>
      <c r="AN269" s="147">
        <f t="shared" si="467"/>
        <v>350</v>
      </c>
      <c r="AP269">
        <f t="shared" si="468"/>
        <v>53.000000000000007</v>
      </c>
      <c r="AQ269">
        <f t="shared" si="469"/>
        <v>350</v>
      </c>
      <c r="AS269" s="5">
        <f t="shared" si="479"/>
        <v>2.8571428571428572</v>
      </c>
      <c r="AT269" s="5">
        <f t="shared" si="470"/>
        <v>0.91503370763213576</v>
      </c>
      <c r="AU269" s="5">
        <f t="shared" si="440"/>
        <v>1.9421091495107214</v>
      </c>
      <c r="AV269" s="5"/>
      <c r="AW269" s="153">
        <f t="shared" si="441"/>
        <v>0.32026179767124752</v>
      </c>
      <c r="AX269" s="153"/>
      <c r="BA269" s="147">
        <f t="shared" si="471"/>
        <v>2.347082921094211</v>
      </c>
      <c r="BB269" s="147">
        <f t="shared" si="472"/>
        <v>3.7891926144217702</v>
      </c>
      <c r="BC269" s="5">
        <f t="shared" si="442"/>
        <v>0.10892252372917274</v>
      </c>
      <c r="BD269" s="147">
        <f t="shared" si="473"/>
        <v>0</v>
      </c>
      <c r="BQ269" s="463">
        <f t="shared" si="474"/>
        <v>2.0246000000000004E-2</v>
      </c>
      <c r="CG269" s="59">
        <f t="shared" si="475"/>
        <v>-50</v>
      </c>
      <c r="CH269">
        <f t="shared" si="476"/>
        <v>-50</v>
      </c>
    </row>
    <row r="270" spans="5:86" x14ac:dyDescent="0.25">
      <c r="E270" s="150">
        <v>54</v>
      </c>
      <c r="F270" s="191">
        <f t="shared" si="477"/>
        <v>5.4000000000000006E-2</v>
      </c>
      <c r="G270" s="191"/>
      <c r="H270" s="191">
        <f t="shared" si="443"/>
        <v>1.08</v>
      </c>
      <c r="I270" s="472">
        <f t="shared" si="444"/>
        <v>21</v>
      </c>
      <c r="J270" s="386">
        <f t="shared" si="445"/>
        <v>20.32</v>
      </c>
      <c r="K270" s="386">
        <f t="shared" si="446"/>
        <v>41.32</v>
      </c>
      <c r="L270" s="386"/>
      <c r="M270" s="191">
        <f t="shared" si="447"/>
        <v>0.49177153920619554</v>
      </c>
      <c r="N270" s="152">
        <f t="shared" si="448"/>
        <v>3.5342268151016456</v>
      </c>
      <c r="O270" s="152">
        <f t="shared" si="478"/>
        <v>1.08</v>
      </c>
      <c r="P270" s="191">
        <f t="shared" si="449"/>
        <v>0.17671134075508227</v>
      </c>
      <c r="Q270" s="191">
        <f t="shared" si="450"/>
        <v>20</v>
      </c>
      <c r="R270" s="191"/>
      <c r="S270" s="152">
        <f t="shared" si="451"/>
        <v>110.31074260952688</v>
      </c>
      <c r="T270" s="152">
        <f t="shared" si="452"/>
        <v>20</v>
      </c>
      <c r="U270" s="191">
        <f t="shared" si="453"/>
        <v>0.23239595050618672</v>
      </c>
      <c r="V270" s="191">
        <f t="shared" si="454"/>
        <v>0.66398843001767638</v>
      </c>
      <c r="W270" s="191">
        <f t="shared" si="455"/>
        <v>0.68620851527417337</v>
      </c>
      <c r="X270" s="175">
        <f t="shared" si="456"/>
        <v>350</v>
      </c>
      <c r="Y270" s="386">
        <f t="shared" si="418"/>
        <v>350</v>
      </c>
      <c r="AA270" s="191">
        <f t="shared" si="457"/>
        <v>0.49177153920619554</v>
      </c>
      <c r="AB270" s="153">
        <f t="shared" si="458"/>
        <v>1.452081316553727</v>
      </c>
      <c r="AC270" s="153">
        <f t="shared" si="459"/>
        <v>0.1249661462164824</v>
      </c>
      <c r="AD270" s="153"/>
      <c r="AE270" s="153">
        <f t="shared" si="460"/>
        <v>0.44291338582677164</v>
      </c>
      <c r="AF270" s="317">
        <f t="shared" si="461"/>
        <v>1625.6000000000004</v>
      </c>
      <c r="AG270" s="463">
        <f t="shared" si="462"/>
        <v>1.1626476377952754E-2</v>
      </c>
      <c r="AI270" s="153">
        <f t="shared" si="463"/>
        <v>0.32326901667629265</v>
      </c>
      <c r="AJ270" s="153">
        <f t="shared" si="464"/>
        <v>0.32326901667629265</v>
      </c>
      <c r="AK270" s="153">
        <f t="shared" si="465"/>
        <v>1.315512677784195</v>
      </c>
      <c r="AM270" s="317">
        <f t="shared" si="466"/>
        <v>54.000000000000007</v>
      </c>
      <c r="AN270" s="147">
        <f t="shared" si="467"/>
        <v>350</v>
      </c>
      <c r="AP270">
        <f t="shared" si="468"/>
        <v>54.000000000000007</v>
      </c>
      <c r="AQ270">
        <f t="shared" si="469"/>
        <v>350</v>
      </c>
      <c r="AS270" s="5">
        <f t="shared" si="479"/>
        <v>2.8571428571428572</v>
      </c>
      <c r="AT270" s="5">
        <f t="shared" si="470"/>
        <v>0.92362576193226464</v>
      </c>
      <c r="AU270" s="5">
        <f t="shared" si="440"/>
        <v>1.9335170952105925</v>
      </c>
      <c r="AV270" s="5"/>
      <c r="AW270" s="153">
        <f t="shared" si="441"/>
        <v>0.3232690166762926</v>
      </c>
      <c r="AX270" s="153"/>
      <c r="BA270" s="147">
        <f t="shared" si="471"/>
        <v>2.347082921094211</v>
      </c>
      <c r="BB270" s="147">
        <f t="shared" si="472"/>
        <v>3.9304733583673479</v>
      </c>
      <c r="BC270" s="5">
        <f t="shared" si="442"/>
        <v>0.11048669115489099</v>
      </c>
      <c r="BD270" s="147">
        <f t="shared" si="473"/>
        <v>0</v>
      </c>
      <c r="BQ270" s="463">
        <f t="shared" si="474"/>
        <v>2.0628000000000004E-2</v>
      </c>
      <c r="CG270" s="59">
        <f t="shared" si="475"/>
        <v>-50</v>
      </c>
      <c r="CH270">
        <f t="shared" si="476"/>
        <v>-50</v>
      </c>
    </row>
    <row r="271" spans="5:86" x14ac:dyDescent="0.25">
      <c r="E271" s="150">
        <v>55</v>
      </c>
      <c r="F271" s="191">
        <f t="shared" si="477"/>
        <v>5.5000000000000007E-2</v>
      </c>
      <c r="G271" s="191"/>
      <c r="H271" s="191">
        <f t="shared" si="443"/>
        <v>1.1000000000000001</v>
      </c>
      <c r="I271" s="472">
        <f t="shared" si="444"/>
        <v>21</v>
      </c>
      <c r="J271" s="386">
        <f t="shared" si="445"/>
        <v>20.32</v>
      </c>
      <c r="K271" s="386">
        <f t="shared" si="446"/>
        <v>41.32</v>
      </c>
      <c r="L271" s="386"/>
      <c r="M271" s="191">
        <f t="shared" si="447"/>
        <v>0.49177153920619554</v>
      </c>
      <c r="N271" s="152">
        <f t="shared" si="448"/>
        <v>3.5342268151016456</v>
      </c>
      <c r="O271" s="152">
        <f t="shared" si="478"/>
        <v>1.1000000000000001</v>
      </c>
      <c r="P271" s="191">
        <f t="shared" si="449"/>
        <v>0.17671134075508227</v>
      </c>
      <c r="Q271" s="191">
        <f t="shared" si="450"/>
        <v>20</v>
      </c>
      <c r="R271" s="191"/>
      <c r="S271" s="152">
        <f t="shared" si="451"/>
        <v>107.92571734166516</v>
      </c>
      <c r="T271" s="152">
        <f t="shared" si="452"/>
        <v>20</v>
      </c>
      <c r="U271" s="191">
        <f t="shared" si="453"/>
        <v>0.23669957921926427</v>
      </c>
      <c r="V271" s="191">
        <f t="shared" si="454"/>
        <v>0.67628451205504081</v>
      </c>
      <c r="W271" s="191">
        <f t="shared" si="455"/>
        <v>0.69891608037184327</v>
      </c>
      <c r="X271" s="175">
        <f t="shared" si="456"/>
        <v>350</v>
      </c>
      <c r="Y271" s="386">
        <f t="shared" si="418"/>
        <v>350</v>
      </c>
      <c r="AA271" s="191">
        <f t="shared" si="457"/>
        <v>0.49177153920619554</v>
      </c>
      <c r="AB271" s="153">
        <f t="shared" si="458"/>
        <v>1.452081316553727</v>
      </c>
      <c r="AC271" s="153">
        <f t="shared" si="459"/>
        <v>0.1249661462164824</v>
      </c>
      <c r="AD271" s="153"/>
      <c r="AE271" s="153">
        <f t="shared" si="460"/>
        <v>0.44291338582677164</v>
      </c>
      <c r="AF271" s="317">
        <f t="shared" si="461"/>
        <v>1655.7037037037044</v>
      </c>
      <c r="AG271" s="463">
        <f t="shared" si="462"/>
        <v>1.1626476377952754E-2</v>
      </c>
      <c r="AI271" s="153">
        <f t="shared" si="463"/>
        <v>0.32624851760290846</v>
      </c>
      <c r="AJ271" s="153">
        <f t="shared" si="464"/>
        <v>0.32624851760290846</v>
      </c>
      <c r="AK271" s="153">
        <f t="shared" si="465"/>
        <v>1.3174990117352723</v>
      </c>
      <c r="AM271" s="317">
        <f t="shared" si="466"/>
        <v>55.000000000000007</v>
      </c>
      <c r="AN271" s="147">
        <f t="shared" si="467"/>
        <v>350</v>
      </c>
      <c r="AP271">
        <f t="shared" si="468"/>
        <v>55.000000000000007</v>
      </c>
      <c r="AQ271">
        <f t="shared" si="469"/>
        <v>350</v>
      </c>
      <c r="AS271" s="5">
        <f t="shared" si="479"/>
        <v>2.8571428571428572</v>
      </c>
      <c r="AT271" s="5">
        <f t="shared" si="470"/>
        <v>0.93213862172259565</v>
      </c>
      <c r="AU271" s="5">
        <f t="shared" si="440"/>
        <v>1.9250042354202614</v>
      </c>
      <c r="AV271" s="5"/>
      <c r="AW271" s="153">
        <f t="shared" si="441"/>
        <v>0.32624851760290846</v>
      </c>
      <c r="AX271" s="153"/>
      <c r="BA271" s="147">
        <f t="shared" si="471"/>
        <v>2.347082921094211</v>
      </c>
      <c r="BB271" s="147">
        <f t="shared" si="472"/>
        <v>4.0743387891156475</v>
      </c>
      <c r="BC271" s="5">
        <f t="shared" si="442"/>
        <v>0.11203728354297819</v>
      </c>
      <c r="BD271" s="147">
        <f t="shared" si="473"/>
        <v>0</v>
      </c>
      <c r="BQ271" s="463">
        <f t="shared" si="474"/>
        <v>2.1010000000000004E-2</v>
      </c>
      <c r="CG271" s="59">
        <f t="shared" si="475"/>
        <v>-50</v>
      </c>
      <c r="CH271">
        <f t="shared" si="476"/>
        <v>-50</v>
      </c>
    </row>
    <row r="272" spans="5:86" x14ac:dyDescent="0.25">
      <c r="E272" s="150">
        <v>56</v>
      </c>
      <c r="F272" s="191">
        <f t="shared" si="477"/>
        <v>5.6000000000000008E-2</v>
      </c>
      <c r="G272" s="191"/>
      <c r="H272" s="191">
        <f t="shared" si="443"/>
        <v>1.1200000000000001</v>
      </c>
      <c r="I272" s="472">
        <f t="shared" si="444"/>
        <v>21</v>
      </c>
      <c r="J272" s="386">
        <f t="shared" si="445"/>
        <v>20.32</v>
      </c>
      <c r="K272" s="386">
        <f t="shared" si="446"/>
        <v>41.32</v>
      </c>
      <c r="L272" s="386"/>
      <c r="M272" s="191">
        <f t="shared" si="447"/>
        <v>0.49177153920619554</v>
      </c>
      <c r="N272" s="152">
        <f t="shared" si="448"/>
        <v>3.5342268151016456</v>
      </c>
      <c r="O272" s="152">
        <f t="shared" si="478"/>
        <v>1.1200000000000001</v>
      </c>
      <c r="P272" s="191">
        <f t="shared" si="449"/>
        <v>0.17671134075508227</v>
      </c>
      <c r="Q272" s="191">
        <f t="shared" si="450"/>
        <v>20</v>
      </c>
      <c r="R272" s="191"/>
      <c r="S272" s="152">
        <f t="shared" si="451"/>
        <v>105.62592858182427</v>
      </c>
      <c r="T272" s="152">
        <f t="shared" si="452"/>
        <v>20</v>
      </c>
      <c r="U272" s="191">
        <f t="shared" si="453"/>
        <v>0.24100320793234178</v>
      </c>
      <c r="V272" s="191">
        <f t="shared" si="454"/>
        <v>0.68858059409240513</v>
      </c>
      <c r="W272" s="191">
        <f t="shared" si="455"/>
        <v>0.71162364546951307</v>
      </c>
      <c r="X272" s="175">
        <f t="shared" si="456"/>
        <v>350</v>
      </c>
      <c r="Y272" s="386">
        <f t="shared" si="418"/>
        <v>350</v>
      </c>
      <c r="AA272" s="191">
        <f t="shared" si="457"/>
        <v>0.49177153920619554</v>
      </c>
      <c r="AB272" s="153">
        <f t="shared" si="458"/>
        <v>1.452081316553727</v>
      </c>
      <c r="AC272" s="153">
        <f t="shared" si="459"/>
        <v>0.1249661462164824</v>
      </c>
      <c r="AD272" s="153"/>
      <c r="AE272" s="153">
        <f t="shared" si="460"/>
        <v>0.44291338582677164</v>
      </c>
      <c r="AF272" s="317">
        <f t="shared" si="461"/>
        <v>1685.8074074074079</v>
      </c>
      <c r="AG272" s="463">
        <f t="shared" si="462"/>
        <v>1.1626476377952754E-2</v>
      </c>
      <c r="AI272" s="153">
        <f t="shared" si="463"/>
        <v>0.32920105305623393</v>
      </c>
      <c r="AJ272" s="153">
        <f t="shared" si="464"/>
        <v>0.32920105305623393</v>
      </c>
      <c r="AK272" s="153">
        <f t="shared" si="465"/>
        <v>1.3194673687041558</v>
      </c>
      <c r="AM272" s="317">
        <f t="shared" si="466"/>
        <v>56.000000000000007</v>
      </c>
      <c r="AN272" s="147">
        <f t="shared" si="467"/>
        <v>350</v>
      </c>
      <c r="AP272">
        <f t="shared" si="468"/>
        <v>56.000000000000007</v>
      </c>
      <c r="AQ272">
        <f t="shared" si="469"/>
        <v>350</v>
      </c>
      <c r="AS272" s="5">
        <f t="shared" si="479"/>
        <v>2.8571428571428572</v>
      </c>
      <c r="AT272" s="5">
        <f t="shared" si="470"/>
        <v>0.94057443730352552</v>
      </c>
      <c r="AU272" s="5">
        <f t="shared" si="440"/>
        <v>1.9165684198393316</v>
      </c>
      <c r="AV272" s="5"/>
      <c r="AW272" s="153">
        <f t="shared" si="441"/>
        <v>0.32920105305623393</v>
      </c>
      <c r="AX272" s="153"/>
      <c r="BA272" s="147">
        <f t="shared" si="471"/>
        <v>2.347082921094211</v>
      </c>
      <c r="BB272" s="147">
        <f t="shared" si="472"/>
        <v>4.2207889066666668</v>
      </c>
      <c r="BC272" s="5">
        <f t="shared" si="442"/>
        <v>0.11357442487936781</v>
      </c>
      <c r="BD272" s="147">
        <f t="shared" si="473"/>
        <v>0</v>
      </c>
      <c r="BQ272" s="463">
        <f t="shared" si="474"/>
        <v>2.1392000000000001E-2</v>
      </c>
      <c r="CG272" s="59">
        <f t="shared" si="475"/>
        <v>-50</v>
      </c>
      <c r="CH272">
        <f t="shared" si="476"/>
        <v>-50</v>
      </c>
    </row>
    <row r="273" spans="5:86" x14ac:dyDescent="0.25">
      <c r="E273" s="150">
        <v>57</v>
      </c>
      <c r="F273" s="191">
        <f t="shared" si="477"/>
        <v>5.6999999999999995E-2</v>
      </c>
      <c r="G273" s="191"/>
      <c r="H273" s="191">
        <f t="shared" si="443"/>
        <v>1.1399999999999999</v>
      </c>
      <c r="I273" s="472">
        <f t="shared" si="444"/>
        <v>21</v>
      </c>
      <c r="J273" s="386">
        <f t="shared" si="445"/>
        <v>20.32</v>
      </c>
      <c r="K273" s="386">
        <f t="shared" si="446"/>
        <v>41.32</v>
      </c>
      <c r="L273" s="386"/>
      <c r="M273" s="191">
        <f t="shared" si="447"/>
        <v>0.49177153920619554</v>
      </c>
      <c r="N273" s="152">
        <f t="shared" si="448"/>
        <v>3.5342268151016456</v>
      </c>
      <c r="O273" s="152">
        <f t="shared" si="478"/>
        <v>1.1399999999999999</v>
      </c>
      <c r="P273" s="191">
        <f t="shared" si="449"/>
        <v>0.17671134075508227</v>
      </c>
      <c r="Q273" s="191">
        <f t="shared" si="450"/>
        <v>20</v>
      </c>
      <c r="R273" s="191"/>
      <c r="S273" s="152">
        <f t="shared" si="451"/>
        <v>103.40689077778782</v>
      </c>
      <c r="T273" s="152">
        <f t="shared" si="452"/>
        <v>20</v>
      </c>
      <c r="U273" s="191">
        <f t="shared" si="453"/>
        <v>0.24530683664541927</v>
      </c>
      <c r="V273" s="191">
        <f t="shared" si="454"/>
        <v>0.70087667612976934</v>
      </c>
      <c r="W273" s="191">
        <f t="shared" si="455"/>
        <v>0.72433121056718297</v>
      </c>
      <c r="X273" s="175">
        <f t="shared" si="456"/>
        <v>350</v>
      </c>
      <c r="Y273" s="386">
        <f t="shared" si="418"/>
        <v>350</v>
      </c>
      <c r="AA273" s="191">
        <f t="shared" si="457"/>
        <v>0.49177153920619554</v>
      </c>
      <c r="AB273" s="153">
        <f t="shared" si="458"/>
        <v>1.452081316553727</v>
      </c>
      <c r="AC273" s="153">
        <f t="shared" si="459"/>
        <v>0.1249661462164824</v>
      </c>
      <c r="AD273" s="153"/>
      <c r="AE273" s="153">
        <f t="shared" si="460"/>
        <v>0.44291338582677164</v>
      </c>
      <c r="AF273" s="317">
        <f t="shared" si="461"/>
        <v>1715.9111111111113</v>
      </c>
      <c r="AG273" s="463">
        <f t="shared" si="462"/>
        <v>1.1626476377952754E-2</v>
      </c>
      <c r="AI273" s="153">
        <f t="shared" si="463"/>
        <v>0.33212734218755829</v>
      </c>
      <c r="AJ273" s="153">
        <f t="shared" si="464"/>
        <v>0.33212734218755829</v>
      </c>
      <c r="AK273" s="153">
        <f t="shared" si="465"/>
        <v>1.3214182281250388</v>
      </c>
      <c r="AM273" s="317">
        <f t="shared" si="466"/>
        <v>56.999999999999993</v>
      </c>
      <c r="AN273" s="147">
        <f t="shared" si="467"/>
        <v>350</v>
      </c>
      <c r="AP273">
        <f t="shared" si="468"/>
        <v>56.999999999999993</v>
      </c>
      <c r="AQ273">
        <f t="shared" si="469"/>
        <v>350</v>
      </c>
      <c r="AS273" s="5">
        <f t="shared" si="479"/>
        <v>2.8571428571428572</v>
      </c>
      <c r="AT273" s="5">
        <f t="shared" si="470"/>
        <v>0.94893526339302381</v>
      </c>
      <c r="AU273" s="5">
        <f t="shared" si="440"/>
        <v>1.9082075937498333</v>
      </c>
      <c r="AV273" s="5"/>
      <c r="AW273" s="153">
        <f t="shared" si="441"/>
        <v>0.33212734218755835</v>
      </c>
      <c r="AX273" s="153"/>
      <c r="BA273" s="147">
        <f t="shared" si="471"/>
        <v>2.347082921094211</v>
      </c>
      <c r="BB273" s="147">
        <f t="shared" si="472"/>
        <v>4.3698237110204081</v>
      </c>
      <c r="BC273" s="5">
        <f t="shared" si="442"/>
        <v>0.115098235813482</v>
      </c>
      <c r="BD273" s="147">
        <f t="shared" si="473"/>
        <v>0</v>
      </c>
      <c r="BQ273" s="463">
        <f t="shared" si="474"/>
        <v>2.1773999999999998E-2</v>
      </c>
      <c r="CG273" s="59">
        <f t="shared" si="475"/>
        <v>-50</v>
      </c>
      <c r="CH273">
        <f t="shared" si="476"/>
        <v>-50</v>
      </c>
    </row>
    <row r="274" spans="5:86" x14ac:dyDescent="0.25">
      <c r="E274" s="150">
        <v>58</v>
      </c>
      <c r="F274" s="191">
        <f t="shared" si="477"/>
        <v>5.7999999999999996E-2</v>
      </c>
      <c r="G274" s="191"/>
      <c r="H274" s="191">
        <f t="shared" si="443"/>
        <v>1.1599999999999999</v>
      </c>
      <c r="I274" s="472">
        <f t="shared" si="444"/>
        <v>21</v>
      </c>
      <c r="J274" s="386">
        <f t="shared" si="445"/>
        <v>20.32</v>
      </c>
      <c r="K274" s="386">
        <f t="shared" si="446"/>
        <v>41.32</v>
      </c>
      <c r="L274" s="386"/>
      <c r="M274" s="191">
        <f t="shared" si="447"/>
        <v>0.49177153920619554</v>
      </c>
      <c r="N274" s="152">
        <f t="shared" si="448"/>
        <v>3.5342268151016456</v>
      </c>
      <c r="O274" s="152">
        <f t="shared" si="478"/>
        <v>1.1599999999999999</v>
      </c>
      <c r="P274" s="191">
        <f t="shared" si="449"/>
        <v>0.17671134075508227</v>
      </c>
      <c r="Q274" s="191">
        <f t="shared" si="450"/>
        <v>20</v>
      </c>
      <c r="R274" s="191"/>
      <c r="S274" s="152">
        <f t="shared" si="451"/>
        <v>101.26442773347225</v>
      </c>
      <c r="T274" s="152">
        <f t="shared" si="452"/>
        <v>20</v>
      </c>
      <c r="U274" s="191">
        <f t="shared" si="453"/>
        <v>0.24961046535849682</v>
      </c>
      <c r="V274" s="191">
        <f t="shared" si="454"/>
        <v>0.71317275816713388</v>
      </c>
      <c r="W274" s="191">
        <f t="shared" si="455"/>
        <v>0.73703877566485287</v>
      </c>
      <c r="X274" s="175">
        <f t="shared" si="456"/>
        <v>350</v>
      </c>
      <c r="Y274" s="386">
        <f t="shared" si="418"/>
        <v>350</v>
      </c>
      <c r="AA274" s="191">
        <f t="shared" si="457"/>
        <v>0.49177153920619554</v>
      </c>
      <c r="AB274" s="153">
        <f t="shared" si="458"/>
        <v>1.452081316553727</v>
      </c>
      <c r="AC274" s="153">
        <f t="shared" si="459"/>
        <v>0.1249661462164824</v>
      </c>
      <c r="AD274" s="153"/>
      <c r="AE274" s="153">
        <f t="shared" si="460"/>
        <v>0.44291338582677164</v>
      </c>
      <c r="AF274" s="317">
        <f t="shared" si="461"/>
        <v>1746.0148148148151</v>
      </c>
      <c r="AG274" s="463">
        <f t="shared" si="462"/>
        <v>1.1626476377952754E-2</v>
      </c>
      <c r="AI274" s="153">
        <f t="shared" si="463"/>
        <v>0.33502807273989671</v>
      </c>
      <c r="AJ274" s="153">
        <f t="shared" si="464"/>
        <v>0.33502807273989671</v>
      </c>
      <c r="AK274" s="153">
        <f t="shared" si="465"/>
        <v>1.3233520484932644</v>
      </c>
      <c r="AM274" s="317">
        <f t="shared" si="466"/>
        <v>57.999999999999993</v>
      </c>
      <c r="AN274" s="147">
        <f t="shared" si="467"/>
        <v>350</v>
      </c>
      <c r="AP274">
        <f t="shared" si="468"/>
        <v>57.999999999999993</v>
      </c>
      <c r="AQ274">
        <f t="shared" si="469"/>
        <v>350</v>
      </c>
      <c r="AS274" s="5">
        <f t="shared" si="479"/>
        <v>2.8571428571428572</v>
      </c>
      <c r="AT274" s="5">
        <f t="shared" si="470"/>
        <v>0.95722306497113341</v>
      </c>
      <c r="AU274" s="5">
        <f t="shared" si="440"/>
        <v>1.8999197921717239</v>
      </c>
      <c r="AV274" s="5"/>
      <c r="AW274" s="153">
        <f t="shared" si="441"/>
        <v>0.33502807273989671</v>
      </c>
      <c r="AX274" s="153"/>
      <c r="BA274" s="147">
        <f t="shared" si="471"/>
        <v>2.347082921094211</v>
      </c>
      <c r="BB274" s="147">
        <f t="shared" si="472"/>
        <v>4.5214432021768705</v>
      </c>
      <c r="BC274" s="5">
        <f t="shared" si="442"/>
        <v>0.11660883380524865</v>
      </c>
      <c r="BD274" s="147">
        <f t="shared" si="473"/>
        <v>0</v>
      </c>
      <c r="BQ274" s="463">
        <f t="shared" si="474"/>
        <v>2.2155999999999999E-2</v>
      </c>
      <c r="CG274" s="59">
        <f t="shared" si="475"/>
        <v>-50</v>
      </c>
      <c r="CH274">
        <f t="shared" si="476"/>
        <v>-50</v>
      </c>
    </row>
    <row r="275" spans="5:86" x14ac:dyDescent="0.25">
      <c r="E275" s="150">
        <v>59</v>
      </c>
      <c r="F275" s="191">
        <f t="shared" si="477"/>
        <v>5.8999999999999997E-2</v>
      </c>
      <c r="G275" s="191"/>
      <c r="H275" s="191">
        <f t="shared" si="443"/>
        <v>1.18</v>
      </c>
      <c r="I275" s="472">
        <f t="shared" si="444"/>
        <v>21</v>
      </c>
      <c r="J275" s="386">
        <f t="shared" si="445"/>
        <v>20.32</v>
      </c>
      <c r="K275" s="386">
        <f t="shared" si="446"/>
        <v>41.32</v>
      </c>
      <c r="L275" s="386"/>
      <c r="M275" s="191">
        <f t="shared" si="447"/>
        <v>0.49177153920619554</v>
      </c>
      <c r="N275" s="152">
        <f t="shared" si="448"/>
        <v>3.5342268151016456</v>
      </c>
      <c r="O275" s="152">
        <f t="shared" si="478"/>
        <v>1.18</v>
      </c>
      <c r="P275" s="191">
        <f t="shared" si="449"/>
        <v>0.17671134075508227</v>
      </c>
      <c r="Q275" s="191">
        <f t="shared" si="450"/>
        <v>20</v>
      </c>
      <c r="R275" s="191"/>
      <c r="S275" s="152">
        <f t="shared" si="451"/>
        <v>99.194646392430613</v>
      </c>
      <c r="T275" s="152">
        <f t="shared" si="452"/>
        <v>20</v>
      </c>
      <c r="U275" s="191">
        <f t="shared" si="453"/>
        <v>0.25391409407157434</v>
      </c>
      <c r="V275" s="191">
        <f t="shared" si="454"/>
        <v>0.72546884020449809</v>
      </c>
      <c r="W275" s="191">
        <f t="shared" si="455"/>
        <v>0.74974634076252267</v>
      </c>
      <c r="X275" s="175">
        <f t="shared" si="456"/>
        <v>350</v>
      </c>
      <c r="Y275" s="386">
        <f t="shared" si="418"/>
        <v>350</v>
      </c>
      <c r="AA275" s="191">
        <f t="shared" si="457"/>
        <v>0.49177153920619554</v>
      </c>
      <c r="AB275" s="153">
        <f t="shared" si="458"/>
        <v>1.452081316553727</v>
      </c>
      <c r="AC275" s="153">
        <f t="shared" si="459"/>
        <v>0.1249661462164824</v>
      </c>
      <c r="AD275" s="153"/>
      <c r="AE275" s="153">
        <f t="shared" si="460"/>
        <v>0.44291338582677164</v>
      </c>
      <c r="AF275" s="317">
        <f t="shared" si="461"/>
        <v>1776.1185185185186</v>
      </c>
      <c r="AG275" s="463">
        <f t="shared" si="462"/>
        <v>1.1626476377952754E-2</v>
      </c>
      <c r="AI275" s="153">
        <f t="shared" si="463"/>
        <v>0.33790390293550565</v>
      </c>
      <c r="AJ275" s="153">
        <f t="shared" si="464"/>
        <v>0.33790390293550565</v>
      </c>
      <c r="AK275" s="153">
        <f t="shared" si="465"/>
        <v>1.3252692686236704</v>
      </c>
      <c r="AM275" s="317">
        <f t="shared" si="466"/>
        <v>59</v>
      </c>
      <c r="AN275" s="147">
        <f t="shared" si="467"/>
        <v>350</v>
      </c>
      <c r="AP275">
        <f t="shared" si="468"/>
        <v>59</v>
      </c>
      <c r="AQ275">
        <f t="shared" si="469"/>
        <v>350</v>
      </c>
      <c r="AS275" s="5">
        <f t="shared" si="479"/>
        <v>2.8571428571428572</v>
      </c>
      <c r="AT275" s="5">
        <f t="shared" si="470"/>
        <v>0.96543972267287326</v>
      </c>
      <c r="AU275" s="5">
        <f t="shared" si="440"/>
        <v>1.8917031344699839</v>
      </c>
      <c r="AV275" s="5"/>
      <c r="AW275" s="153">
        <f t="shared" si="441"/>
        <v>0.33790390293550565</v>
      </c>
      <c r="AX275" s="153"/>
      <c r="BA275" s="147">
        <f t="shared" si="471"/>
        <v>2.347082921094211</v>
      </c>
      <c r="BB275" s="147">
        <f t="shared" si="472"/>
        <v>4.675647380136053</v>
      </c>
      <c r="BC275" s="5">
        <f t="shared" si="442"/>
        <v>0.11810633326320534</v>
      </c>
      <c r="BD275" s="147">
        <f t="shared" si="473"/>
        <v>0</v>
      </c>
      <c r="BQ275" s="463">
        <f t="shared" si="474"/>
        <v>2.2537999999999999E-2</v>
      </c>
      <c r="CG275" s="59">
        <f t="shared" si="475"/>
        <v>-50</v>
      </c>
      <c r="CH275">
        <f t="shared" si="476"/>
        <v>-50</v>
      </c>
    </row>
    <row r="276" spans="5:86" x14ac:dyDescent="0.25">
      <c r="E276" s="150">
        <v>60</v>
      </c>
      <c r="F276" s="191">
        <f t="shared" si="477"/>
        <v>0.06</v>
      </c>
      <c r="G276" s="191"/>
      <c r="H276" s="191">
        <f t="shared" si="443"/>
        <v>1.2</v>
      </c>
      <c r="I276" s="472">
        <f t="shared" si="444"/>
        <v>21</v>
      </c>
      <c r="J276" s="386">
        <f t="shared" si="445"/>
        <v>20.32</v>
      </c>
      <c r="K276" s="386">
        <f t="shared" si="446"/>
        <v>41.32</v>
      </c>
      <c r="L276" s="386"/>
      <c r="M276" s="191">
        <f t="shared" si="447"/>
        <v>0.49177153920619554</v>
      </c>
      <c r="N276" s="152">
        <f t="shared" si="448"/>
        <v>3.5342268151016456</v>
      </c>
      <c r="O276" s="152">
        <f t="shared" si="478"/>
        <v>1.2</v>
      </c>
      <c r="P276" s="191">
        <f t="shared" si="449"/>
        <v>0.17671134075508227</v>
      </c>
      <c r="Q276" s="191">
        <f t="shared" si="450"/>
        <v>20</v>
      </c>
      <c r="R276" s="191"/>
      <c r="S276" s="152">
        <f t="shared" si="451"/>
        <v>97.19391324300824</v>
      </c>
      <c r="T276" s="152">
        <f t="shared" si="452"/>
        <v>20</v>
      </c>
      <c r="U276" s="191">
        <f t="shared" si="453"/>
        <v>0.25821772278465188</v>
      </c>
      <c r="V276" s="191">
        <f t="shared" si="454"/>
        <v>0.73776492224186252</v>
      </c>
      <c r="W276" s="191">
        <f t="shared" si="455"/>
        <v>0.76245390586019257</v>
      </c>
      <c r="X276" s="175">
        <f t="shared" si="456"/>
        <v>350</v>
      </c>
      <c r="Y276" s="386">
        <f t="shared" ref="Y276:Y316" si="480">MIN(1/(V276+W276)*1000, 350)</f>
        <v>350</v>
      </c>
      <c r="AA276" s="191">
        <f t="shared" si="457"/>
        <v>0.49177153920619554</v>
      </c>
      <c r="AB276" s="153">
        <f t="shared" si="458"/>
        <v>1.452081316553727</v>
      </c>
      <c r="AC276" s="153">
        <f t="shared" si="459"/>
        <v>0.1249661462164824</v>
      </c>
      <c r="AD276" s="153"/>
      <c r="AE276" s="153">
        <f t="shared" si="460"/>
        <v>0.44291338582677164</v>
      </c>
      <c r="AF276" s="317">
        <f t="shared" si="461"/>
        <v>1806.2222222222224</v>
      </c>
      <c r="AG276" s="463">
        <f t="shared" si="462"/>
        <v>1.1626476377952754E-2</v>
      </c>
      <c r="AI276" s="153">
        <f t="shared" si="463"/>
        <v>0.3407554632200131</v>
      </c>
      <c r="AJ276" s="153">
        <f t="shared" si="464"/>
        <v>0.3407554632200131</v>
      </c>
      <c r="AK276" s="153">
        <f t="shared" si="465"/>
        <v>1.327170308813342</v>
      </c>
      <c r="AM276" s="317">
        <f t="shared" si="466"/>
        <v>60</v>
      </c>
      <c r="AN276" s="147">
        <f t="shared" si="467"/>
        <v>350</v>
      </c>
      <c r="AP276">
        <f t="shared" si="468"/>
        <v>60</v>
      </c>
      <c r="AQ276">
        <f t="shared" si="469"/>
        <v>350</v>
      </c>
      <c r="AS276" s="5">
        <f t="shared" si="479"/>
        <v>2.8571428571428572</v>
      </c>
      <c r="AT276" s="5">
        <f t="shared" si="470"/>
        <v>0.97358703777146616</v>
      </c>
      <c r="AU276" s="5">
        <f t="shared" si="440"/>
        <v>1.883555819371391</v>
      </c>
      <c r="AV276" s="5"/>
      <c r="AW276" s="153">
        <f t="shared" si="441"/>
        <v>0.34075546322001316</v>
      </c>
      <c r="AX276" s="153"/>
      <c r="BA276" s="147">
        <f t="shared" si="471"/>
        <v>2.347082921094211</v>
      </c>
      <c r="BB276" s="147">
        <f t="shared" si="472"/>
        <v>4.8324362448979592</v>
      </c>
      <c r="BC276" s="5">
        <f t="shared" si="442"/>
        <v>0.11959084567437403</v>
      </c>
      <c r="BD276" s="147">
        <f t="shared" si="473"/>
        <v>0</v>
      </c>
      <c r="BQ276" s="463">
        <f t="shared" si="474"/>
        <v>2.2919999999999999E-2</v>
      </c>
      <c r="CG276" s="59">
        <f t="shared" si="475"/>
        <v>-50</v>
      </c>
      <c r="CH276">
        <f t="shared" si="476"/>
        <v>-50</v>
      </c>
    </row>
    <row r="277" spans="5:86" x14ac:dyDescent="0.25">
      <c r="E277" s="150">
        <v>61</v>
      </c>
      <c r="F277" s="191">
        <f t="shared" si="477"/>
        <v>6.0999999999999999E-2</v>
      </c>
      <c r="G277" s="191"/>
      <c r="H277" s="191">
        <f t="shared" si="443"/>
        <v>1.22</v>
      </c>
      <c r="I277" s="472">
        <f t="shared" si="444"/>
        <v>21</v>
      </c>
      <c r="J277" s="386">
        <f t="shared" si="445"/>
        <v>20.32</v>
      </c>
      <c r="K277" s="386">
        <f t="shared" si="446"/>
        <v>41.32</v>
      </c>
      <c r="L277" s="386"/>
      <c r="M277" s="191">
        <f t="shared" si="447"/>
        <v>0.49177153920619554</v>
      </c>
      <c r="N277" s="152">
        <f t="shared" si="448"/>
        <v>3.5342268151016456</v>
      </c>
      <c r="O277" s="152">
        <f t="shared" si="478"/>
        <v>1.22</v>
      </c>
      <c r="P277" s="191">
        <f t="shared" si="449"/>
        <v>0.17671134075508227</v>
      </c>
      <c r="Q277" s="191">
        <f t="shared" si="450"/>
        <v>20</v>
      </c>
      <c r="R277" s="191"/>
      <c r="S277" s="152">
        <f t="shared" si="451"/>
        <v>95.258833044305518</v>
      </c>
      <c r="T277" s="152">
        <f t="shared" si="452"/>
        <v>20</v>
      </c>
      <c r="U277" s="191">
        <f t="shared" si="453"/>
        <v>0.26252135149772943</v>
      </c>
      <c r="V277" s="191">
        <f t="shared" si="454"/>
        <v>0.75006100427922695</v>
      </c>
      <c r="W277" s="191">
        <f t="shared" si="455"/>
        <v>0.77516147095786248</v>
      </c>
      <c r="X277" s="175">
        <f t="shared" si="456"/>
        <v>350</v>
      </c>
      <c r="Y277" s="386">
        <f t="shared" si="480"/>
        <v>350</v>
      </c>
      <c r="AA277" s="191">
        <f t="shared" si="457"/>
        <v>0.49177153920619554</v>
      </c>
      <c r="AB277" s="153">
        <f t="shared" si="458"/>
        <v>1.452081316553727</v>
      </c>
      <c r="AC277" s="153">
        <f t="shared" si="459"/>
        <v>0.1249661462164824</v>
      </c>
      <c r="AD277" s="153"/>
      <c r="AE277" s="153">
        <f t="shared" si="460"/>
        <v>0.44291338582677164</v>
      </c>
      <c r="AF277" s="317">
        <f t="shared" si="461"/>
        <v>1836.3259259259262</v>
      </c>
      <c r="AG277" s="463">
        <f t="shared" si="462"/>
        <v>1.1626476377952754E-2</v>
      </c>
      <c r="AI277" s="153">
        <f t="shared" si="463"/>
        <v>0.3435833578762566</v>
      </c>
      <c r="AJ277" s="153">
        <f t="shared" si="464"/>
        <v>0.3435833578762566</v>
      </c>
      <c r="AK277" s="153">
        <f t="shared" si="465"/>
        <v>1.3290555719175043</v>
      </c>
      <c r="AM277" s="317">
        <f t="shared" si="466"/>
        <v>61</v>
      </c>
      <c r="AN277" s="147">
        <f t="shared" si="467"/>
        <v>350</v>
      </c>
      <c r="AP277">
        <f t="shared" si="468"/>
        <v>61</v>
      </c>
      <c r="AQ277">
        <f t="shared" si="469"/>
        <v>350</v>
      </c>
      <c r="AS277" s="5">
        <f t="shared" si="479"/>
        <v>2.8571428571428572</v>
      </c>
      <c r="AT277" s="5">
        <f t="shared" si="470"/>
        <v>0.98166673678930461</v>
      </c>
      <c r="AU277" s="5">
        <f t="shared" si="440"/>
        <v>1.8754761203535526</v>
      </c>
      <c r="AV277" s="5"/>
      <c r="AW277" s="153">
        <f t="shared" si="441"/>
        <v>0.3435833578762566</v>
      </c>
      <c r="AX277" s="153"/>
      <c r="BA277" s="147">
        <f t="shared" si="471"/>
        <v>2.347082921094211</v>
      </c>
      <c r="BB277" s="147">
        <f t="shared" si="472"/>
        <v>4.9918097964625856</v>
      </c>
      <c r="BC277" s="5">
        <f t="shared" si="442"/>
        <v>0.12106247972652559</v>
      </c>
      <c r="BD277" s="147">
        <f t="shared" si="473"/>
        <v>0</v>
      </c>
      <c r="BQ277" s="463">
        <f t="shared" si="474"/>
        <v>2.3302E-2</v>
      </c>
      <c r="CG277" s="59">
        <f t="shared" si="475"/>
        <v>-50</v>
      </c>
      <c r="CH277">
        <f t="shared" si="476"/>
        <v>-50</v>
      </c>
    </row>
    <row r="278" spans="5:86" x14ac:dyDescent="0.25">
      <c r="E278" s="150">
        <v>62</v>
      </c>
      <c r="F278" s="191">
        <f t="shared" si="477"/>
        <v>6.2E-2</v>
      </c>
      <c r="G278" s="191"/>
      <c r="H278" s="191">
        <f t="shared" si="443"/>
        <v>1.24</v>
      </c>
      <c r="I278" s="472">
        <f t="shared" si="444"/>
        <v>21</v>
      </c>
      <c r="J278" s="386">
        <f t="shared" si="445"/>
        <v>20.32</v>
      </c>
      <c r="K278" s="386">
        <f t="shared" si="446"/>
        <v>41.32</v>
      </c>
      <c r="L278" s="386"/>
      <c r="M278" s="191">
        <f t="shared" si="447"/>
        <v>0.49177153920619554</v>
      </c>
      <c r="N278" s="152">
        <f t="shared" si="448"/>
        <v>3.5342268151016456</v>
      </c>
      <c r="O278" s="152">
        <f t="shared" si="478"/>
        <v>1.24</v>
      </c>
      <c r="P278" s="191">
        <f t="shared" si="449"/>
        <v>0.17671134075508227</v>
      </c>
      <c r="Q278" s="191">
        <f t="shared" si="450"/>
        <v>20</v>
      </c>
      <c r="R278" s="191"/>
      <c r="S278" s="152">
        <f t="shared" si="451"/>
        <v>93.38622961092031</v>
      </c>
      <c r="T278" s="152">
        <f t="shared" si="452"/>
        <v>20</v>
      </c>
      <c r="U278" s="191">
        <f t="shared" si="453"/>
        <v>0.26682498021080697</v>
      </c>
      <c r="V278" s="191">
        <f t="shared" si="454"/>
        <v>0.76235708631659138</v>
      </c>
      <c r="W278" s="191">
        <f t="shared" si="455"/>
        <v>0.78786903605553238</v>
      </c>
      <c r="X278" s="175">
        <f t="shared" si="456"/>
        <v>350</v>
      </c>
      <c r="Y278" s="386">
        <f t="shared" si="480"/>
        <v>350</v>
      </c>
      <c r="AA278" s="191">
        <f t="shared" si="457"/>
        <v>0.49177153920619554</v>
      </c>
      <c r="AB278" s="153">
        <f t="shared" si="458"/>
        <v>1.452081316553727</v>
      </c>
      <c r="AC278" s="153">
        <f t="shared" si="459"/>
        <v>0.1249661462164824</v>
      </c>
      <c r="AD278" s="153"/>
      <c r="AE278" s="153">
        <f t="shared" si="460"/>
        <v>0.44291338582677164</v>
      </c>
      <c r="AF278" s="317">
        <f t="shared" si="461"/>
        <v>1866.42962962963</v>
      </c>
      <c r="AG278" s="463">
        <f t="shared" si="462"/>
        <v>1.1626476377952754E-2</v>
      </c>
      <c r="AI278" s="153">
        <f t="shared" si="463"/>
        <v>0.34638816651953042</v>
      </c>
      <c r="AJ278" s="153">
        <f t="shared" si="464"/>
        <v>0.34638816651953042</v>
      </c>
      <c r="AK278" s="153">
        <f t="shared" si="465"/>
        <v>1.3309254443463536</v>
      </c>
      <c r="AM278" s="317">
        <f t="shared" si="466"/>
        <v>62</v>
      </c>
      <c r="AN278" s="147">
        <f t="shared" si="467"/>
        <v>350</v>
      </c>
      <c r="AP278">
        <f t="shared" si="468"/>
        <v>62</v>
      </c>
      <c r="AQ278">
        <f t="shared" si="469"/>
        <v>350</v>
      </c>
      <c r="AS278" s="5">
        <f t="shared" si="479"/>
        <v>2.8571428571428572</v>
      </c>
      <c r="AT278" s="5">
        <f t="shared" si="470"/>
        <v>0.989680475770087</v>
      </c>
      <c r="AU278" s="5">
        <f t="shared" si="440"/>
        <v>1.8674623813727702</v>
      </c>
      <c r="AV278" s="5"/>
      <c r="AW278" s="153">
        <f t="shared" si="441"/>
        <v>0.34638816651953042</v>
      </c>
      <c r="AX278" s="153"/>
      <c r="BA278" s="147">
        <f t="shared" si="471"/>
        <v>2.347082921094211</v>
      </c>
      <c r="BB278" s="147">
        <f t="shared" si="472"/>
        <v>5.1537680348299322</v>
      </c>
      <c r="BC278" s="5">
        <f t="shared" si="442"/>
        <v>0.12252134142339867</v>
      </c>
      <c r="BD278" s="147">
        <f t="shared" si="473"/>
        <v>0</v>
      </c>
      <c r="BQ278" s="463">
        <f t="shared" si="474"/>
        <v>2.3684E-2</v>
      </c>
      <c r="CG278" s="59">
        <f t="shared" si="475"/>
        <v>-50</v>
      </c>
      <c r="CH278">
        <f t="shared" si="476"/>
        <v>-50</v>
      </c>
    </row>
    <row r="279" spans="5:86" x14ac:dyDescent="0.25">
      <c r="E279" s="150">
        <v>63</v>
      </c>
      <c r="F279" s="191">
        <f t="shared" si="477"/>
        <v>6.3E-2</v>
      </c>
      <c r="G279" s="191"/>
      <c r="H279" s="191">
        <f t="shared" si="443"/>
        <v>1.26</v>
      </c>
      <c r="I279" s="472">
        <f t="shared" si="444"/>
        <v>21</v>
      </c>
      <c r="J279" s="386">
        <f t="shared" si="445"/>
        <v>20.32</v>
      </c>
      <c r="K279" s="386">
        <f t="shared" si="446"/>
        <v>41.32</v>
      </c>
      <c r="L279" s="386"/>
      <c r="M279" s="191">
        <f t="shared" si="447"/>
        <v>0.49177153920619554</v>
      </c>
      <c r="N279" s="152">
        <f t="shared" si="448"/>
        <v>3.5342268151016456</v>
      </c>
      <c r="O279" s="152">
        <f t="shared" si="478"/>
        <v>1.26</v>
      </c>
      <c r="P279" s="191">
        <f t="shared" si="449"/>
        <v>0.17671134075508227</v>
      </c>
      <c r="Q279" s="191">
        <f t="shared" si="450"/>
        <v>20</v>
      </c>
      <c r="R279" s="191"/>
      <c r="S279" s="152">
        <f t="shared" si="451"/>
        <v>91.573128427717918</v>
      </c>
      <c r="T279" s="152">
        <f t="shared" si="452"/>
        <v>20</v>
      </c>
      <c r="U279" s="191">
        <f t="shared" si="453"/>
        <v>0.27112860892388452</v>
      </c>
      <c r="V279" s="191">
        <f t="shared" si="454"/>
        <v>0.7746531683539557</v>
      </c>
      <c r="W279" s="191">
        <f t="shared" si="455"/>
        <v>0.80057660115320228</v>
      </c>
      <c r="X279" s="175">
        <f t="shared" si="456"/>
        <v>350</v>
      </c>
      <c r="Y279" s="386">
        <f t="shared" si="480"/>
        <v>350</v>
      </c>
      <c r="AA279" s="191">
        <f t="shared" si="457"/>
        <v>0.49177153920619554</v>
      </c>
      <c r="AB279" s="153">
        <f t="shared" si="458"/>
        <v>1.452081316553727</v>
      </c>
      <c r="AC279" s="153">
        <f t="shared" si="459"/>
        <v>0.1249661462164824</v>
      </c>
      <c r="AD279" s="153"/>
      <c r="AE279" s="153">
        <f t="shared" si="460"/>
        <v>0.44291338582677164</v>
      </c>
      <c r="AF279" s="317">
        <f t="shared" si="461"/>
        <v>1896.5333333333338</v>
      </c>
      <c r="AG279" s="463">
        <f t="shared" si="462"/>
        <v>1.1626476377952754E-2</v>
      </c>
      <c r="AI279" s="153">
        <f t="shared" si="463"/>
        <v>0.34917044548472315</v>
      </c>
      <c r="AJ279" s="153">
        <f t="shared" si="464"/>
        <v>0.34917044548472315</v>
      </c>
      <c r="AK279" s="153">
        <f t="shared" si="465"/>
        <v>1.3327802969898155</v>
      </c>
      <c r="AM279" s="317">
        <f t="shared" si="466"/>
        <v>63</v>
      </c>
      <c r="AN279" s="147">
        <f t="shared" si="467"/>
        <v>350</v>
      </c>
      <c r="AP279">
        <f t="shared" si="468"/>
        <v>63</v>
      </c>
      <c r="AQ279">
        <f t="shared" si="469"/>
        <v>350</v>
      </c>
      <c r="AS279" s="5">
        <f t="shared" si="479"/>
        <v>2.8571428571428572</v>
      </c>
      <c r="AT279" s="5">
        <f t="shared" si="470"/>
        <v>0.99762984424206613</v>
      </c>
      <c r="AU279" s="5">
        <f t="shared" si="440"/>
        <v>1.8595130129007911</v>
      </c>
      <c r="AV279" s="5"/>
      <c r="AW279" s="153">
        <f t="shared" si="441"/>
        <v>0.34917044548472315</v>
      </c>
      <c r="AX279" s="153"/>
      <c r="BA279" s="147">
        <f t="shared" si="471"/>
        <v>2.347082921094211</v>
      </c>
      <c r="BB279" s="147">
        <f t="shared" si="472"/>
        <v>5.3183109600000007</v>
      </c>
      <c r="BC279" s="5">
        <f t="shared" si="442"/>
        <v>0.12396753419338608</v>
      </c>
      <c r="BD279" s="147">
        <f t="shared" si="473"/>
        <v>0</v>
      </c>
      <c r="BQ279" s="463">
        <f t="shared" si="474"/>
        <v>2.4066000000000001E-2</v>
      </c>
      <c r="CG279" s="59">
        <f t="shared" si="475"/>
        <v>-50</v>
      </c>
      <c r="CH279">
        <f t="shared" si="476"/>
        <v>-50</v>
      </c>
    </row>
    <row r="280" spans="5:86" x14ac:dyDescent="0.25">
      <c r="E280" s="150">
        <v>64</v>
      </c>
      <c r="F280" s="191">
        <f t="shared" si="477"/>
        <v>6.4000000000000001E-2</v>
      </c>
      <c r="G280" s="191"/>
      <c r="H280" s="191">
        <f t="shared" ref="H280:H311" si="481">F280*Vout</f>
        <v>1.28</v>
      </c>
      <c r="I280" s="472">
        <f t="shared" ref="I280:I316" si="482">VIN_max</f>
        <v>21</v>
      </c>
      <c r="J280" s="386">
        <f t="shared" ref="J280:J316" si="483">(T280+Vfwd1)*Nps</f>
        <v>20.32</v>
      </c>
      <c r="K280" s="386">
        <f t="shared" ref="K280:K316" si="484">(Vout+Vfwd1)*Nps+I280</f>
        <v>41.32</v>
      </c>
      <c r="L280" s="386"/>
      <c r="M280" s="191">
        <f t="shared" ref="M280:M316" si="485">(Vout+Vfwd1)*Nps/((Vout+Vfwd1)*Nps+I280)</f>
        <v>0.49177153920619554</v>
      </c>
      <c r="N280" s="152">
        <f t="shared" ref="N280:N311" si="486">M280*I280*(Isw_max+VIN_max/Lmag*ILIM_delay)*0.5*Efficiency</f>
        <v>3.5342268151016456</v>
      </c>
      <c r="O280" s="152">
        <f t="shared" si="478"/>
        <v>1.28</v>
      </c>
      <c r="P280" s="191">
        <f t="shared" ref="P280:P311" si="487">N280/Vout</f>
        <v>0.17671134075508227</v>
      </c>
      <c r="Q280" s="191">
        <f t="shared" ref="Q280:Q316" si="488">MIN(Vout,N280/F280)</f>
        <v>20</v>
      </c>
      <c r="R280" s="191"/>
      <c r="S280" s="152">
        <f t="shared" ref="S280:S316" si="489">(SQRT(Isw_max^2*Nps^2*I280^2+4*Isw_max*F280/Efficiency*(Nps^2*Vfwd1*I280-Nps*I280^2)+4*(F280/Efficiency)^2*Nps^2*Vfwd1^2+8*(F280/Efficiency)^2*Nps*Vfwd1*I280+4*(F280/Efficiency)^2*I280^2)-2*F280/Efficiency*I280-2*F280/Efficiency*Nps*Vfwd1+Isw_max*Nps*I280)/(4*F280/Efficiency*Nps)</f>
        <v>89.816740894468396</v>
      </c>
      <c r="T280" s="152">
        <f t="shared" ref="T280:T311" si="490">MIN(Vout, S280)</f>
        <v>20</v>
      </c>
      <c r="U280" s="191">
        <f t="shared" ref="U280:U316" si="491">MIN(2*Vout*F280/(Efficiency*I280*M280), Isw_max)</f>
        <v>0.27543223763696201</v>
      </c>
      <c r="V280" s="191">
        <f t="shared" ref="V280:V311" si="492">L*U280/I280*1000000</f>
        <v>0.78694925039132002</v>
      </c>
      <c r="W280" s="191">
        <f t="shared" ref="W280:W316" si="493">L*U280/J280*1000000</f>
        <v>0.81328416625087208</v>
      </c>
      <c r="X280" s="175">
        <f t="shared" ref="X280:X316" si="494">IF(1/((350000*L)*(1/I280+1/J280))&gt;Isw_min, 350, 0.001/((Isw_min*L)*(1/I280+1/J280)))</f>
        <v>350</v>
      </c>
      <c r="Y280" s="386">
        <f t="shared" si="480"/>
        <v>350</v>
      </c>
      <c r="AA280" s="191">
        <f t="shared" ref="AA280:AA316" si="495">1/((X280*1000*L)*(1/I280+1/J280))</f>
        <v>0.49177153920619554</v>
      </c>
      <c r="AB280" s="153">
        <f t="shared" ref="AB280:AB311" si="496">L*AA280/J280*1000000</f>
        <v>1.452081316553727</v>
      </c>
      <c r="AC280" s="153">
        <f t="shared" ref="AC280:AC311" si="497">0.5*AB280*AA280*Nps*X280/1000</f>
        <v>0.1249661462164824</v>
      </c>
      <c r="AD280" s="153"/>
      <c r="AE280" s="153">
        <f t="shared" ref="AE280:AE316" si="498">L*Isw_min/J280*1000000</f>
        <v>0.44291338582677164</v>
      </c>
      <c r="AF280" s="317">
        <f t="shared" ref="AF280:AF311" si="499">MAX(12000,F280/(0.5*AE280/1000000*Isw_min*Nps))/1000</f>
        <v>1926.6370370370373</v>
      </c>
      <c r="AG280" s="463">
        <f t="shared" ref="AG280:AG316" si="500">0.5*AE280/1000000*Isw_min*Nps*X280*1000</f>
        <v>1.1626476377952754E-2</v>
      </c>
      <c r="AI280" s="153">
        <f t="shared" ref="AI280:AI316" si="501">SQRT(F280/(0.5*L/J280*Fsw_DCM*Nps))</f>
        <v>0.35193072911474793</v>
      </c>
      <c r="AJ280" s="153">
        <f t="shared" ref="AJ280:AJ311" si="502">MAX(IF(F280&gt;AC280,U280,AI280),Isw_min)</f>
        <v>0.35193072911474793</v>
      </c>
      <c r="AK280" s="153">
        <f t="shared" ref="AK280:AK311" si="503">IF(F280&gt;AG280, (AJ280-Isw_min)/1.2*0.8+1.2, AF280*0.2/350+1)</f>
        <v>1.3346204860764985</v>
      </c>
      <c r="AM280" s="317">
        <f t="shared" ref="AM280:AM316" si="504">F280*1000</f>
        <v>64</v>
      </c>
      <c r="AN280" s="147">
        <f t="shared" ref="AN280:AN316" si="505">IF(F280&gt;AG280, Y280, AF280)</f>
        <v>350</v>
      </c>
      <c r="AP280">
        <f t="shared" ref="AP280:AP316" si="506">IF(H280&gt;N280, "",AM280)</f>
        <v>64</v>
      </c>
      <c r="AQ280">
        <f t="shared" ref="AQ280:AQ316" si="507">IF(H280&gt;N280, "",AN280)</f>
        <v>350</v>
      </c>
      <c r="AS280" s="5">
        <f t="shared" si="479"/>
        <v>2.8571428571428572</v>
      </c>
      <c r="AT280" s="5">
        <f t="shared" ref="AT280:AT316" si="508">L*AJ280/I280*1000000</f>
        <v>1.0055163688992799</v>
      </c>
      <c r="AU280" s="5">
        <f t="shared" si="440"/>
        <v>1.8516264882435773</v>
      </c>
      <c r="AV280" s="5"/>
      <c r="AW280" s="153">
        <f t="shared" si="441"/>
        <v>0.35193072911474793</v>
      </c>
      <c r="AX280" s="153"/>
      <c r="BA280" s="147">
        <f t="shared" ref="BA280:BA316" si="509">L*Isw_max^2/(2*Vout_ripple*Vout)*1000000000*((1+M280)/2)^2</f>
        <v>2.347082921094211</v>
      </c>
      <c r="BB280" s="147">
        <f t="shared" ref="BB280:BB316" si="510">L*F280^2/(2*Cout*Vout*Nps^2)*1000000000*((1+M280)/(1-M280))^2+F280*RCoutEsr</f>
        <v>5.4854385719727885</v>
      </c>
      <c r="BC280" s="5">
        <f t="shared" si="442"/>
        <v>0.12540115899215762</v>
      </c>
      <c r="BD280" s="147">
        <f t="shared" ref="BD280:BD316" si="511">((CB280/I280/Efficiency)*AU280/Cin+(CB280/I280/Efficiency)*RCinEsr)*1000</f>
        <v>0</v>
      </c>
      <c r="BQ280" s="463">
        <f t="shared" ref="BQ280:BQ316" si="512">(Vfwd2*F280+BG280^2*Rdiode)*(1+Diode_TC/1000*(Ta-25))</f>
        <v>2.4448000000000001E-2</v>
      </c>
      <c r="CG280" s="59">
        <f t="shared" ref="CG280:CG316" si="513">IF(ABS(F280-Ioutmax_Vinmax)&lt;Iout/200, AN280, -50)</f>
        <v>-50</v>
      </c>
      <c r="CH280">
        <f t="shared" ref="CH280:CH316" si="514">IF(ABS(F280-Ioutmax_Vinmin)&lt;Iout/200, N280*CC280, -50)</f>
        <v>-50</v>
      </c>
    </row>
    <row r="281" spans="5:86" x14ac:dyDescent="0.25">
      <c r="E281" s="150">
        <v>65</v>
      </c>
      <c r="F281" s="191">
        <f t="shared" ref="F281:F312" si="515">IF(PLOT_TYPE=1, E281/100*Iout_max, min_I*EXP(N281*rr/100))</f>
        <v>6.5000000000000002E-2</v>
      </c>
      <c r="G281" s="191"/>
      <c r="H281" s="191">
        <f t="shared" si="481"/>
        <v>1.3</v>
      </c>
      <c r="I281" s="472">
        <f t="shared" si="482"/>
        <v>21</v>
      </c>
      <c r="J281" s="386">
        <f t="shared" si="483"/>
        <v>20.32</v>
      </c>
      <c r="K281" s="386">
        <f t="shared" si="484"/>
        <v>41.32</v>
      </c>
      <c r="L281" s="386"/>
      <c r="M281" s="191">
        <f t="shared" si="485"/>
        <v>0.49177153920619554</v>
      </c>
      <c r="N281" s="152">
        <f t="shared" si="486"/>
        <v>3.5342268151016456</v>
      </c>
      <c r="O281" s="152">
        <f t="shared" si="478"/>
        <v>1.3</v>
      </c>
      <c r="P281" s="191">
        <f t="shared" si="487"/>
        <v>0.17671134075508227</v>
      </c>
      <c r="Q281" s="191">
        <f t="shared" si="488"/>
        <v>20</v>
      </c>
      <c r="R281" s="191"/>
      <c r="S281" s="152">
        <f t="shared" si="489"/>
        <v>88.114450024827562</v>
      </c>
      <c r="T281" s="152">
        <f t="shared" si="490"/>
        <v>20</v>
      </c>
      <c r="U281" s="191">
        <f t="shared" si="491"/>
        <v>0.27973586635003955</v>
      </c>
      <c r="V281" s="191">
        <f t="shared" si="492"/>
        <v>0.79924533242868434</v>
      </c>
      <c r="W281" s="191">
        <f t="shared" si="493"/>
        <v>0.82599173134854198</v>
      </c>
      <c r="X281" s="175">
        <f t="shared" si="494"/>
        <v>350</v>
      </c>
      <c r="Y281" s="386">
        <f t="shared" si="480"/>
        <v>350</v>
      </c>
      <c r="AA281" s="191">
        <f t="shared" si="495"/>
        <v>0.49177153920619554</v>
      </c>
      <c r="AB281" s="153">
        <f t="shared" si="496"/>
        <v>1.452081316553727</v>
      </c>
      <c r="AC281" s="153">
        <f t="shared" si="497"/>
        <v>0.1249661462164824</v>
      </c>
      <c r="AD281" s="153"/>
      <c r="AE281" s="153">
        <f t="shared" si="498"/>
        <v>0.44291338582677164</v>
      </c>
      <c r="AF281" s="317">
        <f t="shared" si="499"/>
        <v>1956.7407407407411</v>
      </c>
      <c r="AG281" s="463">
        <f t="shared" si="500"/>
        <v>1.1626476377952754E-2</v>
      </c>
      <c r="AI281" s="153">
        <f t="shared" si="501"/>
        <v>0.35466953095871684</v>
      </c>
      <c r="AJ281" s="153">
        <f t="shared" si="502"/>
        <v>0.35466953095871684</v>
      </c>
      <c r="AK281" s="153">
        <f t="shared" si="503"/>
        <v>1.3364463539724778</v>
      </c>
      <c r="AM281" s="317">
        <f t="shared" si="504"/>
        <v>65</v>
      </c>
      <c r="AN281" s="147">
        <f t="shared" si="505"/>
        <v>350</v>
      </c>
      <c r="AP281">
        <f t="shared" si="506"/>
        <v>65</v>
      </c>
      <c r="AQ281">
        <f t="shared" si="507"/>
        <v>350</v>
      </c>
      <c r="AS281" s="5">
        <f t="shared" si="479"/>
        <v>2.8571428571428572</v>
      </c>
      <c r="AT281" s="5">
        <f t="shared" si="508"/>
        <v>1.0133415170249054</v>
      </c>
      <c r="AU281" s="5">
        <f t="shared" si="440"/>
        <v>1.8438013401179518</v>
      </c>
      <c r="AV281" s="5"/>
      <c r="AW281" s="153">
        <f t="shared" si="441"/>
        <v>0.35466953095871689</v>
      </c>
      <c r="AX281" s="153"/>
      <c r="BA281" s="147">
        <f t="shared" si="509"/>
        <v>2.347082921094211</v>
      </c>
      <c r="BB281" s="147">
        <f t="shared" si="510"/>
        <v>5.6551508707483009</v>
      </c>
      <c r="BC281" s="5">
        <f t="shared" si="442"/>
        <v>0.12682231439964747</v>
      </c>
      <c r="BD281" s="147">
        <f t="shared" si="511"/>
        <v>0</v>
      </c>
      <c r="BQ281" s="463">
        <f t="shared" si="512"/>
        <v>2.4830000000000001E-2</v>
      </c>
      <c r="CG281" s="59">
        <f t="shared" si="513"/>
        <v>-50</v>
      </c>
      <c r="CH281">
        <f t="shared" si="514"/>
        <v>-50</v>
      </c>
    </row>
    <row r="282" spans="5:86" x14ac:dyDescent="0.25">
      <c r="E282" s="150">
        <v>66</v>
      </c>
      <c r="F282" s="191">
        <f t="shared" si="515"/>
        <v>6.6000000000000003E-2</v>
      </c>
      <c r="G282" s="191"/>
      <c r="H282" s="191">
        <f t="shared" si="481"/>
        <v>1.32</v>
      </c>
      <c r="I282" s="472">
        <f t="shared" si="482"/>
        <v>21</v>
      </c>
      <c r="J282" s="386">
        <f t="shared" si="483"/>
        <v>20.32</v>
      </c>
      <c r="K282" s="386">
        <f t="shared" si="484"/>
        <v>41.32</v>
      </c>
      <c r="L282" s="386"/>
      <c r="M282" s="191">
        <f t="shared" si="485"/>
        <v>0.49177153920619554</v>
      </c>
      <c r="N282" s="152">
        <f t="shared" si="486"/>
        <v>3.5342268151016456</v>
      </c>
      <c r="O282" s="152">
        <f t="shared" si="478"/>
        <v>1.32</v>
      </c>
      <c r="P282" s="191">
        <f t="shared" si="487"/>
        <v>0.17671134075508227</v>
      </c>
      <c r="Q282" s="191">
        <f t="shared" si="488"/>
        <v>20</v>
      </c>
      <c r="R282" s="191"/>
      <c r="S282" s="152">
        <f t="shared" si="489"/>
        <v>86.463797445413377</v>
      </c>
      <c r="T282" s="152">
        <f t="shared" si="490"/>
        <v>20</v>
      </c>
      <c r="U282" s="191">
        <f t="shared" si="491"/>
        <v>0.2840394950631171</v>
      </c>
      <c r="V282" s="191">
        <f t="shared" si="492"/>
        <v>0.81154141446604888</v>
      </c>
      <c r="W282" s="191">
        <f t="shared" si="493"/>
        <v>0.83869929644621199</v>
      </c>
      <c r="X282" s="175">
        <f t="shared" si="494"/>
        <v>350</v>
      </c>
      <c r="Y282" s="386">
        <f t="shared" si="480"/>
        <v>350</v>
      </c>
      <c r="AA282" s="191">
        <f t="shared" si="495"/>
        <v>0.49177153920619554</v>
      </c>
      <c r="AB282" s="153">
        <f t="shared" si="496"/>
        <v>1.452081316553727</v>
      </c>
      <c r="AC282" s="153">
        <f t="shared" si="497"/>
        <v>0.1249661462164824</v>
      </c>
      <c r="AD282" s="153"/>
      <c r="AE282" s="153">
        <f t="shared" si="498"/>
        <v>0.44291338582677164</v>
      </c>
      <c r="AF282" s="317">
        <f t="shared" si="499"/>
        <v>1986.8444444444447</v>
      </c>
      <c r="AG282" s="463">
        <f t="shared" si="500"/>
        <v>1.1626476377952754E-2</v>
      </c>
      <c r="AI282" s="153">
        <f t="shared" si="501"/>
        <v>0.35738734488746843</v>
      </c>
      <c r="AJ282" s="153">
        <f t="shared" si="502"/>
        <v>0.35738734488746843</v>
      </c>
      <c r="AK282" s="153">
        <f t="shared" si="503"/>
        <v>1.338258229924979</v>
      </c>
      <c r="AM282" s="317">
        <f t="shared" si="504"/>
        <v>66</v>
      </c>
      <c r="AN282" s="147">
        <f t="shared" si="505"/>
        <v>350</v>
      </c>
      <c r="AP282">
        <f t="shared" si="506"/>
        <v>66</v>
      </c>
      <c r="AQ282">
        <f t="shared" si="507"/>
        <v>350</v>
      </c>
      <c r="AS282" s="5">
        <f t="shared" si="479"/>
        <v>2.8571428571428572</v>
      </c>
      <c r="AT282" s="5">
        <f t="shared" si="508"/>
        <v>1.0211066996784814</v>
      </c>
      <c r="AU282" s="5">
        <f t="shared" si="440"/>
        <v>1.8360361574643758</v>
      </c>
      <c r="AV282" s="5"/>
      <c r="AW282" s="153">
        <f t="shared" si="441"/>
        <v>0.35738734488746848</v>
      </c>
      <c r="AX282" s="153"/>
      <c r="BA282" s="147">
        <f t="shared" si="509"/>
        <v>2.347082921094211</v>
      </c>
      <c r="BB282" s="147">
        <f t="shared" si="510"/>
        <v>5.8274478563265317</v>
      </c>
      <c r="BC282" s="5">
        <f t="shared" si="442"/>
        <v>0.12823109671179767</v>
      </c>
      <c r="BD282" s="147">
        <f t="shared" si="511"/>
        <v>0</v>
      </c>
      <c r="BQ282" s="463">
        <f t="shared" si="512"/>
        <v>2.5212000000000002E-2</v>
      </c>
      <c r="CG282" s="59">
        <f t="shared" si="513"/>
        <v>-50</v>
      </c>
      <c r="CH282">
        <f t="shared" si="514"/>
        <v>-50</v>
      </c>
    </row>
    <row r="283" spans="5:86" x14ac:dyDescent="0.25">
      <c r="E283" s="150">
        <v>67</v>
      </c>
      <c r="F283" s="191">
        <f t="shared" si="515"/>
        <v>6.7000000000000004E-2</v>
      </c>
      <c r="G283" s="191"/>
      <c r="H283" s="191">
        <f t="shared" si="481"/>
        <v>1.34</v>
      </c>
      <c r="I283" s="472">
        <f t="shared" si="482"/>
        <v>21</v>
      </c>
      <c r="J283" s="386">
        <f t="shared" si="483"/>
        <v>20.32</v>
      </c>
      <c r="K283" s="386">
        <f t="shared" si="484"/>
        <v>41.32</v>
      </c>
      <c r="L283" s="386"/>
      <c r="M283" s="191">
        <f t="shared" si="485"/>
        <v>0.49177153920619554</v>
      </c>
      <c r="N283" s="152">
        <f t="shared" si="486"/>
        <v>3.5342268151016456</v>
      </c>
      <c r="O283" s="152">
        <f t="shared" si="478"/>
        <v>1.34</v>
      </c>
      <c r="P283" s="191">
        <f t="shared" si="487"/>
        <v>0.17671134075508227</v>
      </c>
      <c r="Q283" s="191">
        <f t="shared" si="488"/>
        <v>20</v>
      </c>
      <c r="R283" s="191"/>
      <c r="S283" s="152">
        <f t="shared" si="489"/>
        <v>84.862471559146144</v>
      </c>
      <c r="T283" s="152">
        <f t="shared" si="490"/>
        <v>20</v>
      </c>
      <c r="U283" s="191">
        <f t="shared" si="491"/>
        <v>0.28834312377619464</v>
      </c>
      <c r="V283" s="191">
        <f t="shared" si="492"/>
        <v>0.82383749650341331</v>
      </c>
      <c r="W283" s="191">
        <f t="shared" si="493"/>
        <v>0.8514068615438819</v>
      </c>
      <c r="X283" s="175">
        <f t="shared" si="494"/>
        <v>350</v>
      </c>
      <c r="Y283" s="386">
        <f t="shared" si="480"/>
        <v>350</v>
      </c>
      <c r="AA283" s="191">
        <f t="shared" si="495"/>
        <v>0.49177153920619554</v>
      </c>
      <c r="AB283" s="153">
        <f t="shared" si="496"/>
        <v>1.452081316553727</v>
      </c>
      <c r="AC283" s="153">
        <f t="shared" si="497"/>
        <v>0.1249661462164824</v>
      </c>
      <c r="AD283" s="153"/>
      <c r="AE283" s="153">
        <f t="shared" si="498"/>
        <v>0.44291338582677164</v>
      </c>
      <c r="AF283" s="317">
        <f t="shared" si="499"/>
        <v>2016.9481481481484</v>
      </c>
      <c r="AG283" s="463">
        <f t="shared" si="500"/>
        <v>1.1626476377952754E-2</v>
      </c>
      <c r="AI283" s="153">
        <f t="shared" si="501"/>
        <v>0.36008464613331181</v>
      </c>
      <c r="AJ283" s="153">
        <f t="shared" si="502"/>
        <v>0.36008464613331181</v>
      </c>
      <c r="AK283" s="153">
        <f t="shared" si="503"/>
        <v>1.3400564307555412</v>
      </c>
      <c r="AM283" s="317">
        <f t="shared" si="504"/>
        <v>67</v>
      </c>
      <c r="AN283" s="147">
        <f t="shared" si="505"/>
        <v>350</v>
      </c>
      <c r="AP283">
        <f t="shared" si="506"/>
        <v>67</v>
      </c>
      <c r="AQ283">
        <f t="shared" si="507"/>
        <v>350</v>
      </c>
      <c r="AS283" s="5">
        <f t="shared" si="479"/>
        <v>2.8571428571428572</v>
      </c>
      <c r="AT283" s="5">
        <f t="shared" si="508"/>
        <v>1.0288132746666052</v>
      </c>
      <c r="AU283" s="5">
        <f t="shared" si="440"/>
        <v>1.828329582476252</v>
      </c>
      <c r="AV283" s="5"/>
      <c r="AW283" s="153">
        <f t="shared" si="441"/>
        <v>0.36008464613331181</v>
      </c>
      <c r="AX283" s="153"/>
      <c r="BA283" s="147">
        <f t="shared" si="509"/>
        <v>2.347082921094211</v>
      </c>
      <c r="BB283" s="147">
        <f t="shared" si="510"/>
        <v>6.0023295287074836</v>
      </c>
      <c r="BC283" s="5">
        <f t="shared" si="442"/>
        <v>0.12962760002741683</v>
      </c>
      <c r="BD283" s="147">
        <f t="shared" si="511"/>
        <v>0</v>
      </c>
      <c r="BQ283" s="463">
        <f t="shared" si="512"/>
        <v>2.5594000000000002E-2</v>
      </c>
      <c r="CG283" s="59">
        <f t="shared" si="513"/>
        <v>-50</v>
      </c>
      <c r="CH283">
        <f t="shared" si="514"/>
        <v>-50</v>
      </c>
    </row>
    <row r="284" spans="5:86" x14ac:dyDescent="0.25">
      <c r="E284" s="150">
        <v>68</v>
      </c>
      <c r="F284" s="191">
        <f t="shared" si="515"/>
        <v>6.8000000000000005E-2</v>
      </c>
      <c r="G284" s="191"/>
      <c r="H284" s="191">
        <f t="shared" si="481"/>
        <v>1.36</v>
      </c>
      <c r="I284" s="472">
        <f t="shared" si="482"/>
        <v>21</v>
      </c>
      <c r="J284" s="386">
        <f t="shared" si="483"/>
        <v>20.32</v>
      </c>
      <c r="K284" s="386">
        <f t="shared" si="484"/>
        <v>41.32</v>
      </c>
      <c r="L284" s="386"/>
      <c r="M284" s="191">
        <f t="shared" si="485"/>
        <v>0.49177153920619554</v>
      </c>
      <c r="N284" s="152">
        <f t="shared" si="486"/>
        <v>3.5342268151016456</v>
      </c>
      <c r="O284" s="152">
        <f t="shared" si="478"/>
        <v>1.36</v>
      </c>
      <c r="P284" s="191">
        <f t="shared" si="487"/>
        <v>0.17671134075508227</v>
      </c>
      <c r="Q284" s="191">
        <f t="shared" si="488"/>
        <v>20</v>
      </c>
      <c r="R284" s="191"/>
      <c r="S284" s="152">
        <f t="shared" si="489"/>
        <v>83.308296753002864</v>
      </c>
      <c r="T284" s="152">
        <f t="shared" si="490"/>
        <v>20</v>
      </c>
      <c r="U284" s="191">
        <f t="shared" si="491"/>
        <v>0.29264675248927219</v>
      </c>
      <c r="V284" s="191">
        <f t="shared" si="492"/>
        <v>0.83613357854077774</v>
      </c>
      <c r="W284" s="191">
        <f t="shared" si="493"/>
        <v>0.8641144266415518</v>
      </c>
      <c r="X284" s="175">
        <f t="shared" si="494"/>
        <v>350</v>
      </c>
      <c r="Y284" s="386">
        <f t="shared" si="480"/>
        <v>350</v>
      </c>
      <c r="AA284" s="191">
        <f t="shared" si="495"/>
        <v>0.49177153920619554</v>
      </c>
      <c r="AB284" s="153">
        <f t="shared" si="496"/>
        <v>1.452081316553727</v>
      </c>
      <c r="AC284" s="153">
        <f t="shared" si="497"/>
        <v>0.1249661462164824</v>
      </c>
      <c r="AD284" s="153"/>
      <c r="AE284" s="153">
        <f t="shared" si="498"/>
        <v>0.44291338582677164</v>
      </c>
      <c r="AF284" s="317">
        <f t="shared" si="499"/>
        <v>2047.0518518518525</v>
      </c>
      <c r="AG284" s="463">
        <f t="shared" si="500"/>
        <v>1.1626476377952754E-2</v>
      </c>
      <c r="AI284" s="153">
        <f t="shared" si="501"/>
        <v>0.36276189226018563</v>
      </c>
      <c r="AJ284" s="153">
        <f t="shared" si="502"/>
        <v>0.36276189226018563</v>
      </c>
      <c r="AK284" s="153">
        <f t="shared" si="503"/>
        <v>1.3418412615067903</v>
      </c>
      <c r="AM284" s="317">
        <f t="shared" si="504"/>
        <v>68</v>
      </c>
      <c r="AN284" s="147">
        <f t="shared" si="505"/>
        <v>350</v>
      </c>
      <c r="AP284">
        <f t="shared" si="506"/>
        <v>68</v>
      </c>
      <c r="AQ284">
        <f t="shared" si="507"/>
        <v>350</v>
      </c>
      <c r="AS284" s="5">
        <f t="shared" si="479"/>
        <v>2.8571428571428572</v>
      </c>
      <c r="AT284" s="5">
        <f t="shared" si="508"/>
        <v>1.0364625493148163</v>
      </c>
      <c r="AU284" s="5">
        <f t="shared" si="440"/>
        <v>1.8206803078280409</v>
      </c>
      <c r="AV284" s="5"/>
      <c r="AW284" s="153">
        <f t="shared" si="441"/>
        <v>0.36276189226018568</v>
      </c>
      <c r="AX284" s="153"/>
      <c r="BA284" s="147">
        <f t="shared" si="509"/>
        <v>2.347082921094211</v>
      </c>
      <c r="BB284" s="147">
        <f t="shared" si="510"/>
        <v>6.1797958878911574</v>
      </c>
      <c r="BC284" s="5">
        <f t="shared" si="442"/>
        <v>0.13101191633048337</v>
      </c>
      <c r="BD284" s="147">
        <f t="shared" si="511"/>
        <v>0</v>
      </c>
      <c r="BQ284" s="463">
        <f t="shared" si="512"/>
        <v>2.5975999999999999E-2</v>
      </c>
      <c r="CG284" s="59">
        <f t="shared" si="513"/>
        <v>-50</v>
      </c>
      <c r="CH284">
        <f t="shared" si="514"/>
        <v>-50</v>
      </c>
    </row>
    <row r="285" spans="5:86" x14ac:dyDescent="0.25">
      <c r="E285" s="150">
        <v>69</v>
      </c>
      <c r="F285" s="191">
        <f t="shared" si="515"/>
        <v>6.8999999999999992E-2</v>
      </c>
      <c r="G285" s="191"/>
      <c r="H285" s="191">
        <f t="shared" si="481"/>
        <v>1.38</v>
      </c>
      <c r="I285" s="472">
        <f t="shared" si="482"/>
        <v>21</v>
      </c>
      <c r="J285" s="386">
        <f t="shared" si="483"/>
        <v>20.32</v>
      </c>
      <c r="K285" s="386">
        <f t="shared" si="484"/>
        <v>41.32</v>
      </c>
      <c r="L285" s="386"/>
      <c r="M285" s="191">
        <f t="shared" si="485"/>
        <v>0.49177153920619554</v>
      </c>
      <c r="N285" s="152">
        <f t="shared" si="486"/>
        <v>3.5342268151016456</v>
      </c>
      <c r="O285" s="152">
        <f t="shared" si="478"/>
        <v>1.38</v>
      </c>
      <c r="P285" s="191">
        <f t="shared" si="487"/>
        <v>0.17671134075508227</v>
      </c>
      <c r="Q285" s="191">
        <f t="shared" si="488"/>
        <v>20</v>
      </c>
      <c r="R285" s="191"/>
      <c r="S285" s="152">
        <f t="shared" si="489"/>
        <v>81.799223544229889</v>
      </c>
      <c r="T285" s="152">
        <f t="shared" si="490"/>
        <v>20</v>
      </c>
      <c r="U285" s="191">
        <f t="shared" si="491"/>
        <v>0.29695038120234968</v>
      </c>
      <c r="V285" s="191">
        <f t="shared" si="492"/>
        <v>0.84842966057814195</v>
      </c>
      <c r="W285" s="191">
        <f t="shared" si="493"/>
        <v>0.87682199173922148</v>
      </c>
      <c r="X285" s="175">
        <f t="shared" si="494"/>
        <v>350</v>
      </c>
      <c r="Y285" s="386">
        <f t="shared" si="480"/>
        <v>350</v>
      </c>
      <c r="AA285" s="191">
        <f t="shared" si="495"/>
        <v>0.49177153920619554</v>
      </c>
      <c r="AB285" s="153">
        <f t="shared" si="496"/>
        <v>1.452081316553727</v>
      </c>
      <c r="AC285" s="153">
        <f t="shared" si="497"/>
        <v>0.1249661462164824</v>
      </c>
      <c r="AD285" s="153"/>
      <c r="AE285" s="153">
        <f t="shared" si="498"/>
        <v>0.44291338582677164</v>
      </c>
      <c r="AF285" s="317">
        <f t="shared" si="499"/>
        <v>2077.1555555555556</v>
      </c>
      <c r="AG285" s="463">
        <f t="shared" si="500"/>
        <v>1.1626476377952754E-2</v>
      </c>
      <c r="AI285" s="153">
        <f t="shared" si="501"/>
        <v>0.36541952406984024</v>
      </c>
      <c r="AJ285" s="153">
        <f t="shared" si="502"/>
        <v>0.36541952406984024</v>
      </c>
      <c r="AK285" s="153">
        <f t="shared" si="503"/>
        <v>1.34361301604656</v>
      </c>
      <c r="AM285" s="317">
        <f t="shared" si="504"/>
        <v>68.999999999999986</v>
      </c>
      <c r="AN285" s="147">
        <f t="shared" si="505"/>
        <v>350</v>
      </c>
      <c r="AP285">
        <f t="shared" si="506"/>
        <v>68.999999999999986</v>
      </c>
      <c r="AQ285">
        <f t="shared" si="507"/>
        <v>350</v>
      </c>
      <c r="AS285" s="5">
        <f t="shared" si="479"/>
        <v>2.8571428571428572</v>
      </c>
      <c r="AT285" s="5">
        <f t="shared" si="508"/>
        <v>1.0440557830566866</v>
      </c>
      <c r="AU285" s="5">
        <f t="shared" si="440"/>
        <v>1.8130870740861706</v>
      </c>
      <c r="AV285" s="5"/>
      <c r="AW285" s="153">
        <f t="shared" si="441"/>
        <v>0.3654195240698403</v>
      </c>
      <c r="AX285" s="153"/>
      <c r="BA285" s="147">
        <f t="shared" si="509"/>
        <v>2.347082921094211</v>
      </c>
      <c r="BB285" s="147">
        <f t="shared" si="510"/>
        <v>6.3598469338775496</v>
      </c>
      <c r="BC285" s="5">
        <f t="shared" si="442"/>
        <v>0.13238413556819656</v>
      </c>
      <c r="BD285" s="147">
        <f t="shared" si="511"/>
        <v>0</v>
      </c>
      <c r="BQ285" s="463">
        <f t="shared" si="512"/>
        <v>2.6357999999999999E-2</v>
      </c>
      <c r="CG285" s="59">
        <f t="shared" si="513"/>
        <v>-50</v>
      </c>
      <c r="CH285">
        <f t="shared" si="514"/>
        <v>-50</v>
      </c>
    </row>
    <row r="286" spans="5:86" x14ac:dyDescent="0.25">
      <c r="E286" s="150">
        <v>70</v>
      </c>
      <c r="F286" s="191">
        <f t="shared" si="515"/>
        <v>6.9999999999999993E-2</v>
      </c>
      <c r="G286" s="191"/>
      <c r="H286" s="191">
        <f t="shared" si="481"/>
        <v>1.4</v>
      </c>
      <c r="I286" s="472">
        <f t="shared" si="482"/>
        <v>21</v>
      </c>
      <c r="J286" s="386">
        <f t="shared" si="483"/>
        <v>20.32</v>
      </c>
      <c r="K286" s="386">
        <f t="shared" si="484"/>
        <v>41.32</v>
      </c>
      <c r="L286" s="386"/>
      <c r="M286" s="191">
        <f t="shared" si="485"/>
        <v>0.49177153920619554</v>
      </c>
      <c r="N286" s="152">
        <f t="shared" si="486"/>
        <v>3.5342268151016456</v>
      </c>
      <c r="O286" s="152">
        <f t="shared" si="478"/>
        <v>1.4</v>
      </c>
      <c r="P286" s="191">
        <f t="shared" si="487"/>
        <v>0.17671134075508227</v>
      </c>
      <c r="Q286" s="191">
        <f t="shared" si="488"/>
        <v>20</v>
      </c>
      <c r="R286" s="191"/>
      <c r="S286" s="152">
        <f t="shared" si="489"/>
        <v>80.333319571168701</v>
      </c>
      <c r="T286" s="152">
        <f t="shared" si="490"/>
        <v>20</v>
      </c>
      <c r="U286" s="191">
        <f t="shared" si="491"/>
        <v>0.30125400991542722</v>
      </c>
      <c r="V286" s="191">
        <f t="shared" si="492"/>
        <v>0.86072574261550638</v>
      </c>
      <c r="W286" s="191">
        <f t="shared" si="493"/>
        <v>0.88952955683689139</v>
      </c>
      <c r="X286" s="175">
        <f t="shared" si="494"/>
        <v>350</v>
      </c>
      <c r="Y286" s="386">
        <f t="shared" si="480"/>
        <v>350</v>
      </c>
      <c r="AA286" s="191">
        <f t="shared" si="495"/>
        <v>0.49177153920619554</v>
      </c>
      <c r="AB286" s="153">
        <f t="shared" si="496"/>
        <v>1.452081316553727</v>
      </c>
      <c r="AC286" s="153">
        <f t="shared" si="497"/>
        <v>0.1249661462164824</v>
      </c>
      <c r="AD286" s="153"/>
      <c r="AE286" s="153">
        <f t="shared" si="498"/>
        <v>0.44291338582677164</v>
      </c>
      <c r="AF286" s="317">
        <f t="shared" si="499"/>
        <v>2107.2592592592591</v>
      </c>
      <c r="AG286" s="463">
        <f t="shared" si="500"/>
        <v>1.1626476377952754E-2</v>
      </c>
      <c r="AI286" s="153">
        <f t="shared" si="501"/>
        <v>0.36805796644912692</v>
      </c>
      <c r="AJ286" s="153">
        <f t="shared" si="502"/>
        <v>0.36805796644912692</v>
      </c>
      <c r="AK286" s="153">
        <f t="shared" si="503"/>
        <v>1.3453719776327513</v>
      </c>
      <c r="AM286" s="317">
        <f t="shared" si="504"/>
        <v>69.999999999999986</v>
      </c>
      <c r="AN286" s="147">
        <f t="shared" si="505"/>
        <v>350</v>
      </c>
      <c r="AP286">
        <f t="shared" si="506"/>
        <v>69.999999999999986</v>
      </c>
      <c r="AQ286">
        <f t="shared" si="507"/>
        <v>350</v>
      </c>
      <c r="AS286" s="5">
        <f t="shared" si="479"/>
        <v>2.8571428571428572</v>
      </c>
      <c r="AT286" s="5">
        <f t="shared" si="508"/>
        <v>1.0515941898546484</v>
      </c>
      <c r="AU286" s="5">
        <f t="shared" si="440"/>
        <v>1.8055486672882088</v>
      </c>
      <c r="AV286" s="5"/>
      <c r="AW286" s="153">
        <f t="shared" si="441"/>
        <v>0.36805796644912692</v>
      </c>
      <c r="AX286" s="153"/>
      <c r="BA286" s="147">
        <f t="shared" si="509"/>
        <v>2.347082921094211</v>
      </c>
      <c r="BB286" s="147">
        <f t="shared" si="510"/>
        <v>6.5424826666666664</v>
      </c>
      <c r="BC286" s="5">
        <f t="shared" si="442"/>
        <v>0.1337443457250525</v>
      </c>
      <c r="BD286" s="147">
        <f t="shared" si="511"/>
        <v>0</v>
      </c>
      <c r="BQ286" s="463">
        <f t="shared" si="512"/>
        <v>2.6739999999999996E-2</v>
      </c>
      <c r="CG286" s="59">
        <f t="shared" si="513"/>
        <v>-50</v>
      </c>
      <c r="CH286">
        <f t="shared" si="514"/>
        <v>-50</v>
      </c>
    </row>
    <row r="287" spans="5:86" x14ac:dyDescent="0.25">
      <c r="E287" s="150">
        <v>71</v>
      </c>
      <c r="F287" s="191">
        <f t="shared" si="515"/>
        <v>7.0999999999999994E-2</v>
      </c>
      <c r="G287" s="191"/>
      <c r="H287" s="191">
        <f t="shared" si="481"/>
        <v>1.42</v>
      </c>
      <c r="I287" s="472">
        <f t="shared" si="482"/>
        <v>21</v>
      </c>
      <c r="J287" s="386">
        <f t="shared" si="483"/>
        <v>20.32</v>
      </c>
      <c r="K287" s="386">
        <f t="shared" si="484"/>
        <v>41.32</v>
      </c>
      <c r="L287" s="386"/>
      <c r="M287" s="191">
        <f t="shared" si="485"/>
        <v>0.49177153920619554</v>
      </c>
      <c r="N287" s="152">
        <f t="shared" si="486"/>
        <v>3.5342268151016456</v>
      </c>
      <c r="O287" s="152">
        <f t="shared" si="478"/>
        <v>1.42</v>
      </c>
      <c r="P287" s="191">
        <f t="shared" si="487"/>
        <v>0.17671134075508227</v>
      </c>
      <c r="Q287" s="191">
        <f t="shared" si="488"/>
        <v>20</v>
      </c>
      <c r="R287" s="191"/>
      <c r="S287" s="152">
        <f t="shared" si="489"/>
        <v>78.908761345422704</v>
      </c>
      <c r="T287" s="152">
        <f t="shared" si="490"/>
        <v>20</v>
      </c>
      <c r="U287" s="191">
        <f t="shared" si="491"/>
        <v>0.30555763862850471</v>
      </c>
      <c r="V287" s="191">
        <f t="shared" si="492"/>
        <v>0.8730218246528707</v>
      </c>
      <c r="W287" s="191">
        <f t="shared" si="493"/>
        <v>0.90223712193456118</v>
      </c>
      <c r="X287" s="175">
        <f t="shared" si="494"/>
        <v>350</v>
      </c>
      <c r="Y287" s="386">
        <f t="shared" si="480"/>
        <v>350</v>
      </c>
      <c r="AA287" s="191">
        <f t="shared" si="495"/>
        <v>0.49177153920619554</v>
      </c>
      <c r="AB287" s="153">
        <f t="shared" si="496"/>
        <v>1.452081316553727</v>
      </c>
      <c r="AC287" s="153">
        <f t="shared" si="497"/>
        <v>0.1249661462164824</v>
      </c>
      <c r="AD287" s="153"/>
      <c r="AE287" s="153">
        <f t="shared" si="498"/>
        <v>0.44291338582677164</v>
      </c>
      <c r="AF287" s="317">
        <f t="shared" si="499"/>
        <v>2137.3629629629631</v>
      </c>
      <c r="AG287" s="463">
        <f t="shared" si="500"/>
        <v>1.1626476377952754E-2</v>
      </c>
      <c r="AI287" s="153">
        <f t="shared" si="501"/>
        <v>0.37067762916300295</v>
      </c>
      <c r="AJ287" s="153">
        <f t="shared" si="502"/>
        <v>0.37067762916300295</v>
      </c>
      <c r="AK287" s="153">
        <f t="shared" si="503"/>
        <v>1.3471184194420018</v>
      </c>
      <c r="AM287" s="317">
        <f t="shared" si="504"/>
        <v>71</v>
      </c>
      <c r="AN287" s="147">
        <f t="shared" si="505"/>
        <v>350</v>
      </c>
      <c r="AP287">
        <f t="shared" si="506"/>
        <v>71</v>
      </c>
      <c r="AQ287">
        <f t="shared" si="507"/>
        <v>350</v>
      </c>
      <c r="AS287" s="5">
        <f t="shared" si="479"/>
        <v>2.8571428571428572</v>
      </c>
      <c r="AT287" s="5">
        <f t="shared" si="508"/>
        <v>1.0590789404657226</v>
      </c>
      <c r="AU287" s="5">
        <f t="shared" si="440"/>
        <v>1.7980639166771346</v>
      </c>
      <c r="AV287" s="5"/>
      <c r="AW287" s="153">
        <f t="shared" si="441"/>
        <v>0.3706776291630029</v>
      </c>
      <c r="AX287" s="153"/>
      <c r="BA287" s="147">
        <f t="shared" si="509"/>
        <v>2.347082921094211</v>
      </c>
      <c r="BB287" s="147">
        <f t="shared" si="510"/>
        <v>6.7277030862585026</v>
      </c>
      <c r="BC287" s="5">
        <f t="shared" si="442"/>
        <v>0.1350926328932027</v>
      </c>
      <c r="BD287" s="147">
        <f t="shared" si="511"/>
        <v>0</v>
      </c>
      <c r="BQ287" s="463">
        <f t="shared" si="512"/>
        <v>2.7121999999999997E-2</v>
      </c>
      <c r="CG287" s="59">
        <f t="shared" si="513"/>
        <v>-50</v>
      </c>
      <c r="CH287">
        <f t="shared" si="514"/>
        <v>-50</v>
      </c>
    </row>
    <row r="288" spans="5:86" x14ac:dyDescent="0.25">
      <c r="E288" s="150">
        <v>72</v>
      </c>
      <c r="F288" s="191">
        <f t="shared" si="515"/>
        <v>7.1999999999999995E-2</v>
      </c>
      <c r="G288" s="191"/>
      <c r="H288" s="191">
        <f t="shared" si="481"/>
        <v>1.44</v>
      </c>
      <c r="I288" s="472">
        <f t="shared" si="482"/>
        <v>21</v>
      </c>
      <c r="J288" s="386">
        <f t="shared" si="483"/>
        <v>20.32</v>
      </c>
      <c r="K288" s="386">
        <f t="shared" si="484"/>
        <v>41.32</v>
      </c>
      <c r="L288" s="386"/>
      <c r="M288" s="191">
        <f t="shared" si="485"/>
        <v>0.49177153920619554</v>
      </c>
      <c r="N288" s="152">
        <f t="shared" si="486"/>
        <v>3.5342268151016456</v>
      </c>
      <c r="O288" s="152">
        <f t="shared" si="478"/>
        <v>1.44</v>
      </c>
      <c r="P288" s="191">
        <f t="shared" si="487"/>
        <v>0.17671134075508227</v>
      </c>
      <c r="Q288" s="191">
        <f t="shared" si="488"/>
        <v>20</v>
      </c>
      <c r="R288" s="191"/>
      <c r="S288" s="152">
        <f t="shared" si="489"/>
        <v>77.523826691346329</v>
      </c>
      <c r="T288" s="152">
        <f t="shared" si="490"/>
        <v>20</v>
      </c>
      <c r="U288" s="191">
        <f t="shared" si="491"/>
        <v>0.30986126734158226</v>
      </c>
      <c r="V288" s="191">
        <f t="shared" si="492"/>
        <v>0.88531790669023502</v>
      </c>
      <c r="W288" s="191">
        <f t="shared" si="493"/>
        <v>0.91494468703223109</v>
      </c>
      <c r="X288" s="175">
        <f t="shared" si="494"/>
        <v>350</v>
      </c>
      <c r="Y288" s="386">
        <f t="shared" si="480"/>
        <v>350</v>
      </c>
      <c r="AA288" s="191">
        <f t="shared" si="495"/>
        <v>0.49177153920619554</v>
      </c>
      <c r="AB288" s="153">
        <f t="shared" si="496"/>
        <v>1.452081316553727</v>
      </c>
      <c r="AC288" s="153">
        <f t="shared" si="497"/>
        <v>0.1249661462164824</v>
      </c>
      <c r="AD288" s="153"/>
      <c r="AE288" s="153">
        <f t="shared" si="498"/>
        <v>0.44291338582677164</v>
      </c>
      <c r="AF288" s="317">
        <f t="shared" si="499"/>
        <v>2167.4666666666672</v>
      </c>
      <c r="AG288" s="463">
        <f t="shared" si="500"/>
        <v>1.1626476377952754E-2</v>
      </c>
      <c r="AI288" s="153">
        <f t="shared" si="501"/>
        <v>0.37327890759744631</v>
      </c>
      <c r="AJ288" s="153">
        <f t="shared" si="502"/>
        <v>0.37327890759744631</v>
      </c>
      <c r="AK288" s="153">
        <f t="shared" si="503"/>
        <v>1.3488526050649641</v>
      </c>
      <c r="AM288" s="317">
        <f t="shared" si="504"/>
        <v>72</v>
      </c>
      <c r="AN288" s="147">
        <f t="shared" si="505"/>
        <v>350</v>
      </c>
      <c r="AP288">
        <f t="shared" si="506"/>
        <v>72</v>
      </c>
      <c r="AQ288">
        <f t="shared" si="507"/>
        <v>350</v>
      </c>
      <c r="AS288" s="5">
        <f t="shared" si="479"/>
        <v>2.8571428571428572</v>
      </c>
      <c r="AT288" s="5">
        <f t="shared" si="508"/>
        <v>1.0665111645641323</v>
      </c>
      <c r="AU288" s="5">
        <f t="shared" si="440"/>
        <v>1.7906316925787249</v>
      </c>
      <c r="AV288" s="5"/>
      <c r="AW288" s="153">
        <f t="shared" si="441"/>
        <v>0.37327890759744631</v>
      </c>
      <c r="AX288" s="153"/>
      <c r="BA288" s="147">
        <f t="shared" si="509"/>
        <v>2.347082921094211</v>
      </c>
      <c r="BB288" s="147">
        <f t="shared" si="510"/>
        <v>6.9155081926530606</v>
      </c>
      <c r="BC288" s="5">
        <f t="shared" si="442"/>
        <v>0.1364290813393314</v>
      </c>
      <c r="BD288" s="147">
        <f t="shared" si="511"/>
        <v>0</v>
      </c>
      <c r="BQ288" s="463">
        <f t="shared" si="512"/>
        <v>2.7503999999999997E-2</v>
      </c>
      <c r="CG288" s="59">
        <f t="shared" si="513"/>
        <v>-50</v>
      </c>
      <c r="CH288">
        <f t="shared" si="514"/>
        <v>-50</v>
      </c>
    </row>
    <row r="289" spans="5:86" x14ac:dyDescent="0.25">
      <c r="E289" s="150">
        <v>73</v>
      </c>
      <c r="F289" s="191">
        <f t="shared" si="515"/>
        <v>7.2999999999999995E-2</v>
      </c>
      <c r="G289" s="191"/>
      <c r="H289" s="191">
        <f t="shared" si="481"/>
        <v>1.46</v>
      </c>
      <c r="I289" s="472">
        <f t="shared" si="482"/>
        <v>21</v>
      </c>
      <c r="J289" s="386">
        <f t="shared" si="483"/>
        <v>20.32</v>
      </c>
      <c r="K289" s="386">
        <f t="shared" si="484"/>
        <v>41.32</v>
      </c>
      <c r="L289" s="386"/>
      <c r="M289" s="191">
        <f t="shared" si="485"/>
        <v>0.49177153920619554</v>
      </c>
      <c r="N289" s="152">
        <f t="shared" si="486"/>
        <v>3.5342268151016456</v>
      </c>
      <c r="O289" s="152">
        <f t="shared" si="478"/>
        <v>1.46</v>
      </c>
      <c r="P289" s="191">
        <f t="shared" si="487"/>
        <v>0.17671134075508227</v>
      </c>
      <c r="Q289" s="191">
        <f t="shared" si="488"/>
        <v>20</v>
      </c>
      <c r="R289" s="191"/>
      <c r="S289" s="152">
        <f t="shared" si="489"/>
        <v>76.176887806948244</v>
      </c>
      <c r="T289" s="152">
        <f t="shared" si="490"/>
        <v>20</v>
      </c>
      <c r="U289" s="191">
        <f t="shared" si="491"/>
        <v>0.3141648960546598</v>
      </c>
      <c r="V289" s="191">
        <f t="shared" si="492"/>
        <v>0.89761398872759945</v>
      </c>
      <c r="W289" s="191">
        <f t="shared" si="493"/>
        <v>0.92765225212990099</v>
      </c>
      <c r="X289" s="175">
        <f t="shared" si="494"/>
        <v>350</v>
      </c>
      <c r="Y289" s="386">
        <f t="shared" si="480"/>
        <v>350</v>
      </c>
      <c r="AA289" s="191">
        <f t="shared" si="495"/>
        <v>0.49177153920619554</v>
      </c>
      <c r="AB289" s="153">
        <f t="shared" si="496"/>
        <v>1.452081316553727</v>
      </c>
      <c r="AC289" s="153">
        <f t="shared" si="497"/>
        <v>0.1249661462164824</v>
      </c>
      <c r="AD289" s="153"/>
      <c r="AE289" s="153">
        <f t="shared" si="498"/>
        <v>0.44291338582677164</v>
      </c>
      <c r="AF289" s="317">
        <f t="shared" si="499"/>
        <v>2197.5703703703707</v>
      </c>
      <c r="AG289" s="463">
        <f t="shared" si="500"/>
        <v>1.1626476377952754E-2</v>
      </c>
      <c r="AI289" s="153">
        <f t="shared" si="501"/>
        <v>0.37586218345609201</v>
      </c>
      <c r="AJ289" s="153">
        <f t="shared" si="502"/>
        <v>0.37586218345609201</v>
      </c>
      <c r="AK289" s="153">
        <f t="shared" si="503"/>
        <v>1.350574788970728</v>
      </c>
      <c r="AM289" s="317">
        <f t="shared" si="504"/>
        <v>73</v>
      </c>
      <c r="AN289" s="147">
        <f t="shared" si="505"/>
        <v>350</v>
      </c>
      <c r="AP289">
        <f t="shared" si="506"/>
        <v>73</v>
      </c>
      <c r="AQ289">
        <f t="shared" si="507"/>
        <v>350</v>
      </c>
      <c r="AS289" s="5">
        <f t="shared" si="479"/>
        <v>2.8571428571428572</v>
      </c>
      <c r="AT289" s="5">
        <f t="shared" si="508"/>
        <v>1.0738919527316915</v>
      </c>
      <c r="AU289" s="5">
        <f t="shared" si="440"/>
        <v>1.7832509044111657</v>
      </c>
      <c r="AV289" s="5"/>
      <c r="AW289" s="153">
        <f t="shared" si="441"/>
        <v>0.37586218345609201</v>
      </c>
      <c r="AX289" s="153"/>
      <c r="BA289" s="147">
        <f t="shared" si="509"/>
        <v>2.347082921094211</v>
      </c>
      <c r="BB289" s="147">
        <f t="shared" si="510"/>
        <v>7.1058979858503397</v>
      </c>
      <c r="BC289" s="5">
        <f t="shared" si="442"/>
        <v>0.13775377356826995</v>
      </c>
      <c r="BD289" s="147">
        <f t="shared" si="511"/>
        <v>0</v>
      </c>
      <c r="BQ289" s="463">
        <f t="shared" si="512"/>
        <v>2.7885999999999998E-2</v>
      </c>
      <c r="CG289" s="59">
        <f t="shared" si="513"/>
        <v>-50</v>
      </c>
      <c r="CH289">
        <f t="shared" si="514"/>
        <v>-50</v>
      </c>
    </row>
    <row r="290" spans="5:86" x14ac:dyDescent="0.25">
      <c r="E290" s="150">
        <v>74</v>
      </c>
      <c r="F290" s="191">
        <f t="shared" si="515"/>
        <v>7.3999999999999996E-2</v>
      </c>
      <c r="G290" s="191"/>
      <c r="H290" s="191">
        <f t="shared" si="481"/>
        <v>1.48</v>
      </c>
      <c r="I290" s="472">
        <f t="shared" si="482"/>
        <v>21</v>
      </c>
      <c r="J290" s="386">
        <f t="shared" si="483"/>
        <v>20.32</v>
      </c>
      <c r="K290" s="386">
        <f t="shared" si="484"/>
        <v>41.32</v>
      </c>
      <c r="L290" s="386"/>
      <c r="M290" s="191">
        <f t="shared" si="485"/>
        <v>0.49177153920619554</v>
      </c>
      <c r="N290" s="152">
        <f t="shared" si="486"/>
        <v>3.5342268151016456</v>
      </c>
      <c r="O290" s="152">
        <f t="shared" si="478"/>
        <v>1.48</v>
      </c>
      <c r="P290" s="191">
        <f t="shared" si="487"/>
        <v>0.17671134075508227</v>
      </c>
      <c r="Q290" s="191">
        <f t="shared" si="488"/>
        <v>20</v>
      </c>
      <c r="R290" s="191"/>
      <c r="S290" s="152">
        <f t="shared" si="489"/>
        <v>74.866404887426953</v>
      </c>
      <c r="T290" s="152">
        <f t="shared" si="490"/>
        <v>20</v>
      </c>
      <c r="U290" s="191">
        <f t="shared" si="491"/>
        <v>0.31846852476773735</v>
      </c>
      <c r="V290" s="191">
        <f t="shared" si="492"/>
        <v>0.90991007076496377</v>
      </c>
      <c r="W290" s="191">
        <f t="shared" si="493"/>
        <v>0.94035981722757078</v>
      </c>
      <c r="X290" s="175">
        <f t="shared" si="494"/>
        <v>350</v>
      </c>
      <c r="Y290" s="386">
        <f t="shared" si="480"/>
        <v>350</v>
      </c>
      <c r="AA290" s="191">
        <f t="shared" si="495"/>
        <v>0.49177153920619554</v>
      </c>
      <c r="AB290" s="153">
        <f t="shared" si="496"/>
        <v>1.452081316553727</v>
      </c>
      <c r="AC290" s="153">
        <f t="shared" si="497"/>
        <v>0.1249661462164824</v>
      </c>
      <c r="AD290" s="153"/>
      <c r="AE290" s="153">
        <f t="shared" si="498"/>
        <v>0.44291338582677164</v>
      </c>
      <c r="AF290" s="317">
        <f t="shared" si="499"/>
        <v>2227.6740740740743</v>
      </c>
      <c r="AG290" s="463">
        <f t="shared" si="500"/>
        <v>1.1626476377952754E-2</v>
      </c>
      <c r="AI290" s="153">
        <f t="shared" si="501"/>
        <v>0.37842782541406633</v>
      </c>
      <c r="AJ290" s="153">
        <f t="shared" si="502"/>
        <v>0.37842782541406633</v>
      </c>
      <c r="AK290" s="153">
        <f t="shared" si="503"/>
        <v>1.3522852169427109</v>
      </c>
      <c r="AM290" s="317">
        <f t="shared" si="504"/>
        <v>74</v>
      </c>
      <c r="AN290" s="147">
        <f t="shared" si="505"/>
        <v>350</v>
      </c>
      <c r="AP290">
        <f t="shared" si="506"/>
        <v>74</v>
      </c>
      <c r="AQ290">
        <f t="shared" si="507"/>
        <v>350</v>
      </c>
      <c r="AS290" s="5">
        <f t="shared" si="479"/>
        <v>2.8571428571428572</v>
      </c>
      <c r="AT290" s="5">
        <f t="shared" si="508"/>
        <v>1.081222358325904</v>
      </c>
      <c r="AU290" s="5">
        <f t="shared" si="440"/>
        <v>1.7759204988169532</v>
      </c>
      <c r="AV290" s="5"/>
      <c r="AW290" s="153">
        <f t="shared" si="441"/>
        <v>0.37842782541406639</v>
      </c>
      <c r="AX290" s="153"/>
      <c r="BA290" s="147">
        <f t="shared" si="509"/>
        <v>2.347082921094211</v>
      </c>
      <c r="BB290" s="147">
        <f t="shared" si="510"/>
        <v>7.2988724658503408</v>
      </c>
      <c r="BC290" s="5">
        <f t="shared" si="442"/>
        <v>0.13906679038354977</v>
      </c>
      <c r="BD290" s="147">
        <f t="shared" si="511"/>
        <v>0</v>
      </c>
      <c r="BQ290" s="463">
        <f t="shared" si="512"/>
        <v>2.8268000000000001E-2</v>
      </c>
      <c r="CG290" s="59">
        <f t="shared" si="513"/>
        <v>-50</v>
      </c>
      <c r="CH290">
        <f t="shared" si="514"/>
        <v>-50</v>
      </c>
    </row>
    <row r="291" spans="5:86" x14ac:dyDescent="0.25">
      <c r="E291" s="150">
        <v>75</v>
      </c>
      <c r="F291" s="191">
        <f t="shared" si="515"/>
        <v>7.5000000000000011E-2</v>
      </c>
      <c r="G291" s="191"/>
      <c r="H291" s="191">
        <f t="shared" si="481"/>
        <v>1.5000000000000002</v>
      </c>
      <c r="I291" s="472">
        <f t="shared" si="482"/>
        <v>21</v>
      </c>
      <c r="J291" s="386">
        <f t="shared" si="483"/>
        <v>20.32</v>
      </c>
      <c r="K291" s="386">
        <f t="shared" si="484"/>
        <v>41.32</v>
      </c>
      <c r="L291" s="386"/>
      <c r="M291" s="191">
        <f t="shared" si="485"/>
        <v>0.49177153920619554</v>
      </c>
      <c r="N291" s="152">
        <f t="shared" si="486"/>
        <v>3.5342268151016456</v>
      </c>
      <c r="O291" s="152">
        <f t="shared" si="478"/>
        <v>1.5000000000000002</v>
      </c>
      <c r="P291" s="191">
        <f t="shared" si="487"/>
        <v>0.17671134075508227</v>
      </c>
      <c r="Q291" s="191">
        <f t="shared" si="488"/>
        <v>20</v>
      </c>
      <c r="R291" s="191"/>
      <c r="S291" s="152">
        <f t="shared" si="489"/>
        <v>73.590920258825975</v>
      </c>
      <c r="T291" s="152">
        <f t="shared" si="490"/>
        <v>20</v>
      </c>
      <c r="U291" s="191">
        <f t="shared" si="491"/>
        <v>0.32277215348081495</v>
      </c>
      <c r="V291" s="191">
        <f t="shared" si="492"/>
        <v>0.92220615280232832</v>
      </c>
      <c r="W291" s="191">
        <f t="shared" si="493"/>
        <v>0.95306738232524091</v>
      </c>
      <c r="X291" s="175">
        <f t="shared" si="494"/>
        <v>350</v>
      </c>
      <c r="Y291" s="386">
        <f t="shared" si="480"/>
        <v>350</v>
      </c>
      <c r="AA291" s="191">
        <f t="shared" si="495"/>
        <v>0.49177153920619554</v>
      </c>
      <c r="AB291" s="153">
        <f t="shared" si="496"/>
        <v>1.452081316553727</v>
      </c>
      <c r="AC291" s="153">
        <f t="shared" si="497"/>
        <v>0.1249661462164824</v>
      </c>
      <c r="AD291" s="153"/>
      <c r="AE291" s="153">
        <f t="shared" si="498"/>
        <v>0.44291338582677164</v>
      </c>
      <c r="AF291" s="317">
        <f t="shared" si="499"/>
        <v>2257.7777777777783</v>
      </c>
      <c r="AG291" s="463">
        <f t="shared" si="500"/>
        <v>1.1626476377952754E-2</v>
      </c>
      <c r="AI291" s="153">
        <f t="shared" si="501"/>
        <v>0.38097618973218939</v>
      </c>
      <c r="AJ291" s="153">
        <f t="shared" si="502"/>
        <v>0.38097618973218939</v>
      </c>
      <c r="AK291" s="153">
        <f t="shared" si="503"/>
        <v>1.3539841264881263</v>
      </c>
      <c r="AM291" s="317">
        <f t="shared" si="504"/>
        <v>75.000000000000014</v>
      </c>
      <c r="AN291" s="147">
        <f t="shared" si="505"/>
        <v>350</v>
      </c>
      <c r="AP291">
        <f t="shared" si="506"/>
        <v>75.000000000000014</v>
      </c>
      <c r="AQ291">
        <f t="shared" si="507"/>
        <v>350</v>
      </c>
      <c r="AS291" s="5">
        <f t="shared" si="479"/>
        <v>2.8571428571428572</v>
      </c>
      <c r="AT291" s="5">
        <f t="shared" si="508"/>
        <v>1.0885033992348268</v>
      </c>
      <c r="AU291" s="5">
        <f t="shared" si="440"/>
        <v>1.7686394579080305</v>
      </c>
      <c r="AV291" s="5"/>
      <c r="AW291" s="153">
        <f t="shared" si="441"/>
        <v>0.38097618973218933</v>
      </c>
      <c r="AX291" s="153"/>
      <c r="BA291" s="147">
        <f t="shared" si="509"/>
        <v>2.347082921094211</v>
      </c>
      <c r="BB291" s="147">
        <f t="shared" si="510"/>
        <v>7.4944316326530629</v>
      </c>
      <c r="BC291" s="5">
        <f t="shared" si="442"/>
        <v>0.14036821094508181</v>
      </c>
      <c r="BD291" s="147">
        <f t="shared" si="511"/>
        <v>0</v>
      </c>
      <c r="BQ291" s="463">
        <f t="shared" si="512"/>
        <v>2.8650000000000005E-2</v>
      </c>
      <c r="CG291" s="59">
        <f t="shared" si="513"/>
        <v>-50</v>
      </c>
      <c r="CH291">
        <f t="shared" si="514"/>
        <v>-50</v>
      </c>
    </row>
    <row r="292" spans="5:86" x14ac:dyDescent="0.25">
      <c r="E292" s="150">
        <v>76</v>
      </c>
      <c r="F292" s="191">
        <f t="shared" si="515"/>
        <v>7.6000000000000012E-2</v>
      </c>
      <c r="G292" s="191"/>
      <c r="H292" s="191">
        <f t="shared" si="481"/>
        <v>1.5200000000000002</v>
      </c>
      <c r="I292" s="472">
        <f t="shared" si="482"/>
        <v>21</v>
      </c>
      <c r="J292" s="386">
        <f t="shared" si="483"/>
        <v>20.32</v>
      </c>
      <c r="K292" s="386">
        <f t="shared" si="484"/>
        <v>41.32</v>
      </c>
      <c r="L292" s="386"/>
      <c r="M292" s="191">
        <f t="shared" si="485"/>
        <v>0.49177153920619554</v>
      </c>
      <c r="N292" s="152">
        <f t="shared" si="486"/>
        <v>3.5342268151016456</v>
      </c>
      <c r="O292" s="152">
        <f t="shared" si="478"/>
        <v>1.5200000000000002</v>
      </c>
      <c r="P292" s="191">
        <f t="shared" si="487"/>
        <v>0.17671134075508227</v>
      </c>
      <c r="Q292" s="191">
        <f t="shared" si="488"/>
        <v>20</v>
      </c>
      <c r="R292" s="191"/>
      <c r="S292" s="152">
        <f t="shared" si="489"/>
        <v>72.34905297482446</v>
      </c>
      <c r="T292" s="152">
        <f t="shared" si="490"/>
        <v>20</v>
      </c>
      <c r="U292" s="191">
        <f t="shared" si="491"/>
        <v>0.32707578219389244</v>
      </c>
      <c r="V292" s="191">
        <f t="shared" si="492"/>
        <v>0.93450223483969275</v>
      </c>
      <c r="W292" s="191">
        <f t="shared" si="493"/>
        <v>0.96577494742291081</v>
      </c>
      <c r="X292" s="175">
        <f t="shared" si="494"/>
        <v>350</v>
      </c>
      <c r="Y292" s="386">
        <f t="shared" si="480"/>
        <v>350</v>
      </c>
      <c r="AA292" s="191">
        <f t="shared" si="495"/>
        <v>0.49177153920619554</v>
      </c>
      <c r="AB292" s="153">
        <f t="shared" si="496"/>
        <v>1.452081316553727</v>
      </c>
      <c r="AC292" s="153">
        <f t="shared" si="497"/>
        <v>0.1249661462164824</v>
      </c>
      <c r="AD292" s="153"/>
      <c r="AE292" s="153">
        <f t="shared" si="498"/>
        <v>0.44291338582677164</v>
      </c>
      <c r="AF292" s="317">
        <f t="shared" si="499"/>
        <v>2287.8814814814823</v>
      </c>
      <c r="AG292" s="463">
        <f t="shared" si="500"/>
        <v>1.1626476377952754E-2</v>
      </c>
      <c r="AI292" s="153">
        <f t="shared" si="501"/>
        <v>0.38350762083444345</v>
      </c>
      <c r="AJ292" s="153">
        <f t="shared" si="502"/>
        <v>0.38350762083444345</v>
      </c>
      <c r="AK292" s="153">
        <f t="shared" si="503"/>
        <v>1.3556717472229622</v>
      </c>
      <c r="AM292" s="317">
        <f t="shared" si="504"/>
        <v>76.000000000000014</v>
      </c>
      <c r="AN292" s="147">
        <f t="shared" si="505"/>
        <v>350</v>
      </c>
      <c r="AP292">
        <f t="shared" si="506"/>
        <v>76.000000000000014</v>
      </c>
      <c r="AQ292">
        <f t="shared" si="507"/>
        <v>350</v>
      </c>
      <c r="AS292" s="5">
        <f t="shared" si="479"/>
        <v>2.8571428571428572</v>
      </c>
      <c r="AT292" s="5">
        <f t="shared" si="508"/>
        <v>1.0957360595269814</v>
      </c>
      <c r="AU292" s="5">
        <f t="shared" si="440"/>
        <v>1.7614067976158758</v>
      </c>
      <c r="AV292" s="5"/>
      <c r="AW292" s="153">
        <f t="shared" si="441"/>
        <v>0.38350762083444345</v>
      </c>
      <c r="AX292" s="153"/>
      <c r="BA292" s="147">
        <f t="shared" si="509"/>
        <v>2.347082921094211</v>
      </c>
      <c r="BB292" s="147">
        <f t="shared" si="510"/>
        <v>7.6925754862585061</v>
      </c>
      <c r="BC292" s="5">
        <f t="shared" si="442"/>
        <v>0.14165811282413396</v>
      </c>
      <c r="BD292" s="147">
        <f t="shared" si="511"/>
        <v>0</v>
      </c>
      <c r="BQ292" s="463">
        <f t="shared" si="512"/>
        <v>2.9032000000000006E-2</v>
      </c>
      <c r="CG292" s="59">
        <f t="shared" si="513"/>
        <v>-50</v>
      </c>
      <c r="CH292">
        <f t="shared" si="514"/>
        <v>-50</v>
      </c>
    </row>
    <row r="293" spans="5:86" x14ac:dyDescent="0.25">
      <c r="E293" s="150">
        <v>77</v>
      </c>
      <c r="F293" s="191">
        <f t="shared" si="515"/>
        <v>7.7000000000000013E-2</v>
      </c>
      <c r="G293" s="191"/>
      <c r="H293" s="191">
        <f t="shared" si="481"/>
        <v>1.5400000000000003</v>
      </c>
      <c r="I293" s="472">
        <f t="shared" si="482"/>
        <v>21</v>
      </c>
      <c r="J293" s="386">
        <f t="shared" si="483"/>
        <v>20.32</v>
      </c>
      <c r="K293" s="386">
        <f t="shared" si="484"/>
        <v>41.32</v>
      </c>
      <c r="L293" s="386"/>
      <c r="M293" s="191">
        <f t="shared" si="485"/>
        <v>0.49177153920619554</v>
      </c>
      <c r="N293" s="152">
        <f t="shared" si="486"/>
        <v>3.5342268151016456</v>
      </c>
      <c r="O293" s="152">
        <f t="shared" si="478"/>
        <v>1.5400000000000003</v>
      </c>
      <c r="P293" s="191">
        <f t="shared" si="487"/>
        <v>0.17671134075508227</v>
      </c>
      <c r="Q293" s="191">
        <f t="shared" si="488"/>
        <v>20</v>
      </c>
      <c r="R293" s="191"/>
      <c r="S293" s="152">
        <f t="shared" si="489"/>
        <v>71.139493834559474</v>
      </c>
      <c r="T293" s="152">
        <f t="shared" si="490"/>
        <v>20</v>
      </c>
      <c r="U293" s="191">
        <f t="shared" si="491"/>
        <v>0.33137941090696998</v>
      </c>
      <c r="V293" s="191">
        <f t="shared" si="492"/>
        <v>0.94679831687705718</v>
      </c>
      <c r="W293" s="191">
        <f t="shared" si="493"/>
        <v>0.97848251252058061</v>
      </c>
      <c r="X293" s="175">
        <f t="shared" si="494"/>
        <v>350</v>
      </c>
      <c r="Y293" s="386">
        <f t="shared" si="480"/>
        <v>350</v>
      </c>
      <c r="AA293" s="191">
        <f t="shared" si="495"/>
        <v>0.49177153920619554</v>
      </c>
      <c r="AB293" s="153">
        <f t="shared" si="496"/>
        <v>1.452081316553727</v>
      </c>
      <c r="AC293" s="153">
        <f t="shared" si="497"/>
        <v>0.1249661462164824</v>
      </c>
      <c r="AD293" s="153"/>
      <c r="AE293" s="153">
        <f t="shared" si="498"/>
        <v>0.44291338582677164</v>
      </c>
      <c r="AF293" s="317">
        <f t="shared" si="499"/>
        <v>2317.9851851851863</v>
      </c>
      <c r="AG293" s="463">
        <f t="shared" si="500"/>
        <v>1.1626476377952754E-2</v>
      </c>
      <c r="AI293" s="153">
        <f t="shared" si="501"/>
        <v>0.38602245185135714</v>
      </c>
      <c r="AJ293" s="153">
        <f t="shared" si="502"/>
        <v>0.38602245185135714</v>
      </c>
      <c r="AK293" s="153">
        <f t="shared" si="503"/>
        <v>1.357348301234238</v>
      </c>
      <c r="AM293" s="317">
        <f t="shared" si="504"/>
        <v>77.000000000000014</v>
      </c>
      <c r="AN293" s="147">
        <f t="shared" si="505"/>
        <v>350</v>
      </c>
      <c r="AP293">
        <f t="shared" si="506"/>
        <v>77.000000000000014</v>
      </c>
      <c r="AQ293">
        <f t="shared" si="507"/>
        <v>350</v>
      </c>
      <c r="AS293" s="5">
        <f t="shared" si="479"/>
        <v>2.8571428571428572</v>
      </c>
      <c r="AT293" s="5">
        <f t="shared" si="508"/>
        <v>1.1029212910038777</v>
      </c>
      <c r="AU293" s="5">
        <f t="shared" si="440"/>
        <v>1.7542215661389795</v>
      </c>
      <c r="AV293" s="5"/>
      <c r="AW293" s="153">
        <f t="shared" si="441"/>
        <v>0.3860224518513572</v>
      </c>
      <c r="AX293" s="153"/>
      <c r="BA293" s="147">
        <f t="shared" si="509"/>
        <v>2.347082921094211</v>
      </c>
      <c r="BB293" s="147">
        <f t="shared" si="510"/>
        <v>7.8933040266666694</v>
      </c>
      <c r="BC293" s="5">
        <f t="shared" si="442"/>
        <v>0.14293657205576871</v>
      </c>
      <c r="BD293" s="147">
        <f t="shared" si="511"/>
        <v>0</v>
      </c>
      <c r="BQ293" s="463">
        <f t="shared" si="512"/>
        <v>2.9414000000000006E-2</v>
      </c>
      <c r="CG293" s="59">
        <f t="shared" si="513"/>
        <v>-50</v>
      </c>
      <c r="CH293">
        <f t="shared" si="514"/>
        <v>-50</v>
      </c>
    </row>
    <row r="294" spans="5:86" x14ac:dyDescent="0.25">
      <c r="E294" s="150">
        <v>78</v>
      </c>
      <c r="F294" s="191">
        <f t="shared" si="515"/>
        <v>7.8000000000000014E-2</v>
      </c>
      <c r="G294" s="191"/>
      <c r="H294" s="191">
        <f t="shared" si="481"/>
        <v>1.5600000000000003</v>
      </c>
      <c r="I294" s="472">
        <f t="shared" si="482"/>
        <v>21</v>
      </c>
      <c r="J294" s="386">
        <f t="shared" si="483"/>
        <v>20.32</v>
      </c>
      <c r="K294" s="386">
        <f t="shared" si="484"/>
        <v>41.32</v>
      </c>
      <c r="L294" s="386"/>
      <c r="M294" s="191">
        <f t="shared" si="485"/>
        <v>0.49177153920619554</v>
      </c>
      <c r="N294" s="152">
        <f t="shared" si="486"/>
        <v>3.5342268151016456</v>
      </c>
      <c r="O294" s="152">
        <f t="shared" si="478"/>
        <v>1.5600000000000003</v>
      </c>
      <c r="P294" s="191">
        <f t="shared" si="487"/>
        <v>0.17671134075508227</v>
      </c>
      <c r="Q294" s="191">
        <f t="shared" si="488"/>
        <v>20</v>
      </c>
      <c r="R294" s="191"/>
      <c r="S294" s="152">
        <f t="shared" si="489"/>
        <v>69.96100078369561</v>
      </c>
      <c r="T294" s="152">
        <f t="shared" si="490"/>
        <v>20</v>
      </c>
      <c r="U294" s="191">
        <f t="shared" si="491"/>
        <v>0.33568303962004753</v>
      </c>
      <c r="V294" s="191">
        <f t="shared" si="492"/>
        <v>0.95909439891442172</v>
      </c>
      <c r="W294" s="191">
        <f t="shared" si="493"/>
        <v>0.99119007761825062</v>
      </c>
      <c r="X294" s="175">
        <f t="shared" si="494"/>
        <v>350</v>
      </c>
      <c r="Y294" s="386">
        <f t="shared" si="480"/>
        <v>350</v>
      </c>
      <c r="AA294" s="191">
        <f t="shared" si="495"/>
        <v>0.49177153920619554</v>
      </c>
      <c r="AB294" s="153">
        <f t="shared" si="496"/>
        <v>1.452081316553727</v>
      </c>
      <c r="AC294" s="153">
        <f t="shared" si="497"/>
        <v>0.1249661462164824</v>
      </c>
      <c r="AD294" s="153"/>
      <c r="AE294" s="153">
        <f t="shared" si="498"/>
        <v>0.44291338582677164</v>
      </c>
      <c r="AF294" s="317">
        <f t="shared" si="499"/>
        <v>2348.0888888888894</v>
      </c>
      <c r="AG294" s="463">
        <f t="shared" si="500"/>
        <v>1.1626476377952754E-2</v>
      </c>
      <c r="AI294" s="153">
        <f t="shared" si="501"/>
        <v>0.38852100513173216</v>
      </c>
      <c r="AJ294" s="153">
        <f t="shared" si="502"/>
        <v>0.38852100513173216</v>
      </c>
      <c r="AK294" s="153">
        <f t="shared" si="503"/>
        <v>1.3590140034211546</v>
      </c>
      <c r="AM294" s="317">
        <f t="shared" si="504"/>
        <v>78.000000000000014</v>
      </c>
      <c r="AN294" s="147">
        <f t="shared" si="505"/>
        <v>350</v>
      </c>
      <c r="AP294">
        <f t="shared" si="506"/>
        <v>78.000000000000014</v>
      </c>
      <c r="AQ294">
        <f t="shared" si="507"/>
        <v>350</v>
      </c>
      <c r="AS294" s="5">
        <f t="shared" si="479"/>
        <v>2.8571428571428572</v>
      </c>
      <c r="AT294" s="5">
        <f t="shared" si="508"/>
        <v>1.110060014662092</v>
      </c>
      <c r="AU294" s="5">
        <f t="shared" si="440"/>
        <v>1.7470828424807652</v>
      </c>
      <c r="AV294" s="5"/>
      <c r="AW294" s="153">
        <f t="shared" si="441"/>
        <v>0.38852100513173221</v>
      </c>
      <c r="AX294" s="153"/>
      <c r="BA294" s="147">
        <f t="shared" si="509"/>
        <v>2.347082921094211</v>
      </c>
      <c r="BB294" s="147">
        <f t="shared" si="510"/>
        <v>8.0966172538775538</v>
      </c>
      <c r="BC294" s="5">
        <f t="shared" si="442"/>
        <v>0.14420366318888858</v>
      </c>
      <c r="BD294" s="147">
        <f t="shared" si="511"/>
        <v>0</v>
      </c>
      <c r="BQ294" s="463">
        <f t="shared" si="512"/>
        <v>2.9796000000000003E-2</v>
      </c>
      <c r="CG294" s="59">
        <f t="shared" si="513"/>
        <v>-50</v>
      </c>
      <c r="CH294">
        <f t="shared" si="514"/>
        <v>-50</v>
      </c>
    </row>
    <row r="295" spans="5:86" x14ac:dyDescent="0.25">
      <c r="E295" s="150">
        <v>79</v>
      </c>
      <c r="F295" s="191">
        <f t="shared" si="515"/>
        <v>7.9000000000000015E-2</v>
      </c>
      <c r="G295" s="191"/>
      <c r="H295" s="191">
        <f t="shared" si="481"/>
        <v>1.5800000000000003</v>
      </c>
      <c r="I295" s="472">
        <f t="shared" si="482"/>
        <v>21</v>
      </c>
      <c r="J295" s="386">
        <f t="shared" si="483"/>
        <v>20.32</v>
      </c>
      <c r="K295" s="386">
        <f t="shared" si="484"/>
        <v>41.32</v>
      </c>
      <c r="L295" s="386"/>
      <c r="M295" s="191">
        <f t="shared" si="485"/>
        <v>0.49177153920619554</v>
      </c>
      <c r="N295" s="152">
        <f t="shared" si="486"/>
        <v>3.5342268151016456</v>
      </c>
      <c r="O295" s="152">
        <f t="shared" si="478"/>
        <v>1.5800000000000003</v>
      </c>
      <c r="P295" s="191">
        <f t="shared" si="487"/>
        <v>0.17671134075508227</v>
      </c>
      <c r="Q295" s="191">
        <f t="shared" si="488"/>
        <v>20</v>
      </c>
      <c r="R295" s="191"/>
      <c r="S295" s="152">
        <f t="shared" si="489"/>
        <v>68.812394664783383</v>
      </c>
      <c r="T295" s="152">
        <f t="shared" si="490"/>
        <v>20</v>
      </c>
      <c r="U295" s="191">
        <f t="shared" si="491"/>
        <v>0.33998666833312507</v>
      </c>
      <c r="V295" s="191">
        <f t="shared" si="492"/>
        <v>0.97139048095178604</v>
      </c>
      <c r="W295" s="191">
        <f t="shared" si="493"/>
        <v>1.0038976427159205</v>
      </c>
      <c r="X295" s="175">
        <f t="shared" si="494"/>
        <v>350</v>
      </c>
      <c r="Y295" s="386">
        <f t="shared" si="480"/>
        <v>350</v>
      </c>
      <c r="AA295" s="191">
        <f t="shared" si="495"/>
        <v>0.49177153920619554</v>
      </c>
      <c r="AB295" s="153">
        <f t="shared" si="496"/>
        <v>1.452081316553727</v>
      </c>
      <c r="AC295" s="153">
        <f t="shared" si="497"/>
        <v>0.1249661462164824</v>
      </c>
      <c r="AD295" s="153"/>
      <c r="AE295" s="153">
        <f t="shared" si="498"/>
        <v>0.44291338582677164</v>
      </c>
      <c r="AF295" s="317">
        <f t="shared" si="499"/>
        <v>2378.1925925925934</v>
      </c>
      <c r="AG295" s="463">
        <f t="shared" si="500"/>
        <v>1.1626476377952754E-2</v>
      </c>
      <c r="AI295" s="153">
        <f t="shared" si="501"/>
        <v>0.39100359272493845</v>
      </c>
      <c r="AJ295" s="153">
        <f t="shared" si="502"/>
        <v>0.39100359272493845</v>
      </c>
      <c r="AK295" s="153">
        <f t="shared" si="503"/>
        <v>1.3606690618166257</v>
      </c>
      <c r="AM295" s="317">
        <f t="shared" si="504"/>
        <v>79.000000000000014</v>
      </c>
      <c r="AN295" s="147">
        <f t="shared" si="505"/>
        <v>350</v>
      </c>
      <c r="AP295">
        <f t="shared" si="506"/>
        <v>79.000000000000014</v>
      </c>
      <c r="AQ295">
        <f t="shared" si="507"/>
        <v>350</v>
      </c>
      <c r="AS295" s="5">
        <f t="shared" si="479"/>
        <v>2.8571428571428572</v>
      </c>
      <c r="AT295" s="5">
        <f t="shared" si="508"/>
        <v>1.1171531220712529</v>
      </c>
      <c r="AU295" s="5">
        <f t="shared" si="440"/>
        <v>1.7399897350716043</v>
      </c>
      <c r="AV295" s="5"/>
      <c r="AW295" s="153">
        <f t="shared" si="441"/>
        <v>0.39100359272493851</v>
      </c>
      <c r="AX295" s="153"/>
      <c r="BA295" s="147">
        <f t="shared" si="509"/>
        <v>2.347082921094211</v>
      </c>
      <c r="BB295" s="147">
        <f t="shared" si="510"/>
        <v>8.3025151678911602</v>
      </c>
      <c r="BC295" s="5">
        <f t="shared" si="442"/>
        <v>0.14545945933402829</v>
      </c>
      <c r="BD295" s="147">
        <f t="shared" si="511"/>
        <v>0</v>
      </c>
      <c r="BQ295" s="463">
        <f t="shared" si="512"/>
        <v>3.0178000000000007E-2</v>
      </c>
      <c r="CG295" s="59">
        <f t="shared" si="513"/>
        <v>-50</v>
      </c>
      <c r="CH295">
        <f t="shared" si="514"/>
        <v>-50</v>
      </c>
    </row>
    <row r="296" spans="5:86" x14ac:dyDescent="0.25">
      <c r="E296" s="150">
        <v>80</v>
      </c>
      <c r="F296" s="191">
        <f t="shared" si="515"/>
        <v>8.0000000000000016E-2</v>
      </c>
      <c r="G296" s="191"/>
      <c r="H296" s="191">
        <f t="shared" si="481"/>
        <v>1.6000000000000003</v>
      </c>
      <c r="I296" s="472">
        <f t="shared" si="482"/>
        <v>21</v>
      </c>
      <c r="J296" s="386">
        <f t="shared" si="483"/>
        <v>20.32</v>
      </c>
      <c r="K296" s="386">
        <f t="shared" si="484"/>
        <v>41.32</v>
      </c>
      <c r="L296" s="386"/>
      <c r="M296" s="191">
        <f t="shared" si="485"/>
        <v>0.49177153920619554</v>
      </c>
      <c r="N296" s="152">
        <f t="shared" si="486"/>
        <v>3.5342268151016456</v>
      </c>
      <c r="O296" s="152">
        <f t="shared" si="478"/>
        <v>1.6000000000000003</v>
      </c>
      <c r="P296" s="191">
        <f t="shared" si="487"/>
        <v>0.17671134075508227</v>
      </c>
      <c r="Q296" s="191">
        <f t="shared" si="488"/>
        <v>20</v>
      </c>
      <c r="R296" s="191"/>
      <c r="S296" s="152">
        <f t="shared" si="489"/>
        <v>67.692555286343193</v>
      </c>
      <c r="T296" s="152">
        <f t="shared" si="490"/>
        <v>20</v>
      </c>
      <c r="U296" s="191">
        <f t="shared" si="491"/>
        <v>0.34429029704620262</v>
      </c>
      <c r="V296" s="191">
        <f t="shared" si="492"/>
        <v>0.98368656298915047</v>
      </c>
      <c r="W296" s="191">
        <f t="shared" si="493"/>
        <v>1.0166052078135905</v>
      </c>
      <c r="X296" s="175">
        <f t="shared" si="494"/>
        <v>350</v>
      </c>
      <c r="Y296" s="386">
        <f t="shared" si="480"/>
        <v>350</v>
      </c>
      <c r="AA296" s="191">
        <f t="shared" si="495"/>
        <v>0.49177153920619554</v>
      </c>
      <c r="AB296" s="153">
        <f t="shared" si="496"/>
        <v>1.452081316553727</v>
      </c>
      <c r="AC296" s="153">
        <f t="shared" si="497"/>
        <v>0.1249661462164824</v>
      </c>
      <c r="AD296" s="153"/>
      <c r="AE296" s="153">
        <f t="shared" si="498"/>
        <v>0.44291338582677164</v>
      </c>
      <c r="AF296" s="317">
        <f t="shared" si="499"/>
        <v>2408.296296296297</v>
      </c>
      <c r="AG296" s="463">
        <f t="shared" si="500"/>
        <v>1.1626476377952754E-2</v>
      </c>
      <c r="AI296" s="153">
        <f t="shared" si="501"/>
        <v>0.39347051683582046</v>
      </c>
      <c r="AJ296" s="153">
        <f t="shared" si="502"/>
        <v>0.39347051683582046</v>
      </c>
      <c r="AK296" s="153">
        <f t="shared" si="503"/>
        <v>1.3623136778905469</v>
      </c>
      <c r="AM296" s="317">
        <f t="shared" si="504"/>
        <v>80.000000000000014</v>
      </c>
      <c r="AN296" s="147">
        <f t="shared" si="505"/>
        <v>350</v>
      </c>
      <c r="AP296">
        <f t="shared" si="506"/>
        <v>80.000000000000014</v>
      </c>
      <c r="AQ296">
        <f t="shared" si="507"/>
        <v>350</v>
      </c>
      <c r="AS296" s="5">
        <f t="shared" si="479"/>
        <v>2.8571428571428572</v>
      </c>
      <c r="AT296" s="5">
        <f t="shared" si="508"/>
        <v>1.1242014766737729</v>
      </c>
      <c r="AU296" s="5">
        <f t="shared" si="440"/>
        <v>1.7329413804690843</v>
      </c>
      <c r="AV296" s="5"/>
      <c r="AW296" s="153">
        <f t="shared" si="441"/>
        <v>0.39347051683582052</v>
      </c>
      <c r="AX296" s="153"/>
      <c r="BA296" s="147">
        <f t="shared" si="509"/>
        <v>2.347082921094211</v>
      </c>
      <c r="BB296" s="147">
        <f t="shared" si="510"/>
        <v>8.5109977687074885</v>
      </c>
      <c r="BC296" s="5">
        <f t="shared" si="442"/>
        <v>0.14670403220902306</v>
      </c>
      <c r="BD296" s="147">
        <f t="shared" si="511"/>
        <v>0</v>
      </c>
      <c r="BQ296" s="463">
        <f t="shared" si="512"/>
        <v>3.0560000000000007E-2</v>
      </c>
      <c r="CG296" s="59">
        <f t="shared" si="513"/>
        <v>-50</v>
      </c>
      <c r="CH296">
        <f t="shared" si="514"/>
        <v>-50</v>
      </c>
    </row>
    <row r="297" spans="5:86" x14ac:dyDescent="0.25">
      <c r="E297" s="150">
        <v>81</v>
      </c>
      <c r="F297" s="191">
        <f t="shared" si="515"/>
        <v>8.1000000000000016E-2</v>
      </c>
      <c r="G297" s="191"/>
      <c r="H297" s="191">
        <f t="shared" si="481"/>
        <v>1.6200000000000003</v>
      </c>
      <c r="I297" s="472">
        <f t="shared" si="482"/>
        <v>21</v>
      </c>
      <c r="J297" s="386">
        <f t="shared" si="483"/>
        <v>20.32</v>
      </c>
      <c r="K297" s="386">
        <f t="shared" si="484"/>
        <v>41.32</v>
      </c>
      <c r="L297" s="386"/>
      <c r="M297" s="191">
        <f t="shared" si="485"/>
        <v>0.49177153920619554</v>
      </c>
      <c r="N297" s="152">
        <f t="shared" si="486"/>
        <v>3.5342268151016456</v>
      </c>
      <c r="O297" s="152">
        <f t="shared" si="478"/>
        <v>1.6200000000000003</v>
      </c>
      <c r="P297" s="191">
        <f t="shared" si="487"/>
        <v>0.17671134075508227</v>
      </c>
      <c r="Q297" s="191">
        <f t="shared" si="488"/>
        <v>20</v>
      </c>
      <c r="R297" s="191"/>
      <c r="S297" s="152">
        <f t="shared" si="489"/>
        <v>66.600417783131249</v>
      </c>
      <c r="T297" s="152">
        <f t="shared" si="490"/>
        <v>20</v>
      </c>
      <c r="U297" s="191">
        <f t="shared" si="491"/>
        <v>0.34859392575928017</v>
      </c>
      <c r="V297" s="191">
        <f t="shared" si="492"/>
        <v>0.99598264502651479</v>
      </c>
      <c r="W297" s="191">
        <f t="shared" si="493"/>
        <v>1.0293127729112603</v>
      </c>
      <c r="X297" s="175">
        <f t="shared" si="494"/>
        <v>350</v>
      </c>
      <c r="Y297" s="386">
        <f t="shared" si="480"/>
        <v>350</v>
      </c>
      <c r="AA297" s="191">
        <f t="shared" si="495"/>
        <v>0.49177153920619554</v>
      </c>
      <c r="AB297" s="153">
        <f t="shared" si="496"/>
        <v>1.452081316553727</v>
      </c>
      <c r="AC297" s="153">
        <f t="shared" si="497"/>
        <v>0.1249661462164824</v>
      </c>
      <c r="AD297" s="153"/>
      <c r="AE297" s="153">
        <f t="shared" si="498"/>
        <v>0.44291338582677164</v>
      </c>
      <c r="AF297" s="317">
        <f t="shared" si="499"/>
        <v>2438.400000000001</v>
      </c>
      <c r="AG297" s="463">
        <f t="shared" si="500"/>
        <v>1.1626476377952754E-2</v>
      </c>
      <c r="AI297" s="153">
        <f t="shared" si="501"/>
        <v>0.39592207025409148</v>
      </c>
      <c r="AJ297" s="153">
        <f t="shared" si="502"/>
        <v>0.39592207025409148</v>
      </c>
      <c r="AK297" s="153">
        <f t="shared" si="503"/>
        <v>1.363948046836061</v>
      </c>
      <c r="AM297" s="317">
        <f t="shared" si="504"/>
        <v>81.000000000000014</v>
      </c>
      <c r="AN297" s="147">
        <f t="shared" si="505"/>
        <v>350</v>
      </c>
      <c r="AP297">
        <f t="shared" si="506"/>
        <v>81.000000000000014</v>
      </c>
      <c r="AQ297">
        <f t="shared" si="507"/>
        <v>350</v>
      </c>
      <c r="AS297" s="5">
        <f t="shared" si="479"/>
        <v>2.8571428571428572</v>
      </c>
      <c r="AT297" s="5">
        <f t="shared" si="508"/>
        <v>1.13120591501169</v>
      </c>
      <c r="AU297" s="5">
        <f t="shared" si="440"/>
        <v>1.7259369421311672</v>
      </c>
      <c r="AV297" s="5"/>
      <c r="AW297" s="153">
        <f t="shared" si="441"/>
        <v>0.39592207025409148</v>
      </c>
      <c r="AX297" s="153"/>
      <c r="BA297" s="147">
        <f t="shared" si="509"/>
        <v>2.347082921094211</v>
      </c>
      <c r="BB297" s="147">
        <f t="shared" si="510"/>
        <v>8.7220650563265352</v>
      </c>
      <c r="BC297" s="5">
        <f t="shared" si="442"/>
        <v>0.14793745218267151</v>
      </c>
      <c r="BD297" s="147">
        <f t="shared" si="511"/>
        <v>0</v>
      </c>
      <c r="BQ297" s="463">
        <f t="shared" si="512"/>
        <v>3.0942000000000004E-2</v>
      </c>
      <c r="CG297" s="59">
        <f t="shared" si="513"/>
        <v>-50</v>
      </c>
      <c r="CH297">
        <f t="shared" si="514"/>
        <v>-50</v>
      </c>
    </row>
    <row r="298" spans="5:86" x14ac:dyDescent="0.25">
      <c r="E298" s="150">
        <v>82</v>
      </c>
      <c r="F298" s="191">
        <f t="shared" si="515"/>
        <v>8.2000000000000003E-2</v>
      </c>
      <c r="G298" s="191"/>
      <c r="H298" s="191">
        <f t="shared" si="481"/>
        <v>1.6400000000000001</v>
      </c>
      <c r="I298" s="472">
        <f t="shared" si="482"/>
        <v>21</v>
      </c>
      <c r="J298" s="386">
        <f t="shared" si="483"/>
        <v>20.32</v>
      </c>
      <c r="K298" s="386">
        <f t="shared" si="484"/>
        <v>41.32</v>
      </c>
      <c r="L298" s="386"/>
      <c r="M298" s="191">
        <f t="shared" si="485"/>
        <v>0.49177153920619554</v>
      </c>
      <c r="N298" s="152">
        <f t="shared" si="486"/>
        <v>3.5342268151016456</v>
      </c>
      <c r="O298" s="152">
        <f t="shared" si="478"/>
        <v>1.6400000000000001</v>
      </c>
      <c r="P298" s="191">
        <f t="shared" si="487"/>
        <v>0.17671134075508227</v>
      </c>
      <c r="Q298" s="191">
        <f t="shared" si="488"/>
        <v>20</v>
      </c>
      <c r="R298" s="191"/>
      <c r="S298" s="152">
        <f t="shared" si="489"/>
        <v>65.534969242730384</v>
      </c>
      <c r="T298" s="152">
        <f t="shared" si="490"/>
        <v>20</v>
      </c>
      <c r="U298" s="191">
        <f t="shared" si="491"/>
        <v>0.3528975544723576</v>
      </c>
      <c r="V298" s="191">
        <f t="shared" si="492"/>
        <v>1.0082787270638789</v>
      </c>
      <c r="W298" s="191">
        <f t="shared" si="493"/>
        <v>1.0420203380089299</v>
      </c>
      <c r="X298" s="175">
        <f t="shared" si="494"/>
        <v>350</v>
      </c>
      <c r="Y298" s="386">
        <f t="shared" si="480"/>
        <v>350</v>
      </c>
      <c r="AA298" s="191">
        <f t="shared" si="495"/>
        <v>0.49177153920619554</v>
      </c>
      <c r="AB298" s="153">
        <f t="shared" si="496"/>
        <v>1.452081316553727</v>
      </c>
      <c r="AC298" s="153">
        <f t="shared" si="497"/>
        <v>0.1249661462164824</v>
      </c>
      <c r="AD298" s="153"/>
      <c r="AE298" s="153">
        <f t="shared" si="498"/>
        <v>0.44291338582677164</v>
      </c>
      <c r="AF298" s="317">
        <f t="shared" si="499"/>
        <v>2468.5037037037041</v>
      </c>
      <c r="AG298" s="463">
        <f t="shared" si="500"/>
        <v>1.1626476377952754E-2</v>
      </c>
      <c r="AI298" s="153">
        <f t="shared" si="501"/>
        <v>0.3983585367599442</v>
      </c>
      <c r="AJ298" s="153">
        <f t="shared" si="502"/>
        <v>0.3983585367599442</v>
      </c>
      <c r="AK298" s="153">
        <f t="shared" si="503"/>
        <v>1.3655723578399628</v>
      </c>
      <c r="AM298" s="317">
        <f t="shared" si="504"/>
        <v>82</v>
      </c>
      <c r="AN298" s="147">
        <f t="shared" si="505"/>
        <v>350</v>
      </c>
      <c r="AP298">
        <f t="shared" si="506"/>
        <v>82</v>
      </c>
      <c r="AQ298">
        <f t="shared" si="507"/>
        <v>350</v>
      </c>
      <c r="AS298" s="5">
        <f t="shared" si="479"/>
        <v>2.8571428571428572</v>
      </c>
      <c r="AT298" s="5">
        <f t="shared" si="508"/>
        <v>1.1381672478855547</v>
      </c>
      <c r="AU298" s="5">
        <f t="shared" ref="AU298:AU316" si="516">AS298-AT298</f>
        <v>1.7189756092573025</v>
      </c>
      <c r="AV298" s="5"/>
      <c r="AW298" s="153">
        <f t="shared" ref="AW298:AW316" si="517">AT298/AS298</f>
        <v>0.39835853675994415</v>
      </c>
      <c r="AX298" s="153"/>
      <c r="BA298" s="147">
        <f t="shared" si="509"/>
        <v>2.347082921094211</v>
      </c>
      <c r="BB298" s="147">
        <f t="shared" si="510"/>
        <v>8.935717030748302</v>
      </c>
      <c r="BC298" s="5">
        <f t="shared" si="442"/>
        <v>0.1491597883165067</v>
      </c>
      <c r="BD298" s="147">
        <f t="shared" si="511"/>
        <v>0</v>
      </c>
      <c r="BQ298" s="463">
        <f t="shared" si="512"/>
        <v>3.1324000000000005E-2</v>
      </c>
      <c r="CG298" s="59">
        <f t="shared" si="513"/>
        <v>-50</v>
      </c>
      <c r="CH298">
        <f t="shared" si="514"/>
        <v>-50</v>
      </c>
    </row>
    <row r="299" spans="5:86" x14ac:dyDescent="0.25">
      <c r="E299" s="150">
        <v>83</v>
      </c>
      <c r="F299" s="191">
        <f t="shared" si="515"/>
        <v>8.3000000000000004E-2</v>
      </c>
      <c r="G299" s="191"/>
      <c r="H299" s="191">
        <f t="shared" si="481"/>
        <v>1.6600000000000001</v>
      </c>
      <c r="I299" s="472">
        <f t="shared" si="482"/>
        <v>21</v>
      </c>
      <c r="J299" s="386">
        <f t="shared" si="483"/>
        <v>20.32</v>
      </c>
      <c r="K299" s="386">
        <f t="shared" si="484"/>
        <v>41.32</v>
      </c>
      <c r="L299" s="386"/>
      <c r="M299" s="191">
        <f t="shared" si="485"/>
        <v>0.49177153920619554</v>
      </c>
      <c r="N299" s="152">
        <f t="shared" si="486"/>
        <v>3.5342268151016456</v>
      </c>
      <c r="O299" s="152">
        <f t="shared" si="478"/>
        <v>1.6600000000000001</v>
      </c>
      <c r="P299" s="191">
        <f t="shared" si="487"/>
        <v>0.17671134075508227</v>
      </c>
      <c r="Q299" s="191">
        <f t="shared" si="488"/>
        <v>20</v>
      </c>
      <c r="R299" s="191"/>
      <c r="S299" s="152">
        <f t="shared" si="489"/>
        <v>64.495245576004464</v>
      </c>
      <c r="T299" s="152">
        <f t="shared" si="490"/>
        <v>20</v>
      </c>
      <c r="U299" s="191">
        <f t="shared" si="491"/>
        <v>0.35720118318543514</v>
      </c>
      <c r="V299" s="191">
        <f t="shared" si="492"/>
        <v>1.0205748091012434</v>
      </c>
      <c r="W299" s="191">
        <f t="shared" si="493"/>
        <v>1.0547279031065999</v>
      </c>
      <c r="X299" s="175">
        <f t="shared" si="494"/>
        <v>350</v>
      </c>
      <c r="Y299" s="386">
        <f t="shared" si="480"/>
        <v>350</v>
      </c>
      <c r="AA299" s="191">
        <f t="shared" si="495"/>
        <v>0.49177153920619554</v>
      </c>
      <c r="AB299" s="153">
        <f t="shared" si="496"/>
        <v>1.452081316553727</v>
      </c>
      <c r="AC299" s="153">
        <f t="shared" si="497"/>
        <v>0.1249661462164824</v>
      </c>
      <c r="AD299" s="153"/>
      <c r="AE299" s="153">
        <f t="shared" si="498"/>
        <v>0.44291338582677164</v>
      </c>
      <c r="AF299" s="317">
        <f t="shared" si="499"/>
        <v>2498.6074074074081</v>
      </c>
      <c r="AG299" s="463">
        <f t="shared" si="500"/>
        <v>1.1626476377952754E-2</v>
      </c>
      <c r="AI299" s="153">
        <f t="shared" si="501"/>
        <v>0.40078019150746697</v>
      </c>
      <c r="AJ299" s="153">
        <f t="shared" si="502"/>
        <v>0.40078019150746697</v>
      </c>
      <c r="AK299" s="153">
        <f t="shared" si="503"/>
        <v>1.3671867943383114</v>
      </c>
      <c r="AM299" s="317">
        <f t="shared" si="504"/>
        <v>83</v>
      </c>
      <c r="AN299" s="147">
        <f t="shared" si="505"/>
        <v>350</v>
      </c>
      <c r="AP299">
        <f t="shared" si="506"/>
        <v>83</v>
      </c>
      <c r="AQ299">
        <f t="shared" si="507"/>
        <v>350</v>
      </c>
      <c r="AS299" s="5">
        <f t="shared" si="479"/>
        <v>2.8571428571428572</v>
      </c>
      <c r="AT299" s="5">
        <f t="shared" si="508"/>
        <v>1.1450862614499056</v>
      </c>
      <c r="AU299" s="5">
        <f t="shared" si="516"/>
        <v>1.7120565956929517</v>
      </c>
      <c r="AV299" s="5"/>
      <c r="AW299" s="153">
        <f t="shared" si="517"/>
        <v>0.40078019150746691</v>
      </c>
      <c r="AX299" s="153"/>
      <c r="BA299" s="147">
        <f t="shared" si="509"/>
        <v>2.347082921094211</v>
      </c>
      <c r="BB299" s="147">
        <f t="shared" si="510"/>
        <v>9.1519536919727908</v>
      </c>
      <c r="BC299" s="5">
        <f t="shared" si="442"/>
        <v>0.1503711084047778</v>
      </c>
      <c r="BD299" s="147">
        <f t="shared" si="511"/>
        <v>0</v>
      </c>
      <c r="BQ299" s="463">
        <f t="shared" si="512"/>
        <v>3.1705999999999998E-2</v>
      </c>
      <c r="CG299" s="59">
        <f t="shared" si="513"/>
        <v>-50</v>
      </c>
      <c r="CH299">
        <f t="shared" si="514"/>
        <v>-50</v>
      </c>
    </row>
    <row r="300" spans="5:86" x14ac:dyDescent="0.25">
      <c r="E300" s="150">
        <v>84</v>
      </c>
      <c r="F300" s="191">
        <f t="shared" si="515"/>
        <v>8.4000000000000005E-2</v>
      </c>
      <c r="G300" s="191"/>
      <c r="H300" s="191">
        <f t="shared" si="481"/>
        <v>1.6800000000000002</v>
      </c>
      <c r="I300" s="472">
        <f t="shared" si="482"/>
        <v>21</v>
      </c>
      <c r="J300" s="386">
        <f t="shared" si="483"/>
        <v>20.32</v>
      </c>
      <c r="K300" s="386">
        <f t="shared" si="484"/>
        <v>41.32</v>
      </c>
      <c r="L300" s="386"/>
      <c r="M300" s="191">
        <f t="shared" si="485"/>
        <v>0.49177153920619554</v>
      </c>
      <c r="N300" s="152">
        <f t="shared" si="486"/>
        <v>3.5342268151016456</v>
      </c>
      <c r="O300" s="152">
        <f t="shared" si="478"/>
        <v>1.6800000000000002</v>
      </c>
      <c r="P300" s="191">
        <f t="shared" si="487"/>
        <v>0.17671134075508227</v>
      </c>
      <c r="Q300" s="191">
        <f t="shared" si="488"/>
        <v>20</v>
      </c>
      <c r="R300" s="191"/>
      <c r="S300" s="152">
        <f t="shared" si="489"/>
        <v>63.480328611094819</v>
      </c>
      <c r="T300" s="152">
        <f t="shared" si="490"/>
        <v>20</v>
      </c>
      <c r="U300" s="191">
        <f t="shared" si="491"/>
        <v>0.36150481189851269</v>
      </c>
      <c r="V300" s="191">
        <f t="shared" si="492"/>
        <v>1.0328708911386077</v>
      </c>
      <c r="W300" s="191">
        <f t="shared" si="493"/>
        <v>1.0674354682042697</v>
      </c>
      <c r="X300" s="175">
        <f t="shared" si="494"/>
        <v>350</v>
      </c>
      <c r="Y300" s="386">
        <f t="shared" si="480"/>
        <v>350</v>
      </c>
      <c r="AA300" s="191">
        <f t="shared" si="495"/>
        <v>0.49177153920619554</v>
      </c>
      <c r="AB300" s="153">
        <f t="shared" si="496"/>
        <v>1.452081316553727</v>
      </c>
      <c r="AC300" s="153">
        <f t="shared" si="497"/>
        <v>0.1249661462164824</v>
      </c>
      <c r="AD300" s="153"/>
      <c r="AE300" s="153">
        <f t="shared" si="498"/>
        <v>0.44291338582677164</v>
      </c>
      <c r="AF300" s="317">
        <f t="shared" si="499"/>
        <v>2528.7111111111117</v>
      </c>
      <c r="AG300" s="463">
        <f t="shared" si="500"/>
        <v>1.1626476377952754E-2</v>
      </c>
      <c r="AI300" s="153">
        <f t="shared" si="501"/>
        <v>0.40318730138733289</v>
      </c>
      <c r="AJ300" s="153">
        <f t="shared" si="502"/>
        <v>0.40318730138733289</v>
      </c>
      <c r="AK300" s="153">
        <f t="shared" si="503"/>
        <v>1.368791534258222</v>
      </c>
      <c r="AM300" s="317">
        <f t="shared" si="504"/>
        <v>84</v>
      </c>
      <c r="AN300" s="147">
        <f t="shared" si="505"/>
        <v>350</v>
      </c>
      <c r="AP300">
        <f t="shared" si="506"/>
        <v>84</v>
      </c>
      <c r="AQ300">
        <f t="shared" si="507"/>
        <v>350</v>
      </c>
      <c r="AS300" s="5">
        <f t="shared" si="479"/>
        <v>2.8571428571428572</v>
      </c>
      <c r="AT300" s="5">
        <f t="shared" si="508"/>
        <v>1.1519637182495226</v>
      </c>
      <c r="AU300" s="5">
        <f t="shared" si="516"/>
        <v>1.7051791388933346</v>
      </c>
      <c r="AV300" s="5"/>
      <c r="AW300" s="153">
        <f t="shared" si="517"/>
        <v>0.40318730138733289</v>
      </c>
      <c r="AX300" s="153"/>
      <c r="BA300" s="147">
        <f t="shared" si="509"/>
        <v>2.347082921094211</v>
      </c>
      <c r="BB300" s="147">
        <f t="shared" si="510"/>
        <v>9.3707750400000034</v>
      </c>
      <c r="BC300" s="5">
        <f t="shared" si="442"/>
        <v>0.15157147901274087</v>
      </c>
      <c r="BD300" s="147">
        <f t="shared" si="511"/>
        <v>0</v>
      </c>
      <c r="BQ300" s="463">
        <f t="shared" si="512"/>
        <v>3.2088000000000005E-2</v>
      </c>
      <c r="CG300" s="59">
        <f t="shared" si="513"/>
        <v>-50</v>
      </c>
      <c r="CH300">
        <f t="shared" si="514"/>
        <v>-50</v>
      </c>
    </row>
    <row r="301" spans="5:86" x14ac:dyDescent="0.25">
      <c r="E301" s="150">
        <v>85</v>
      </c>
      <c r="F301" s="191">
        <f t="shared" si="515"/>
        <v>8.5000000000000006E-2</v>
      </c>
      <c r="G301" s="191"/>
      <c r="H301" s="191">
        <f t="shared" si="481"/>
        <v>1.7000000000000002</v>
      </c>
      <c r="I301" s="472">
        <f t="shared" si="482"/>
        <v>21</v>
      </c>
      <c r="J301" s="386">
        <f t="shared" si="483"/>
        <v>20.32</v>
      </c>
      <c r="K301" s="386">
        <f t="shared" si="484"/>
        <v>41.32</v>
      </c>
      <c r="L301" s="386"/>
      <c r="M301" s="191">
        <f t="shared" si="485"/>
        <v>0.49177153920619554</v>
      </c>
      <c r="N301" s="152">
        <f t="shared" si="486"/>
        <v>3.5342268151016456</v>
      </c>
      <c r="O301" s="152">
        <f t="shared" si="478"/>
        <v>1.7000000000000002</v>
      </c>
      <c r="P301" s="191">
        <f t="shared" si="487"/>
        <v>0.17671134075508227</v>
      </c>
      <c r="Q301" s="191">
        <f t="shared" si="488"/>
        <v>20</v>
      </c>
      <c r="R301" s="191"/>
      <c r="S301" s="152">
        <f t="shared" si="489"/>
        <v>62.489343392549301</v>
      </c>
      <c r="T301" s="152">
        <f t="shared" si="490"/>
        <v>20</v>
      </c>
      <c r="U301" s="191">
        <f t="shared" si="491"/>
        <v>0.36580844061159024</v>
      </c>
      <c r="V301" s="191">
        <f t="shared" si="492"/>
        <v>1.0451669731759721</v>
      </c>
      <c r="W301" s="191">
        <f t="shared" si="493"/>
        <v>1.0801430333019397</v>
      </c>
      <c r="X301" s="175">
        <f t="shared" si="494"/>
        <v>350</v>
      </c>
      <c r="Y301" s="386">
        <f t="shared" si="480"/>
        <v>350</v>
      </c>
      <c r="AA301" s="191">
        <f t="shared" si="495"/>
        <v>0.49177153920619554</v>
      </c>
      <c r="AB301" s="153">
        <f t="shared" si="496"/>
        <v>1.452081316553727</v>
      </c>
      <c r="AC301" s="153">
        <f t="shared" si="497"/>
        <v>0.1249661462164824</v>
      </c>
      <c r="AD301" s="153"/>
      <c r="AE301" s="153">
        <f t="shared" si="498"/>
        <v>0.44291338582677164</v>
      </c>
      <c r="AF301" s="317">
        <f t="shared" si="499"/>
        <v>2558.8148148148152</v>
      </c>
      <c r="AG301" s="463">
        <f t="shared" si="500"/>
        <v>1.1626476377952754E-2</v>
      </c>
      <c r="AI301" s="153">
        <f t="shared" si="501"/>
        <v>0.4055801253701149</v>
      </c>
      <c r="AJ301" s="153">
        <f t="shared" si="502"/>
        <v>0.4055801253701149</v>
      </c>
      <c r="AK301" s="153">
        <f t="shared" si="503"/>
        <v>1.3703867502467433</v>
      </c>
      <c r="AM301" s="317">
        <f t="shared" si="504"/>
        <v>85</v>
      </c>
      <c r="AN301" s="147">
        <f t="shared" si="505"/>
        <v>350</v>
      </c>
      <c r="AP301">
        <f t="shared" si="506"/>
        <v>85</v>
      </c>
      <c r="AQ301">
        <f t="shared" si="507"/>
        <v>350</v>
      </c>
      <c r="AS301" s="5">
        <f t="shared" si="479"/>
        <v>2.8571428571428572</v>
      </c>
      <c r="AT301" s="5">
        <f t="shared" si="508"/>
        <v>1.1588003582003281</v>
      </c>
      <c r="AU301" s="5">
        <f t="shared" si="516"/>
        <v>1.6983424989425291</v>
      </c>
      <c r="AV301" s="5"/>
      <c r="AW301" s="153">
        <f t="shared" si="517"/>
        <v>0.40558012537011484</v>
      </c>
      <c r="AX301" s="153"/>
      <c r="BA301" s="147">
        <f t="shared" si="509"/>
        <v>2.347082921094211</v>
      </c>
      <c r="BB301" s="147">
        <f t="shared" si="510"/>
        <v>9.5921810748299343</v>
      </c>
      <c r="BC301" s="5">
        <f t="shared" si="442"/>
        <v>0.1527609655133492</v>
      </c>
      <c r="BD301" s="147">
        <f t="shared" si="511"/>
        <v>0</v>
      </c>
      <c r="BQ301" s="463">
        <f t="shared" si="512"/>
        <v>3.2469999999999999E-2</v>
      </c>
      <c r="CG301" s="59">
        <f t="shared" si="513"/>
        <v>-50</v>
      </c>
      <c r="CH301">
        <f t="shared" si="514"/>
        <v>-50</v>
      </c>
    </row>
    <row r="302" spans="5:86" x14ac:dyDescent="0.25">
      <c r="E302" s="150">
        <v>86</v>
      </c>
      <c r="F302" s="191">
        <f t="shared" si="515"/>
        <v>8.6000000000000007E-2</v>
      </c>
      <c r="G302" s="191"/>
      <c r="H302" s="191">
        <f t="shared" si="481"/>
        <v>1.7200000000000002</v>
      </c>
      <c r="I302" s="472">
        <f t="shared" si="482"/>
        <v>21</v>
      </c>
      <c r="J302" s="386">
        <f t="shared" si="483"/>
        <v>20.32</v>
      </c>
      <c r="K302" s="386">
        <f t="shared" si="484"/>
        <v>41.32</v>
      </c>
      <c r="L302" s="386"/>
      <c r="M302" s="191">
        <f t="shared" si="485"/>
        <v>0.49177153920619554</v>
      </c>
      <c r="N302" s="152">
        <f t="shared" si="486"/>
        <v>3.5342268151016456</v>
      </c>
      <c r="O302" s="152">
        <f t="shared" si="478"/>
        <v>1.7200000000000002</v>
      </c>
      <c r="P302" s="191">
        <f t="shared" si="487"/>
        <v>0.17671134075508227</v>
      </c>
      <c r="Q302" s="191">
        <f t="shared" si="488"/>
        <v>20</v>
      </c>
      <c r="R302" s="191"/>
      <c r="S302" s="152">
        <f t="shared" si="489"/>
        <v>61.521455668886937</v>
      </c>
      <c r="T302" s="152">
        <f t="shared" si="490"/>
        <v>20</v>
      </c>
      <c r="U302" s="191">
        <f t="shared" si="491"/>
        <v>0.37011206932466778</v>
      </c>
      <c r="V302" s="191">
        <f t="shared" si="492"/>
        <v>1.0574630552133366</v>
      </c>
      <c r="W302" s="191">
        <f t="shared" si="493"/>
        <v>1.0928505983996097</v>
      </c>
      <c r="X302" s="175">
        <f t="shared" si="494"/>
        <v>350</v>
      </c>
      <c r="Y302" s="386">
        <f t="shared" si="480"/>
        <v>350</v>
      </c>
      <c r="AA302" s="191">
        <f t="shared" si="495"/>
        <v>0.49177153920619554</v>
      </c>
      <c r="AB302" s="153">
        <f t="shared" si="496"/>
        <v>1.452081316553727</v>
      </c>
      <c r="AC302" s="153">
        <f t="shared" si="497"/>
        <v>0.1249661462164824</v>
      </c>
      <c r="AD302" s="153"/>
      <c r="AE302" s="153">
        <f t="shared" si="498"/>
        <v>0.44291338582677164</v>
      </c>
      <c r="AF302" s="317">
        <f t="shared" si="499"/>
        <v>2588.9185185185192</v>
      </c>
      <c r="AG302" s="463">
        <f t="shared" si="500"/>
        <v>1.1626476377952754E-2</v>
      </c>
      <c r="AI302" s="153">
        <f t="shared" si="501"/>
        <v>0.40795891483147689</v>
      </c>
      <c r="AJ302" s="153">
        <f t="shared" si="502"/>
        <v>0.40795891483147689</v>
      </c>
      <c r="AK302" s="153">
        <f t="shared" si="503"/>
        <v>1.3719726098876512</v>
      </c>
      <c r="AM302" s="317">
        <f t="shared" si="504"/>
        <v>86</v>
      </c>
      <c r="AN302" s="147">
        <f t="shared" si="505"/>
        <v>350</v>
      </c>
      <c r="AP302">
        <f t="shared" si="506"/>
        <v>86</v>
      </c>
      <c r="AQ302">
        <f t="shared" si="507"/>
        <v>350</v>
      </c>
      <c r="AS302" s="5">
        <f t="shared" si="479"/>
        <v>2.8571428571428572</v>
      </c>
      <c r="AT302" s="5">
        <f t="shared" si="508"/>
        <v>1.1655968995185055</v>
      </c>
      <c r="AU302" s="5">
        <f t="shared" si="516"/>
        <v>1.6915459576243517</v>
      </c>
      <c r="AV302" s="5"/>
      <c r="AW302" s="153">
        <f t="shared" si="517"/>
        <v>0.40795891483147695</v>
      </c>
      <c r="AX302" s="153"/>
      <c r="BA302" s="147">
        <f t="shared" si="509"/>
        <v>2.347082921094211</v>
      </c>
      <c r="BB302" s="147">
        <f t="shared" si="510"/>
        <v>9.8161717964625872</v>
      </c>
      <c r="BC302" s="5">
        <f t="shared" si="442"/>
        <v>0.15393963212242778</v>
      </c>
      <c r="BD302" s="147">
        <f t="shared" si="511"/>
        <v>0</v>
      </c>
      <c r="BQ302" s="463">
        <f t="shared" si="512"/>
        <v>3.2852000000000006E-2</v>
      </c>
      <c r="CG302" s="59">
        <f t="shared" si="513"/>
        <v>-50</v>
      </c>
      <c r="CH302">
        <f t="shared" si="514"/>
        <v>-50</v>
      </c>
    </row>
    <row r="303" spans="5:86" x14ac:dyDescent="0.25">
      <c r="E303" s="150">
        <v>87</v>
      </c>
      <c r="F303" s="191">
        <f t="shared" si="515"/>
        <v>8.7000000000000008E-2</v>
      </c>
      <c r="G303" s="191"/>
      <c r="H303" s="191">
        <f t="shared" si="481"/>
        <v>1.7400000000000002</v>
      </c>
      <c r="I303" s="472">
        <f t="shared" si="482"/>
        <v>21</v>
      </c>
      <c r="J303" s="386">
        <f t="shared" si="483"/>
        <v>20.32</v>
      </c>
      <c r="K303" s="386">
        <f t="shared" si="484"/>
        <v>41.32</v>
      </c>
      <c r="L303" s="386"/>
      <c r="M303" s="191">
        <f t="shared" si="485"/>
        <v>0.49177153920619554</v>
      </c>
      <c r="N303" s="152">
        <f t="shared" si="486"/>
        <v>3.5342268151016456</v>
      </c>
      <c r="O303" s="152">
        <f t="shared" si="478"/>
        <v>1.7400000000000002</v>
      </c>
      <c r="P303" s="191">
        <f t="shared" si="487"/>
        <v>0.17671134075508227</v>
      </c>
      <c r="Q303" s="191">
        <f t="shared" si="488"/>
        <v>20</v>
      </c>
      <c r="R303" s="191"/>
      <c r="S303" s="152">
        <f t="shared" si="489"/>
        <v>60.575869553437229</v>
      </c>
      <c r="T303" s="152">
        <f t="shared" si="490"/>
        <v>20</v>
      </c>
      <c r="U303" s="191">
        <f t="shared" si="491"/>
        <v>0.37441569803774533</v>
      </c>
      <c r="V303" s="191">
        <f t="shared" si="492"/>
        <v>1.0697591372507009</v>
      </c>
      <c r="W303" s="191">
        <f t="shared" si="493"/>
        <v>1.1055581634972795</v>
      </c>
      <c r="X303" s="175">
        <f t="shared" si="494"/>
        <v>350</v>
      </c>
      <c r="Y303" s="386">
        <f t="shared" si="480"/>
        <v>350</v>
      </c>
      <c r="AA303" s="191">
        <f t="shared" si="495"/>
        <v>0.49177153920619554</v>
      </c>
      <c r="AB303" s="153">
        <f t="shared" si="496"/>
        <v>1.452081316553727</v>
      </c>
      <c r="AC303" s="153">
        <f t="shared" si="497"/>
        <v>0.1249661462164824</v>
      </c>
      <c r="AD303" s="153"/>
      <c r="AE303" s="153">
        <f t="shared" si="498"/>
        <v>0.44291338582677164</v>
      </c>
      <c r="AF303" s="317">
        <f t="shared" si="499"/>
        <v>2619.0222222222228</v>
      </c>
      <c r="AG303" s="463">
        <f t="shared" si="500"/>
        <v>1.1626476377952754E-2</v>
      </c>
      <c r="AI303" s="153">
        <f t="shared" si="501"/>
        <v>0.41032391386039679</v>
      </c>
      <c r="AJ303" s="153">
        <f t="shared" si="502"/>
        <v>0.41032391386039679</v>
      </c>
      <c r="AK303" s="153">
        <f t="shared" si="503"/>
        <v>1.3735492759069312</v>
      </c>
      <c r="AM303" s="317">
        <f t="shared" si="504"/>
        <v>87.000000000000014</v>
      </c>
      <c r="AN303" s="147">
        <f t="shared" si="505"/>
        <v>350</v>
      </c>
      <c r="AP303">
        <f t="shared" si="506"/>
        <v>87.000000000000014</v>
      </c>
      <c r="AQ303">
        <f t="shared" si="507"/>
        <v>350</v>
      </c>
      <c r="AS303" s="5">
        <f t="shared" si="479"/>
        <v>2.8571428571428572</v>
      </c>
      <c r="AT303" s="5">
        <f t="shared" si="508"/>
        <v>1.1723540396011338</v>
      </c>
      <c r="AU303" s="5">
        <f t="shared" si="516"/>
        <v>1.6847888175417234</v>
      </c>
      <c r="AV303" s="5"/>
      <c r="AW303" s="153">
        <f t="shared" si="517"/>
        <v>0.41032391386039685</v>
      </c>
      <c r="AX303" s="153"/>
      <c r="BA303" s="147">
        <f t="shared" si="509"/>
        <v>2.347082921094211</v>
      </c>
      <c r="BB303" s="147">
        <f t="shared" si="510"/>
        <v>10.042747204897962</v>
      </c>
      <c r="BC303" s="5">
        <f t="shared" si="442"/>
        <v>0.15510754193241263</v>
      </c>
      <c r="BD303" s="147">
        <f t="shared" si="511"/>
        <v>0</v>
      </c>
      <c r="BQ303" s="463">
        <f t="shared" si="512"/>
        <v>3.3234E-2</v>
      </c>
      <c r="CG303" s="59">
        <f t="shared" si="513"/>
        <v>-50</v>
      </c>
      <c r="CH303">
        <f t="shared" si="514"/>
        <v>-50</v>
      </c>
    </row>
    <row r="304" spans="5:86" x14ac:dyDescent="0.25">
      <c r="E304" s="150">
        <v>88</v>
      </c>
      <c r="F304" s="191">
        <f t="shared" si="515"/>
        <v>8.8000000000000009E-2</v>
      </c>
      <c r="G304" s="191"/>
      <c r="H304" s="191">
        <f t="shared" si="481"/>
        <v>1.7600000000000002</v>
      </c>
      <c r="I304" s="472">
        <f t="shared" si="482"/>
        <v>21</v>
      </c>
      <c r="J304" s="386">
        <f t="shared" si="483"/>
        <v>20.32</v>
      </c>
      <c r="K304" s="386">
        <f t="shared" si="484"/>
        <v>41.32</v>
      </c>
      <c r="L304" s="386"/>
      <c r="M304" s="191">
        <f t="shared" si="485"/>
        <v>0.49177153920619554</v>
      </c>
      <c r="N304" s="152">
        <f t="shared" si="486"/>
        <v>3.5342268151016456</v>
      </c>
      <c r="O304" s="152">
        <f t="shared" si="478"/>
        <v>1.7600000000000002</v>
      </c>
      <c r="P304" s="191">
        <f t="shared" si="487"/>
        <v>0.17671134075508227</v>
      </c>
      <c r="Q304" s="191">
        <f t="shared" si="488"/>
        <v>20</v>
      </c>
      <c r="R304" s="191"/>
      <c r="S304" s="152">
        <f t="shared" si="489"/>
        <v>59.651825344670627</v>
      </c>
      <c r="T304" s="152">
        <f t="shared" si="490"/>
        <v>20</v>
      </c>
      <c r="U304" s="191">
        <f t="shared" si="491"/>
        <v>0.37871932675082282</v>
      </c>
      <c r="V304" s="191">
        <f t="shared" si="492"/>
        <v>1.0820552192880653</v>
      </c>
      <c r="W304" s="191">
        <f t="shared" si="493"/>
        <v>1.1182657285949493</v>
      </c>
      <c r="X304" s="175">
        <f t="shared" si="494"/>
        <v>350</v>
      </c>
      <c r="Y304" s="386">
        <f t="shared" si="480"/>
        <v>350</v>
      </c>
      <c r="AA304" s="191">
        <f t="shared" si="495"/>
        <v>0.49177153920619554</v>
      </c>
      <c r="AB304" s="153">
        <f t="shared" si="496"/>
        <v>1.452081316553727</v>
      </c>
      <c r="AC304" s="153">
        <f t="shared" si="497"/>
        <v>0.1249661462164824</v>
      </c>
      <c r="AD304" s="153"/>
      <c r="AE304" s="153">
        <f t="shared" si="498"/>
        <v>0.44291338582677164</v>
      </c>
      <c r="AF304" s="317">
        <f t="shared" si="499"/>
        <v>2649.1259259259268</v>
      </c>
      <c r="AG304" s="463">
        <f t="shared" si="500"/>
        <v>1.1626476377952754E-2</v>
      </c>
      <c r="AI304" s="153">
        <f t="shared" si="501"/>
        <v>0.41267535955149104</v>
      </c>
      <c r="AJ304" s="153">
        <f t="shared" si="502"/>
        <v>0.41267535955149104</v>
      </c>
      <c r="AK304" s="153">
        <f t="shared" si="503"/>
        <v>1.3751169063676607</v>
      </c>
      <c r="AM304" s="317">
        <f t="shared" si="504"/>
        <v>88.000000000000014</v>
      </c>
      <c r="AN304" s="147">
        <f t="shared" si="505"/>
        <v>350</v>
      </c>
      <c r="AP304">
        <f t="shared" si="506"/>
        <v>88.000000000000014</v>
      </c>
      <c r="AQ304">
        <f t="shared" si="507"/>
        <v>350</v>
      </c>
      <c r="AS304" s="5">
        <f t="shared" si="479"/>
        <v>2.8571428571428572</v>
      </c>
      <c r="AT304" s="5">
        <f t="shared" si="508"/>
        <v>1.179072455861403</v>
      </c>
      <c r="AU304" s="5">
        <f t="shared" si="516"/>
        <v>1.6780704012814542</v>
      </c>
      <c r="AV304" s="5"/>
      <c r="AW304" s="153">
        <f t="shared" si="517"/>
        <v>0.41267535955149104</v>
      </c>
      <c r="AX304" s="153"/>
      <c r="BA304" s="147">
        <f t="shared" si="509"/>
        <v>2.347082921094211</v>
      </c>
      <c r="BB304" s="147">
        <f t="shared" si="510"/>
        <v>10.271907300136055</v>
      </c>
      <c r="BC304" s="5">
        <f t="shared" si="442"/>
        <v>0.15626475694472802</v>
      </c>
      <c r="BD304" s="147">
        <f t="shared" si="511"/>
        <v>0</v>
      </c>
      <c r="BQ304" s="463">
        <f t="shared" si="512"/>
        <v>3.3616E-2</v>
      </c>
      <c r="CG304" s="59">
        <f t="shared" si="513"/>
        <v>-50</v>
      </c>
      <c r="CH304">
        <f t="shared" si="514"/>
        <v>-50</v>
      </c>
    </row>
    <row r="305" spans="4:86" x14ac:dyDescent="0.25">
      <c r="E305" s="150">
        <v>89</v>
      </c>
      <c r="F305" s="191">
        <f t="shared" si="515"/>
        <v>8.900000000000001E-2</v>
      </c>
      <c r="G305" s="191"/>
      <c r="H305" s="191">
        <f t="shared" si="481"/>
        <v>1.7800000000000002</v>
      </c>
      <c r="I305" s="472">
        <f t="shared" si="482"/>
        <v>21</v>
      </c>
      <c r="J305" s="386">
        <f t="shared" si="483"/>
        <v>20.32</v>
      </c>
      <c r="K305" s="386">
        <f t="shared" si="484"/>
        <v>41.32</v>
      </c>
      <c r="L305" s="386"/>
      <c r="M305" s="191">
        <f t="shared" si="485"/>
        <v>0.49177153920619554</v>
      </c>
      <c r="N305" s="152">
        <f t="shared" si="486"/>
        <v>3.5342268151016456</v>
      </c>
      <c r="O305" s="152">
        <f t="shared" si="478"/>
        <v>1.7800000000000002</v>
      </c>
      <c r="P305" s="191">
        <f t="shared" si="487"/>
        <v>0.17671134075508227</v>
      </c>
      <c r="Q305" s="191">
        <f t="shared" si="488"/>
        <v>20</v>
      </c>
      <c r="R305" s="191"/>
      <c r="S305" s="152">
        <f t="shared" si="489"/>
        <v>58.748597493475962</v>
      </c>
      <c r="T305" s="152">
        <f t="shared" si="490"/>
        <v>20</v>
      </c>
      <c r="U305" s="191">
        <f t="shared" si="491"/>
        <v>0.38302295546390036</v>
      </c>
      <c r="V305" s="191">
        <f t="shared" si="492"/>
        <v>1.0943513013254298</v>
      </c>
      <c r="W305" s="191">
        <f t="shared" si="493"/>
        <v>1.1309732936926193</v>
      </c>
      <c r="X305" s="175">
        <f t="shared" si="494"/>
        <v>350</v>
      </c>
      <c r="Y305" s="386">
        <f t="shared" si="480"/>
        <v>350</v>
      </c>
      <c r="AA305" s="191">
        <f t="shared" si="495"/>
        <v>0.49177153920619554</v>
      </c>
      <c r="AB305" s="153">
        <f t="shared" si="496"/>
        <v>1.452081316553727</v>
      </c>
      <c r="AC305" s="153">
        <f t="shared" si="497"/>
        <v>0.1249661462164824</v>
      </c>
      <c r="AD305" s="153"/>
      <c r="AE305" s="153">
        <f t="shared" si="498"/>
        <v>0.44291338582677164</v>
      </c>
      <c r="AF305" s="317">
        <f t="shared" si="499"/>
        <v>2679.2296296296299</v>
      </c>
      <c r="AG305" s="463">
        <f t="shared" si="500"/>
        <v>1.1626476377952754E-2</v>
      </c>
      <c r="AI305" s="153">
        <f t="shared" si="501"/>
        <v>0.41501348228243201</v>
      </c>
      <c r="AJ305" s="153">
        <f t="shared" si="502"/>
        <v>0.41501348228243201</v>
      </c>
      <c r="AK305" s="153">
        <f t="shared" si="503"/>
        <v>1.3766756548549548</v>
      </c>
      <c r="AM305" s="317">
        <f t="shared" si="504"/>
        <v>89.000000000000014</v>
      </c>
      <c r="AN305" s="147">
        <f t="shared" si="505"/>
        <v>350</v>
      </c>
      <c r="AP305">
        <f t="shared" si="506"/>
        <v>89.000000000000014</v>
      </c>
      <c r="AQ305">
        <f t="shared" si="507"/>
        <v>350</v>
      </c>
      <c r="AS305" s="5">
        <f t="shared" si="479"/>
        <v>2.8571428571428572</v>
      </c>
      <c r="AT305" s="5">
        <f t="shared" si="508"/>
        <v>1.1857528065212344</v>
      </c>
      <c r="AU305" s="5">
        <f t="shared" si="516"/>
        <v>1.6713900506216228</v>
      </c>
      <c r="AV305" s="5"/>
      <c r="AW305" s="153">
        <f t="shared" si="517"/>
        <v>0.41501348228243201</v>
      </c>
      <c r="AX305" s="153"/>
      <c r="BA305" s="147">
        <f t="shared" si="509"/>
        <v>2.347082921094211</v>
      </c>
      <c r="BB305" s="147">
        <f t="shared" si="510"/>
        <v>10.503652082176872</v>
      </c>
      <c r="BC305" s="5">
        <f t="shared" si="442"/>
        <v>0.15741133810087243</v>
      </c>
      <c r="BD305" s="147">
        <f t="shared" si="511"/>
        <v>0</v>
      </c>
      <c r="BQ305" s="463">
        <f t="shared" si="512"/>
        <v>3.3998000000000007E-2</v>
      </c>
      <c r="CG305" s="59">
        <f t="shared" si="513"/>
        <v>-50</v>
      </c>
      <c r="CH305">
        <f t="shared" si="514"/>
        <v>-50</v>
      </c>
    </row>
    <row r="306" spans="4:86" x14ac:dyDescent="0.25">
      <c r="E306" s="150">
        <v>90</v>
      </c>
      <c r="F306" s="191">
        <f t="shared" si="515"/>
        <v>9.0000000000000011E-2</v>
      </c>
      <c r="G306" s="191"/>
      <c r="H306" s="191">
        <f t="shared" si="481"/>
        <v>1.8000000000000003</v>
      </c>
      <c r="I306" s="472">
        <f t="shared" si="482"/>
        <v>21</v>
      </c>
      <c r="J306" s="386">
        <f t="shared" si="483"/>
        <v>20.32</v>
      </c>
      <c r="K306" s="386">
        <f t="shared" si="484"/>
        <v>41.32</v>
      </c>
      <c r="L306" s="386"/>
      <c r="M306" s="191">
        <f t="shared" si="485"/>
        <v>0.49177153920619554</v>
      </c>
      <c r="N306" s="152">
        <f t="shared" si="486"/>
        <v>3.5342268151016456</v>
      </c>
      <c r="O306" s="152">
        <f t="shared" si="478"/>
        <v>1.8000000000000003</v>
      </c>
      <c r="P306" s="191">
        <f t="shared" si="487"/>
        <v>0.17671134075508227</v>
      </c>
      <c r="Q306" s="191">
        <f t="shared" si="488"/>
        <v>20</v>
      </c>
      <c r="R306" s="191"/>
      <c r="S306" s="152">
        <f t="shared" si="489"/>
        <v>57.865492705956107</v>
      </c>
      <c r="T306" s="152">
        <f t="shared" si="490"/>
        <v>20</v>
      </c>
      <c r="U306" s="191">
        <f t="shared" si="491"/>
        <v>0.38732658417697791</v>
      </c>
      <c r="V306" s="191">
        <f t="shared" si="492"/>
        <v>1.1066473833627941</v>
      </c>
      <c r="W306" s="191">
        <f t="shared" si="493"/>
        <v>1.1436808587902891</v>
      </c>
      <c r="X306" s="175">
        <f t="shared" si="494"/>
        <v>350</v>
      </c>
      <c r="Y306" s="386">
        <f t="shared" si="480"/>
        <v>350</v>
      </c>
      <c r="AA306" s="191">
        <f t="shared" si="495"/>
        <v>0.49177153920619554</v>
      </c>
      <c r="AB306" s="153">
        <f t="shared" si="496"/>
        <v>1.452081316553727</v>
      </c>
      <c r="AC306" s="153">
        <f t="shared" si="497"/>
        <v>0.1249661462164824</v>
      </c>
      <c r="AD306" s="153"/>
      <c r="AE306" s="153">
        <f t="shared" si="498"/>
        <v>0.44291338582677164</v>
      </c>
      <c r="AF306" s="317">
        <f t="shared" si="499"/>
        <v>2709.3333333333339</v>
      </c>
      <c r="AG306" s="463">
        <f t="shared" si="500"/>
        <v>1.1626476377952754E-2</v>
      </c>
      <c r="AI306" s="153">
        <f t="shared" si="501"/>
        <v>0.41733850597737632</v>
      </c>
      <c r="AJ306" s="153">
        <f t="shared" si="502"/>
        <v>0.41733850597737632</v>
      </c>
      <c r="AK306" s="153">
        <f t="shared" si="503"/>
        <v>1.3782256706515841</v>
      </c>
      <c r="AM306" s="317">
        <f t="shared" si="504"/>
        <v>90.000000000000014</v>
      </c>
      <c r="AN306" s="147">
        <f t="shared" si="505"/>
        <v>350</v>
      </c>
      <c r="AP306">
        <f t="shared" si="506"/>
        <v>90.000000000000014</v>
      </c>
      <c r="AQ306">
        <f t="shared" si="507"/>
        <v>350</v>
      </c>
      <c r="AS306" s="5">
        <f t="shared" si="479"/>
        <v>2.8571428571428572</v>
      </c>
      <c r="AT306" s="5">
        <f t="shared" si="508"/>
        <v>1.1923957313639322</v>
      </c>
      <c r="AU306" s="5">
        <f t="shared" si="516"/>
        <v>1.664747125778925</v>
      </c>
      <c r="AV306" s="5"/>
      <c r="AW306" s="153">
        <f t="shared" si="517"/>
        <v>0.41733850597737626</v>
      </c>
      <c r="AX306" s="153"/>
      <c r="BA306" s="147">
        <f t="shared" si="509"/>
        <v>2.347082921094211</v>
      </c>
      <c r="BB306" s="147">
        <f t="shared" si="510"/>
        <v>10.737981551020411</v>
      </c>
      <c r="BC306" s="5">
        <f t="shared" si="442"/>
        <v>0.1585473453122786</v>
      </c>
      <c r="BD306" s="147">
        <f t="shared" si="511"/>
        <v>0</v>
      </c>
      <c r="BQ306" s="463">
        <f t="shared" si="512"/>
        <v>3.4380000000000001E-2</v>
      </c>
      <c r="CG306" s="59">
        <f t="shared" si="513"/>
        <v>-50</v>
      </c>
      <c r="CH306">
        <f t="shared" si="514"/>
        <v>-50</v>
      </c>
    </row>
    <row r="307" spans="4:86" x14ac:dyDescent="0.25">
      <c r="E307" s="150">
        <v>91</v>
      </c>
      <c r="F307" s="191">
        <f t="shared" si="515"/>
        <v>9.1000000000000011E-2</v>
      </c>
      <c r="G307" s="191"/>
      <c r="H307" s="191">
        <f t="shared" si="481"/>
        <v>1.8200000000000003</v>
      </c>
      <c r="I307" s="472">
        <f t="shared" si="482"/>
        <v>21</v>
      </c>
      <c r="J307" s="386">
        <f t="shared" si="483"/>
        <v>20.32</v>
      </c>
      <c r="K307" s="386">
        <f t="shared" si="484"/>
        <v>41.32</v>
      </c>
      <c r="L307" s="386"/>
      <c r="M307" s="191">
        <f t="shared" si="485"/>
        <v>0.49177153920619554</v>
      </c>
      <c r="N307" s="152">
        <f t="shared" si="486"/>
        <v>3.5342268151016456</v>
      </c>
      <c r="O307" s="152">
        <f t="shared" si="478"/>
        <v>1.8200000000000003</v>
      </c>
      <c r="P307" s="191">
        <f t="shared" si="487"/>
        <v>0.17671134075508227</v>
      </c>
      <c r="Q307" s="191">
        <f t="shared" si="488"/>
        <v>20</v>
      </c>
      <c r="R307" s="191"/>
      <c r="S307" s="152">
        <f t="shared" si="489"/>
        <v>57.001848171316809</v>
      </c>
      <c r="T307" s="152">
        <f t="shared" si="490"/>
        <v>20</v>
      </c>
      <c r="U307" s="191">
        <f t="shared" si="491"/>
        <v>0.39163021289005545</v>
      </c>
      <c r="V307" s="191">
        <f t="shared" si="492"/>
        <v>1.1189434654001584</v>
      </c>
      <c r="W307" s="191">
        <f t="shared" si="493"/>
        <v>1.1563884238879589</v>
      </c>
      <c r="X307" s="175">
        <f t="shared" si="494"/>
        <v>350</v>
      </c>
      <c r="Y307" s="386">
        <f t="shared" si="480"/>
        <v>350</v>
      </c>
      <c r="AA307" s="191">
        <f t="shared" si="495"/>
        <v>0.49177153920619554</v>
      </c>
      <c r="AB307" s="153">
        <f t="shared" si="496"/>
        <v>1.452081316553727</v>
      </c>
      <c r="AC307" s="153">
        <f t="shared" si="497"/>
        <v>0.1249661462164824</v>
      </c>
      <c r="AD307" s="153"/>
      <c r="AE307" s="153">
        <f t="shared" si="498"/>
        <v>0.44291338582677164</v>
      </c>
      <c r="AF307" s="317">
        <f t="shared" si="499"/>
        <v>2739.437037037038</v>
      </c>
      <c r="AG307" s="463">
        <f t="shared" si="500"/>
        <v>1.1626476377952754E-2</v>
      </c>
      <c r="AI307" s="153">
        <f t="shared" si="501"/>
        <v>0.41965064835725763</v>
      </c>
      <c r="AJ307" s="153">
        <f t="shared" si="502"/>
        <v>0.41965064835725763</v>
      </c>
      <c r="AK307" s="153">
        <f t="shared" si="503"/>
        <v>1.3797670989048383</v>
      </c>
      <c r="AM307" s="317">
        <f t="shared" si="504"/>
        <v>91.000000000000014</v>
      </c>
      <c r="AN307" s="147">
        <f t="shared" si="505"/>
        <v>350</v>
      </c>
      <c r="AP307">
        <f t="shared" si="506"/>
        <v>91.000000000000014</v>
      </c>
      <c r="AQ307">
        <f t="shared" si="507"/>
        <v>350</v>
      </c>
      <c r="AS307" s="5">
        <f t="shared" si="479"/>
        <v>2.8571428571428572</v>
      </c>
      <c r="AT307" s="5">
        <f t="shared" si="508"/>
        <v>1.1990018524493076</v>
      </c>
      <c r="AU307" s="5">
        <f t="shared" si="516"/>
        <v>1.6581410046935496</v>
      </c>
      <c r="AV307" s="5"/>
      <c r="AW307" s="153">
        <f t="shared" si="517"/>
        <v>0.41965064835725763</v>
      </c>
      <c r="AX307" s="153"/>
      <c r="BA307" s="147">
        <f t="shared" si="509"/>
        <v>2.347082921094211</v>
      </c>
      <c r="BB307" s="147">
        <f t="shared" si="510"/>
        <v>10.974895706666668</v>
      </c>
      <c r="BC307" s="5">
        <f t="shared" si="442"/>
        <v>0.15967283748900851</v>
      </c>
      <c r="BD307" s="147">
        <f t="shared" si="511"/>
        <v>0</v>
      </c>
      <c r="BQ307" s="463">
        <f t="shared" si="512"/>
        <v>3.4762000000000008E-2</v>
      </c>
      <c r="CG307" s="59">
        <f t="shared" si="513"/>
        <v>-50</v>
      </c>
      <c r="CH307">
        <f t="shared" si="514"/>
        <v>-50</v>
      </c>
    </row>
    <row r="308" spans="4:86" x14ac:dyDescent="0.25">
      <c r="E308" s="150">
        <v>92</v>
      </c>
      <c r="F308" s="191">
        <f t="shared" si="515"/>
        <v>9.2000000000000012E-2</v>
      </c>
      <c r="G308" s="191"/>
      <c r="H308" s="191">
        <f t="shared" si="481"/>
        <v>1.8400000000000003</v>
      </c>
      <c r="I308" s="472">
        <f t="shared" si="482"/>
        <v>21</v>
      </c>
      <c r="J308" s="386">
        <f t="shared" si="483"/>
        <v>20.32</v>
      </c>
      <c r="K308" s="386">
        <f t="shared" si="484"/>
        <v>41.32</v>
      </c>
      <c r="L308" s="386"/>
      <c r="M308" s="191">
        <f t="shared" si="485"/>
        <v>0.49177153920619554</v>
      </c>
      <c r="N308" s="152">
        <f t="shared" si="486"/>
        <v>3.5342268151016456</v>
      </c>
      <c r="O308" s="152">
        <f t="shared" si="478"/>
        <v>1.8400000000000003</v>
      </c>
      <c r="P308" s="191">
        <f t="shared" si="487"/>
        <v>0.17671134075508227</v>
      </c>
      <c r="Q308" s="191">
        <f t="shared" si="488"/>
        <v>20</v>
      </c>
      <c r="R308" s="191"/>
      <c r="S308" s="152">
        <f t="shared" si="489"/>
        <v>56.157029905331555</v>
      </c>
      <c r="T308" s="152">
        <f t="shared" si="490"/>
        <v>20</v>
      </c>
      <c r="U308" s="191">
        <f t="shared" si="491"/>
        <v>0.395933841603133</v>
      </c>
      <c r="V308" s="191">
        <f t="shared" si="492"/>
        <v>1.1312395474375228</v>
      </c>
      <c r="W308" s="191">
        <f t="shared" si="493"/>
        <v>1.1690959889856289</v>
      </c>
      <c r="X308" s="175">
        <f t="shared" si="494"/>
        <v>350</v>
      </c>
      <c r="Y308" s="386">
        <f t="shared" si="480"/>
        <v>350</v>
      </c>
      <c r="AA308" s="191">
        <f t="shared" si="495"/>
        <v>0.49177153920619554</v>
      </c>
      <c r="AB308" s="153">
        <f t="shared" si="496"/>
        <v>1.452081316553727</v>
      </c>
      <c r="AC308" s="153">
        <f t="shared" si="497"/>
        <v>0.1249661462164824</v>
      </c>
      <c r="AD308" s="153"/>
      <c r="AE308" s="153">
        <f t="shared" si="498"/>
        <v>0.44291338582677164</v>
      </c>
      <c r="AF308" s="317">
        <f t="shared" si="499"/>
        <v>2769.5407407407415</v>
      </c>
      <c r="AG308" s="463">
        <f t="shared" si="500"/>
        <v>1.1626476377952754E-2</v>
      </c>
      <c r="AI308" s="153">
        <f t="shared" si="501"/>
        <v>0.42195012117773445</v>
      </c>
      <c r="AJ308" s="153">
        <f t="shared" si="502"/>
        <v>0.42195012117773445</v>
      </c>
      <c r="AK308" s="153">
        <f t="shared" si="503"/>
        <v>1.3813000807851563</v>
      </c>
      <c r="AM308" s="317">
        <f t="shared" si="504"/>
        <v>92.000000000000014</v>
      </c>
      <c r="AN308" s="147">
        <f t="shared" si="505"/>
        <v>350</v>
      </c>
      <c r="AP308">
        <f t="shared" si="506"/>
        <v>92.000000000000014</v>
      </c>
      <c r="AQ308">
        <f t="shared" si="507"/>
        <v>350</v>
      </c>
      <c r="AS308" s="5">
        <f t="shared" si="479"/>
        <v>2.8571428571428572</v>
      </c>
      <c r="AT308" s="5">
        <f t="shared" si="508"/>
        <v>1.2055717747935271</v>
      </c>
      <c r="AU308" s="5">
        <f t="shared" si="516"/>
        <v>1.6515710823493301</v>
      </c>
      <c r="AV308" s="5"/>
      <c r="AW308" s="153">
        <f t="shared" si="517"/>
        <v>0.42195012117773445</v>
      </c>
      <c r="AX308" s="153"/>
      <c r="BA308" s="147">
        <f t="shared" si="509"/>
        <v>2.347082921094211</v>
      </c>
      <c r="BB308" s="147">
        <f t="shared" si="510"/>
        <v>11.214394549115651</v>
      </c>
      <c r="BC308" s="5">
        <f t="shared" si="442"/>
        <v>0.16078787256734223</v>
      </c>
      <c r="BD308" s="147">
        <f t="shared" si="511"/>
        <v>0</v>
      </c>
      <c r="BQ308" s="463">
        <f t="shared" si="512"/>
        <v>3.5144000000000002E-2</v>
      </c>
      <c r="CG308" s="59">
        <f t="shared" si="513"/>
        <v>-50</v>
      </c>
      <c r="CH308">
        <f t="shared" si="514"/>
        <v>-50</v>
      </c>
    </row>
    <row r="309" spans="4:86" x14ac:dyDescent="0.25">
      <c r="E309" s="150">
        <v>93</v>
      </c>
      <c r="F309" s="191">
        <f t="shared" si="515"/>
        <v>9.3000000000000013E-2</v>
      </c>
      <c r="G309" s="191"/>
      <c r="H309" s="191">
        <f t="shared" si="481"/>
        <v>1.8600000000000003</v>
      </c>
      <c r="I309" s="472">
        <f t="shared" si="482"/>
        <v>21</v>
      </c>
      <c r="J309" s="386">
        <f t="shared" si="483"/>
        <v>20.32</v>
      </c>
      <c r="K309" s="386">
        <f t="shared" si="484"/>
        <v>41.32</v>
      </c>
      <c r="L309" s="386"/>
      <c r="M309" s="191">
        <f t="shared" si="485"/>
        <v>0.49177153920619554</v>
      </c>
      <c r="N309" s="152">
        <f t="shared" si="486"/>
        <v>3.5342268151016456</v>
      </c>
      <c r="O309" s="152">
        <f t="shared" si="478"/>
        <v>1.8600000000000003</v>
      </c>
      <c r="P309" s="191">
        <f t="shared" si="487"/>
        <v>0.17671134075508227</v>
      </c>
      <c r="Q309" s="191">
        <f t="shared" si="488"/>
        <v>20</v>
      </c>
      <c r="R309" s="191"/>
      <c r="S309" s="152">
        <f t="shared" si="489"/>
        <v>55.33043120068254</v>
      </c>
      <c r="T309" s="152">
        <f t="shared" si="490"/>
        <v>20</v>
      </c>
      <c r="U309" s="191">
        <f t="shared" si="491"/>
        <v>0.40023747031621054</v>
      </c>
      <c r="V309" s="191">
        <f t="shared" si="492"/>
        <v>1.1435356294748873</v>
      </c>
      <c r="W309" s="191">
        <f t="shared" si="493"/>
        <v>1.1818035540832987</v>
      </c>
      <c r="X309" s="175">
        <f t="shared" si="494"/>
        <v>350</v>
      </c>
      <c r="Y309" s="386">
        <f t="shared" si="480"/>
        <v>350</v>
      </c>
      <c r="AA309" s="191">
        <f t="shared" si="495"/>
        <v>0.49177153920619554</v>
      </c>
      <c r="AB309" s="153">
        <f t="shared" si="496"/>
        <v>1.452081316553727</v>
      </c>
      <c r="AC309" s="153">
        <f t="shared" si="497"/>
        <v>0.1249661462164824</v>
      </c>
      <c r="AD309" s="153"/>
      <c r="AE309" s="153">
        <f t="shared" si="498"/>
        <v>0.44291338582677164</v>
      </c>
      <c r="AF309" s="317">
        <f t="shared" si="499"/>
        <v>2799.6444444444455</v>
      </c>
      <c r="AG309" s="463">
        <f t="shared" si="500"/>
        <v>1.1626476377952754E-2</v>
      </c>
      <c r="AI309" s="153">
        <f t="shared" si="501"/>
        <v>0.42423713045553058</v>
      </c>
      <c r="AJ309" s="153">
        <f t="shared" si="502"/>
        <v>0.42423713045553058</v>
      </c>
      <c r="AK309" s="153">
        <f t="shared" si="503"/>
        <v>1.3828247536370204</v>
      </c>
      <c r="AM309" s="317">
        <f t="shared" si="504"/>
        <v>93.000000000000014</v>
      </c>
      <c r="AN309" s="147">
        <f t="shared" si="505"/>
        <v>350</v>
      </c>
      <c r="AP309">
        <f t="shared" si="506"/>
        <v>93.000000000000014</v>
      </c>
      <c r="AQ309">
        <f t="shared" si="507"/>
        <v>350</v>
      </c>
      <c r="AS309" s="5">
        <f t="shared" si="479"/>
        <v>2.8571428571428572</v>
      </c>
      <c r="AT309" s="5">
        <f t="shared" si="508"/>
        <v>1.2121060870158018</v>
      </c>
      <c r="AU309" s="5">
        <f t="shared" si="516"/>
        <v>1.6450367701270554</v>
      </c>
      <c r="AV309" s="5"/>
      <c r="AW309" s="153">
        <f t="shared" si="517"/>
        <v>0.42423713045553063</v>
      </c>
      <c r="AX309" s="153"/>
      <c r="BA309" s="147">
        <f t="shared" si="509"/>
        <v>2.347082921094211</v>
      </c>
      <c r="BB309" s="147">
        <f t="shared" si="510"/>
        <v>11.456478078367351</v>
      </c>
      <c r="BC309" s="5">
        <f t="shared" ref="BC309:BC316" si="518">H309/Efficiency/I309*AU309/Vinripple1</f>
        <v>0.1618925075363134</v>
      </c>
      <c r="BD309" s="147">
        <f t="shared" si="511"/>
        <v>0</v>
      </c>
      <c r="BQ309" s="463">
        <f t="shared" si="512"/>
        <v>3.5526000000000002E-2</v>
      </c>
      <c r="CG309" s="59">
        <f t="shared" si="513"/>
        <v>-50</v>
      </c>
      <c r="CH309">
        <f t="shared" si="514"/>
        <v>-50</v>
      </c>
    </row>
    <row r="310" spans="4:86" x14ac:dyDescent="0.25">
      <c r="E310" s="150">
        <v>94</v>
      </c>
      <c r="F310" s="191">
        <f t="shared" si="515"/>
        <v>9.4E-2</v>
      </c>
      <c r="G310" s="191"/>
      <c r="H310" s="191">
        <f t="shared" si="481"/>
        <v>1.88</v>
      </c>
      <c r="I310" s="472">
        <f t="shared" si="482"/>
        <v>21</v>
      </c>
      <c r="J310" s="386">
        <f t="shared" si="483"/>
        <v>20.32</v>
      </c>
      <c r="K310" s="386">
        <f t="shared" si="484"/>
        <v>41.32</v>
      </c>
      <c r="L310" s="386"/>
      <c r="M310" s="191">
        <f t="shared" si="485"/>
        <v>0.49177153920619554</v>
      </c>
      <c r="N310" s="152">
        <f t="shared" si="486"/>
        <v>3.5342268151016456</v>
      </c>
      <c r="O310" s="152">
        <f t="shared" si="478"/>
        <v>1.88</v>
      </c>
      <c r="P310" s="191">
        <f t="shared" si="487"/>
        <v>0.17671134075508227</v>
      </c>
      <c r="Q310" s="191">
        <f t="shared" si="488"/>
        <v>20</v>
      </c>
      <c r="R310" s="191"/>
      <c r="S310" s="152">
        <f t="shared" si="489"/>
        <v>54.521471176219578</v>
      </c>
      <c r="T310" s="152">
        <f t="shared" si="490"/>
        <v>20</v>
      </c>
      <c r="U310" s="191">
        <f t="shared" si="491"/>
        <v>0.40454109902928798</v>
      </c>
      <c r="V310" s="191">
        <f t="shared" si="492"/>
        <v>1.1558317115122514</v>
      </c>
      <c r="W310" s="191">
        <f t="shared" si="493"/>
        <v>1.1945111191809683</v>
      </c>
      <c r="X310" s="175">
        <f t="shared" si="494"/>
        <v>350</v>
      </c>
      <c r="Y310" s="386">
        <f t="shared" si="480"/>
        <v>350</v>
      </c>
      <c r="AA310" s="191">
        <f t="shared" si="495"/>
        <v>0.49177153920619554</v>
      </c>
      <c r="AB310" s="153">
        <f t="shared" si="496"/>
        <v>1.452081316553727</v>
      </c>
      <c r="AC310" s="153">
        <f t="shared" si="497"/>
        <v>0.1249661462164824</v>
      </c>
      <c r="AD310" s="153"/>
      <c r="AE310" s="153">
        <f t="shared" si="498"/>
        <v>0.44291338582677164</v>
      </c>
      <c r="AF310" s="317">
        <f t="shared" si="499"/>
        <v>2829.7481481481486</v>
      </c>
      <c r="AG310" s="463">
        <f t="shared" si="500"/>
        <v>1.1626476377952754E-2</v>
      </c>
      <c r="AI310" s="153">
        <f t="shared" si="501"/>
        <v>0.42651187668385154</v>
      </c>
      <c r="AJ310" s="153">
        <f t="shared" si="502"/>
        <v>0.42651187668385154</v>
      </c>
      <c r="AK310" s="153">
        <f t="shared" si="503"/>
        <v>1.3843412511225677</v>
      </c>
      <c r="AM310" s="317">
        <f t="shared" si="504"/>
        <v>94</v>
      </c>
      <c r="AN310" s="147">
        <f t="shared" si="505"/>
        <v>350</v>
      </c>
      <c r="AP310">
        <f t="shared" si="506"/>
        <v>94</v>
      </c>
      <c r="AQ310">
        <f t="shared" si="507"/>
        <v>350</v>
      </c>
      <c r="AS310" s="5">
        <f t="shared" si="479"/>
        <v>2.8571428571428572</v>
      </c>
      <c r="AT310" s="5">
        <f t="shared" si="508"/>
        <v>1.2186053619538617</v>
      </c>
      <c r="AU310" s="5">
        <f t="shared" si="516"/>
        <v>1.6385374951889955</v>
      </c>
      <c r="AV310" s="5"/>
      <c r="AW310" s="153">
        <f t="shared" si="517"/>
        <v>0.4265118766838516</v>
      </c>
      <c r="AX310" s="153"/>
      <c r="BA310" s="147">
        <f t="shared" si="509"/>
        <v>2.347082921094211</v>
      </c>
      <c r="BB310" s="147">
        <f t="shared" si="510"/>
        <v>11.701146294421768</v>
      </c>
      <c r="BC310" s="5">
        <f t="shared" si="518"/>
        <v>0.16298679846324399</v>
      </c>
      <c r="BD310" s="147">
        <f t="shared" si="511"/>
        <v>0</v>
      </c>
      <c r="BQ310" s="463">
        <f t="shared" si="512"/>
        <v>3.5908000000000002E-2</v>
      </c>
      <c r="CG310" s="59">
        <f t="shared" si="513"/>
        <v>-50</v>
      </c>
      <c r="CH310">
        <f t="shared" si="514"/>
        <v>-50</v>
      </c>
    </row>
    <row r="311" spans="4:86" x14ac:dyDescent="0.25">
      <c r="E311" s="150">
        <v>95</v>
      </c>
      <c r="F311" s="191">
        <f t="shared" si="515"/>
        <v>9.5000000000000001E-2</v>
      </c>
      <c r="G311" s="191"/>
      <c r="H311" s="191">
        <f t="shared" si="481"/>
        <v>1.9</v>
      </c>
      <c r="I311" s="472">
        <f t="shared" si="482"/>
        <v>21</v>
      </c>
      <c r="J311" s="386">
        <f t="shared" si="483"/>
        <v>20.32</v>
      </c>
      <c r="K311" s="386">
        <f t="shared" si="484"/>
        <v>41.32</v>
      </c>
      <c r="L311" s="386"/>
      <c r="M311" s="191">
        <f t="shared" si="485"/>
        <v>0.49177153920619554</v>
      </c>
      <c r="N311" s="152">
        <f t="shared" si="486"/>
        <v>3.5342268151016456</v>
      </c>
      <c r="O311" s="152">
        <f t="shared" si="478"/>
        <v>1.9</v>
      </c>
      <c r="P311" s="191">
        <f t="shared" si="487"/>
        <v>0.17671134075508227</v>
      </c>
      <c r="Q311" s="191">
        <f t="shared" si="488"/>
        <v>20</v>
      </c>
      <c r="R311" s="191"/>
      <c r="S311" s="152">
        <f t="shared" si="489"/>
        <v>53.729593417847823</v>
      </c>
      <c r="T311" s="152">
        <f t="shared" si="490"/>
        <v>20</v>
      </c>
      <c r="U311" s="191">
        <f t="shared" si="491"/>
        <v>0.40884472774236547</v>
      </c>
      <c r="V311" s="191">
        <f t="shared" si="492"/>
        <v>1.1681277935496155</v>
      </c>
      <c r="W311" s="191">
        <f t="shared" si="493"/>
        <v>1.2072186842786381</v>
      </c>
      <c r="X311" s="175">
        <f t="shared" si="494"/>
        <v>350</v>
      </c>
      <c r="Y311" s="386">
        <f t="shared" si="480"/>
        <v>350</v>
      </c>
      <c r="AA311" s="191">
        <f t="shared" si="495"/>
        <v>0.49177153920619554</v>
      </c>
      <c r="AB311" s="153">
        <f t="shared" si="496"/>
        <v>1.452081316553727</v>
      </c>
      <c r="AC311" s="153">
        <f t="shared" si="497"/>
        <v>0.1249661462164824</v>
      </c>
      <c r="AD311" s="153"/>
      <c r="AE311" s="153">
        <f t="shared" si="498"/>
        <v>0.44291338582677164</v>
      </c>
      <c r="AF311" s="317">
        <f t="shared" si="499"/>
        <v>2859.8518518518522</v>
      </c>
      <c r="AG311" s="463">
        <f t="shared" si="500"/>
        <v>1.1626476377952754E-2</v>
      </c>
      <c r="AI311" s="153">
        <f t="shared" si="501"/>
        <v>0.4287745550375151</v>
      </c>
      <c r="AJ311" s="153">
        <f t="shared" si="502"/>
        <v>0.4287745550375151</v>
      </c>
      <c r="AK311" s="153">
        <f t="shared" si="503"/>
        <v>1.3858497033583435</v>
      </c>
      <c r="AM311" s="317">
        <f t="shared" si="504"/>
        <v>95</v>
      </c>
      <c r="AN311" s="147">
        <f t="shared" si="505"/>
        <v>350</v>
      </c>
      <c r="AP311">
        <f t="shared" si="506"/>
        <v>95</v>
      </c>
      <c r="AQ311">
        <f t="shared" si="507"/>
        <v>350</v>
      </c>
      <c r="AS311" s="5">
        <f t="shared" si="479"/>
        <v>2.8571428571428572</v>
      </c>
      <c r="AT311" s="5">
        <f t="shared" si="508"/>
        <v>1.2250701572500433</v>
      </c>
      <c r="AU311" s="5">
        <f t="shared" si="516"/>
        <v>1.6320726998928139</v>
      </c>
      <c r="AV311" s="5"/>
      <c r="AW311" s="153">
        <f t="shared" si="517"/>
        <v>0.42877455503751516</v>
      </c>
      <c r="AX311" s="153"/>
      <c r="BA311" s="147">
        <f t="shared" si="509"/>
        <v>2.347082921094211</v>
      </c>
      <c r="BB311" s="147">
        <f t="shared" si="510"/>
        <v>11.948399197278912</v>
      </c>
      <c r="BC311" s="5">
        <f t="shared" si="518"/>
        <v>0.16407080051832523</v>
      </c>
      <c r="BD311" s="147">
        <f t="shared" si="511"/>
        <v>0</v>
      </c>
      <c r="BQ311" s="463">
        <f t="shared" si="512"/>
        <v>3.6290000000000003E-2</v>
      </c>
      <c r="CG311" s="59">
        <f t="shared" si="513"/>
        <v>-50</v>
      </c>
      <c r="CH311">
        <f t="shared" si="514"/>
        <v>-50</v>
      </c>
    </row>
    <row r="312" spans="4:86" x14ac:dyDescent="0.25">
      <c r="E312" s="150">
        <v>96</v>
      </c>
      <c r="F312" s="191">
        <f t="shared" si="515"/>
        <v>9.6000000000000002E-2</v>
      </c>
      <c r="G312" s="191"/>
      <c r="H312" s="191">
        <f t="shared" ref="H312:H316" si="519">F312*Vout</f>
        <v>1.92</v>
      </c>
      <c r="I312" s="472">
        <f t="shared" si="482"/>
        <v>21</v>
      </c>
      <c r="J312" s="386">
        <f t="shared" si="483"/>
        <v>20.32</v>
      </c>
      <c r="K312" s="386">
        <f t="shared" si="484"/>
        <v>41.32</v>
      </c>
      <c r="L312" s="386"/>
      <c r="M312" s="191">
        <f t="shared" si="485"/>
        <v>0.49177153920619554</v>
      </c>
      <c r="N312" s="152">
        <f t="shared" ref="N312:N316" si="520">M312*I312*(Isw_max+VIN_max/Lmag*ILIM_delay)*0.5*Efficiency</f>
        <v>3.5342268151016456</v>
      </c>
      <c r="O312" s="152">
        <f t="shared" si="478"/>
        <v>1.92</v>
      </c>
      <c r="P312" s="191">
        <f t="shared" ref="P312:P316" si="521">N312/Vout</f>
        <v>0.17671134075508227</v>
      </c>
      <c r="Q312" s="191">
        <f t="shared" si="488"/>
        <v>20</v>
      </c>
      <c r="R312" s="191"/>
      <c r="S312" s="152">
        <f t="shared" si="489"/>
        <v>52.954264704363673</v>
      </c>
      <c r="T312" s="152">
        <f t="shared" ref="T312:T316" si="522">MIN(Vout, S312)</f>
        <v>20</v>
      </c>
      <c r="U312" s="191">
        <f t="shared" si="491"/>
        <v>0.41314835645544301</v>
      </c>
      <c r="V312" s="191">
        <f t="shared" ref="V312:V316" si="523">L*U312/I312*1000000</f>
        <v>1.18042387558698</v>
      </c>
      <c r="W312" s="191">
        <f t="shared" si="493"/>
        <v>1.2199262493763081</v>
      </c>
      <c r="X312" s="175">
        <f t="shared" si="494"/>
        <v>350</v>
      </c>
      <c r="Y312" s="386">
        <f t="shared" si="480"/>
        <v>350</v>
      </c>
      <c r="AA312" s="191">
        <f t="shared" si="495"/>
        <v>0.49177153920619554</v>
      </c>
      <c r="AB312" s="153">
        <f t="shared" ref="AB312:AB316" si="524">L*AA312/J312*1000000</f>
        <v>1.452081316553727</v>
      </c>
      <c r="AC312" s="153">
        <f t="shared" ref="AC312:AC316" si="525">0.5*AB312*AA312*Nps*X312/1000</f>
        <v>0.1249661462164824</v>
      </c>
      <c r="AD312" s="153"/>
      <c r="AE312" s="153">
        <f t="shared" si="498"/>
        <v>0.44291338582677164</v>
      </c>
      <c r="AF312" s="317">
        <f t="shared" ref="AF312:AF316" si="526">MAX(12000,F312/(0.5*AE312/1000000*Isw_min*Nps))/1000</f>
        <v>2889.9555555555557</v>
      </c>
      <c r="AG312" s="463">
        <f t="shared" si="500"/>
        <v>1.1626476377952754E-2</v>
      </c>
      <c r="AI312" s="153">
        <f t="shared" si="501"/>
        <v>0.43102535556839017</v>
      </c>
      <c r="AJ312" s="153">
        <f t="shared" ref="AJ312:AJ316" si="527">MAX(IF(F312&gt;AC312,U312,AI312),Isw_min)</f>
        <v>0.43102535556839017</v>
      </c>
      <c r="AK312" s="153">
        <f t="shared" ref="AK312:AK316" si="528">IF(F312&gt;AG312, (AJ312-Isw_min)/1.2*0.8+1.2, AF312*0.2/350+1)</f>
        <v>1.3873502370455935</v>
      </c>
      <c r="AM312" s="317">
        <f t="shared" si="504"/>
        <v>96</v>
      </c>
      <c r="AN312" s="147">
        <f t="shared" si="505"/>
        <v>350</v>
      </c>
      <c r="AP312">
        <f t="shared" si="506"/>
        <v>96</v>
      </c>
      <c r="AQ312">
        <f t="shared" si="507"/>
        <v>350</v>
      </c>
      <c r="AS312" s="5">
        <f t="shared" si="479"/>
        <v>2.8571428571428572</v>
      </c>
      <c r="AT312" s="5">
        <f t="shared" si="508"/>
        <v>1.2315010159096862</v>
      </c>
      <c r="AU312" s="5">
        <f t="shared" si="516"/>
        <v>1.625641841233171</v>
      </c>
      <c r="AV312" s="5"/>
      <c r="AW312" s="153">
        <f t="shared" si="517"/>
        <v>0.43102535556839017</v>
      </c>
      <c r="AX312" s="153"/>
      <c r="BA312" s="147">
        <f t="shared" si="509"/>
        <v>2.347082921094211</v>
      </c>
      <c r="BB312" s="147">
        <f t="shared" si="510"/>
        <v>12.198236786938775</v>
      </c>
      <c r="BC312" s="5">
        <f t="shared" si="518"/>
        <v>0.16514456799829039</v>
      </c>
      <c r="BD312" s="147">
        <f t="shared" si="511"/>
        <v>0</v>
      </c>
      <c r="BQ312" s="463">
        <f t="shared" si="512"/>
        <v>3.6672000000000003E-2</v>
      </c>
      <c r="CG312" s="59">
        <f t="shared" si="513"/>
        <v>-50</v>
      </c>
      <c r="CH312">
        <f t="shared" si="514"/>
        <v>-50</v>
      </c>
    </row>
    <row r="313" spans="4:86" x14ac:dyDescent="0.25">
      <c r="E313" s="150">
        <v>97</v>
      </c>
      <c r="F313" s="191">
        <f t="shared" ref="F313:F316" si="529">IF(PLOT_TYPE=1, E313/100*Iout_max, min_I*EXP(N313*rr/100))</f>
        <v>9.7000000000000003E-2</v>
      </c>
      <c r="G313" s="191"/>
      <c r="H313" s="191">
        <f t="shared" si="519"/>
        <v>1.94</v>
      </c>
      <c r="I313" s="472">
        <f t="shared" si="482"/>
        <v>21</v>
      </c>
      <c r="J313" s="386">
        <f t="shared" si="483"/>
        <v>20.32</v>
      </c>
      <c r="K313" s="386">
        <f t="shared" si="484"/>
        <v>41.32</v>
      </c>
      <c r="L313" s="386"/>
      <c r="M313" s="191">
        <f t="shared" si="485"/>
        <v>0.49177153920619554</v>
      </c>
      <c r="N313" s="152">
        <f t="shared" si="520"/>
        <v>3.5342268151016456</v>
      </c>
      <c r="O313" s="152">
        <f t="shared" si="478"/>
        <v>1.94</v>
      </c>
      <c r="P313" s="191">
        <f t="shared" si="521"/>
        <v>0.17671134075508227</v>
      </c>
      <c r="Q313" s="191">
        <f t="shared" si="488"/>
        <v>20</v>
      </c>
      <c r="R313" s="191"/>
      <c r="S313" s="152">
        <f t="shared" si="489"/>
        <v>52.194973812107911</v>
      </c>
      <c r="T313" s="152">
        <f t="shared" si="522"/>
        <v>20</v>
      </c>
      <c r="U313" s="191">
        <f t="shared" si="491"/>
        <v>0.41745198516852056</v>
      </c>
      <c r="V313" s="191">
        <f t="shared" si="523"/>
        <v>1.1927199576243446</v>
      </c>
      <c r="W313" s="191">
        <f t="shared" si="493"/>
        <v>1.2326338144739781</v>
      </c>
      <c r="X313" s="175">
        <f t="shared" si="494"/>
        <v>350</v>
      </c>
      <c r="Y313" s="386">
        <f t="shared" si="480"/>
        <v>350</v>
      </c>
      <c r="AA313" s="191">
        <f t="shared" si="495"/>
        <v>0.49177153920619554</v>
      </c>
      <c r="AB313" s="153">
        <f t="shared" si="524"/>
        <v>1.452081316553727</v>
      </c>
      <c r="AC313" s="153">
        <f t="shared" si="525"/>
        <v>0.1249661462164824</v>
      </c>
      <c r="AD313" s="153"/>
      <c r="AE313" s="153">
        <f t="shared" si="498"/>
        <v>0.44291338582677164</v>
      </c>
      <c r="AF313" s="317">
        <f t="shared" si="526"/>
        <v>2920.0592592592598</v>
      </c>
      <c r="AG313" s="463">
        <f t="shared" si="500"/>
        <v>1.1626476377952754E-2</v>
      </c>
      <c r="AI313" s="153">
        <f t="shared" si="501"/>
        <v>0.43326446339169711</v>
      </c>
      <c r="AJ313" s="153">
        <f t="shared" si="527"/>
        <v>0.43326446339169711</v>
      </c>
      <c r="AK313" s="153">
        <f t="shared" si="528"/>
        <v>1.3888429755944647</v>
      </c>
      <c r="AM313" s="317">
        <f t="shared" si="504"/>
        <v>97</v>
      </c>
      <c r="AN313" s="147">
        <f t="shared" si="505"/>
        <v>350</v>
      </c>
      <c r="AP313">
        <f t="shared" si="506"/>
        <v>97</v>
      </c>
      <c r="AQ313">
        <f t="shared" si="507"/>
        <v>350</v>
      </c>
      <c r="AS313" s="5">
        <f t="shared" si="479"/>
        <v>2.8571428571428572</v>
      </c>
      <c r="AT313" s="5">
        <f t="shared" si="508"/>
        <v>1.2378984668334203</v>
      </c>
      <c r="AU313" s="5">
        <f t="shared" si="516"/>
        <v>1.6192443903094369</v>
      </c>
      <c r="AV313" s="5"/>
      <c r="AW313" s="153">
        <f t="shared" si="517"/>
        <v>0.43326446339169711</v>
      </c>
      <c r="AX313" s="153"/>
      <c r="BA313" s="147">
        <f t="shared" si="509"/>
        <v>2.347082921094211</v>
      </c>
      <c r="BB313" s="147">
        <f t="shared" si="510"/>
        <v>12.450659063401364</v>
      </c>
      <c r="BC313" s="5">
        <f t="shared" si="518"/>
        <v>0.16620815434922262</v>
      </c>
      <c r="BD313" s="147">
        <f t="shared" si="511"/>
        <v>0</v>
      </c>
      <c r="BQ313" s="463">
        <f t="shared" si="512"/>
        <v>3.7053999999999997E-2</v>
      </c>
      <c r="CG313" s="59">
        <f t="shared" si="513"/>
        <v>-50</v>
      </c>
      <c r="CH313">
        <f t="shared" si="514"/>
        <v>-50</v>
      </c>
    </row>
    <row r="314" spans="4:86" x14ac:dyDescent="0.25">
      <c r="E314" s="150">
        <v>98</v>
      </c>
      <c r="F314" s="191">
        <f t="shared" si="529"/>
        <v>9.8000000000000004E-2</v>
      </c>
      <c r="G314" s="191"/>
      <c r="H314" s="191">
        <f t="shared" si="519"/>
        <v>1.96</v>
      </c>
      <c r="I314" s="472">
        <f t="shared" si="482"/>
        <v>21</v>
      </c>
      <c r="J314" s="386">
        <f t="shared" si="483"/>
        <v>20.32</v>
      </c>
      <c r="K314" s="386">
        <f t="shared" si="484"/>
        <v>41.32</v>
      </c>
      <c r="L314" s="386"/>
      <c r="M314" s="191">
        <f t="shared" si="485"/>
        <v>0.49177153920619554</v>
      </c>
      <c r="N314" s="152">
        <f t="shared" si="520"/>
        <v>3.5342268151016456</v>
      </c>
      <c r="O314" s="152">
        <f t="shared" si="478"/>
        <v>1.96</v>
      </c>
      <c r="P314" s="191">
        <f t="shared" si="521"/>
        <v>0.17671134075508227</v>
      </c>
      <c r="Q314" s="191">
        <f t="shared" si="488"/>
        <v>20</v>
      </c>
      <c r="R314" s="191"/>
      <c r="S314" s="152">
        <f t="shared" si="489"/>
        <v>51.451230392807219</v>
      </c>
      <c r="T314" s="152">
        <f t="shared" si="522"/>
        <v>20</v>
      </c>
      <c r="U314" s="191">
        <f t="shared" si="491"/>
        <v>0.4217556138815981</v>
      </c>
      <c r="V314" s="191">
        <f t="shared" si="523"/>
        <v>1.2050160396617089</v>
      </c>
      <c r="W314" s="191">
        <f t="shared" si="493"/>
        <v>1.2453413795716479</v>
      </c>
      <c r="X314" s="175">
        <f t="shared" si="494"/>
        <v>350</v>
      </c>
      <c r="Y314" s="386">
        <f t="shared" si="480"/>
        <v>350</v>
      </c>
      <c r="AA314" s="191">
        <f t="shared" si="495"/>
        <v>0.49177153920619554</v>
      </c>
      <c r="AB314" s="153">
        <f t="shared" si="524"/>
        <v>1.452081316553727</v>
      </c>
      <c r="AC314" s="153">
        <f t="shared" si="525"/>
        <v>0.1249661462164824</v>
      </c>
      <c r="AD314" s="153"/>
      <c r="AE314" s="153">
        <f t="shared" si="498"/>
        <v>0.44291338582677164</v>
      </c>
      <c r="AF314" s="317">
        <f t="shared" si="526"/>
        <v>2950.1629629629638</v>
      </c>
      <c r="AG314" s="463">
        <f t="shared" si="500"/>
        <v>1.1626476377952754E-2</v>
      </c>
      <c r="AI314" s="153">
        <f t="shared" si="501"/>
        <v>0.43549205886368736</v>
      </c>
      <c r="AJ314" s="153">
        <f t="shared" si="527"/>
        <v>0.43549205886368736</v>
      </c>
      <c r="AK314" s="153">
        <f t="shared" si="528"/>
        <v>1.3903280392424582</v>
      </c>
      <c r="AM314" s="317">
        <f t="shared" si="504"/>
        <v>98</v>
      </c>
      <c r="AN314" s="147">
        <f t="shared" si="505"/>
        <v>350</v>
      </c>
      <c r="AP314">
        <f t="shared" si="506"/>
        <v>98</v>
      </c>
      <c r="AQ314">
        <f t="shared" si="507"/>
        <v>350</v>
      </c>
      <c r="AS314" s="5">
        <f t="shared" si="479"/>
        <v>2.8571428571428572</v>
      </c>
      <c r="AT314" s="5">
        <f t="shared" si="508"/>
        <v>1.244263025324821</v>
      </c>
      <c r="AU314" s="5">
        <f t="shared" si="516"/>
        <v>1.6128798318180362</v>
      </c>
      <c r="AV314" s="5"/>
      <c r="AW314" s="153">
        <f t="shared" si="517"/>
        <v>0.43549205886368736</v>
      </c>
      <c r="AX314" s="153"/>
      <c r="BA314" s="147">
        <f t="shared" si="509"/>
        <v>2.347082921094211</v>
      </c>
      <c r="BB314" s="147">
        <f t="shared" si="510"/>
        <v>12.70566602666667</v>
      </c>
      <c r="BC314" s="5">
        <f t="shared" si="518"/>
        <v>0.16726161218853708</v>
      </c>
      <c r="BD314" s="147">
        <f t="shared" si="511"/>
        <v>0</v>
      </c>
      <c r="BQ314" s="463">
        <f t="shared" si="512"/>
        <v>3.7436000000000004E-2</v>
      </c>
      <c r="CG314" s="59">
        <f t="shared" si="513"/>
        <v>-50</v>
      </c>
      <c r="CH314">
        <f t="shared" si="514"/>
        <v>-50</v>
      </c>
    </row>
    <row r="315" spans="4:86" x14ac:dyDescent="0.25">
      <c r="E315" s="150">
        <v>99</v>
      </c>
      <c r="F315" s="191">
        <f t="shared" si="529"/>
        <v>9.9000000000000005E-2</v>
      </c>
      <c r="G315" s="191"/>
      <c r="H315" s="191">
        <f t="shared" si="519"/>
        <v>1.98</v>
      </c>
      <c r="I315" s="472">
        <f t="shared" si="482"/>
        <v>21</v>
      </c>
      <c r="J315" s="386">
        <f t="shared" si="483"/>
        <v>20.32</v>
      </c>
      <c r="K315" s="386">
        <f t="shared" si="484"/>
        <v>41.32</v>
      </c>
      <c r="L315" s="386"/>
      <c r="M315" s="191">
        <f t="shared" si="485"/>
        <v>0.49177153920619554</v>
      </c>
      <c r="N315" s="152">
        <f t="shared" si="520"/>
        <v>3.5342268151016456</v>
      </c>
      <c r="O315" s="152">
        <f t="shared" si="478"/>
        <v>1.98</v>
      </c>
      <c r="P315" s="191">
        <f t="shared" si="521"/>
        <v>0.17671134075508227</v>
      </c>
      <c r="Q315" s="191">
        <f t="shared" si="488"/>
        <v>20</v>
      </c>
      <c r="R315" s="191"/>
      <c r="S315" s="152">
        <f t="shared" si="489"/>
        <v>50.722563919428438</v>
      </c>
      <c r="T315" s="152">
        <f t="shared" si="522"/>
        <v>20</v>
      </c>
      <c r="U315" s="191">
        <f t="shared" si="491"/>
        <v>0.42605924259467565</v>
      </c>
      <c r="V315" s="191">
        <f t="shared" si="523"/>
        <v>1.2173121216990732</v>
      </c>
      <c r="W315" s="191">
        <f t="shared" si="493"/>
        <v>1.2580489446693179</v>
      </c>
      <c r="X315" s="175">
        <f t="shared" si="494"/>
        <v>350</v>
      </c>
      <c r="Y315" s="386">
        <f t="shared" si="480"/>
        <v>350</v>
      </c>
      <c r="AA315" s="191">
        <f t="shared" si="495"/>
        <v>0.49177153920619554</v>
      </c>
      <c r="AB315" s="153">
        <f t="shared" si="524"/>
        <v>1.452081316553727</v>
      </c>
      <c r="AC315" s="153">
        <f t="shared" si="525"/>
        <v>0.1249661462164824</v>
      </c>
      <c r="AD315" s="153"/>
      <c r="AE315" s="153">
        <f t="shared" si="498"/>
        <v>0.44291338582677164</v>
      </c>
      <c r="AF315" s="317">
        <f t="shared" si="526"/>
        <v>2980.2666666666673</v>
      </c>
      <c r="AG315" s="463">
        <f t="shared" si="500"/>
        <v>1.1626476377952754E-2</v>
      </c>
      <c r="AI315" s="153">
        <f t="shared" si="501"/>
        <v>0.43770831775118396</v>
      </c>
      <c r="AJ315" s="153">
        <f t="shared" si="527"/>
        <v>0.43770831775118396</v>
      </c>
      <c r="AK315" s="153">
        <f t="shared" si="528"/>
        <v>1.391805545167456</v>
      </c>
      <c r="AM315" s="317">
        <f t="shared" si="504"/>
        <v>99</v>
      </c>
      <c r="AN315" s="147">
        <f t="shared" si="505"/>
        <v>350</v>
      </c>
      <c r="AP315">
        <f t="shared" si="506"/>
        <v>99</v>
      </c>
      <c r="AQ315">
        <f t="shared" si="507"/>
        <v>350</v>
      </c>
      <c r="AS315" s="5">
        <f t="shared" si="479"/>
        <v>2.8571428571428572</v>
      </c>
      <c r="AT315" s="5">
        <f t="shared" si="508"/>
        <v>1.2505951935748114</v>
      </c>
      <c r="AU315" s="5">
        <f t="shared" si="516"/>
        <v>1.6065476635680458</v>
      </c>
      <c r="AV315" s="5"/>
      <c r="AW315" s="153">
        <f t="shared" si="517"/>
        <v>0.43770831775118396</v>
      </c>
      <c r="AX315" s="153"/>
      <c r="BA315" s="147">
        <f t="shared" si="509"/>
        <v>2.347082921094211</v>
      </c>
      <c r="BB315" s="147">
        <f t="shared" si="510"/>
        <v>12.963257676734695</v>
      </c>
      <c r="BC315" s="5">
        <f t="shared" si="518"/>
        <v>0.16830499332617621</v>
      </c>
      <c r="BD315" s="147">
        <f t="shared" si="511"/>
        <v>0</v>
      </c>
      <c r="BQ315" s="463">
        <f t="shared" si="512"/>
        <v>3.7818000000000004E-2</v>
      </c>
      <c r="CG315" s="59">
        <f t="shared" si="513"/>
        <v>-50</v>
      </c>
      <c r="CH315">
        <f t="shared" si="514"/>
        <v>-50</v>
      </c>
    </row>
    <row r="316" spans="4:86" x14ac:dyDescent="0.25">
      <c r="E316" s="150">
        <v>100</v>
      </c>
      <c r="F316" s="191">
        <f t="shared" si="529"/>
        <v>0.1</v>
      </c>
      <c r="G316" s="191"/>
      <c r="H316" s="191">
        <f t="shared" si="519"/>
        <v>2</v>
      </c>
      <c r="I316" s="472">
        <f t="shared" si="482"/>
        <v>21</v>
      </c>
      <c r="J316" s="386">
        <f t="shared" si="483"/>
        <v>20.32</v>
      </c>
      <c r="K316" s="386">
        <f t="shared" si="484"/>
        <v>41.32</v>
      </c>
      <c r="L316" s="386"/>
      <c r="M316" s="191">
        <f t="shared" si="485"/>
        <v>0.49177153920619554</v>
      </c>
      <c r="N316" s="152">
        <f t="shared" si="520"/>
        <v>3.5342268151016456</v>
      </c>
      <c r="O316" s="152">
        <f t="shared" si="478"/>
        <v>2</v>
      </c>
      <c r="P316" s="191">
        <f t="shared" si="521"/>
        <v>0.17671134075508227</v>
      </c>
      <c r="Q316" s="191">
        <f t="shared" si="488"/>
        <v>20</v>
      </c>
      <c r="R316" s="191"/>
      <c r="S316" s="152">
        <f t="shared" si="489"/>
        <v>50.008522695285265</v>
      </c>
      <c r="T316" s="152">
        <f t="shared" si="522"/>
        <v>20</v>
      </c>
      <c r="U316" s="191">
        <f t="shared" si="491"/>
        <v>0.43036287130775319</v>
      </c>
      <c r="V316" s="191">
        <f t="shared" si="523"/>
        <v>1.2296082037364378</v>
      </c>
      <c r="W316" s="191">
        <f t="shared" si="493"/>
        <v>1.2707565097669877</v>
      </c>
      <c r="X316" s="175">
        <f t="shared" si="494"/>
        <v>350</v>
      </c>
      <c r="Y316" s="386">
        <f t="shared" si="480"/>
        <v>350</v>
      </c>
      <c r="AA316" s="191">
        <f t="shared" si="495"/>
        <v>0.49177153920619554</v>
      </c>
      <c r="AB316" s="153">
        <f t="shared" si="524"/>
        <v>1.452081316553727</v>
      </c>
      <c r="AC316" s="153">
        <f t="shared" si="525"/>
        <v>0.1249661462164824</v>
      </c>
      <c r="AD316" s="153"/>
      <c r="AE316" s="153">
        <f t="shared" si="498"/>
        <v>0.44291338582677164</v>
      </c>
      <c r="AF316" s="317">
        <f t="shared" si="526"/>
        <v>3010.3703703703709</v>
      </c>
      <c r="AG316" s="463">
        <f t="shared" si="500"/>
        <v>1.1626476377952754E-2</v>
      </c>
      <c r="AI316" s="153">
        <f t="shared" si="501"/>
        <v>0.43991341139343493</v>
      </c>
      <c r="AJ316" s="153">
        <f t="shared" si="527"/>
        <v>0.43991341139343493</v>
      </c>
      <c r="AK316" s="153">
        <f t="shared" si="528"/>
        <v>1.3932756075956232</v>
      </c>
      <c r="AM316" s="317">
        <f t="shared" si="504"/>
        <v>100</v>
      </c>
      <c r="AN316" s="147">
        <f t="shared" si="505"/>
        <v>350</v>
      </c>
      <c r="AP316">
        <f t="shared" si="506"/>
        <v>100</v>
      </c>
      <c r="AQ316">
        <f t="shared" si="507"/>
        <v>350</v>
      </c>
      <c r="AS316" s="5">
        <f t="shared" si="479"/>
        <v>2.8571428571428572</v>
      </c>
      <c r="AT316" s="5">
        <f t="shared" si="508"/>
        <v>1.2568954611240999</v>
      </c>
      <c r="AU316" s="5">
        <f t="shared" si="516"/>
        <v>1.6002473960187573</v>
      </c>
      <c r="AV316" s="5"/>
      <c r="AW316" s="153">
        <f t="shared" si="517"/>
        <v>0.43991341139343493</v>
      </c>
      <c r="AX316" s="153"/>
      <c r="BA316" s="147">
        <f t="shared" si="509"/>
        <v>2.347082921094211</v>
      </c>
      <c r="BB316" s="147">
        <f t="shared" si="510"/>
        <v>13.223434013605447</v>
      </c>
      <c r="BC316" s="5">
        <f t="shared" si="518"/>
        <v>0.16933834878505369</v>
      </c>
      <c r="BD316" s="147">
        <f t="shared" si="511"/>
        <v>0</v>
      </c>
      <c r="BQ316" s="463">
        <f t="shared" si="512"/>
        <v>3.8200000000000005E-2</v>
      </c>
      <c r="CG316" s="59">
        <f t="shared" si="513"/>
        <v>-50</v>
      </c>
      <c r="CH316">
        <f t="shared" si="514"/>
        <v>-50</v>
      </c>
    </row>
    <row r="317" spans="4:86" x14ac:dyDescent="0.25">
      <c r="E317" s="150"/>
      <c r="F317" s="191"/>
      <c r="G317" s="191"/>
      <c r="CG317" s="59"/>
    </row>
    <row r="318" spans="4:86" x14ac:dyDescent="0.25">
      <c r="CG318" s="59"/>
    </row>
    <row r="319" spans="4:86" x14ac:dyDescent="0.25">
      <c r="D319" s="59" t="s">
        <v>824</v>
      </c>
      <c r="CG319" s="59"/>
    </row>
    <row r="320" spans="4:86" x14ac:dyDescent="0.25">
      <c r="E320" s="59" t="s">
        <v>831</v>
      </c>
      <c r="CG320" s="59"/>
    </row>
    <row r="321" spans="4:85" x14ac:dyDescent="0.25">
      <c r="F321" s="59" t="s">
        <v>826</v>
      </c>
      <c r="G321" s="59" t="s">
        <v>825</v>
      </c>
      <c r="BB321" s="59" t="s">
        <v>827</v>
      </c>
      <c r="BC321" s="59" t="s">
        <v>829</v>
      </c>
      <c r="BD321" s="59" t="s">
        <v>830</v>
      </c>
      <c r="BF321" s="59" t="s">
        <v>828</v>
      </c>
      <c r="CG321" s="59"/>
    </row>
    <row r="322" spans="4:85" x14ac:dyDescent="0.25">
      <c r="F322">
        <f>'LM(2)518x PSR flyback converter'!E57</f>
        <v>0.01</v>
      </c>
      <c r="G322" s="649">
        <f>F322*Vout</f>
        <v>0.2</v>
      </c>
      <c r="BB322">
        <f>F322*Vout</f>
        <v>0.2</v>
      </c>
      <c r="BC322" s="648">
        <v>2.2000000000000001E-7</v>
      </c>
    </row>
    <row r="323" spans="4:85" x14ac:dyDescent="0.25">
      <c r="E323" t="s">
        <v>832</v>
      </c>
    </row>
    <row r="324" spans="4:85" x14ac:dyDescent="0.25">
      <c r="F324" t="s">
        <v>833</v>
      </c>
      <c r="G324" t="s">
        <v>834</v>
      </c>
      <c r="H324" t="s">
        <v>835</v>
      </c>
      <c r="I324" s="59" t="s">
        <v>676</v>
      </c>
    </row>
    <row r="325" spans="4:85" x14ac:dyDescent="0.25">
      <c r="F325" s="648">
        <v>1.9999999999999999E-7</v>
      </c>
      <c r="G325">
        <f>VIN_max</f>
        <v>21</v>
      </c>
      <c r="H325">
        <f>15000</f>
        <v>15000</v>
      </c>
      <c r="I325">
        <f>L*0.9</f>
        <v>5.4000000000000005E-5</v>
      </c>
    </row>
    <row r="326" spans="4:85" x14ac:dyDescent="0.25">
      <c r="G326" s="59" t="s">
        <v>836</v>
      </c>
    </row>
    <row r="327" spans="4:85" x14ac:dyDescent="0.25">
      <c r="G327" s="649">
        <f>0.5*(G325/I325*F325)^2*H325*I325</f>
        <v>2.4499999999999995E-3</v>
      </c>
    </row>
    <row r="328" spans="4:85" x14ac:dyDescent="0.25">
      <c r="E328" s="59" t="s">
        <v>837</v>
      </c>
    </row>
    <row r="329" spans="4:85" x14ac:dyDescent="0.25">
      <c r="G329" t="str">
        <f>IF(G327&gt;G322, "Yes", "No")</f>
        <v>No</v>
      </c>
      <c r="H329">
        <f>(Vout*1.05)^2/(G327-G322)</f>
        <v>-2232.3462414578589</v>
      </c>
    </row>
    <row r="332" spans="4:85" x14ac:dyDescent="0.25">
      <c r="D332" s="59"/>
    </row>
    <row r="334" spans="4:85" x14ac:dyDescent="0.25">
      <c r="F334" s="317"/>
    </row>
    <row r="335" spans="4:85" x14ac:dyDescent="0.25">
      <c r="F335" s="317"/>
    </row>
    <row r="336" spans="4:85" x14ac:dyDescent="0.25">
      <c r="F336" s="317"/>
    </row>
  </sheetData>
  <sheetProtection algorithmName="SHA-512" hashValue="mLyNVTC8VlBereBcGLPL6GNJ1zYCKG0lnyb6aNL5rfLZJ6pYqotsCkTzXNY7remY83o+qpKFp6D5KDR4u0G6Ow==" saltValue="NEqX7GDco2Tei3fWdFzXBw==" spinCount="100000" sheet="1" objects="1" scenarios="1"/>
  <mergeCells count="1">
    <mergeCell ref="M3:AA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7030A0"/>
  </sheetPr>
  <dimension ref="B1:CJ340"/>
  <sheetViews>
    <sheetView zoomScaleNormal="100" workbookViewId="0">
      <pane xSplit="10" ySplit="4" topLeftCell="K308" activePane="bottomRight" state="frozen"/>
      <selection pane="topRight" activeCell="K1" sqref="K1"/>
      <selection pane="bottomLeft" activeCell="A5" sqref="A5"/>
      <selection pane="bottomRight" activeCell="O329" sqref="O329"/>
    </sheetView>
  </sheetViews>
  <sheetFormatPr defaultRowHeight="13.2" x14ac:dyDescent="0.25"/>
  <cols>
    <col min="1" max="1" width="2.6640625" customWidth="1"/>
    <col min="2" max="2" width="3.5546875" customWidth="1"/>
    <col min="3" max="3" width="2.6640625" customWidth="1"/>
    <col min="4" max="4" width="3.6640625" customWidth="1"/>
    <col min="5" max="5" width="6.33203125" customWidth="1"/>
    <col min="6" max="6" width="9" customWidth="1"/>
    <col min="7" max="9" width="7.6640625" customWidth="1"/>
    <col min="10" max="10" width="6.33203125" customWidth="1"/>
    <col min="11" max="11" width="9.5546875" customWidth="1"/>
    <col min="12" max="12" width="9.33203125" customWidth="1"/>
    <col min="13" max="13" width="10.5546875" customWidth="1"/>
    <col min="14" max="14" width="8.44140625" customWidth="1"/>
    <col min="15" max="16" width="9.5546875" customWidth="1"/>
    <col min="17" max="18" width="8.6640625" customWidth="1"/>
    <col min="19" max="19" width="8.5546875" customWidth="1"/>
    <col min="20" max="20" width="7.5546875" customWidth="1"/>
    <col min="21" max="21" width="9" customWidth="1"/>
    <col min="22" max="22" width="8.6640625" customWidth="1"/>
    <col min="23" max="23" width="10" customWidth="1"/>
    <col min="24" max="24" width="9.5546875" customWidth="1"/>
    <col min="25" max="25" width="1.6640625" customWidth="1"/>
    <col min="26" max="26" width="9.6640625" customWidth="1"/>
    <col min="27" max="27" width="10.44140625" customWidth="1"/>
    <col min="28" max="28" width="10.33203125" customWidth="1"/>
    <col min="29" max="29" width="2" customWidth="1"/>
    <col min="30" max="30" width="9.33203125" customWidth="1"/>
    <col min="31" max="31" width="9.44140625" customWidth="1"/>
    <col min="32" max="32" width="10.44140625" customWidth="1"/>
    <col min="33" max="33" width="2.33203125" customWidth="1"/>
    <col min="35" max="35" width="8" customWidth="1"/>
    <col min="37" max="37" width="2.33203125" customWidth="1"/>
    <col min="38" max="38" width="6.5546875" customWidth="1"/>
    <col min="39" max="39" width="7.5546875" customWidth="1"/>
    <col min="40" max="40" width="2" customWidth="1"/>
    <col min="41" max="41" width="6.44140625" customWidth="1"/>
    <col min="42" max="42" width="7.5546875" customWidth="1"/>
    <col min="43" max="43" width="2.33203125" customWidth="1"/>
    <col min="44" max="46" width="7" customWidth="1"/>
    <col min="47" max="47" width="8.44140625" customWidth="1"/>
    <col min="48" max="48" width="2.33203125" customWidth="1"/>
    <col min="49" max="49" width="9.44140625" customWidth="1"/>
    <col min="50" max="50" width="12.5546875" customWidth="1"/>
    <col min="51" max="51" width="9.44140625" customWidth="1"/>
    <col min="52" max="52" width="12.6640625" customWidth="1"/>
    <col min="53" max="54" width="9.6640625" customWidth="1"/>
    <col min="55" max="55" width="2" customWidth="1"/>
    <col min="59" max="59" width="2.33203125" customWidth="1"/>
    <col min="60" max="60" width="9" customWidth="1"/>
    <col min="61" max="62" width="8.33203125" customWidth="1"/>
    <col min="63" max="63" width="8.6640625" customWidth="1"/>
    <col min="64" max="64" width="7.5546875" customWidth="1"/>
    <col min="65" max="65" width="8.5546875" customWidth="1"/>
    <col min="66" max="67" width="7.5546875" customWidth="1"/>
    <col min="68" max="69" width="10.33203125" customWidth="1"/>
    <col min="70" max="70" width="9.44140625" customWidth="1"/>
    <col min="71" max="71" width="9.5546875" customWidth="1"/>
    <col min="72" max="72" width="10" customWidth="1"/>
    <col min="73" max="73" width="8.6640625" customWidth="1"/>
    <col min="76" max="78" width="9.6640625" customWidth="1"/>
    <col min="79" max="79" width="12.33203125" customWidth="1"/>
    <col min="80" max="80" width="9.33203125" customWidth="1"/>
    <col min="82" max="82" width="7.6640625" customWidth="1"/>
    <col min="83" max="83" width="10.44140625" customWidth="1"/>
    <col min="84" max="84" width="12.44140625" bestFit="1" customWidth="1"/>
    <col min="85" max="85" width="6.5546875" customWidth="1"/>
    <col min="86" max="86" width="5" customWidth="1"/>
    <col min="87" max="87" width="9.5546875" customWidth="1"/>
  </cols>
  <sheetData>
    <row r="1" spans="2:88" x14ac:dyDescent="0.25">
      <c r="B1" s="162" t="s">
        <v>526</v>
      </c>
    </row>
    <row r="2" spans="2:88" ht="13.8" thickBot="1" x14ac:dyDescent="0.3">
      <c r="AW2">
        <f>Vout_ripple</f>
        <v>200</v>
      </c>
    </row>
    <row r="3" spans="2:88" x14ac:dyDescent="0.25">
      <c r="E3" s="194" t="s">
        <v>428</v>
      </c>
      <c r="F3" s="471"/>
      <c r="G3" s="471"/>
      <c r="H3" s="471"/>
      <c r="I3" s="471"/>
      <c r="J3" s="195"/>
      <c r="K3" s="196"/>
      <c r="L3" s="459"/>
      <c r="M3" s="459"/>
      <c r="N3" s="728" t="s">
        <v>189</v>
      </c>
      <c r="O3" s="729"/>
      <c r="P3" s="730"/>
      <c r="Q3" s="728"/>
      <c r="R3" s="730"/>
      <c r="S3" s="728"/>
      <c r="T3" s="728"/>
      <c r="U3" s="729"/>
      <c r="V3" s="729"/>
      <c r="W3" s="728"/>
      <c r="X3" s="729"/>
      <c r="Y3" s="728"/>
      <c r="Z3" s="731"/>
      <c r="AA3" s="468"/>
      <c r="AB3" s="468"/>
      <c r="AC3" s="468"/>
      <c r="AD3" s="468"/>
      <c r="AE3" s="468"/>
      <c r="AF3" s="468"/>
      <c r="AG3" s="468"/>
      <c r="AH3" s="468"/>
      <c r="AI3" s="468"/>
      <c r="AJ3" s="468"/>
      <c r="AK3" s="468"/>
      <c r="AL3" s="468"/>
      <c r="AM3" s="468"/>
      <c r="AN3" s="468"/>
      <c r="AO3" s="468"/>
      <c r="AP3" s="468"/>
      <c r="AQ3" s="468"/>
      <c r="AR3" s="468" t="s">
        <v>467</v>
      </c>
      <c r="AS3" s="468"/>
      <c r="AT3" s="468"/>
      <c r="AU3" s="468"/>
      <c r="AV3" s="468"/>
      <c r="AW3" s="468"/>
      <c r="AX3" s="468"/>
      <c r="AY3" s="468" t="s">
        <v>477</v>
      </c>
      <c r="AZ3" s="468"/>
      <c r="BA3" s="468"/>
      <c r="BB3" s="468"/>
      <c r="BC3" s="468"/>
      <c r="BD3" s="487" t="s">
        <v>478</v>
      </c>
      <c r="BE3" s="468"/>
      <c r="BF3" s="468"/>
      <c r="BG3" s="468"/>
      <c r="BH3" s="487" t="s">
        <v>502</v>
      </c>
      <c r="BI3" s="468"/>
      <c r="BJ3" s="468"/>
      <c r="BK3" s="468"/>
      <c r="BL3" s="468"/>
      <c r="BM3" s="468"/>
      <c r="BN3" s="468"/>
      <c r="BO3" s="468"/>
      <c r="BP3" s="487" t="s">
        <v>498</v>
      </c>
      <c r="BQ3" s="468"/>
      <c r="BR3" s="468"/>
      <c r="BS3" s="468"/>
      <c r="BT3" s="468"/>
      <c r="BU3" s="488" t="s">
        <v>499</v>
      </c>
      <c r="BV3" s="468"/>
      <c r="BW3" s="468"/>
      <c r="BX3" s="468"/>
      <c r="BY3" s="468"/>
      <c r="BZ3" s="468"/>
      <c r="CA3" s="468"/>
      <c r="CB3" s="468"/>
      <c r="CC3" s="487"/>
      <c r="CD3" s="468"/>
      <c r="CE3" s="468"/>
      <c r="CF3" s="468"/>
      <c r="CG3" s="468"/>
    </row>
    <row r="4" spans="2:88" ht="45" customHeight="1" thickBot="1" x14ac:dyDescent="0.3">
      <c r="E4" s="214" t="s">
        <v>25</v>
      </c>
      <c r="F4" s="522" t="s">
        <v>594</v>
      </c>
      <c r="G4" s="387" t="s">
        <v>593</v>
      </c>
      <c r="H4" s="523" t="s">
        <v>595</v>
      </c>
      <c r="I4" s="524" t="s">
        <v>596</v>
      </c>
      <c r="J4" s="215" t="s">
        <v>419</v>
      </c>
      <c r="K4" s="216" t="s">
        <v>600</v>
      </c>
      <c r="L4" s="525" t="s">
        <v>420</v>
      </c>
      <c r="M4" s="526"/>
      <c r="N4" s="217" t="s">
        <v>48</v>
      </c>
      <c r="O4" s="526" t="s">
        <v>604</v>
      </c>
      <c r="P4" s="526" t="s">
        <v>619</v>
      </c>
      <c r="Q4" s="526" t="s">
        <v>597</v>
      </c>
      <c r="R4" s="526" t="s">
        <v>598</v>
      </c>
      <c r="S4" s="526" t="s">
        <v>599</v>
      </c>
      <c r="T4" s="526" t="s">
        <v>421</v>
      </c>
      <c r="U4" s="526" t="s">
        <v>473</v>
      </c>
      <c r="V4" s="526" t="s">
        <v>472</v>
      </c>
      <c r="W4" s="527" t="s">
        <v>427</v>
      </c>
      <c r="X4" s="528" t="s">
        <v>432</v>
      </c>
      <c r="Z4" s="218" t="s">
        <v>424</v>
      </c>
      <c r="AA4" s="218" t="s">
        <v>471</v>
      </c>
      <c r="AB4" s="218" t="s">
        <v>601</v>
      </c>
      <c r="AC4" s="475"/>
      <c r="AD4" s="218" t="s">
        <v>470</v>
      </c>
      <c r="AE4" s="527" t="s">
        <v>433</v>
      </c>
      <c r="AF4" s="218" t="s">
        <v>602</v>
      </c>
      <c r="AG4" s="475"/>
      <c r="AH4" s="218" t="s">
        <v>436</v>
      </c>
      <c r="AI4" s="477" t="s">
        <v>437</v>
      </c>
      <c r="AJ4" s="477" t="s">
        <v>438</v>
      </c>
      <c r="AL4" s="474" t="s">
        <v>274</v>
      </c>
      <c r="AM4" s="474" t="s">
        <v>439</v>
      </c>
      <c r="AO4" s="218" t="s">
        <v>274</v>
      </c>
      <c r="AP4" s="218" t="s">
        <v>439</v>
      </c>
      <c r="AQ4" s="478"/>
      <c r="AR4" s="218" t="s">
        <v>474</v>
      </c>
      <c r="AS4" s="218" t="s">
        <v>468</v>
      </c>
      <c r="AT4" s="218" t="s">
        <v>469</v>
      </c>
      <c r="AU4" s="218" t="s">
        <v>48</v>
      </c>
      <c r="AV4" s="475"/>
      <c r="AW4" s="218" t="s">
        <v>605</v>
      </c>
      <c r="AX4" s="218" t="s">
        <v>796</v>
      </c>
      <c r="AY4" s="218" t="s">
        <v>606</v>
      </c>
      <c r="AZ4" s="218" t="s">
        <v>797</v>
      </c>
      <c r="BA4" s="218" t="s">
        <v>525</v>
      </c>
      <c r="BB4" s="218" t="s">
        <v>795</v>
      </c>
      <c r="BC4" s="475"/>
      <c r="BD4" s="486" t="s">
        <v>463</v>
      </c>
      <c r="BE4" s="218" t="s">
        <v>613</v>
      </c>
      <c r="BF4" s="218" t="s">
        <v>612</v>
      </c>
      <c r="BG4" s="475"/>
      <c r="BH4" s="486" t="s">
        <v>481</v>
      </c>
      <c r="BI4" s="218" t="s">
        <v>482</v>
      </c>
      <c r="BJ4" s="218" t="s">
        <v>480</v>
      </c>
      <c r="BK4" s="218" t="s">
        <v>476</v>
      </c>
      <c r="BL4" s="218" t="s">
        <v>485</v>
      </c>
      <c r="BM4" s="218" t="s">
        <v>793</v>
      </c>
      <c r="BN4" s="218" t="s">
        <v>686</v>
      </c>
      <c r="BO4" s="218" t="s">
        <v>500</v>
      </c>
      <c r="BP4" s="486" t="s">
        <v>615</v>
      </c>
      <c r="BQ4" s="218" t="s">
        <v>614</v>
      </c>
      <c r="BR4" s="218" t="s">
        <v>484</v>
      </c>
      <c r="BS4" s="218" t="s">
        <v>492</v>
      </c>
      <c r="BT4" s="218" t="s">
        <v>816</v>
      </c>
      <c r="BU4" s="486" t="s">
        <v>465</v>
      </c>
      <c r="BV4" s="218" t="s">
        <v>617</v>
      </c>
      <c r="BW4" s="218" t="s">
        <v>616</v>
      </c>
      <c r="BX4" s="218" t="s">
        <v>475</v>
      </c>
      <c r="BY4" s="218" t="s">
        <v>692</v>
      </c>
      <c r="BZ4" s="218" t="s">
        <v>800</v>
      </c>
      <c r="CA4" s="218" t="s">
        <v>493</v>
      </c>
      <c r="CB4" s="218" t="s">
        <v>495</v>
      </c>
      <c r="CC4" s="486" t="s">
        <v>491</v>
      </c>
      <c r="CD4" s="218" t="s">
        <v>223</v>
      </c>
      <c r="CE4" s="218" t="s">
        <v>47</v>
      </c>
      <c r="CF4" s="218" t="s">
        <v>494</v>
      </c>
      <c r="CG4" s="218" t="s">
        <v>618</v>
      </c>
      <c r="CI4" s="497" t="s">
        <v>507</v>
      </c>
    </row>
    <row r="5" spans="2:88" x14ac:dyDescent="0.25">
      <c r="E5" s="150">
        <v>0.1</v>
      </c>
      <c r="F5" s="191">
        <v>1.0000000000000001E-9</v>
      </c>
      <c r="G5" s="191">
        <v>1.0000000000000001E-9</v>
      </c>
      <c r="H5" s="191">
        <f t="shared" ref="H5:H36" si="0">F5*Vout</f>
        <v>2E-8</v>
      </c>
      <c r="I5" s="191">
        <f>G5*Vout2</f>
        <v>1.6000000000000001E-8</v>
      </c>
      <c r="J5" s="472">
        <f t="shared" ref="J5:J68" si="1">Vin</f>
        <v>20</v>
      </c>
      <c r="K5" s="386">
        <f t="shared" ref="K5:K68" si="2">(S5+Vfwd1)*Nps</f>
        <v>20.32</v>
      </c>
      <c r="L5" s="386">
        <f t="shared" ref="L5:L68" si="3">(Vout+Vfwd1)*Nps+J5</f>
        <v>40.32</v>
      </c>
      <c r="M5" s="386"/>
      <c r="N5" s="191">
        <f t="shared" ref="N5:N68" si="4">(Vout+Vfwd1)*Nps/((Vout+Vfwd1)*Nps+J5)</f>
        <v>0.50396825396825395</v>
      </c>
      <c r="O5" s="152">
        <f>N5*J5*Isw_max*0.5*Efficiency*(Pout/Pout_total)</f>
        <v>3.4017857142857144</v>
      </c>
      <c r="P5" s="152">
        <f t="shared" ref="P5:P36" si="5">N5*J5*Isw_max*0.5*Efficiency*(Pout2/Pout_total)</f>
        <v>2.7214285714285715</v>
      </c>
      <c r="Q5" s="191">
        <f t="shared" ref="Q5:Q68" si="6">O5/Vout</f>
        <v>0.17008928571428572</v>
      </c>
      <c r="R5" s="191">
        <f t="shared" ref="R5:R36" si="7">O5/Vout2</f>
        <v>0.21261160714285715</v>
      </c>
      <c r="S5" s="386">
        <f t="shared" ref="S5:S36" si="8">MIN(Vout,O5/F5)</f>
        <v>20</v>
      </c>
      <c r="T5" s="191">
        <f t="shared" ref="T5:T36" si="9">MIN(2*(Vout*F5+Vout2*G5)/(Efficiency*J5*N5), Isw_max)</f>
        <v>7.93700787401575E-9</v>
      </c>
      <c r="U5" s="191">
        <f t="shared" ref="U5:U68" si="10">L*T5/J5*1000000</f>
        <v>2.3811023622047253E-8</v>
      </c>
      <c r="V5" s="191">
        <f t="shared" ref="V5:V68" si="11">L*T5/K5*1000000</f>
        <v>2.3436046872093754E-8</v>
      </c>
      <c r="W5" s="175">
        <f t="shared" ref="W5:W68" si="12">IF(1/((350000*L)*(1/J5+1/K5))&gt;Isw_min, 350, 0.001/((Isw_min*L)*(1/J5+1/K5)))</f>
        <v>350</v>
      </c>
      <c r="X5" s="386">
        <f>MIN(1/(U5+V5)*1000, 350)</f>
        <v>350</v>
      </c>
      <c r="Z5" s="191">
        <f t="shared" ref="Z5:Z68" si="13">1/((W5*1000*L)*(1/J5+1/K5))</f>
        <v>0.47996976568405147</v>
      </c>
      <c r="AA5" s="153">
        <f t="shared" ref="AA5:AA68" si="14">L*Z5/K5*1000000</f>
        <v>1.4172335600907031</v>
      </c>
      <c r="AB5" s="153">
        <f t="shared" ref="AB5:AB36" si="15">0.5*AA5*Z5*Nps*W5/1000*(Pout/Pout_total)</f>
        <v>0.11904012045735404</v>
      </c>
      <c r="AC5" s="153"/>
      <c r="AD5" s="153">
        <f t="shared" ref="AD5:AD68" si="16">L*Isw_min/K5*1000000</f>
        <v>0.44291338582677164</v>
      </c>
      <c r="AE5" s="317">
        <f t="shared" ref="AE5:AE36" si="17">MAX(10, F5/(0.5*AD5/1000000*Isw_min*Nps)/1000*Pout_total/Pout)</f>
        <v>10</v>
      </c>
      <c r="AF5" s="463">
        <f t="shared" ref="AF5:AF36" si="18">0.5*AD5/1000000*Isw_min*Nps*W5*1000*(Pout/Pout_total)</f>
        <v>1.1626476377952754E-2</v>
      </c>
      <c r="AH5" s="153">
        <f t="shared" ref="AH5:AH36" si="19">SQRT((H5+I5)/(0.5*L*Fsw_DCM))</f>
        <v>5.8554004376911996E-5</v>
      </c>
      <c r="AI5" s="153">
        <f t="shared" ref="AI5:AI36" si="20">MAX(IF(F5&gt;AB5,T5,AH5),Isw_min)</f>
        <v>0.15</v>
      </c>
      <c r="AJ5" s="153">
        <f t="shared" ref="AJ5:AJ36" si="21">IF(F5&gt;AF5, (AI5-Isw_min)/1.08*0.8+1.2, AE5*0.2/350+1)</f>
        <v>1.0057142857142858</v>
      </c>
      <c r="AL5" s="317">
        <f t="shared" ref="AL5:AL36" si="22">F5*1000</f>
        <v>1.0000000000000002E-6</v>
      </c>
      <c r="AM5" s="147">
        <f t="shared" ref="AM5:AM36" si="23">IF(F5&gt;AF5, X5, AE5)</f>
        <v>10</v>
      </c>
      <c r="AO5">
        <f>IF(H5&gt;O5, "",AL5)</f>
        <v>1.0000000000000002E-6</v>
      </c>
      <c r="AP5" s="147">
        <f t="shared" ref="AP5:AP68" si="24">IF(H5&gt;O5, "",AM5)</f>
        <v>10</v>
      </c>
      <c r="AQ5" s="147"/>
      <c r="AR5" s="5">
        <f>1/AM5*1000</f>
        <v>100</v>
      </c>
      <c r="AS5" s="5">
        <f t="shared" ref="AS5:AS68" si="25">L*AI5/J5*1000000</f>
        <v>0.45</v>
      </c>
      <c r="AT5" s="5">
        <f>AR5-AS5</f>
        <v>99.55</v>
      </c>
      <c r="AU5" s="153">
        <f>AS5/AR5</f>
        <v>4.5000000000000005E-3</v>
      </c>
      <c r="AW5" s="5">
        <f t="shared" ref="AW5:AW36" si="26">L*Iout^2/(2*Vripple1_spec*Vout*Npri_sec1^2)*1000000000*((1+N5)/(1-N5))^2</f>
        <v>0.68947680000000022</v>
      </c>
      <c r="AX5" s="5">
        <f t="shared" ref="AX5:AX36" si="27">L*F5^2/(2*Cout*Vout*Nps^2)*1000000000*((1+N5)/(1-N5))^2+F5*RCoutEsr</f>
        <v>3.0000013789536003E-9</v>
      </c>
      <c r="AY5" s="5">
        <f t="shared" ref="AY5:AY36" si="28">L*Iout2^2/(2*Vripple2_spec*Vout2*Npri_sec2^2)*1000000000*((1+N5)/(1-N5))^2</f>
        <v>0.6949164380928764</v>
      </c>
      <c r="AZ5" s="5">
        <f t="shared" ref="AZ5:AZ36" si="29">L*G5^2/(2*Cout2*Vout2*Npri_sec2^2)*1000000000*((1+N5)/(1-N5))^2+G5*CoutEsr2</f>
        <v>2.0000005053937733E-9</v>
      </c>
      <c r="BA5" s="5">
        <f t="shared" ref="BA5:BA36" si="30">(H5+I5)/Efficiency/J5*AT5/Vinripple1</f>
        <v>1.9910000000000006E-7</v>
      </c>
      <c r="BB5" s="147">
        <f t="shared" ref="BB5:BB36" si="31">((CD5/J5/Efficiency)*AT5/Cin+(CD5/J5/Efficiency)*RCinEsr)*1000</f>
        <v>1.9916E-5</v>
      </c>
      <c r="BC5" s="5"/>
      <c r="BD5" s="153">
        <f>AI5*SQRT(AU5/3)</f>
        <v>5.8094750193111253E-3</v>
      </c>
      <c r="BE5" s="153">
        <f t="shared" ref="BE5:BE36" si="32">AI5*Npri_sec1*SQRT((1-AU5)/3)*(Pout/Pout_total)</f>
        <v>8.6407464955291918E-2</v>
      </c>
      <c r="BF5" s="153">
        <f t="shared" ref="BF5:BF36" si="33">AI5*Npri_sec2*SQRT((1-AU5)/3)*(Pout2/Pout_total)</f>
        <v>8.6068612151545695E-2</v>
      </c>
      <c r="BG5" s="153"/>
      <c r="BH5" s="463">
        <f t="shared" ref="BH5:BH68" si="34">Rdson*BD5^2</f>
        <v>1.1812499999999999E-5</v>
      </c>
      <c r="BI5" s="463">
        <f t="shared" ref="BI5:BI68" si="35">0.5*L5*AI5*AM5*1000*Trise</f>
        <v>3.0240000000000003E-4</v>
      </c>
      <c r="BJ5" s="463">
        <f t="shared" ref="BJ5:BJ68" si="36">Qg*Vdd*AM5*1000</f>
        <v>1.25E-4</v>
      </c>
      <c r="BK5" s="463">
        <f t="shared" ref="BK5:BK68" si="37">0.5*(Coss+Csw)*L5^2*AM5*1000</f>
        <v>8.1285120000000014E-4</v>
      </c>
      <c r="BL5">
        <f t="shared" ref="BL5:BL68" si="38">J5*IQ</f>
        <v>5.7999999999999996E-3</v>
      </c>
      <c r="BM5">
        <f t="shared" ref="BM5:BM36" si="39">(J5-Vdd)*Qg*AM5</f>
        <v>3.7500000000000001E-7</v>
      </c>
      <c r="BN5">
        <f t="shared" ref="BN5:BN36" si="40">(BI5+BJ5+BK5+BL5+BM5+BH5*(1+RdsonTC*(Ta-25)))/(1-BH5*RdsonTC*ThetaJA)</f>
        <v>7.0540487611379585E-3</v>
      </c>
      <c r="BO5" s="147">
        <f>BN5*1000</f>
        <v>7.0540487611379588</v>
      </c>
      <c r="BP5" s="153">
        <f t="shared" ref="BP5:BP36" si="41">(Vfwd2*F5+BE5^2*Rdiode)*(1+Diode_TC/1000*(Ta-25))</f>
        <v>5.7042153820000014E-3</v>
      </c>
      <c r="BQ5" s="153">
        <f t="shared" ref="BQ5:BQ36" si="42">(Vfwd2*G5+BF5^2*Rdiode)*(1+Diode_TC/1000*(Ta-25))</f>
        <v>5.6595641642376059E-3</v>
      </c>
      <c r="BR5" s="463"/>
      <c r="BT5" s="147">
        <f>SUM(BP5:BS5)*1000</f>
        <v>11.363779546237609</v>
      </c>
      <c r="BU5" s="463">
        <f t="shared" ref="BU5:BU68" si="43">Rdcr_pri*BD5^2</f>
        <v>3.375E-5</v>
      </c>
      <c r="BV5" s="463">
        <f>Rdcr_sec*BE5^2</f>
        <v>7.4662500000000007E-3</v>
      </c>
      <c r="BW5" s="463">
        <f t="shared" ref="BW5:BW36" si="44">Rdcr_sec2*BF5^2</f>
        <v>3.7039029988466003E-4</v>
      </c>
      <c r="BX5" s="463">
        <f t="shared" ref="BX5:BX68" si="45">AI5^2.5*AM5^2.5*k_core</f>
        <v>0</v>
      </c>
      <c r="BY5" s="463">
        <f t="shared" ref="BY5:BY36" si="46">(BX5+(BU5+BV5+BW5)*(1+Ltc*(Ta-25)))/(1-(BU5+BV5+BW5)*Ltc*ThetaCa)</f>
        <v>8.8203907292817747E-3</v>
      </c>
      <c r="BZ5" s="463">
        <f>SUM(BU5:BX5)</f>
        <v>7.8703902998846602E-3</v>
      </c>
      <c r="CA5" s="549">
        <f t="shared" ref="CA5:CA36" si="47">0.5*Lleak*0.000000001*AI5^2*AM5*1000</f>
        <v>1.1250000000000001E-4</v>
      </c>
      <c r="CB5" s="147">
        <f>(BY5+CA5)*1000</f>
        <v>8.932890729281775</v>
      </c>
      <c r="CC5" s="153">
        <f>SUM(BN5,BP5:BS5,BY5, CA5)</f>
        <v>2.7350719036657343E-2</v>
      </c>
      <c r="CD5" s="5">
        <f>MIN(H5+I5,O5+P5)</f>
        <v>3.6000000000000005E-8</v>
      </c>
      <c r="CE5" s="153">
        <f>CD5/(CD5+CC5)</f>
        <v>1.3162342301611182E-6</v>
      </c>
      <c r="CF5" s="5">
        <f>CE5*100</f>
        <v>1.3162342301611181E-4</v>
      </c>
      <c r="CG5">
        <v>0</v>
      </c>
      <c r="CI5" s="59">
        <f t="shared" ref="CI5:CI36" si="48">IF(ABS(F5-Ioutmax_Vinnom)&lt;Iout/200, AM5, -50)</f>
        <v>-50</v>
      </c>
      <c r="CJ5">
        <f t="shared" ref="CJ5:CJ36" si="49">IF(ABS(F5-Ioutmax_Vinnom)&lt;Iout/200, (O5+P5)*CE5, -50)</f>
        <v>-50</v>
      </c>
    </row>
    <row r="6" spans="2:88" x14ac:dyDescent="0.25">
      <c r="E6" s="150">
        <v>1</v>
      </c>
      <c r="F6" s="191">
        <f>IF(PLOT_TYPE=1, E6/100*Iout, min_I*EXP(O6*rr/100))</f>
        <v>1E-3</v>
      </c>
      <c r="G6" s="191">
        <f t="shared" ref="G6:G37" si="50">IF(PLOT_TYPE=1, E6/100*Iout2, min_I*EXP(Q6*rr/100))</f>
        <v>1E-3</v>
      </c>
      <c r="H6" s="191">
        <f t="shared" si="0"/>
        <v>0.02</v>
      </c>
      <c r="I6" s="191">
        <f>G6*Vout2</f>
        <v>1.6E-2</v>
      </c>
      <c r="J6" s="472">
        <f t="shared" si="1"/>
        <v>20</v>
      </c>
      <c r="K6" s="386">
        <f t="shared" si="2"/>
        <v>20.32</v>
      </c>
      <c r="L6" s="386">
        <f t="shared" si="3"/>
        <v>40.32</v>
      </c>
      <c r="M6" s="386"/>
      <c r="N6" s="191">
        <f t="shared" si="4"/>
        <v>0.50396825396825395</v>
      </c>
      <c r="O6" s="152">
        <f t="shared" ref="O6:O37" si="51">N6*J6*Isw_max*0.5*Efficiency*Pout/(Pout+Pout2)</f>
        <v>1.8898809523809523</v>
      </c>
      <c r="P6" s="152">
        <f t="shared" si="5"/>
        <v>2.7214285714285715</v>
      </c>
      <c r="Q6" s="191">
        <f t="shared" si="6"/>
        <v>9.4494047619047616E-2</v>
      </c>
      <c r="R6" s="191">
        <f t="shared" si="7"/>
        <v>0.11811755952380952</v>
      </c>
      <c r="S6" s="386">
        <f t="shared" si="8"/>
        <v>20</v>
      </c>
      <c r="T6" s="191">
        <f t="shared" si="9"/>
        <v>7.9370078740157498E-3</v>
      </c>
      <c r="U6" s="191">
        <f t="shared" si="10"/>
        <v>2.3811023622047251E-2</v>
      </c>
      <c r="V6" s="191">
        <f t="shared" si="11"/>
        <v>2.343604687209375E-2</v>
      </c>
      <c r="W6" s="175">
        <f t="shared" si="12"/>
        <v>350</v>
      </c>
      <c r="X6" s="386">
        <f t="shared" ref="X6:X69" si="52">MIN(1/(U6+V6)*1000, 350)</f>
        <v>350</v>
      </c>
      <c r="Z6" s="191">
        <f t="shared" si="13"/>
        <v>0.47996976568405147</v>
      </c>
      <c r="AA6" s="153">
        <f t="shared" si="14"/>
        <v>1.4172335600907031</v>
      </c>
      <c r="AB6" s="153">
        <f t="shared" si="15"/>
        <v>0.11904012045735404</v>
      </c>
      <c r="AC6" s="153"/>
      <c r="AD6" s="153">
        <f t="shared" si="16"/>
        <v>0.44291338582677164</v>
      </c>
      <c r="AE6" s="317">
        <f t="shared" si="17"/>
        <v>30.103703703703708</v>
      </c>
      <c r="AF6" s="463">
        <f t="shared" si="18"/>
        <v>1.1626476377952754E-2</v>
      </c>
      <c r="AH6" s="153">
        <f t="shared" si="19"/>
        <v>5.8554004376911994E-2</v>
      </c>
      <c r="AI6" s="153">
        <f t="shared" si="20"/>
        <v>0.15</v>
      </c>
      <c r="AJ6" s="153">
        <f t="shared" si="21"/>
        <v>1.0172021164021163</v>
      </c>
      <c r="AL6" s="317">
        <f t="shared" si="22"/>
        <v>1</v>
      </c>
      <c r="AM6" s="147">
        <f t="shared" si="23"/>
        <v>30.103703703703708</v>
      </c>
      <c r="AO6">
        <f t="shared" ref="AO6:AO69" si="53">IF(H6&gt;O6, "",AL6)</f>
        <v>1</v>
      </c>
      <c r="AP6" s="147">
        <f t="shared" si="24"/>
        <v>30.103703703703708</v>
      </c>
      <c r="AQ6" s="147"/>
      <c r="AR6" s="5">
        <f t="shared" ref="AR6:AR69" si="54">1/AM6*1000</f>
        <v>33.218503937007867</v>
      </c>
      <c r="AS6" s="5">
        <f t="shared" si="25"/>
        <v>0.45</v>
      </c>
      <c r="AT6" s="5">
        <f t="shared" ref="AT6:AT69" si="55">AR6-AS6</f>
        <v>32.768503937007864</v>
      </c>
      <c r="AU6" s="153">
        <f t="shared" ref="AU6:AU69" si="56">AS6/AR6</f>
        <v>1.354666666666667E-2</v>
      </c>
      <c r="AW6" s="5">
        <f t="shared" si="26"/>
        <v>0.68947680000000022</v>
      </c>
      <c r="AX6" s="5">
        <f t="shared" si="27"/>
        <v>4.3789535999999999E-3</v>
      </c>
      <c r="AY6" s="5">
        <f t="shared" si="28"/>
        <v>0.6949164380928764</v>
      </c>
      <c r="AZ6" s="5">
        <f t="shared" si="29"/>
        <v>2.5053937731584555E-3</v>
      </c>
      <c r="BA6" s="5">
        <f t="shared" si="30"/>
        <v>6.5537007874015729E-2</v>
      </c>
      <c r="BB6" s="147">
        <f t="shared" si="31"/>
        <v>6.5597007874015727</v>
      </c>
      <c r="BC6" s="5"/>
      <c r="BD6" s="153">
        <f t="shared" ref="BD6:BD69" si="57">AI6*SQRT(AU6/3)</f>
        <v>1.0079682534683323E-2</v>
      </c>
      <c r="BE6" s="153">
        <f t="shared" si="32"/>
        <v>8.6013952356579923E-2</v>
      </c>
      <c r="BF6" s="153">
        <f t="shared" si="33"/>
        <v>8.5676642739495296E-2</v>
      </c>
      <c r="BG6" s="153"/>
      <c r="BH6" s="463">
        <f t="shared" si="34"/>
        <v>3.5560000000000005E-5</v>
      </c>
      <c r="BI6" s="463">
        <f t="shared" si="35"/>
        <v>9.1033600000000009E-4</v>
      </c>
      <c r="BJ6" s="463">
        <f t="shared" si="36"/>
        <v>3.7629629629629634E-4</v>
      </c>
      <c r="BK6" s="463">
        <f t="shared" si="37"/>
        <v>2.4469831680000009E-3</v>
      </c>
      <c r="BL6">
        <f t="shared" si="38"/>
        <v>5.7999999999999996E-3</v>
      </c>
      <c r="BM6">
        <f t="shared" si="39"/>
        <v>1.1288888888888889E-6</v>
      </c>
      <c r="BN6">
        <f t="shared" si="40"/>
        <v>9.5751677741374216E-3</v>
      </c>
      <c r="BO6" s="147">
        <f t="shared" ref="BO6:BO69" si="58">BN6*1000</f>
        <v>9.5751677741374213</v>
      </c>
      <c r="BP6" s="153">
        <f t="shared" si="41"/>
        <v>6.0343776000000024E-3</v>
      </c>
      <c r="BQ6" s="153">
        <f t="shared" si="42"/>
        <v>5.9901321528888904E-3</v>
      </c>
      <c r="BR6" s="463"/>
      <c r="BT6" s="147">
        <f t="shared" ref="BT6:BT69" si="59">SUM(BP6:BS6)*1000</f>
        <v>12.024509752888893</v>
      </c>
      <c r="BU6" s="463">
        <f t="shared" si="43"/>
        <v>1.0160000000000002E-4</v>
      </c>
      <c r="BV6" s="463">
        <f t="shared" ref="BV6:BV68" si="60">Rdcr_sec*BE6^2</f>
        <v>7.3984000000000012E-3</v>
      </c>
      <c r="BW6" s="463">
        <f t="shared" si="44"/>
        <v>3.6702435555555562E-4</v>
      </c>
      <c r="BX6" s="463">
        <f t="shared" si="45"/>
        <v>0</v>
      </c>
      <c r="BY6" s="463">
        <f t="shared" si="46"/>
        <v>8.8166161209227763E-3</v>
      </c>
      <c r="BZ6" s="463">
        <f t="shared" ref="BZ6:BZ69" si="61">SUM(BU6:BX6)</f>
        <v>7.8670243555555575E-3</v>
      </c>
      <c r="CA6" s="549">
        <f t="shared" si="47"/>
        <v>3.3866666666666675E-4</v>
      </c>
      <c r="CB6" s="147">
        <f t="shared" ref="CB6:CB69" si="62">(BY6+CA6)*1000</f>
        <v>9.1552827875894423</v>
      </c>
      <c r="CC6" s="153">
        <f t="shared" ref="CC6:CC69" si="63">SUM(BN6,BP6:BS6,BY6, CA6)</f>
        <v>3.0754960314615762E-2</v>
      </c>
      <c r="CD6" s="5">
        <f t="shared" ref="CD6:CD69" si="64">MIN(H6+I6,O6+P6)</f>
        <v>3.6000000000000004E-2</v>
      </c>
      <c r="CE6" s="153">
        <f t="shared" ref="CE6:CE69" si="65">CD6/(CD6+CC6)</f>
        <v>0.53928576738465872</v>
      </c>
      <c r="CF6" s="5">
        <f t="shared" ref="CF6:CF69" si="66">CE6*100</f>
        <v>53.928576738465871</v>
      </c>
      <c r="CG6">
        <f t="shared" ref="CG6:CG37" si="67">F6/Iout*100</f>
        <v>1</v>
      </c>
      <c r="CI6" s="59">
        <f t="shared" si="48"/>
        <v>-50</v>
      </c>
      <c r="CJ6">
        <f t="shared" si="49"/>
        <v>-50</v>
      </c>
    </row>
    <row r="7" spans="2:88" x14ac:dyDescent="0.25">
      <c r="E7" s="150">
        <v>2</v>
      </c>
      <c r="F7" s="191">
        <f>IF(PLOT_TYPE=1, E7/100*Iout, min_I*EXP(O7*rr/100))</f>
        <v>2E-3</v>
      </c>
      <c r="G7" s="191">
        <f t="shared" si="50"/>
        <v>2E-3</v>
      </c>
      <c r="H7" s="191">
        <f t="shared" si="0"/>
        <v>0.04</v>
      </c>
      <c r="I7" s="191">
        <f>G7*Vout2</f>
        <v>3.2000000000000001E-2</v>
      </c>
      <c r="J7" s="472">
        <f t="shared" si="1"/>
        <v>20</v>
      </c>
      <c r="K7" s="386">
        <f t="shared" si="2"/>
        <v>20.32</v>
      </c>
      <c r="L7" s="386">
        <f t="shared" si="3"/>
        <v>40.32</v>
      </c>
      <c r="M7" s="386"/>
      <c r="N7" s="191">
        <f t="shared" si="4"/>
        <v>0.50396825396825395</v>
      </c>
      <c r="O7" s="152">
        <f t="shared" si="51"/>
        <v>1.8898809523809523</v>
      </c>
      <c r="P7" s="152">
        <f t="shared" si="5"/>
        <v>2.7214285714285715</v>
      </c>
      <c r="Q7" s="191">
        <f t="shared" si="6"/>
        <v>9.4494047619047616E-2</v>
      </c>
      <c r="R7" s="191">
        <f t="shared" si="7"/>
        <v>0.11811755952380952</v>
      </c>
      <c r="S7" s="386">
        <f t="shared" si="8"/>
        <v>20</v>
      </c>
      <c r="T7" s="191">
        <f t="shared" si="9"/>
        <v>1.58740157480315E-2</v>
      </c>
      <c r="U7" s="191">
        <f t="shared" si="10"/>
        <v>4.7622047244094502E-2</v>
      </c>
      <c r="V7" s="191">
        <f t="shared" si="11"/>
        <v>4.68720937441875E-2</v>
      </c>
      <c r="W7" s="175">
        <f t="shared" si="12"/>
        <v>350</v>
      </c>
      <c r="X7" s="386">
        <f t="shared" si="52"/>
        <v>350</v>
      </c>
      <c r="Z7" s="191">
        <f t="shared" si="13"/>
        <v>0.47996976568405147</v>
      </c>
      <c r="AA7" s="153">
        <f t="shared" si="14"/>
        <v>1.4172335600907031</v>
      </c>
      <c r="AB7" s="153">
        <f t="shared" si="15"/>
        <v>0.11904012045735404</v>
      </c>
      <c r="AC7" s="153"/>
      <c r="AD7" s="153">
        <f t="shared" si="16"/>
        <v>0.44291338582677164</v>
      </c>
      <c r="AE7" s="317">
        <f t="shared" si="17"/>
        <v>60.207407407407416</v>
      </c>
      <c r="AF7" s="463">
        <f t="shared" si="18"/>
        <v>1.1626476377952754E-2</v>
      </c>
      <c r="AH7" s="153">
        <f t="shared" si="19"/>
        <v>8.2807867121082512E-2</v>
      </c>
      <c r="AI7" s="153">
        <f t="shared" si="20"/>
        <v>0.15</v>
      </c>
      <c r="AJ7" s="153">
        <f t="shared" si="21"/>
        <v>1.0344042328042329</v>
      </c>
      <c r="AL7" s="317">
        <f t="shared" si="22"/>
        <v>2</v>
      </c>
      <c r="AM7" s="147">
        <f t="shared" si="23"/>
        <v>60.207407407407416</v>
      </c>
      <c r="AO7">
        <f t="shared" si="53"/>
        <v>2</v>
      </c>
      <c r="AP7" s="147">
        <f t="shared" si="24"/>
        <v>60.207407407407416</v>
      </c>
      <c r="AQ7" s="147"/>
      <c r="AR7" s="5">
        <f t="shared" si="54"/>
        <v>16.609251968503933</v>
      </c>
      <c r="AS7" s="5">
        <f t="shared" si="25"/>
        <v>0.45</v>
      </c>
      <c r="AT7" s="5">
        <f t="shared" si="55"/>
        <v>16.159251968503934</v>
      </c>
      <c r="AU7" s="153">
        <f t="shared" si="56"/>
        <v>2.7093333333333341E-2</v>
      </c>
      <c r="AW7" s="5">
        <f t="shared" si="26"/>
        <v>0.68947680000000022</v>
      </c>
      <c r="AX7" s="5">
        <f t="shared" si="27"/>
        <v>1.1515814399999999E-2</v>
      </c>
      <c r="AY7" s="5">
        <f t="shared" si="28"/>
        <v>0.6949164380928764</v>
      </c>
      <c r="AZ7" s="5">
        <f t="shared" si="29"/>
        <v>6.021575092633822E-3</v>
      </c>
      <c r="BA7" s="5">
        <f t="shared" si="30"/>
        <v>6.4637007874015745E-2</v>
      </c>
      <c r="BB7" s="147">
        <f t="shared" si="31"/>
        <v>6.4757007874015748</v>
      </c>
      <c r="BC7" s="5"/>
      <c r="BD7" s="153">
        <f t="shared" si="57"/>
        <v>1.425482374496437E-2</v>
      </c>
      <c r="BE7" s="153">
        <f t="shared" si="32"/>
        <v>8.5421308816945665E-2</v>
      </c>
      <c r="BF7" s="153">
        <f t="shared" si="33"/>
        <v>8.5086323292173346E-2</v>
      </c>
      <c r="BG7" s="153"/>
      <c r="BH7" s="463">
        <f t="shared" si="34"/>
        <v>7.1119999999999997E-5</v>
      </c>
      <c r="BI7" s="463">
        <f t="shared" si="35"/>
        <v>1.8206720000000002E-3</v>
      </c>
      <c r="BJ7" s="463">
        <f t="shared" si="36"/>
        <v>7.5259259259259268E-4</v>
      </c>
      <c r="BK7" s="463">
        <f t="shared" si="37"/>
        <v>4.8939663360000017E-3</v>
      </c>
      <c r="BL7">
        <f t="shared" si="38"/>
        <v>5.7999999999999996E-3</v>
      </c>
      <c r="BM7">
        <f t="shared" si="39"/>
        <v>2.2577777777777778E-6</v>
      </c>
      <c r="BN7">
        <f t="shared" si="40"/>
        <v>1.3350385085317322E-2</v>
      </c>
      <c r="BO7" s="147">
        <f t="shared" si="58"/>
        <v>13.350385085317322</v>
      </c>
      <c r="BP7" s="153">
        <f t="shared" si="41"/>
        <v>6.3387551999999998E-3</v>
      </c>
      <c r="BQ7" s="153">
        <f t="shared" si="42"/>
        <v>6.2951173622945054E-3</v>
      </c>
      <c r="BR7" s="463"/>
      <c r="BT7" s="147">
        <f t="shared" si="59"/>
        <v>12.633872562294505</v>
      </c>
      <c r="BU7" s="463">
        <f t="shared" si="43"/>
        <v>2.0320000000000001E-4</v>
      </c>
      <c r="BV7" s="463">
        <f t="shared" si="60"/>
        <v>7.2967999999999991E-3</v>
      </c>
      <c r="BW7" s="463">
        <f t="shared" si="44"/>
        <v>3.6198412056901206E-4</v>
      </c>
      <c r="BX7" s="463">
        <f t="shared" si="45"/>
        <v>0</v>
      </c>
      <c r="BY7" s="463">
        <f t="shared" si="46"/>
        <v>8.8109639477288084E-3</v>
      </c>
      <c r="BZ7" s="463">
        <f t="shared" si="61"/>
        <v>7.8619841205690103E-3</v>
      </c>
      <c r="CA7" s="549">
        <f t="shared" si="47"/>
        <v>6.773333333333335E-4</v>
      </c>
      <c r="CB7" s="147">
        <f t="shared" si="62"/>
        <v>9.4882972810621418</v>
      </c>
      <c r="CC7" s="153">
        <f t="shared" si="63"/>
        <v>3.5472554928673974E-2</v>
      </c>
      <c r="CD7" s="5">
        <f t="shared" si="64"/>
        <v>7.2000000000000008E-2</v>
      </c>
      <c r="CE7" s="153">
        <f t="shared" si="65"/>
        <v>0.66993847915669313</v>
      </c>
      <c r="CF7" s="5">
        <f t="shared" si="66"/>
        <v>66.993847915669306</v>
      </c>
      <c r="CG7">
        <f t="shared" si="67"/>
        <v>2</v>
      </c>
      <c r="CI7" s="59">
        <f t="shared" si="48"/>
        <v>-50</v>
      </c>
      <c r="CJ7">
        <f t="shared" si="49"/>
        <v>-50</v>
      </c>
    </row>
    <row r="8" spans="2:88" x14ac:dyDescent="0.25">
      <c r="E8" s="150">
        <v>3</v>
      </c>
      <c r="F8" s="191">
        <f t="shared" ref="F8:F39" si="68">IF(PLOT_TYPE=1, E8/100*Iout_max, min_I*EXP(O8*rr/100))</f>
        <v>3.0000000000000001E-3</v>
      </c>
      <c r="G8" s="191">
        <f t="shared" si="50"/>
        <v>3.0000000000000001E-3</v>
      </c>
      <c r="H8" s="191">
        <f t="shared" si="0"/>
        <v>0.06</v>
      </c>
      <c r="I8" s="191">
        <f t="shared" ref="I8:I39" si="69">Vout2*G8</f>
        <v>4.8000000000000001E-2</v>
      </c>
      <c r="J8" s="472">
        <f t="shared" si="1"/>
        <v>20</v>
      </c>
      <c r="K8" s="386">
        <f t="shared" si="2"/>
        <v>20.32</v>
      </c>
      <c r="L8" s="386">
        <f t="shared" si="3"/>
        <v>40.32</v>
      </c>
      <c r="M8" s="386"/>
      <c r="N8" s="191">
        <f t="shared" si="4"/>
        <v>0.50396825396825395</v>
      </c>
      <c r="O8" s="152">
        <f t="shared" si="51"/>
        <v>1.8898809523809523</v>
      </c>
      <c r="P8" s="152">
        <f t="shared" si="5"/>
        <v>2.7214285714285715</v>
      </c>
      <c r="Q8" s="191">
        <f t="shared" si="6"/>
        <v>9.4494047619047616E-2</v>
      </c>
      <c r="R8" s="191">
        <f t="shared" si="7"/>
        <v>0.11811755952380952</v>
      </c>
      <c r="S8" s="386">
        <f t="shared" si="8"/>
        <v>20</v>
      </c>
      <c r="T8" s="191">
        <f t="shared" si="9"/>
        <v>2.3811023622047244E-2</v>
      </c>
      <c r="U8" s="191">
        <f t="shared" si="10"/>
        <v>7.1433070866141743E-2</v>
      </c>
      <c r="V8" s="191">
        <f t="shared" si="11"/>
        <v>7.0308140616281226E-2</v>
      </c>
      <c r="W8" s="175">
        <f t="shared" si="12"/>
        <v>350</v>
      </c>
      <c r="X8" s="386">
        <f t="shared" si="52"/>
        <v>350</v>
      </c>
      <c r="Z8" s="191">
        <f t="shared" si="13"/>
        <v>0.47996976568405147</v>
      </c>
      <c r="AA8" s="153">
        <f t="shared" si="14"/>
        <v>1.4172335600907031</v>
      </c>
      <c r="AB8" s="153">
        <f t="shared" si="15"/>
        <v>0.11904012045735404</v>
      </c>
      <c r="AC8" s="153"/>
      <c r="AD8" s="153">
        <f t="shared" si="16"/>
        <v>0.44291338582677164</v>
      </c>
      <c r="AE8" s="317">
        <f t="shared" si="17"/>
        <v>90.311111111111117</v>
      </c>
      <c r="AF8" s="463">
        <f t="shared" si="18"/>
        <v>1.1626476377952754E-2</v>
      </c>
      <c r="AH8" s="153">
        <f t="shared" si="19"/>
        <v>0.10141851056742199</v>
      </c>
      <c r="AI8" s="153">
        <f t="shared" si="20"/>
        <v>0.15</v>
      </c>
      <c r="AJ8" s="153">
        <f t="shared" si="21"/>
        <v>1.0516063492063492</v>
      </c>
      <c r="AL8" s="317">
        <f t="shared" si="22"/>
        <v>3</v>
      </c>
      <c r="AM8" s="147">
        <f t="shared" si="23"/>
        <v>90.311111111111117</v>
      </c>
      <c r="AO8">
        <f t="shared" si="53"/>
        <v>3</v>
      </c>
      <c r="AP8" s="147">
        <f t="shared" si="24"/>
        <v>90.311111111111117</v>
      </c>
      <c r="AQ8" s="147"/>
      <c r="AR8" s="5">
        <f t="shared" si="54"/>
        <v>11.072834645669291</v>
      </c>
      <c r="AS8" s="5">
        <f t="shared" si="25"/>
        <v>0.45</v>
      </c>
      <c r="AT8" s="5">
        <f t="shared" si="55"/>
        <v>10.622834645669291</v>
      </c>
      <c r="AU8" s="153">
        <f t="shared" si="56"/>
        <v>4.0640000000000003E-2</v>
      </c>
      <c r="AW8" s="5">
        <f t="shared" si="26"/>
        <v>0.68947680000000022</v>
      </c>
      <c r="AX8" s="5">
        <f t="shared" si="27"/>
        <v>2.1410582399999999E-2</v>
      </c>
      <c r="AY8" s="5">
        <f t="shared" si="28"/>
        <v>0.6949164380928764</v>
      </c>
      <c r="AZ8" s="5">
        <f t="shared" si="29"/>
        <v>1.0548543958426098E-2</v>
      </c>
      <c r="BA8" s="5">
        <f t="shared" si="30"/>
        <v>6.3737007874015747E-2</v>
      </c>
      <c r="BB8" s="147">
        <f t="shared" si="31"/>
        <v>6.3917007874015743</v>
      </c>
      <c r="BC8" s="5"/>
      <c r="BD8" s="153">
        <f t="shared" si="57"/>
        <v>1.7458522274236155E-2</v>
      </c>
      <c r="BE8" s="153">
        <f t="shared" si="32"/>
        <v>8.4824524755521033E-2</v>
      </c>
      <c r="BF8" s="153">
        <f t="shared" si="33"/>
        <v>8.4491879560401342E-2</v>
      </c>
      <c r="BG8" s="153"/>
      <c r="BH8" s="463">
        <f t="shared" si="34"/>
        <v>1.0667999999999999E-4</v>
      </c>
      <c r="BI8" s="463">
        <f t="shared" si="35"/>
        <v>2.731008E-3</v>
      </c>
      <c r="BJ8" s="463">
        <f t="shared" si="36"/>
        <v>1.1288888888888889E-3</v>
      </c>
      <c r="BK8" s="463">
        <f t="shared" si="37"/>
        <v>7.3409495040000017E-3</v>
      </c>
      <c r="BL8">
        <f t="shared" si="38"/>
        <v>5.7999999999999996E-3</v>
      </c>
      <c r="BM8">
        <f t="shared" si="39"/>
        <v>3.3866666666666667E-6</v>
      </c>
      <c r="BN8">
        <f t="shared" si="40"/>
        <v>1.7125651934514728E-2</v>
      </c>
      <c r="BO8" s="147">
        <f t="shared" si="58"/>
        <v>17.125651934514728</v>
      </c>
      <c r="BP8" s="153">
        <f t="shared" si="41"/>
        <v>6.6431328000000006E-3</v>
      </c>
      <c r="BQ8" s="153">
        <f t="shared" si="42"/>
        <v>6.600102571700117E-3</v>
      </c>
      <c r="BR8" s="463"/>
      <c r="BT8" s="147">
        <f t="shared" si="59"/>
        <v>13.243235371700118</v>
      </c>
      <c r="BU8" s="463">
        <f t="shared" si="43"/>
        <v>3.0479999999999998E-4</v>
      </c>
      <c r="BV8" s="463">
        <f t="shared" si="60"/>
        <v>7.1952000000000006E-3</v>
      </c>
      <c r="BW8" s="463">
        <f t="shared" si="44"/>
        <v>3.5694388558246833E-4</v>
      </c>
      <c r="BX8" s="463">
        <f t="shared" si="45"/>
        <v>0</v>
      </c>
      <c r="BY8" s="463">
        <f t="shared" si="46"/>
        <v>8.8053117790958396E-3</v>
      </c>
      <c r="BZ8" s="463">
        <f t="shared" si="61"/>
        <v>7.8569438855824684E-3</v>
      </c>
      <c r="CA8" s="549">
        <f t="shared" si="47"/>
        <v>1.0160000000000002E-3</v>
      </c>
      <c r="CB8" s="147">
        <f t="shared" si="62"/>
        <v>9.82131177909584</v>
      </c>
      <c r="CC8" s="153">
        <f t="shared" si="63"/>
        <v>4.0190199085310685E-2</v>
      </c>
      <c r="CD8" s="5">
        <f t="shared" si="64"/>
        <v>0.108</v>
      </c>
      <c r="CE8" s="153">
        <f t="shared" si="65"/>
        <v>0.72879313656786548</v>
      </c>
      <c r="CF8" s="5">
        <f t="shared" si="66"/>
        <v>72.87931365678655</v>
      </c>
      <c r="CG8">
        <f t="shared" si="67"/>
        <v>3</v>
      </c>
      <c r="CI8" s="59">
        <f t="shared" si="48"/>
        <v>-50</v>
      </c>
      <c r="CJ8">
        <f t="shared" si="49"/>
        <v>-50</v>
      </c>
    </row>
    <row r="9" spans="2:88" x14ac:dyDescent="0.25">
      <c r="E9" s="150">
        <v>4</v>
      </c>
      <c r="F9" s="191">
        <f t="shared" si="68"/>
        <v>4.0000000000000001E-3</v>
      </c>
      <c r="G9" s="191">
        <f t="shared" si="50"/>
        <v>4.0000000000000001E-3</v>
      </c>
      <c r="H9" s="191">
        <f t="shared" si="0"/>
        <v>0.08</v>
      </c>
      <c r="I9" s="191">
        <f t="shared" si="69"/>
        <v>6.4000000000000001E-2</v>
      </c>
      <c r="J9" s="472">
        <f t="shared" si="1"/>
        <v>20</v>
      </c>
      <c r="K9" s="386">
        <f t="shared" si="2"/>
        <v>20.32</v>
      </c>
      <c r="L9" s="386">
        <f t="shared" si="3"/>
        <v>40.32</v>
      </c>
      <c r="M9" s="386"/>
      <c r="N9" s="191">
        <f t="shared" si="4"/>
        <v>0.50396825396825395</v>
      </c>
      <c r="O9" s="152">
        <f t="shared" si="51"/>
        <v>1.8898809523809523</v>
      </c>
      <c r="P9" s="152">
        <f t="shared" si="5"/>
        <v>2.7214285714285715</v>
      </c>
      <c r="Q9" s="191">
        <f t="shared" si="6"/>
        <v>9.4494047619047616E-2</v>
      </c>
      <c r="R9" s="191">
        <f t="shared" si="7"/>
        <v>0.11811755952380952</v>
      </c>
      <c r="S9" s="386">
        <f t="shared" si="8"/>
        <v>20</v>
      </c>
      <c r="T9" s="191">
        <f t="shared" si="9"/>
        <v>3.1748031496062999E-2</v>
      </c>
      <c r="U9" s="191">
        <f t="shared" si="10"/>
        <v>9.5244094488189004E-2</v>
      </c>
      <c r="V9" s="191">
        <f t="shared" si="11"/>
        <v>9.3744187488375E-2</v>
      </c>
      <c r="W9" s="175">
        <f t="shared" si="12"/>
        <v>350</v>
      </c>
      <c r="X9" s="386">
        <f t="shared" si="52"/>
        <v>350</v>
      </c>
      <c r="Z9" s="191">
        <f t="shared" si="13"/>
        <v>0.47996976568405147</v>
      </c>
      <c r="AA9" s="153">
        <f t="shared" si="14"/>
        <v>1.4172335600907031</v>
      </c>
      <c r="AB9" s="153">
        <f t="shared" si="15"/>
        <v>0.11904012045735404</v>
      </c>
      <c r="AC9" s="153"/>
      <c r="AD9" s="153">
        <f t="shared" si="16"/>
        <v>0.44291338582677164</v>
      </c>
      <c r="AE9" s="317">
        <f t="shared" si="17"/>
        <v>120.41481481481483</v>
      </c>
      <c r="AF9" s="463">
        <f t="shared" si="18"/>
        <v>1.1626476377952754E-2</v>
      </c>
      <c r="AH9" s="153">
        <f t="shared" si="19"/>
        <v>0.11710800875382399</v>
      </c>
      <c r="AI9" s="153">
        <f t="shared" si="20"/>
        <v>0.15</v>
      </c>
      <c r="AJ9" s="153">
        <f t="shared" si="21"/>
        <v>1.0688084656084655</v>
      </c>
      <c r="AL9" s="317">
        <f t="shared" si="22"/>
        <v>4</v>
      </c>
      <c r="AM9" s="147">
        <f t="shared" si="23"/>
        <v>120.41481481481483</v>
      </c>
      <c r="AO9">
        <f t="shared" si="53"/>
        <v>4</v>
      </c>
      <c r="AP9" s="147">
        <f t="shared" si="24"/>
        <v>120.41481481481483</v>
      </c>
      <c r="AQ9" s="147"/>
      <c r="AR9" s="5">
        <f t="shared" si="54"/>
        <v>8.3046259842519667</v>
      </c>
      <c r="AS9" s="5">
        <f t="shared" si="25"/>
        <v>0.45</v>
      </c>
      <c r="AT9" s="5">
        <f t="shared" si="55"/>
        <v>7.8546259842519666</v>
      </c>
      <c r="AU9" s="153">
        <f t="shared" si="56"/>
        <v>5.4186666666666682E-2</v>
      </c>
      <c r="AW9" s="5">
        <f t="shared" si="26"/>
        <v>0.68947680000000022</v>
      </c>
      <c r="AX9" s="5">
        <f t="shared" si="27"/>
        <v>3.4063257599999994E-2</v>
      </c>
      <c r="AY9" s="5">
        <f t="shared" si="28"/>
        <v>0.6949164380928764</v>
      </c>
      <c r="AZ9" s="5">
        <f t="shared" si="29"/>
        <v>1.6086300370535288E-2</v>
      </c>
      <c r="BA9" s="5">
        <f t="shared" si="30"/>
        <v>6.2837007874015735E-2</v>
      </c>
      <c r="BB9" s="147">
        <f t="shared" si="31"/>
        <v>6.3077007874015729</v>
      </c>
      <c r="BC9" s="5"/>
      <c r="BD9" s="153">
        <f t="shared" si="57"/>
        <v>2.0159365069366646E-2</v>
      </c>
      <c r="BE9" s="153">
        <f t="shared" si="32"/>
        <v>8.4223512156641867E-2</v>
      </c>
      <c r="BF9" s="153">
        <f t="shared" si="33"/>
        <v>8.3893223873674649E-2</v>
      </c>
      <c r="BG9" s="153"/>
      <c r="BH9" s="463">
        <f t="shared" si="34"/>
        <v>1.4224000000000002E-4</v>
      </c>
      <c r="BI9" s="463">
        <f t="shared" si="35"/>
        <v>3.6413440000000004E-3</v>
      </c>
      <c r="BJ9" s="463">
        <f t="shared" si="36"/>
        <v>1.5051851851851854E-3</v>
      </c>
      <c r="BK9" s="463">
        <f t="shared" si="37"/>
        <v>9.7879326720000034E-3</v>
      </c>
      <c r="BL9">
        <f t="shared" si="38"/>
        <v>5.7999999999999996E-3</v>
      </c>
      <c r="BM9">
        <f t="shared" si="39"/>
        <v>4.5155555555555556E-6</v>
      </c>
      <c r="BN9">
        <f t="shared" si="40"/>
        <v>2.0900968322704706E-2</v>
      </c>
      <c r="BO9" s="147">
        <f t="shared" si="58"/>
        <v>20.900968322704706</v>
      </c>
      <c r="BP9" s="153">
        <f t="shared" si="41"/>
        <v>6.9475104000000006E-3</v>
      </c>
      <c r="BQ9" s="153">
        <f t="shared" si="42"/>
        <v>6.9050877811057303E-3</v>
      </c>
      <c r="BR9" s="463"/>
      <c r="BT9" s="147">
        <f t="shared" si="59"/>
        <v>13.852598181105732</v>
      </c>
      <c r="BU9" s="463">
        <f t="shared" si="43"/>
        <v>4.0640000000000007E-4</v>
      </c>
      <c r="BV9" s="463">
        <f t="shared" si="60"/>
        <v>7.0936000000000003E-3</v>
      </c>
      <c r="BW9" s="463">
        <f t="shared" si="44"/>
        <v>3.5190365059592477E-4</v>
      </c>
      <c r="BX9" s="463">
        <f t="shared" si="45"/>
        <v>0</v>
      </c>
      <c r="BY9" s="463">
        <f t="shared" si="46"/>
        <v>8.7996596150238526E-3</v>
      </c>
      <c r="BZ9" s="463">
        <f t="shared" si="61"/>
        <v>7.8519036505959247E-3</v>
      </c>
      <c r="CA9" s="549">
        <f t="shared" si="47"/>
        <v>1.354666666666667E-3</v>
      </c>
      <c r="CB9" s="147">
        <f t="shared" si="62"/>
        <v>10.154326281690519</v>
      </c>
      <c r="CC9" s="153">
        <f t="shared" si="63"/>
        <v>4.4907892785500954E-2</v>
      </c>
      <c r="CD9" s="5">
        <f t="shared" si="64"/>
        <v>0.14400000000000002</v>
      </c>
      <c r="CE9" s="153">
        <f t="shared" si="65"/>
        <v>0.76227624942864369</v>
      </c>
      <c r="CF9" s="5">
        <f t="shared" si="66"/>
        <v>76.227624942864367</v>
      </c>
      <c r="CG9">
        <f t="shared" si="67"/>
        <v>4</v>
      </c>
      <c r="CI9" s="59">
        <f t="shared" si="48"/>
        <v>-50</v>
      </c>
      <c r="CJ9">
        <f t="shared" si="49"/>
        <v>-50</v>
      </c>
    </row>
    <row r="10" spans="2:88" x14ac:dyDescent="0.25">
      <c r="E10" s="150">
        <v>5</v>
      </c>
      <c r="F10" s="191">
        <f t="shared" si="68"/>
        <v>5.000000000000001E-3</v>
      </c>
      <c r="G10" s="191">
        <f t="shared" si="50"/>
        <v>5.000000000000001E-3</v>
      </c>
      <c r="H10" s="191">
        <f t="shared" si="0"/>
        <v>0.10000000000000002</v>
      </c>
      <c r="I10" s="191">
        <f t="shared" si="69"/>
        <v>8.0000000000000016E-2</v>
      </c>
      <c r="J10" s="472">
        <f t="shared" si="1"/>
        <v>20</v>
      </c>
      <c r="K10" s="386">
        <f t="shared" si="2"/>
        <v>20.32</v>
      </c>
      <c r="L10" s="386">
        <f t="shared" si="3"/>
        <v>40.32</v>
      </c>
      <c r="M10" s="386"/>
      <c r="N10" s="191">
        <f t="shared" si="4"/>
        <v>0.50396825396825395</v>
      </c>
      <c r="O10" s="152">
        <f t="shared" si="51"/>
        <v>1.8898809523809523</v>
      </c>
      <c r="P10" s="152">
        <f t="shared" si="5"/>
        <v>2.7214285714285715</v>
      </c>
      <c r="Q10" s="191">
        <f t="shared" si="6"/>
        <v>9.4494047619047616E-2</v>
      </c>
      <c r="R10" s="191">
        <f t="shared" si="7"/>
        <v>0.11811755952380952</v>
      </c>
      <c r="S10" s="386">
        <f t="shared" si="8"/>
        <v>20</v>
      </c>
      <c r="T10" s="191">
        <f t="shared" si="9"/>
        <v>3.9685039370078751E-2</v>
      </c>
      <c r="U10" s="191">
        <f t="shared" si="10"/>
        <v>0.11905511811023627</v>
      </c>
      <c r="V10" s="191">
        <f t="shared" si="11"/>
        <v>0.11718023436046875</v>
      </c>
      <c r="W10" s="175">
        <f t="shared" si="12"/>
        <v>350</v>
      </c>
      <c r="X10" s="386">
        <f t="shared" si="52"/>
        <v>350</v>
      </c>
      <c r="Z10" s="191">
        <f t="shared" si="13"/>
        <v>0.47996976568405147</v>
      </c>
      <c r="AA10" s="153">
        <f t="shared" si="14"/>
        <v>1.4172335600907031</v>
      </c>
      <c r="AB10" s="153">
        <f t="shared" si="15"/>
        <v>0.11904012045735404</v>
      </c>
      <c r="AC10" s="153"/>
      <c r="AD10" s="153">
        <f t="shared" si="16"/>
        <v>0.44291338582677164</v>
      </c>
      <c r="AE10" s="317">
        <f t="shared" si="17"/>
        <v>150.51851851851856</v>
      </c>
      <c r="AF10" s="463">
        <f t="shared" si="18"/>
        <v>1.1626476377952754E-2</v>
      </c>
      <c r="AH10" s="153">
        <f t="shared" si="19"/>
        <v>0.13093073414159545</v>
      </c>
      <c r="AI10" s="153">
        <f t="shared" si="20"/>
        <v>0.15</v>
      </c>
      <c r="AJ10" s="153">
        <f t="shared" si="21"/>
        <v>1.0860105820105821</v>
      </c>
      <c r="AL10" s="317">
        <f t="shared" si="22"/>
        <v>5.0000000000000009</v>
      </c>
      <c r="AM10" s="147">
        <f t="shared" si="23"/>
        <v>150.51851851851856</v>
      </c>
      <c r="AO10">
        <f t="shared" si="53"/>
        <v>5.0000000000000009</v>
      </c>
      <c r="AP10" s="147">
        <f t="shared" si="24"/>
        <v>150.51851851851856</v>
      </c>
      <c r="AQ10" s="147"/>
      <c r="AR10" s="5">
        <f t="shared" si="54"/>
        <v>6.6437007874015723</v>
      </c>
      <c r="AS10" s="5">
        <f t="shared" si="25"/>
        <v>0.45</v>
      </c>
      <c r="AT10" s="5">
        <f t="shared" si="55"/>
        <v>6.1937007874015721</v>
      </c>
      <c r="AU10" s="153">
        <f t="shared" si="56"/>
        <v>6.7733333333333354E-2</v>
      </c>
      <c r="AW10" s="5">
        <f t="shared" si="26"/>
        <v>0.68947680000000022</v>
      </c>
      <c r="AX10" s="5">
        <f t="shared" si="27"/>
        <v>4.9473840000000019E-2</v>
      </c>
      <c r="AY10" s="5">
        <f t="shared" si="28"/>
        <v>0.6949164380928764</v>
      </c>
      <c r="AZ10" s="5">
        <f t="shared" si="29"/>
        <v>2.2634844328961394E-2</v>
      </c>
      <c r="BA10" s="5">
        <f t="shared" si="30"/>
        <v>6.193700787401573E-2</v>
      </c>
      <c r="BB10" s="147">
        <f t="shared" si="31"/>
        <v>6.2237007874015742</v>
      </c>
      <c r="BC10" s="5"/>
      <c r="BD10" s="153">
        <f t="shared" si="57"/>
        <v>2.253885533916929E-2</v>
      </c>
      <c r="BE10" s="153">
        <f t="shared" si="32"/>
        <v>8.361817984146748E-2</v>
      </c>
      <c r="BF10" s="153">
        <f t="shared" si="33"/>
        <v>8.3290265410716643E-2</v>
      </c>
      <c r="BG10" s="153"/>
      <c r="BH10" s="463">
        <f t="shared" si="34"/>
        <v>1.7779999999999998E-4</v>
      </c>
      <c r="BI10" s="463">
        <f t="shared" si="35"/>
        <v>4.5516800000000015E-3</v>
      </c>
      <c r="BJ10" s="463">
        <f t="shared" si="36"/>
        <v>1.8814814814814818E-3</v>
      </c>
      <c r="BK10" s="463">
        <f t="shared" si="37"/>
        <v>1.2234915840000006E-2</v>
      </c>
      <c r="BL10">
        <f t="shared" si="38"/>
        <v>5.7999999999999996E-3</v>
      </c>
      <c r="BM10">
        <f t="shared" si="39"/>
        <v>5.6444444444444462E-6</v>
      </c>
      <c r="BN10">
        <f t="shared" si="40"/>
        <v>2.4676334250862332E-2</v>
      </c>
      <c r="BO10" s="147">
        <f t="shared" si="58"/>
        <v>24.676334250862332</v>
      </c>
      <c r="BP10" s="153">
        <f t="shared" si="41"/>
        <v>7.2518880000000006E-3</v>
      </c>
      <c r="BQ10" s="153">
        <f t="shared" si="42"/>
        <v>7.2100729905113427E-3</v>
      </c>
      <c r="BR10" s="463"/>
      <c r="BT10" s="147">
        <f t="shared" si="59"/>
        <v>14.461960990511342</v>
      </c>
      <c r="BU10" s="463">
        <f t="shared" si="43"/>
        <v>5.0799999999999999E-4</v>
      </c>
      <c r="BV10" s="463">
        <f t="shared" si="60"/>
        <v>6.9919999999999982E-3</v>
      </c>
      <c r="BW10" s="463">
        <f t="shared" si="44"/>
        <v>3.468634156093811E-4</v>
      </c>
      <c r="BX10" s="463">
        <f t="shared" si="45"/>
        <v>0</v>
      </c>
      <c r="BY10" s="463">
        <f t="shared" si="46"/>
        <v>8.7940074555128457E-3</v>
      </c>
      <c r="BZ10" s="463">
        <f t="shared" si="61"/>
        <v>7.8468634156093793E-3</v>
      </c>
      <c r="CA10" s="549">
        <f t="shared" si="47"/>
        <v>1.693333333333334E-3</v>
      </c>
      <c r="CB10" s="147">
        <f t="shared" si="62"/>
        <v>10.487340788846181</v>
      </c>
      <c r="CC10" s="153">
        <f t="shared" si="63"/>
        <v>4.9625636030219848E-2</v>
      </c>
      <c r="CD10" s="5">
        <f t="shared" si="64"/>
        <v>0.18000000000000005</v>
      </c>
      <c r="CE10" s="153">
        <f t="shared" si="65"/>
        <v>0.78388460065630972</v>
      </c>
      <c r="CF10" s="5">
        <f t="shared" si="66"/>
        <v>78.388460065630966</v>
      </c>
      <c r="CG10">
        <f t="shared" si="67"/>
        <v>5.0000000000000009</v>
      </c>
      <c r="CI10" s="59">
        <f t="shared" si="48"/>
        <v>-50</v>
      </c>
      <c r="CJ10">
        <f t="shared" si="49"/>
        <v>-50</v>
      </c>
    </row>
    <row r="11" spans="2:88" x14ac:dyDescent="0.25">
      <c r="E11" s="150">
        <v>6</v>
      </c>
      <c r="F11" s="191">
        <f t="shared" si="68"/>
        <v>6.0000000000000001E-3</v>
      </c>
      <c r="G11" s="191">
        <f t="shared" si="50"/>
        <v>6.0000000000000001E-3</v>
      </c>
      <c r="H11" s="191">
        <f t="shared" si="0"/>
        <v>0.12</v>
      </c>
      <c r="I11" s="191">
        <f t="shared" si="69"/>
        <v>9.6000000000000002E-2</v>
      </c>
      <c r="J11" s="472">
        <f t="shared" si="1"/>
        <v>20</v>
      </c>
      <c r="K11" s="386">
        <f t="shared" si="2"/>
        <v>20.32</v>
      </c>
      <c r="L11" s="386">
        <f t="shared" si="3"/>
        <v>40.32</v>
      </c>
      <c r="M11" s="386"/>
      <c r="N11" s="191">
        <f t="shared" si="4"/>
        <v>0.50396825396825395</v>
      </c>
      <c r="O11" s="152">
        <f t="shared" si="51"/>
        <v>1.8898809523809523</v>
      </c>
      <c r="P11" s="152">
        <f t="shared" si="5"/>
        <v>2.7214285714285715</v>
      </c>
      <c r="Q11" s="191">
        <f t="shared" si="6"/>
        <v>9.4494047619047616E-2</v>
      </c>
      <c r="R11" s="191">
        <f t="shared" si="7"/>
        <v>0.11811755952380952</v>
      </c>
      <c r="S11" s="386">
        <f t="shared" si="8"/>
        <v>20</v>
      </c>
      <c r="T11" s="191">
        <f t="shared" si="9"/>
        <v>4.7622047244094488E-2</v>
      </c>
      <c r="U11" s="191">
        <f t="shared" si="10"/>
        <v>0.14286614173228349</v>
      </c>
      <c r="V11" s="191">
        <f t="shared" si="11"/>
        <v>0.14061628123256245</v>
      </c>
      <c r="W11" s="175">
        <f t="shared" si="12"/>
        <v>350</v>
      </c>
      <c r="X11" s="386">
        <f t="shared" si="52"/>
        <v>350</v>
      </c>
      <c r="Z11" s="191">
        <f t="shared" si="13"/>
        <v>0.47996976568405147</v>
      </c>
      <c r="AA11" s="153">
        <f t="shared" si="14"/>
        <v>1.4172335600907031</v>
      </c>
      <c r="AB11" s="153">
        <f t="shared" si="15"/>
        <v>0.11904012045735404</v>
      </c>
      <c r="AC11" s="153"/>
      <c r="AD11" s="153">
        <f t="shared" si="16"/>
        <v>0.44291338582677164</v>
      </c>
      <c r="AE11" s="317">
        <f t="shared" si="17"/>
        <v>180.62222222222223</v>
      </c>
      <c r="AF11" s="463">
        <f t="shared" si="18"/>
        <v>1.1626476377952754E-2</v>
      </c>
      <c r="AH11" s="153">
        <f t="shared" si="19"/>
        <v>0.14342743312012723</v>
      </c>
      <c r="AI11" s="153">
        <f t="shared" si="20"/>
        <v>0.15</v>
      </c>
      <c r="AJ11" s="153">
        <f t="shared" si="21"/>
        <v>1.1032126984126984</v>
      </c>
      <c r="AL11" s="317">
        <f t="shared" si="22"/>
        <v>6</v>
      </c>
      <c r="AM11" s="147">
        <f t="shared" si="23"/>
        <v>180.62222222222223</v>
      </c>
      <c r="AO11">
        <f t="shared" si="53"/>
        <v>6</v>
      </c>
      <c r="AP11" s="147">
        <f t="shared" si="24"/>
        <v>180.62222222222223</v>
      </c>
      <c r="AQ11" s="147"/>
      <c r="AR11" s="5">
        <f t="shared" si="54"/>
        <v>5.5364173228346454</v>
      </c>
      <c r="AS11" s="5">
        <f t="shared" si="25"/>
        <v>0.45</v>
      </c>
      <c r="AT11" s="5">
        <f t="shared" si="55"/>
        <v>5.0864173228346452</v>
      </c>
      <c r="AU11" s="153">
        <f t="shared" si="56"/>
        <v>8.1280000000000005E-2</v>
      </c>
      <c r="AW11" s="5">
        <f t="shared" si="26"/>
        <v>0.68947680000000022</v>
      </c>
      <c r="AX11" s="5">
        <f t="shared" si="27"/>
        <v>6.7642329599999995E-2</v>
      </c>
      <c r="AY11" s="5">
        <f t="shared" si="28"/>
        <v>0.6949164380928764</v>
      </c>
      <c r="AZ11" s="5">
        <f t="shared" si="29"/>
        <v>3.019417583370439E-2</v>
      </c>
      <c r="BA11" s="5">
        <f t="shared" si="30"/>
        <v>6.1037007874015746E-2</v>
      </c>
      <c r="BB11" s="147">
        <f t="shared" si="31"/>
        <v>6.1397007874015745</v>
      </c>
      <c r="BC11" s="5"/>
      <c r="BD11" s="153">
        <f t="shared" si="57"/>
        <v>2.4690078979217545E-2</v>
      </c>
      <c r="BE11" s="153">
        <f t="shared" si="32"/>
        <v>8.3008433306502066E-2</v>
      </c>
      <c r="BF11" s="153">
        <f t="shared" si="33"/>
        <v>8.2682910038633428E-2</v>
      </c>
      <c r="BG11" s="153"/>
      <c r="BH11" s="463">
        <f t="shared" si="34"/>
        <v>2.1336E-4</v>
      </c>
      <c r="BI11" s="463">
        <f t="shared" si="35"/>
        <v>5.4620160000000001E-3</v>
      </c>
      <c r="BJ11" s="463">
        <f t="shared" si="36"/>
        <v>2.2577777777777778E-3</v>
      </c>
      <c r="BK11" s="463">
        <f t="shared" si="37"/>
        <v>1.4681899008000003E-2</v>
      </c>
      <c r="BL11">
        <f t="shared" si="38"/>
        <v>5.7999999999999996E-3</v>
      </c>
      <c r="BM11">
        <f t="shared" si="39"/>
        <v>6.7733333333333334E-6</v>
      </c>
      <c r="BN11">
        <f t="shared" si="40"/>
        <v>2.8451749719962702E-2</v>
      </c>
      <c r="BO11" s="147">
        <f t="shared" si="58"/>
        <v>28.451749719962702</v>
      </c>
      <c r="BP11" s="153">
        <f t="shared" si="41"/>
        <v>7.5562656000000014E-3</v>
      </c>
      <c r="BQ11" s="153">
        <f t="shared" si="42"/>
        <v>7.5150581999169569E-3</v>
      </c>
      <c r="BR11" s="463"/>
      <c r="BT11" s="147">
        <f t="shared" si="59"/>
        <v>15.071323799916959</v>
      </c>
      <c r="BU11" s="463">
        <f t="shared" si="43"/>
        <v>6.0960000000000007E-4</v>
      </c>
      <c r="BV11" s="463">
        <f t="shared" si="60"/>
        <v>6.8904000000000014E-3</v>
      </c>
      <c r="BW11" s="463">
        <f t="shared" si="44"/>
        <v>3.4182318062283743E-4</v>
      </c>
      <c r="BX11" s="463">
        <f t="shared" si="45"/>
        <v>0</v>
      </c>
      <c r="BY11" s="463">
        <f t="shared" si="46"/>
        <v>8.7883553005628206E-3</v>
      </c>
      <c r="BZ11" s="463">
        <f t="shared" si="61"/>
        <v>7.8418231806228391E-3</v>
      </c>
      <c r="CA11" s="549">
        <f t="shared" si="47"/>
        <v>2.0320000000000004E-3</v>
      </c>
      <c r="CB11" s="147">
        <f t="shared" si="62"/>
        <v>10.820355300562822</v>
      </c>
      <c r="CC11" s="153">
        <f t="shared" si="63"/>
        <v>5.4343428820442484E-2</v>
      </c>
      <c r="CD11" s="5">
        <f t="shared" si="64"/>
        <v>0.216</v>
      </c>
      <c r="CE11" s="153">
        <f t="shared" si="65"/>
        <v>0.79898372578333887</v>
      </c>
      <c r="CF11" s="5">
        <f t="shared" si="66"/>
        <v>79.898372578333891</v>
      </c>
      <c r="CG11">
        <f t="shared" si="67"/>
        <v>6</v>
      </c>
      <c r="CI11" s="59">
        <f t="shared" si="48"/>
        <v>-50</v>
      </c>
      <c r="CJ11">
        <f t="shared" si="49"/>
        <v>-50</v>
      </c>
    </row>
    <row r="12" spans="2:88" x14ac:dyDescent="0.25">
      <c r="E12" s="150">
        <v>7</v>
      </c>
      <c r="F12" s="191">
        <f t="shared" si="68"/>
        <v>7.000000000000001E-3</v>
      </c>
      <c r="G12" s="191">
        <f t="shared" si="50"/>
        <v>7.000000000000001E-3</v>
      </c>
      <c r="H12" s="191">
        <f t="shared" si="0"/>
        <v>0.14000000000000001</v>
      </c>
      <c r="I12" s="191">
        <f t="shared" si="69"/>
        <v>0.11200000000000002</v>
      </c>
      <c r="J12" s="472">
        <f t="shared" si="1"/>
        <v>20</v>
      </c>
      <c r="K12" s="386">
        <f t="shared" si="2"/>
        <v>20.32</v>
      </c>
      <c r="L12" s="386">
        <f t="shared" si="3"/>
        <v>40.32</v>
      </c>
      <c r="M12" s="386"/>
      <c r="N12" s="191">
        <f t="shared" si="4"/>
        <v>0.50396825396825395</v>
      </c>
      <c r="O12" s="152">
        <f t="shared" si="51"/>
        <v>1.8898809523809523</v>
      </c>
      <c r="P12" s="152">
        <f t="shared" si="5"/>
        <v>2.7214285714285715</v>
      </c>
      <c r="Q12" s="191">
        <f t="shared" si="6"/>
        <v>9.4494047619047616E-2</v>
      </c>
      <c r="R12" s="191">
        <f t="shared" si="7"/>
        <v>0.11811755952380952</v>
      </c>
      <c r="S12" s="386">
        <f t="shared" si="8"/>
        <v>20</v>
      </c>
      <c r="T12" s="191">
        <f t="shared" si="9"/>
        <v>5.555905511811024E-2</v>
      </c>
      <c r="U12" s="191">
        <f t="shared" si="10"/>
        <v>0.16667716535433075</v>
      </c>
      <c r="V12" s="191">
        <f t="shared" si="11"/>
        <v>0.16405232810465623</v>
      </c>
      <c r="W12" s="175">
        <f t="shared" si="12"/>
        <v>350</v>
      </c>
      <c r="X12" s="386">
        <f t="shared" si="52"/>
        <v>350</v>
      </c>
      <c r="Z12" s="191">
        <f t="shared" si="13"/>
        <v>0.47996976568405147</v>
      </c>
      <c r="AA12" s="153">
        <f t="shared" si="14"/>
        <v>1.4172335600907031</v>
      </c>
      <c r="AB12" s="153">
        <f t="shared" si="15"/>
        <v>0.11904012045735404</v>
      </c>
      <c r="AC12" s="153"/>
      <c r="AD12" s="153">
        <f t="shared" si="16"/>
        <v>0.44291338582677164</v>
      </c>
      <c r="AE12" s="317">
        <f t="shared" si="17"/>
        <v>210.72592592592599</v>
      </c>
      <c r="AF12" s="463">
        <f t="shared" si="18"/>
        <v>1.1626476377952754E-2</v>
      </c>
      <c r="AH12" s="153">
        <f t="shared" si="19"/>
        <v>0.15491933384829668</v>
      </c>
      <c r="AI12" s="153">
        <f t="shared" si="20"/>
        <v>0.15491933384829668</v>
      </c>
      <c r="AJ12" s="153">
        <f t="shared" si="21"/>
        <v>1.1204148148148148</v>
      </c>
      <c r="AL12" s="317">
        <f t="shared" si="22"/>
        <v>7.0000000000000009</v>
      </c>
      <c r="AM12" s="147">
        <f t="shared" si="23"/>
        <v>210.72592592592599</v>
      </c>
      <c r="AO12">
        <f t="shared" si="53"/>
        <v>7.0000000000000009</v>
      </c>
      <c r="AP12" s="147">
        <f t="shared" si="24"/>
        <v>210.72592592592599</v>
      </c>
      <c r="AQ12" s="147"/>
      <c r="AR12" s="5">
        <f t="shared" si="54"/>
        <v>4.7455005624296946</v>
      </c>
      <c r="AS12" s="5">
        <f t="shared" si="25"/>
        <v>0.46475800154489005</v>
      </c>
      <c r="AT12" s="5">
        <f t="shared" si="55"/>
        <v>4.2807425608848044</v>
      </c>
      <c r="AU12" s="153">
        <f t="shared" si="56"/>
        <v>9.7936560207029899E-2</v>
      </c>
      <c r="AW12" s="5">
        <f t="shared" si="26"/>
        <v>0.68947680000000022</v>
      </c>
      <c r="AX12" s="5">
        <f t="shared" si="27"/>
        <v>8.8568726400000006E-2</v>
      </c>
      <c r="AY12" s="5">
        <f t="shared" si="28"/>
        <v>0.6949164380928764</v>
      </c>
      <c r="AZ12" s="5">
        <f t="shared" si="29"/>
        <v>3.8764294884764322E-2</v>
      </c>
      <c r="BA12" s="5">
        <f t="shared" si="30"/>
        <v>5.9930395852387255E-2</v>
      </c>
      <c r="BB12" s="147">
        <f t="shared" si="31"/>
        <v>6.0350395852387262</v>
      </c>
      <c r="BC12" s="5"/>
      <c r="BD12" s="153">
        <f t="shared" si="57"/>
        <v>2.7990935705264289E-2</v>
      </c>
      <c r="BE12" s="153">
        <f t="shared" si="32"/>
        <v>8.4950029537038785E-2</v>
      </c>
      <c r="BF12" s="153">
        <f t="shared" si="33"/>
        <v>8.4616892166305302E-2</v>
      </c>
      <c r="BG12" s="153"/>
      <c r="BH12" s="463">
        <f t="shared" si="34"/>
        <v>2.7422236857968372E-4</v>
      </c>
      <c r="BI12" s="463">
        <f t="shared" si="35"/>
        <v>6.5813368459124097E-3</v>
      </c>
      <c r="BJ12" s="463">
        <f t="shared" si="36"/>
        <v>2.6340740740740747E-3</v>
      </c>
      <c r="BK12" s="463">
        <f t="shared" si="37"/>
        <v>1.7128882176000008E-2</v>
      </c>
      <c r="BL12">
        <f t="shared" si="38"/>
        <v>5.7999999999999996E-3</v>
      </c>
      <c r="BM12">
        <f t="shared" si="39"/>
        <v>7.9022222222222249E-6</v>
      </c>
      <c r="BN12">
        <f t="shared" si="40"/>
        <v>3.2465080245693265E-2</v>
      </c>
      <c r="BO12" s="147">
        <f t="shared" si="58"/>
        <v>32.465080245693265</v>
      </c>
      <c r="BP12" s="153">
        <f t="shared" si="41"/>
        <v>8.187411744014635E-3</v>
      </c>
      <c r="BQ12" s="153">
        <f t="shared" si="42"/>
        <v>8.1442540880714842E-3</v>
      </c>
      <c r="BR12" s="463"/>
      <c r="BT12" s="147">
        <f t="shared" si="59"/>
        <v>16.331665832086117</v>
      </c>
      <c r="BU12" s="463">
        <f t="shared" si="43"/>
        <v>7.8349248165623931E-4</v>
      </c>
      <c r="BV12" s="463">
        <f t="shared" si="60"/>
        <v>7.2165075183437616E-3</v>
      </c>
      <c r="BW12" s="463">
        <f t="shared" si="44"/>
        <v>3.5800092199420698E-4</v>
      </c>
      <c r="BX12" s="463">
        <f t="shared" si="45"/>
        <v>0</v>
      </c>
      <c r="BY12" s="463">
        <f t="shared" si="46"/>
        <v>9.3672243342032575E-3</v>
      </c>
      <c r="BZ12" s="463">
        <f t="shared" si="61"/>
        <v>8.3580009219942075E-3</v>
      </c>
      <c r="CA12" s="549">
        <f t="shared" si="47"/>
        <v>2.5287111111111124E-3</v>
      </c>
      <c r="CB12" s="147">
        <f t="shared" si="62"/>
        <v>11.89593544531437</v>
      </c>
      <c r="CC12" s="153">
        <f t="shared" si="63"/>
        <v>6.0692681523093747E-2</v>
      </c>
      <c r="CD12" s="5">
        <f t="shared" si="64"/>
        <v>0.252</v>
      </c>
      <c r="CE12" s="153">
        <f t="shared" si="65"/>
        <v>0.80590309556505779</v>
      </c>
      <c r="CF12" s="5">
        <f t="shared" si="66"/>
        <v>80.590309556505773</v>
      </c>
      <c r="CG12">
        <f t="shared" si="67"/>
        <v>7.0000000000000009</v>
      </c>
      <c r="CI12" s="59">
        <f t="shared" si="48"/>
        <v>-50</v>
      </c>
      <c r="CJ12">
        <f t="shared" si="49"/>
        <v>-50</v>
      </c>
    </row>
    <row r="13" spans="2:88" s="59" customFormat="1" x14ac:dyDescent="0.25">
      <c r="E13" s="150">
        <v>8</v>
      </c>
      <c r="F13" s="191">
        <f t="shared" si="68"/>
        <v>8.0000000000000002E-3</v>
      </c>
      <c r="G13" s="191">
        <f t="shared" si="50"/>
        <v>8.0000000000000002E-3</v>
      </c>
      <c r="H13" s="191">
        <f t="shared" si="0"/>
        <v>0.16</v>
      </c>
      <c r="I13" s="191">
        <f t="shared" si="69"/>
        <v>0.128</v>
      </c>
      <c r="J13" s="472">
        <f t="shared" si="1"/>
        <v>20</v>
      </c>
      <c r="K13" s="386">
        <f t="shared" si="2"/>
        <v>20.32</v>
      </c>
      <c r="L13" s="386">
        <f t="shared" si="3"/>
        <v>40.32</v>
      </c>
      <c r="M13" s="386"/>
      <c r="N13" s="191">
        <f t="shared" si="4"/>
        <v>0.50396825396825395</v>
      </c>
      <c r="O13" s="152">
        <f t="shared" si="51"/>
        <v>1.8898809523809523</v>
      </c>
      <c r="P13" s="152">
        <f t="shared" si="5"/>
        <v>2.7214285714285715</v>
      </c>
      <c r="Q13" s="191">
        <f t="shared" si="6"/>
        <v>9.4494047619047616E-2</v>
      </c>
      <c r="R13" s="191">
        <f t="shared" si="7"/>
        <v>0.11811755952380952</v>
      </c>
      <c r="S13" s="386">
        <f t="shared" si="8"/>
        <v>20</v>
      </c>
      <c r="T13" s="191">
        <f t="shared" si="9"/>
        <v>6.3496062992125998E-2</v>
      </c>
      <c r="U13" s="191">
        <f t="shared" si="10"/>
        <v>0.19048818897637801</v>
      </c>
      <c r="V13" s="191">
        <f t="shared" si="11"/>
        <v>0.18748837497675</v>
      </c>
      <c r="W13" s="175">
        <f t="shared" si="12"/>
        <v>350</v>
      </c>
      <c r="X13" s="386">
        <f t="shared" si="52"/>
        <v>350</v>
      </c>
      <c r="Z13" s="191">
        <f t="shared" si="13"/>
        <v>0.47996976568405147</v>
      </c>
      <c r="AA13" s="153">
        <f t="shared" si="14"/>
        <v>1.4172335600907031</v>
      </c>
      <c r="AB13" s="153">
        <f t="shared" si="15"/>
        <v>0.11904012045735404</v>
      </c>
      <c r="AC13" s="469"/>
      <c r="AD13" s="153">
        <f t="shared" si="16"/>
        <v>0.44291338582677164</v>
      </c>
      <c r="AE13" s="317">
        <f t="shared" si="17"/>
        <v>240.82962962962966</v>
      </c>
      <c r="AF13" s="463">
        <f t="shared" si="18"/>
        <v>1.1626476377952754E-2</v>
      </c>
      <c r="AG13"/>
      <c r="AH13" s="153">
        <f t="shared" si="19"/>
        <v>0.16561573424216502</v>
      </c>
      <c r="AI13" s="153">
        <f t="shared" si="20"/>
        <v>0.16561573424216502</v>
      </c>
      <c r="AJ13" s="153">
        <f t="shared" si="21"/>
        <v>1.1376169312169313</v>
      </c>
      <c r="AL13" s="317">
        <f t="shared" si="22"/>
        <v>8</v>
      </c>
      <c r="AM13" s="147">
        <f t="shared" si="23"/>
        <v>240.82962962962966</v>
      </c>
      <c r="AO13">
        <f t="shared" si="53"/>
        <v>8</v>
      </c>
      <c r="AP13" s="147">
        <f t="shared" si="24"/>
        <v>240.82962962962966</v>
      </c>
      <c r="AQ13" s="147"/>
      <c r="AR13" s="5">
        <f t="shared" si="54"/>
        <v>4.1523129921259834</v>
      </c>
      <c r="AS13" s="5">
        <f t="shared" si="25"/>
        <v>0.49684720272649513</v>
      </c>
      <c r="AT13" s="5">
        <f t="shared" si="55"/>
        <v>3.6554657893994884</v>
      </c>
      <c r="AU13" s="153">
        <f t="shared" si="56"/>
        <v>0.11965552781513936</v>
      </c>
      <c r="AW13" s="5">
        <f t="shared" si="26"/>
        <v>0.68947680000000022</v>
      </c>
      <c r="AX13" s="5">
        <f t="shared" si="27"/>
        <v>0.11225303039999998</v>
      </c>
      <c r="AY13" s="5">
        <f t="shared" si="28"/>
        <v>0.6949164380928764</v>
      </c>
      <c r="AZ13" s="5">
        <f t="shared" si="29"/>
        <v>4.8345201482141144E-2</v>
      </c>
      <c r="BA13" s="5">
        <f t="shared" si="30"/>
        <v>5.8487452630391817E-2</v>
      </c>
      <c r="BB13" s="147">
        <f t="shared" si="31"/>
        <v>5.8967452630391817</v>
      </c>
      <c r="BC13" s="5"/>
      <c r="BD13" s="153">
        <f t="shared" si="57"/>
        <v>3.3075571002886536E-2</v>
      </c>
      <c r="BE13" s="153">
        <f t="shared" si="32"/>
        <v>8.9715459903464551E-2</v>
      </c>
      <c r="BF13" s="153">
        <f t="shared" si="33"/>
        <v>8.9363634570509803E-2</v>
      </c>
      <c r="BG13" s="153"/>
      <c r="BH13" s="463">
        <f t="shared" si="34"/>
        <v>3.8289768900844599E-4</v>
      </c>
      <c r="BI13" s="463">
        <f t="shared" si="35"/>
        <v>8.0408514691773635E-3</v>
      </c>
      <c r="BJ13" s="463">
        <f t="shared" si="36"/>
        <v>3.0103703703703707E-3</v>
      </c>
      <c r="BK13" s="463">
        <f t="shared" si="37"/>
        <v>1.9575865344000007E-2</v>
      </c>
      <c r="BL13">
        <f t="shared" si="38"/>
        <v>5.7999999999999996E-3</v>
      </c>
      <c r="BM13">
        <f t="shared" si="39"/>
        <v>9.0311111111111112E-6</v>
      </c>
      <c r="BN13">
        <f t="shared" si="40"/>
        <v>3.687331207293653E-2</v>
      </c>
      <c r="BO13" s="147">
        <f t="shared" si="58"/>
        <v>36.873312072936528</v>
      </c>
      <c r="BP13" s="153">
        <f t="shared" si="41"/>
        <v>9.2053319017072789E-3</v>
      </c>
      <c r="BQ13" s="153">
        <f t="shared" si="42"/>
        <v>9.1571964163098332E-3</v>
      </c>
      <c r="BR13" s="463"/>
      <c r="BT13" s="147">
        <f t="shared" si="59"/>
        <v>18.362528318017112</v>
      </c>
      <c r="BU13" s="463">
        <f t="shared" si="43"/>
        <v>1.0939933971669887E-3</v>
      </c>
      <c r="BV13" s="463">
        <f t="shared" si="60"/>
        <v>8.0488637456901553E-3</v>
      </c>
      <c r="BW13" s="463">
        <f t="shared" si="44"/>
        <v>3.9929295918258073E-4</v>
      </c>
      <c r="BX13" s="463">
        <f t="shared" si="45"/>
        <v>0</v>
      </c>
      <c r="BY13" s="463">
        <f t="shared" si="46"/>
        <v>1.0695372662391837E-2</v>
      </c>
      <c r="BZ13" s="463">
        <f t="shared" si="61"/>
        <v>9.5421501020397249E-3</v>
      </c>
      <c r="CA13" s="549">
        <f t="shared" si="47"/>
        <v>3.302806349206351E-3</v>
      </c>
      <c r="CB13" s="147">
        <f t="shared" si="62"/>
        <v>13.998179011598189</v>
      </c>
      <c r="CC13" s="153">
        <f t="shared" si="63"/>
        <v>6.9234019402551833E-2</v>
      </c>
      <c r="CD13" s="5">
        <f t="shared" si="64"/>
        <v>0.28800000000000003</v>
      </c>
      <c r="CE13" s="153">
        <f t="shared" si="65"/>
        <v>0.80619421543799019</v>
      </c>
      <c r="CF13" s="5">
        <f t="shared" si="66"/>
        <v>80.619421543799021</v>
      </c>
      <c r="CG13">
        <f t="shared" si="67"/>
        <v>8</v>
      </c>
      <c r="CI13" s="59">
        <f t="shared" si="48"/>
        <v>-50</v>
      </c>
      <c r="CJ13">
        <f t="shared" si="49"/>
        <v>-50</v>
      </c>
    </row>
    <row r="14" spans="2:88" x14ac:dyDescent="0.25">
      <c r="E14" s="150">
        <v>9</v>
      </c>
      <c r="F14" s="191">
        <f t="shared" si="68"/>
        <v>8.9999999999999993E-3</v>
      </c>
      <c r="G14" s="191">
        <f t="shared" si="50"/>
        <v>8.9999999999999993E-3</v>
      </c>
      <c r="H14" s="191">
        <f t="shared" si="0"/>
        <v>0.18</v>
      </c>
      <c r="I14" s="191">
        <f t="shared" si="69"/>
        <v>0.14399999999999999</v>
      </c>
      <c r="J14" s="472">
        <f t="shared" si="1"/>
        <v>20</v>
      </c>
      <c r="K14" s="386">
        <f t="shared" si="2"/>
        <v>20.32</v>
      </c>
      <c r="L14" s="386">
        <f t="shared" si="3"/>
        <v>40.32</v>
      </c>
      <c r="M14" s="386"/>
      <c r="N14" s="191">
        <f t="shared" si="4"/>
        <v>0.50396825396825395</v>
      </c>
      <c r="O14" s="152">
        <f t="shared" si="51"/>
        <v>1.8898809523809523</v>
      </c>
      <c r="P14" s="152">
        <f t="shared" si="5"/>
        <v>2.7214285714285715</v>
      </c>
      <c r="Q14" s="191">
        <f t="shared" si="6"/>
        <v>9.4494047619047616E-2</v>
      </c>
      <c r="R14" s="191">
        <f t="shared" si="7"/>
        <v>0.11811755952380952</v>
      </c>
      <c r="S14" s="386">
        <f t="shared" si="8"/>
        <v>20</v>
      </c>
      <c r="T14" s="191">
        <f t="shared" si="9"/>
        <v>7.1433070866141729E-2</v>
      </c>
      <c r="U14" s="191">
        <f t="shared" si="10"/>
        <v>0.21429921259842521</v>
      </c>
      <c r="V14" s="191">
        <f t="shared" si="11"/>
        <v>0.21092442184884369</v>
      </c>
      <c r="W14" s="175">
        <f t="shared" si="12"/>
        <v>350</v>
      </c>
      <c r="X14" s="386">
        <f t="shared" si="52"/>
        <v>350</v>
      </c>
      <c r="Z14" s="191">
        <f t="shared" si="13"/>
        <v>0.47996976568405147</v>
      </c>
      <c r="AA14" s="153">
        <f t="shared" si="14"/>
        <v>1.4172335600907031</v>
      </c>
      <c r="AB14" s="153">
        <f t="shared" si="15"/>
        <v>0.11904012045735404</v>
      </c>
      <c r="AC14" s="153"/>
      <c r="AD14" s="153">
        <f t="shared" si="16"/>
        <v>0.44291338582677164</v>
      </c>
      <c r="AE14" s="317">
        <f t="shared" si="17"/>
        <v>270.93333333333339</v>
      </c>
      <c r="AF14" s="463">
        <f t="shared" si="18"/>
        <v>1.1626476377952754E-2</v>
      </c>
      <c r="AH14" s="153">
        <f t="shared" si="19"/>
        <v>0.17566201313073596</v>
      </c>
      <c r="AI14" s="153">
        <f t="shared" si="20"/>
        <v>0.17566201313073596</v>
      </c>
      <c r="AJ14" s="153">
        <f t="shared" si="21"/>
        <v>1.1548190476190476</v>
      </c>
      <c r="AL14" s="317">
        <f t="shared" si="22"/>
        <v>9</v>
      </c>
      <c r="AM14" s="147">
        <f t="shared" si="23"/>
        <v>270.93333333333339</v>
      </c>
      <c r="AO14">
        <f t="shared" si="53"/>
        <v>9</v>
      </c>
      <c r="AP14" s="147">
        <f t="shared" si="24"/>
        <v>270.93333333333339</v>
      </c>
      <c r="AQ14" s="147"/>
      <c r="AR14" s="5">
        <f t="shared" si="54"/>
        <v>3.690944881889763</v>
      </c>
      <c r="AS14" s="5">
        <f t="shared" si="25"/>
        <v>0.52698603939220789</v>
      </c>
      <c r="AT14" s="5">
        <f t="shared" si="55"/>
        <v>3.1639588424975553</v>
      </c>
      <c r="AU14" s="153">
        <f t="shared" si="56"/>
        <v>0.14277808427266223</v>
      </c>
      <c r="AW14" s="5">
        <f t="shared" si="26"/>
        <v>0.68947680000000022</v>
      </c>
      <c r="AX14" s="5">
        <f t="shared" si="27"/>
        <v>0.13869524159999996</v>
      </c>
      <c r="AY14" s="5">
        <f t="shared" si="28"/>
        <v>0.6949164380928764</v>
      </c>
      <c r="AZ14" s="5">
        <f t="shared" si="29"/>
        <v>5.8936895625834873E-2</v>
      </c>
      <c r="BA14" s="5">
        <f t="shared" si="30"/>
        <v>5.6951259164955984E-2</v>
      </c>
      <c r="BB14" s="147">
        <f t="shared" si="31"/>
        <v>5.7491259164955988</v>
      </c>
      <c r="BC14" s="5"/>
      <c r="BD14" s="153">
        <f t="shared" si="57"/>
        <v>3.8321985609963367E-2</v>
      </c>
      <c r="BE14" s="153">
        <f t="shared" si="32"/>
        <v>9.3899625689477823E-2</v>
      </c>
      <c r="BF14" s="153">
        <f t="shared" si="33"/>
        <v>9.3531391863244578E-2</v>
      </c>
      <c r="BG14" s="153"/>
      <c r="BH14" s="463">
        <f t="shared" si="34"/>
        <v>5.1400110338158372E-4</v>
      </c>
      <c r="BI14" s="463">
        <f t="shared" si="35"/>
        <v>9.5946872631229013E-3</v>
      </c>
      <c r="BJ14" s="463">
        <f t="shared" si="36"/>
        <v>3.3866666666666672E-3</v>
      </c>
      <c r="BK14" s="463">
        <f t="shared" si="37"/>
        <v>2.2022848512000009E-2</v>
      </c>
      <c r="BL14">
        <f t="shared" si="38"/>
        <v>5.7999999999999996E-3</v>
      </c>
      <c r="BM14">
        <f t="shared" si="39"/>
        <v>1.0160000000000001E-5</v>
      </c>
      <c r="BN14">
        <f t="shared" si="40"/>
        <v>4.1401679948070494E-2</v>
      </c>
      <c r="BO14" s="147">
        <f t="shared" si="58"/>
        <v>41.401679948070495</v>
      </c>
      <c r="BP14" s="153">
        <f t="shared" si="41"/>
        <v>1.017429473433277E-2</v>
      </c>
      <c r="BQ14" s="153">
        <f t="shared" si="42"/>
        <v>1.0121564645601124E-2</v>
      </c>
      <c r="BR14" s="463"/>
      <c r="BT14" s="147">
        <f t="shared" si="59"/>
        <v>20.295859379933898</v>
      </c>
      <c r="BU14" s="463">
        <f t="shared" si="43"/>
        <v>1.4685745810902393E-3</v>
      </c>
      <c r="BV14" s="463">
        <f t="shared" si="60"/>
        <v>8.817139704624043E-3</v>
      </c>
      <c r="BW14" s="463">
        <f t="shared" si="44"/>
        <v>4.3740606319379074E-4</v>
      </c>
      <c r="BX14" s="463">
        <f t="shared" si="45"/>
        <v>0</v>
      </c>
      <c r="BY14" s="463">
        <f t="shared" si="46"/>
        <v>1.2020206320296342E-2</v>
      </c>
      <c r="BZ14" s="463">
        <f t="shared" si="61"/>
        <v>1.0723120348908072E-2</v>
      </c>
      <c r="CA14" s="549">
        <f t="shared" si="47"/>
        <v>4.1801142857142868E-3</v>
      </c>
      <c r="CB14" s="147">
        <f t="shared" si="62"/>
        <v>16.200320606010628</v>
      </c>
      <c r="CC14" s="153">
        <f t="shared" si="63"/>
        <v>7.7897859934015004E-2</v>
      </c>
      <c r="CD14" s="5">
        <f t="shared" si="64"/>
        <v>0.32399999999999995</v>
      </c>
      <c r="CE14" s="153">
        <f t="shared" si="65"/>
        <v>0.80617498200462046</v>
      </c>
      <c r="CF14" s="5">
        <f t="shared" si="66"/>
        <v>80.617498200462052</v>
      </c>
      <c r="CG14">
        <f t="shared" si="67"/>
        <v>8.9999999999999982</v>
      </c>
      <c r="CI14" s="59">
        <f t="shared" si="48"/>
        <v>-50</v>
      </c>
      <c r="CJ14">
        <f t="shared" si="49"/>
        <v>-50</v>
      </c>
    </row>
    <row r="15" spans="2:88" x14ac:dyDescent="0.25">
      <c r="E15" s="150">
        <v>10</v>
      </c>
      <c r="F15" s="191">
        <f t="shared" si="68"/>
        <v>1.0000000000000002E-2</v>
      </c>
      <c r="G15" s="191">
        <f t="shared" si="50"/>
        <v>1.0000000000000002E-2</v>
      </c>
      <c r="H15" s="191">
        <f t="shared" si="0"/>
        <v>0.20000000000000004</v>
      </c>
      <c r="I15" s="191">
        <f t="shared" si="69"/>
        <v>0.16000000000000003</v>
      </c>
      <c r="J15" s="472">
        <f t="shared" si="1"/>
        <v>20</v>
      </c>
      <c r="K15" s="386">
        <f t="shared" si="2"/>
        <v>20.32</v>
      </c>
      <c r="L15" s="386">
        <f t="shared" si="3"/>
        <v>40.32</v>
      </c>
      <c r="M15" s="386"/>
      <c r="N15" s="191">
        <f t="shared" si="4"/>
        <v>0.50396825396825395</v>
      </c>
      <c r="O15" s="152">
        <f t="shared" si="51"/>
        <v>1.8898809523809523</v>
      </c>
      <c r="P15" s="152">
        <f t="shared" si="5"/>
        <v>2.7214285714285715</v>
      </c>
      <c r="Q15" s="191">
        <f t="shared" si="6"/>
        <v>9.4494047619047616E-2</v>
      </c>
      <c r="R15" s="191">
        <f t="shared" si="7"/>
        <v>0.11811755952380952</v>
      </c>
      <c r="S15" s="386">
        <f t="shared" si="8"/>
        <v>20</v>
      </c>
      <c r="T15" s="191">
        <f t="shared" si="9"/>
        <v>7.9370078740157501E-2</v>
      </c>
      <c r="U15" s="191">
        <f t="shared" si="10"/>
        <v>0.23811023622047253</v>
      </c>
      <c r="V15" s="191">
        <f t="shared" si="11"/>
        <v>0.23436046872093749</v>
      </c>
      <c r="W15" s="175">
        <f t="shared" si="12"/>
        <v>350</v>
      </c>
      <c r="X15" s="386">
        <f t="shared" si="52"/>
        <v>350</v>
      </c>
      <c r="Z15" s="191">
        <f t="shared" si="13"/>
        <v>0.47996976568405147</v>
      </c>
      <c r="AA15" s="153">
        <f t="shared" si="14"/>
        <v>1.4172335600907031</v>
      </c>
      <c r="AB15" s="153">
        <f t="shared" si="15"/>
        <v>0.11904012045735404</v>
      </c>
      <c r="AC15" s="153"/>
      <c r="AD15" s="153">
        <f t="shared" si="16"/>
        <v>0.44291338582677164</v>
      </c>
      <c r="AE15" s="317">
        <f t="shared" si="17"/>
        <v>301.03703703703712</v>
      </c>
      <c r="AF15" s="463">
        <f t="shared" si="18"/>
        <v>1.1626476377952754E-2</v>
      </c>
      <c r="AH15" s="153">
        <f t="shared" si="19"/>
        <v>0.18516401995451032</v>
      </c>
      <c r="AI15" s="153">
        <f t="shared" si="20"/>
        <v>0.18516401995451032</v>
      </c>
      <c r="AJ15" s="153">
        <f t="shared" si="21"/>
        <v>1.1720211640211642</v>
      </c>
      <c r="AL15" s="317">
        <f t="shared" si="22"/>
        <v>10.000000000000002</v>
      </c>
      <c r="AM15" s="147">
        <f t="shared" si="23"/>
        <v>301.03703703703712</v>
      </c>
      <c r="AO15">
        <f t="shared" si="53"/>
        <v>10.000000000000002</v>
      </c>
      <c r="AP15" s="147">
        <f t="shared" si="24"/>
        <v>301.03703703703712</v>
      </c>
      <c r="AQ15" s="147"/>
      <c r="AR15" s="5">
        <f t="shared" si="54"/>
        <v>3.3218503937007862</v>
      </c>
      <c r="AS15" s="5">
        <f t="shared" si="25"/>
        <v>0.5554920598635309</v>
      </c>
      <c r="AT15" s="5">
        <f t="shared" si="55"/>
        <v>2.766358333837255</v>
      </c>
      <c r="AU15" s="153">
        <f t="shared" si="56"/>
        <v>0.1672236837989178</v>
      </c>
      <c r="AW15" s="5">
        <f t="shared" si="26"/>
        <v>0.68947680000000022</v>
      </c>
      <c r="AX15" s="5">
        <f t="shared" si="27"/>
        <v>0.16789536000000008</v>
      </c>
      <c r="AY15" s="5">
        <f t="shared" si="28"/>
        <v>0.6949164380928764</v>
      </c>
      <c r="AZ15" s="5">
        <f t="shared" si="29"/>
        <v>7.0539377315845572E-2</v>
      </c>
      <c r="BA15" s="5">
        <f t="shared" si="30"/>
        <v>5.5327166676745108E-2</v>
      </c>
      <c r="BB15" s="147">
        <f t="shared" si="31"/>
        <v>5.5927166676745124</v>
      </c>
      <c r="BC15" s="5"/>
      <c r="BD15" s="153">
        <f t="shared" si="57"/>
        <v>4.3716447875425279E-2</v>
      </c>
      <c r="BE15" s="153">
        <f t="shared" si="32"/>
        <v>9.7557386259199547E-2</v>
      </c>
      <c r="BF15" s="153">
        <f t="shared" si="33"/>
        <v>9.7174808273869373E-2</v>
      </c>
      <c r="BG15" s="153"/>
      <c r="BH15" s="463">
        <f t="shared" si="34"/>
        <v>6.6889473519567144E-4</v>
      </c>
      <c r="BI15" s="463">
        <f t="shared" si="35"/>
        <v>1.1237431551287277E-2</v>
      </c>
      <c r="BJ15" s="463">
        <f t="shared" si="36"/>
        <v>3.7629629629629636E-3</v>
      </c>
      <c r="BK15" s="463">
        <f t="shared" si="37"/>
        <v>2.4469831680000012E-2</v>
      </c>
      <c r="BL15">
        <f t="shared" si="38"/>
        <v>5.7999999999999996E-3</v>
      </c>
      <c r="BM15">
        <f t="shared" si="39"/>
        <v>1.1288888888888892E-5</v>
      </c>
      <c r="BN15">
        <f t="shared" si="40"/>
        <v>4.6046393242643952E-2</v>
      </c>
      <c r="BO15" s="147">
        <f t="shared" si="58"/>
        <v>46.046393242643951</v>
      </c>
      <c r="BP15" s="153">
        <f t="shared" si="41"/>
        <v>1.1091326920887167E-2</v>
      </c>
      <c r="BQ15" s="153">
        <f t="shared" si="42"/>
        <v>1.1034408729380342E-2</v>
      </c>
      <c r="BR15" s="463"/>
      <c r="BT15" s="147">
        <f t="shared" si="59"/>
        <v>22.125735650267508</v>
      </c>
      <c r="BU15" s="463">
        <f t="shared" si="43"/>
        <v>1.9111278148447755E-3</v>
      </c>
      <c r="BV15" s="463">
        <f t="shared" si="60"/>
        <v>9.5174436137266567E-3</v>
      </c>
      <c r="BW15" s="463">
        <f t="shared" si="44"/>
        <v>4.7214716815316356E-4</v>
      </c>
      <c r="BX15" s="463">
        <f t="shared" si="45"/>
        <v>0</v>
      </c>
      <c r="BY15" s="463">
        <f t="shared" si="46"/>
        <v>1.3341506709692218E-2</v>
      </c>
      <c r="BZ15" s="463">
        <f t="shared" si="61"/>
        <v>1.1900718596724596E-2</v>
      </c>
      <c r="CA15" s="549">
        <f t="shared" si="47"/>
        <v>5.1606349206349241E-3</v>
      </c>
      <c r="CB15" s="147">
        <f t="shared" si="62"/>
        <v>18.502141630327142</v>
      </c>
      <c r="CC15" s="153">
        <f t="shared" si="63"/>
        <v>8.6674270523238617E-2</v>
      </c>
      <c r="CD15" s="5">
        <f t="shared" si="64"/>
        <v>0.3600000000000001</v>
      </c>
      <c r="CE15" s="153">
        <f t="shared" si="65"/>
        <v>0.80595642900651632</v>
      </c>
      <c r="CF15" s="5">
        <f t="shared" si="66"/>
        <v>80.595642900651626</v>
      </c>
      <c r="CG15">
        <f t="shared" si="67"/>
        <v>10.000000000000002</v>
      </c>
      <c r="CI15" s="59">
        <f t="shared" si="48"/>
        <v>-50</v>
      </c>
      <c r="CJ15">
        <f t="shared" si="49"/>
        <v>-50</v>
      </c>
    </row>
    <row r="16" spans="2:88" x14ac:dyDescent="0.25">
      <c r="E16" s="150">
        <v>11</v>
      </c>
      <c r="F16" s="191">
        <f t="shared" si="68"/>
        <v>1.1000000000000001E-2</v>
      </c>
      <c r="G16" s="191">
        <f t="shared" si="50"/>
        <v>1.1000000000000001E-2</v>
      </c>
      <c r="H16" s="191">
        <f t="shared" si="0"/>
        <v>0.22000000000000003</v>
      </c>
      <c r="I16" s="191">
        <f t="shared" si="69"/>
        <v>0.17600000000000002</v>
      </c>
      <c r="J16" s="472">
        <f t="shared" si="1"/>
        <v>20</v>
      </c>
      <c r="K16" s="386">
        <f t="shared" si="2"/>
        <v>20.32</v>
      </c>
      <c r="L16" s="386">
        <f t="shared" si="3"/>
        <v>40.32</v>
      </c>
      <c r="M16" s="386"/>
      <c r="N16" s="191">
        <f t="shared" si="4"/>
        <v>0.50396825396825395</v>
      </c>
      <c r="O16" s="152">
        <f t="shared" si="51"/>
        <v>1.8898809523809523</v>
      </c>
      <c r="P16" s="152">
        <f t="shared" si="5"/>
        <v>2.7214285714285715</v>
      </c>
      <c r="Q16" s="191">
        <f t="shared" si="6"/>
        <v>9.4494047619047616E-2</v>
      </c>
      <c r="R16" s="191">
        <f t="shared" si="7"/>
        <v>0.11811755952380952</v>
      </c>
      <c r="S16" s="386">
        <f t="shared" si="8"/>
        <v>20</v>
      </c>
      <c r="T16" s="191">
        <f t="shared" si="9"/>
        <v>8.7307086614173232E-2</v>
      </c>
      <c r="U16" s="191">
        <f t="shared" si="10"/>
        <v>0.26192125984251974</v>
      </c>
      <c r="V16" s="191">
        <f t="shared" si="11"/>
        <v>0.25779651559303124</v>
      </c>
      <c r="W16" s="175">
        <f t="shared" si="12"/>
        <v>350</v>
      </c>
      <c r="X16" s="386">
        <f t="shared" si="52"/>
        <v>350</v>
      </c>
      <c r="Z16" s="191">
        <f t="shared" si="13"/>
        <v>0.47996976568405147</v>
      </c>
      <c r="AA16" s="153">
        <f t="shared" si="14"/>
        <v>1.4172335600907031</v>
      </c>
      <c r="AB16" s="153">
        <f t="shared" si="15"/>
        <v>0.11904012045735404</v>
      </c>
      <c r="AC16" s="153"/>
      <c r="AD16" s="153">
        <f t="shared" si="16"/>
        <v>0.44291338582677164</v>
      </c>
      <c r="AE16" s="317">
        <f t="shared" si="17"/>
        <v>331.14074074074085</v>
      </c>
      <c r="AF16" s="463">
        <f t="shared" si="18"/>
        <v>1.1626476377952754E-2</v>
      </c>
      <c r="AH16" s="153">
        <f t="shared" si="19"/>
        <v>0.1942016624910449</v>
      </c>
      <c r="AI16" s="153">
        <f t="shared" si="20"/>
        <v>0.1942016624910449</v>
      </c>
      <c r="AJ16" s="153">
        <f t="shared" si="21"/>
        <v>1.1892232804232805</v>
      </c>
      <c r="AL16" s="317">
        <f t="shared" si="22"/>
        <v>11.000000000000002</v>
      </c>
      <c r="AM16" s="147">
        <f t="shared" si="23"/>
        <v>331.14074074074085</v>
      </c>
      <c r="AO16">
        <f t="shared" si="53"/>
        <v>11.000000000000002</v>
      </c>
      <c r="AP16" s="147">
        <f t="shared" si="24"/>
        <v>331.14074074074085</v>
      </c>
      <c r="AQ16" s="147"/>
      <c r="AR16" s="5">
        <f t="shared" si="54"/>
        <v>3.0198639942734422</v>
      </c>
      <c r="AS16" s="5">
        <f t="shared" si="25"/>
        <v>0.58260498747313472</v>
      </c>
      <c r="AT16" s="5">
        <f t="shared" si="55"/>
        <v>2.4372590068003075</v>
      </c>
      <c r="AU16" s="153">
        <f t="shared" si="56"/>
        <v>0.19292424711110387</v>
      </c>
      <c r="AW16" s="5">
        <f t="shared" si="26"/>
        <v>0.68947680000000022</v>
      </c>
      <c r="AX16" s="5">
        <f t="shared" si="27"/>
        <v>0.19985338560000002</v>
      </c>
      <c r="AY16" s="5">
        <f t="shared" si="28"/>
        <v>0.6949164380928764</v>
      </c>
      <c r="AZ16" s="5">
        <f t="shared" si="29"/>
        <v>8.315264655217311E-2</v>
      </c>
      <c r="BA16" s="5">
        <f t="shared" si="30"/>
        <v>5.3619698149606765E-2</v>
      </c>
      <c r="BB16" s="147">
        <f t="shared" si="31"/>
        <v>5.4279698149606777</v>
      </c>
      <c r="BC16" s="5"/>
      <c r="BD16" s="153">
        <f t="shared" si="57"/>
        <v>4.9247673978106594E-2</v>
      </c>
      <c r="BE16" s="153">
        <f t="shared" si="32"/>
        <v>0.10072782723346461</v>
      </c>
      <c r="BF16" s="153">
        <f t="shared" si="33"/>
        <v>0.10033281614627454</v>
      </c>
      <c r="BG16" s="153"/>
      <c r="BH16" s="463">
        <f t="shared" si="34"/>
        <v>8.48866687288857E-4</v>
      </c>
      <c r="BI16" s="463">
        <f t="shared" si="35"/>
        <v>1.296450940586618E-2</v>
      </c>
      <c r="BJ16" s="463">
        <f t="shared" si="36"/>
        <v>4.1392592592592609E-3</v>
      </c>
      <c r="BK16" s="463">
        <f t="shared" si="37"/>
        <v>2.6916814848000011E-2</v>
      </c>
      <c r="BL16">
        <f t="shared" si="38"/>
        <v>5.7999999999999996E-3</v>
      </c>
      <c r="BM16">
        <f t="shared" si="39"/>
        <v>1.2417777777777782E-5</v>
      </c>
      <c r="BN16">
        <f t="shared" si="40"/>
        <v>5.0804421761407523E-2</v>
      </c>
      <c r="BO16" s="147">
        <f t="shared" si="58"/>
        <v>50.804421761407525</v>
      </c>
      <c r="BP16" s="153">
        <f t="shared" si="41"/>
        <v>1.1953616716889466E-2</v>
      </c>
      <c r="BQ16" s="153">
        <f t="shared" si="42"/>
        <v>1.1892938932823388E-2</v>
      </c>
      <c r="BR16" s="463"/>
      <c r="BT16" s="147">
        <f t="shared" si="59"/>
        <v>23.846555649712855</v>
      </c>
      <c r="BU16" s="463">
        <f t="shared" si="43"/>
        <v>2.4253333922538774E-3</v>
      </c>
      <c r="BV16" s="463">
        <f t="shared" si="60"/>
        <v>1.0146095179174695E-2</v>
      </c>
      <c r="BW16" s="463">
        <f t="shared" si="44"/>
        <v>5.0333369979210644E-4</v>
      </c>
      <c r="BX16" s="463">
        <f t="shared" si="45"/>
        <v>0</v>
      </c>
      <c r="BY16" s="463">
        <f t="shared" si="46"/>
        <v>1.4659066848900545E-2</v>
      </c>
      <c r="BZ16" s="463">
        <f t="shared" si="61"/>
        <v>1.3074762271220678E-2</v>
      </c>
      <c r="CA16" s="549">
        <f t="shared" si="47"/>
        <v>6.2443682539682572E-3</v>
      </c>
      <c r="CB16" s="147">
        <f t="shared" si="62"/>
        <v>20.903435102868801</v>
      </c>
      <c r="CC16" s="153">
        <f t="shared" si="63"/>
        <v>9.555441251398919E-2</v>
      </c>
      <c r="CD16" s="5">
        <f t="shared" si="64"/>
        <v>0.39600000000000002</v>
      </c>
      <c r="CE16" s="153">
        <f t="shared" si="65"/>
        <v>0.80560765994289629</v>
      </c>
      <c r="CF16" s="5">
        <f t="shared" si="66"/>
        <v>80.560765994289625</v>
      </c>
      <c r="CG16">
        <f t="shared" si="67"/>
        <v>11</v>
      </c>
      <c r="CI16" s="59">
        <f t="shared" si="48"/>
        <v>-50</v>
      </c>
      <c r="CJ16">
        <f t="shared" si="49"/>
        <v>-50</v>
      </c>
    </row>
    <row r="17" spans="5:88" x14ac:dyDescent="0.25">
      <c r="E17" s="150">
        <v>12</v>
      </c>
      <c r="F17" s="191">
        <f t="shared" si="68"/>
        <v>1.2E-2</v>
      </c>
      <c r="G17" s="191">
        <f t="shared" si="50"/>
        <v>1.2E-2</v>
      </c>
      <c r="H17" s="191">
        <f t="shared" si="0"/>
        <v>0.24</v>
      </c>
      <c r="I17" s="191">
        <f t="shared" si="69"/>
        <v>0.192</v>
      </c>
      <c r="J17" s="472">
        <f t="shared" si="1"/>
        <v>20</v>
      </c>
      <c r="K17" s="386">
        <f t="shared" si="2"/>
        <v>20.32</v>
      </c>
      <c r="L17" s="386">
        <f t="shared" si="3"/>
        <v>40.32</v>
      </c>
      <c r="M17" s="386"/>
      <c r="N17" s="191">
        <f t="shared" si="4"/>
        <v>0.50396825396825395</v>
      </c>
      <c r="O17" s="152">
        <f t="shared" si="51"/>
        <v>1.8898809523809523</v>
      </c>
      <c r="P17" s="152">
        <f t="shared" si="5"/>
        <v>2.7214285714285715</v>
      </c>
      <c r="Q17" s="191">
        <f t="shared" si="6"/>
        <v>9.4494047619047616E-2</v>
      </c>
      <c r="R17" s="191">
        <f t="shared" si="7"/>
        <v>0.11811755952380952</v>
      </c>
      <c r="S17" s="386">
        <f t="shared" si="8"/>
        <v>20</v>
      </c>
      <c r="T17" s="191">
        <f t="shared" si="9"/>
        <v>9.5244094488188977E-2</v>
      </c>
      <c r="U17" s="191">
        <f t="shared" si="10"/>
        <v>0.28573228346456697</v>
      </c>
      <c r="V17" s="191">
        <f t="shared" si="11"/>
        <v>0.2812325624651249</v>
      </c>
      <c r="W17" s="175">
        <f t="shared" si="12"/>
        <v>350</v>
      </c>
      <c r="X17" s="386">
        <f t="shared" si="52"/>
        <v>350</v>
      </c>
      <c r="Z17" s="191">
        <f t="shared" si="13"/>
        <v>0.47996976568405147</v>
      </c>
      <c r="AA17" s="153">
        <f t="shared" si="14"/>
        <v>1.4172335600907031</v>
      </c>
      <c r="AB17" s="153">
        <f t="shared" si="15"/>
        <v>0.11904012045735404</v>
      </c>
      <c r="AC17" s="153"/>
      <c r="AD17" s="153">
        <f t="shared" si="16"/>
        <v>0.44291338582677164</v>
      </c>
      <c r="AE17" s="317">
        <f t="shared" si="17"/>
        <v>361.24444444444447</v>
      </c>
      <c r="AF17" s="463">
        <f t="shared" si="18"/>
        <v>1.1626476377952754E-2</v>
      </c>
      <c r="AH17" s="153">
        <f t="shared" si="19"/>
        <v>0.20283702113484398</v>
      </c>
      <c r="AI17" s="153">
        <f t="shared" si="20"/>
        <v>0.20283702113484398</v>
      </c>
      <c r="AJ17" s="153">
        <f t="shared" si="21"/>
        <v>1.2391385341739585</v>
      </c>
      <c r="AL17" s="317">
        <f t="shared" si="22"/>
        <v>12</v>
      </c>
      <c r="AM17" s="147">
        <f t="shared" si="23"/>
        <v>350</v>
      </c>
      <c r="AO17">
        <f t="shared" si="53"/>
        <v>12</v>
      </c>
      <c r="AP17" s="147">
        <f t="shared" si="24"/>
        <v>350</v>
      </c>
      <c r="AQ17" s="147"/>
      <c r="AR17" s="5">
        <f t="shared" si="54"/>
        <v>2.8571428571428572</v>
      </c>
      <c r="AS17" s="5">
        <f t="shared" si="25"/>
        <v>0.60851106340453187</v>
      </c>
      <c r="AT17" s="5">
        <f t="shared" si="55"/>
        <v>2.2486317937383253</v>
      </c>
      <c r="AU17" s="153">
        <f t="shared" si="56"/>
        <v>0.21297887219158615</v>
      </c>
      <c r="AW17" s="5">
        <f t="shared" si="26"/>
        <v>0.68947680000000022</v>
      </c>
      <c r="AX17" s="5">
        <f t="shared" si="27"/>
        <v>0.23456931839999998</v>
      </c>
      <c r="AY17" s="5">
        <f t="shared" si="28"/>
        <v>0.6949164380928764</v>
      </c>
      <c r="AZ17" s="5">
        <f t="shared" si="29"/>
        <v>9.6776703334817554E-2</v>
      </c>
      <c r="BA17" s="5">
        <f t="shared" si="30"/>
        <v>5.396716304971981E-2</v>
      </c>
      <c r="BB17" s="147">
        <f t="shared" si="31"/>
        <v>5.4687163049719807</v>
      </c>
      <c r="BC17" s="5"/>
      <c r="BD17" s="153">
        <f t="shared" si="57"/>
        <v>5.4044917470024441E-2</v>
      </c>
      <c r="BE17" s="153">
        <f t="shared" si="32"/>
        <v>0.10389144627900779</v>
      </c>
      <c r="BF17" s="153">
        <f t="shared" si="33"/>
        <v>0.10348402884261954</v>
      </c>
      <c r="BG17" s="153"/>
      <c r="BH17" s="463">
        <f t="shared" si="34"/>
        <v>1.0222985865196135E-3</v>
      </c>
      <c r="BI17" s="463">
        <f t="shared" si="35"/>
        <v>1.4312180211274592E-2</v>
      </c>
      <c r="BJ17" s="463">
        <f t="shared" si="36"/>
        <v>4.3749999999999995E-3</v>
      </c>
      <c r="BK17" s="463">
        <f t="shared" si="37"/>
        <v>2.8449792000000005E-2</v>
      </c>
      <c r="BL17">
        <f t="shared" si="38"/>
        <v>5.7999999999999996E-3</v>
      </c>
      <c r="BM17">
        <f t="shared" si="39"/>
        <v>1.3124999999999999E-5</v>
      </c>
      <c r="BN17">
        <f t="shared" si="40"/>
        <v>5.4120614017294871E-2</v>
      </c>
      <c r="BO17" s="147">
        <f t="shared" si="58"/>
        <v>54.120614017294869</v>
      </c>
      <c r="BP17" s="153">
        <f t="shared" si="41"/>
        <v>1.2830182513997188E-2</v>
      </c>
      <c r="BQ17" s="153">
        <f t="shared" si="42"/>
        <v>1.2765633388282087E-2</v>
      </c>
      <c r="BR17" s="463"/>
      <c r="BT17" s="147">
        <f t="shared" si="59"/>
        <v>25.595815902279274</v>
      </c>
      <c r="BU17" s="463">
        <f t="shared" si="43"/>
        <v>2.9208531043417529E-3</v>
      </c>
      <c r="BV17" s="463">
        <f t="shared" si="60"/>
        <v>1.079343260994396E-2</v>
      </c>
      <c r="BW17" s="463">
        <f t="shared" si="44"/>
        <v>5.3544721127500561E-4</v>
      </c>
      <c r="BX17" s="463">
        <f t="shared" si="45"/>
        <v>0</v>
      </c>
      <c r="BY17" s="463">
        <f t="shared" si="46"/>
        <v>1.597791535875356E-2</v>
      </c>
      <c r="BZ17" s="463">
        <f t="shared" si="61"/>
        <v>1.4249732925560719E-2</v>
      </c>
      <c r="CA17" s="549">
        <f t="shared" si="47"/>
        <v>7.2000000000000007E-3</v>
      </c>
      <c r="CB17" s="147">
        <f t="shared" si="62"/>
        <v>23.177915358753562</v>
      </c>
      <c r="CC17" s="153">
        <f t="shared" si="63"/>
        <v>0.10289434527832771</v>
      </c>
      <c r="CD17" s="5">
        <f t="shared" si="64"/>
        <v>0.432</v>
      </c>
      <c r="CE17" s="153">
        <f t="shared" si="65"/>
        <v>0.80763613190790506</v>
      </c>
      <c r="CF17" s="5">
        <f t="shared" si="66"/>
        <v>80.763613190790508</v>
      </c>
      <c r="CG17">
        <f t="shared" si="67"/>
        <v>12</v>
      </c>
      <c r="CI17" s="59">
        <f t="shared" si="48"/>
        <v>-50</v>
      </c>
      <c r="CJ17">
        <f t="shared" si="49"/>
        <v>-50</v>
      </c>
    </row>
    <row r="18" spans="5:88" x14ac:dyDescent="0.25">
      <c r="E18" s="150">
        <v>13</v>
      </c>
      <c r="F18" s="191">
        <f t="shared" si="68"/>
        <v>1.3000000000000001E-2</v>
      </c>
      <c r="G18" s="191">
        <f t="shared" si="50"/>
        <v>1.3000000000000001E-2</v>
      </c>
      <c r="H18" s="191">
        <f t="shared" si="0"/>
        <v>0.26</v>
      </c>
      <c r="I18" s="191">
        <f t="shared" si="69"/>
        <v>0.20800000000000002</v>
      </c>
      <c r="J18" s="472">
        <f t="shared" si="1"/>
        <v>20</v>
      </c>
      <c r="K18" s="386">
        <f t="shared" si="2"/>
        <v>20.32</v>
      </c>
      <c r="L18" s="386">
        <f t="shared" si="3"/>
        <v>40.32</v>
      </c>
      <c r="M18" s="386"/>
      <c r="N18" s="191">
        <f t="shared" si="4"/>
        <v>0.50396825396825395</v>
      </c>
      <c r="O18" s="152">
        <f t="shared" si="51"/>
        <v>1.8898809523809523</v>
      </c>
      <c r="P18" s="152">
        <f t="shared" si="5"/>
        <v>2.7214285714285715</v>
      </c>
      <c r="Q18" s="191">
        <f t="shared" si="6"/>
        <v>9.4494047619047616E-2</v>
      </c>
      <c r="R18" s="191">
        <f t="shared" si="7"/>
        <v>0.11811755952380952</v>
      </c>
      <c r="S18" s="386">
        <f t="shared" si="8"/>
        <v>20</v>
      </c>
      <c r="T18" s="191">
        <f t="shared" si="9"/>
        <v>0.10318110236220474</v>
      </c>
      <c r="U18" s="191">
        <f t="shared" si="10"/>
        <v>0.30954330708661421</v>
      </c>
      <c r="V18" s="191">
        <f t="shared" si="11"/>
        <v>0.30466860933721873</v>
      </c>
      <c r="W18" s="175">
        <f t="shared" si="12"/>
        <v>350</v>
      </c>
      <c r="X18" s="386">
        <f t="shared" si="52"/>
        <v>350</v>
      </c>
      <c r="Z18" s="191">
        <f t="shared" si="13"/>
        <v>0.47996976568405147</v>
      </c>
      <c r="AA18" s="153">
        <f t="shared" si="14"/>
        <v>1.4172335600907031</v>
      </c>
      <c r="AB18" s="153">
        <f t="shared" si="15"/>
        <v>0.11904012045735404</v>
      </c>
      <c r="AC18" s="153"/>
      <c r="AD18" s="153">
        <f t="shared" si="16"/>
        <v>0.44291338582677164</v>
      </c>
      <c r="AE18" s="317">
        <f t="shared" si="17"/>
        <v>391.34814814814825</v>
      </c>
      <c r="AF18" s="463">
        <f t="shared" si="18"/>
        <v>1.1626476377952754E-2</v>
      </c>
      <c r="AH18" s="153">
        <f t="shared" si="19"/>
        <v>0.21111946516469904</v>
      </c>
      <c r="AI18" s="153">
        <f t="shared" si="20"/>
        <v>0.21111946516469904</v>
      </c>
      <c r="AJ18" s="153">
        <f t="shared" si="21"/>
        <v>1.2452736778997771</v>
      </c>
      <c r="AL18" s="317">
        <f t="shared" si="22"/>
        <v>13.000000000000002</v>
      </c>
      <c r="AM18" s="147">
        <f t="shared" si="23"/>
        <v>350</v>
      </c>
      <c r="AO18">
        <f t="shared" si="53"/>
        <v>13.000000000000002</v>
      </c>
      <c r="AP18" s="147">
        <f t="shared" si="24"/>
        <v>350</v>
      </c>
      <c r="AQ18" s="147"/>
      <c r="AR18" s="5">
        <f t="shared" si="54"/>
        <v>2.8571428571428572</v>
      </c>
      <c r="AS18" s="5">
        <f t="shared" si="25"/>
        <v>0.63335839549409712</v>
      </c>
      <c r="AT18" s="5">
        <f t="shared" si="55"/>
        <v>2.2237844616487603</v>
      </c>
      <c r="AU18" s="153">
        <f t="shared" si="56"/>
        <v>0.221675438422934</v>
      </c>
      <c r="AW18" s="5">
        <f t="shared" si="26"/>
        <v>0.68947680000000022</v>
      </c>
      <c r="AX18" s="5">
        <f t="shared" si="27"/>
        <v>0.27204315840000004</v>
      </c>
      <c r="AY18" s="5">
        <f t="shared" si="28"/>
        <v>0.6949164380928764</v>
      </c>
      <c r="AZ18" s="5">
        <f t="shared" si="29"/>
        <v>0.111411547663779</v>
      </c>
      <c r="BA18" s="5">
        <f t="shared" si="30"/>
        <v>5.7818396002867777E-2</v>
      </c>
      <c r="BB18" s="147">
        <f t="shared" si="31"/>
        <v>5.8598396002867768</v>
      </c>
      <c r="BC18" s="5"/>
      <c r="BD18" s="153">
        <f t="shared" si="57"/>
        <v>5.7388706698873297E-2</v>
      </c>
      <c r="BE18" s="153">
        <f t="shared" si="32"/>
        <v>0.107534548869531</v>
      </c>
      <c r="BF18" s="153">
        <f t="shared" si="33"/>
        <v>0.10711284475631713</v>
      </c>
      <c r="BG18" s="153"/>
      <c r="BH18" s="463">
        <f t="shared" si="34"/>
        <v>1.1527122797992566E-3</v>
      </c>
      <c r="BI18" s="463">
        <f t="shared" si="35"/>
        <v>1.4896589462021163E-2</v>
      </c>
      <c r="BJ18" s="463">
        <f t="shared" si="36"/>
        <v>4.3749999999999995E-3</v>
      </c>
      <c r="BK18" s="463">
        <f t="shared" si="37"/>
        <v>2.8449792000000005E-2</v>
      </c>
      <c r="BL18">
        <f t="shared" si="38"/>
        <v>5.7999999999999996E-3</v>
      </c>
      <c r="BM18">
        <f t="shared" si="39"/>
        <v>1.3124999999999999E-5</v>
      </c>
      <c r="BN18">
        <f t="shared" si="40"/>
        <v>5.4854501103414284E-2</v>
      </c>
      <c r="BO18" s="147">
        <f t="shared" si="58"/>
        <v>54.854501103414286</v>
      </c>
      <c r="BP18" s="153">
        <f t="shared" si="41"/>
        <v>1.3800650909238193E-2</v>
      </c>
      <c r="BQ18" s="153">
        <f t="shared" si="42"/>
        <v>1.3731495395008246E-2</v>
      </c>
      <c r="BR18" s="463"/>
      <c r="BT18" s="147">
        <f t="shared" si="59"/>
        <v>27.532146304246442</v>
      </c>
      <c r="BU18" s="463">
        <f t="shared" si="43"/>
        <v>3.2934636565693049E-3</v>
      </c>
      <c r="BV18" s="463">
        <f t="shared" si="60"/>
        <v>1.1563679200573549E-2</v>
      </c>
      <c r="BW18" s="463">
        <f t="shared" si="44"/>
        <v>5.7365807558954483E-4</v>
      </c>
      <c r="BX18" s="463">
        <f t="shared" si="45"/>
        <v>0</v>
      </c>
      <c r="BY18" s="463">
        <f t="shared" si="46"/>
        <v>1.7303858035757728E-2</v>
      </c>
      <c r="BZ18" s="463">
        <f t="shared" si="61"/>
        <v>1.5430800932732398E-2</v>
      </c>
      <c r="CA18" s="549">
        <f t="shared" si="47"/>
        <v>7.8000000000000014E-3</v>
      </c>
      <c r="CB18" s="147">
        <f t="shared" si="62"/>
        <v>25.103858035757728</v>
      </c>
      <c r="CC18" s="153">
        <f t="shared" si="63"/>
        <v>0.10749050544341845</v>
      </c>
      <c r="CD18" s="5">
        <f t="shared" si="64"/>
        <v>0.46800000000000003</v>
      </c>
      <c r="CE18" s="153">
        <f t="shared" si="65"/>
        <v>0.81321932433864141</v>
      </c>
      <c r="CF18" s="5">
        <f t="shared" si="66"/>
        <v>81.321932433864134</v>
      </c>
      <c r="CG18">
        <f t="shared" si="67"/>
        <v>13</v>
      </c>
      <c r="CI18" s="59">
        <f t="shared" si="48"/>
        <v>-50</v>
      </c>
      <c r="CJ18">
        <f t="shared" si="49"/>
        <v>-50</v>
      </c>
    </row>
    <row r="19" spans="5:88" x14ac:dyDescent="0.25">
      <c r="E19" s="150">
        <v>14</v>
      </c>
      <c r="F19" s="191">
        <f t="shared" si="68"/>
        <v>1.4000000000000002E-2</v>
      </c>
      <c r="G19" s="191">
        <f t="shared" si="50"/>
        <v>1.4000000000000002E-2</v>
      </c>
      <c r="H19" s="191">
        <f t="shared" si="0"/>
        <v>0.28000000000000003</v>
      </c>
      <c r="I19" s="191">
        <f t="shared" si="69"/>
        <v>0.22400000000000003</v>
      </c>
      <c r="J19" s="472">
        <f t="shared" si="1"/>
        <v>20</v>
      </c>
      <c r="K19" s="386">
        <f t="shared" si="2"/>
        <v>20.32</v>
      </c>
      <c r="L19" s="386">
        <f t="shared" si="3"/>
        <v>40.32</v>
      </c>
      <c r="M19" s="386"/>
      <c r="N19" s="191">
        <f t="shared" si="4"/>
        <v>0.50396825396825395</v>
      </c>
      <c r="O19" s="152">
        <f t="shared" si="51"/>
        <v>1.8898809523809523</v>
      </c>
      <c r="P19" s="152">
        <f t="shared" si="5"/>
        <v>2.7214285714285715</v>
      </c>
      <c r="Q19" s="191">
        <f t="shared" si="6"/>
        <v>9.4494047619047616E-2</v>
      </c>
      <c r="R19" s="191">
        <f t="shared" si="7"/>
        <v>0.11811755952380952</v>
      </c>
      <c r="S19" s="386">
        <f t="shared" si="8"/>
        <v>20</v>
      </c>
      <c r="T19" s="191">
        <f t="shared" si="9"/>
        <v>0.11111811023622048</v>
      </c>
      <c r="U19" s="191">
        <f t="shared" si="10"/>
        <v>0.33335433070866149</v>
      </c>
      <c r="V19" s="191">
        <f t="shared" si="11"/>
        <v>0.32810465620931245</v>
      </c>
      <c r="W19" s="175">
        <f t="shared" si="12"/>
        <v>350</v>
      </c>
      <c r="X19" s="386">
        <f t="shared" si="52"/>
        <v>350</v>
      </c>
      <c r="Z19" s="191">
        <f t="shared" si="13"/>
        <v>0.47996976568405147</v>
      </c>
      <c r="AA19" s="153">
        <f t="shared" si="14"/>
        <v>1.4172335600907031</v>
      </c>
      <c r="AB19" s="153">
        <f t="shared" si="15"/>
        <v>0.11904012045735404</v>
      </c>
      <c r="AC19" s="153"/>
      <c r="AD19" s="153">
        <f t="shared" si="16"/>
        <v>0.44291338582677164</v>
      </c>
      <c r="AE19" s="317">
        <f t="shared" si="17"/>
        <v>421.45185185185198</v>
      </c>
      <c r="AF19" s="463">
        <f t="shared" si="18"/>
        <v>1.1626476377952754E-2</v>
      </c>
      <c r="AH19" s="153">
        <f t="shared" si="19"/>
        <v>0.21908902300206645</v>
      </c>
      <c r="AI19" s="153">
        <f t="shared" si="20"/>
        <v>0.21908902300206645</v>
      </c>
      <c r="AJ19" s="153">
        <f t="shared" si="21"/>
        <v>1.2511770540756046</v>
      </c>
      <c r="AL19" s="317">
        <f t="shared" si="22"/>
        <v>14.000000000000002</v>
      </c>
      <c r="AM19" s="147">
        <f t="shared" si="23"/>
        <v>350</v>
      </c>
      <c r="AO19">
        <f t="shared" si="53"/>
        <v>14.000000000000002</v>
      </c>
      <c r="AP19" s="147">
        <f t="shared" si="24"/>
        <v>350</v>
      </c>
      <c r="AQ19" s="147"/>
      <c r="AR19" s="5">
        <f t="shared" si="54"/>
        <v>2.8571428571428572</v>
      </c>
      <c r="AS19" s="5">
        <f t="shared" si="25"/>
        <v>0.65726706900619936</v>
      </c>
      <c r="AT19" s="5">
        <f t="shared" si="55"/>
        <v>2.1998757881366577</v>
      </c>
      <c r="AU19" s="153">
        <f t="shared" si="56"/>
        <v>0.23004347415216977</v>
      </c>
      <c r="AW19" s="5">
        <f t="shared" si="26"/>
        <v>0.68947680000000022</v>
      </c>
      <c r="AX19" s="5">
        <f t="shared" si="27"/>
        <v>0.31227490560000004</v>
      </c>
      <c r="AY19" s="5">
        <f t="shared" si="28"/>
        <v>0.6949164380928764</v>
      </c>
      <c r="AZ19" s="5">
        <f t="shared" si="29"/>
        <v>0.12705717953905726</v>
      </c>
      <c r="BA19" s="5">
        <f t="shared" si="30"/>
        <v>6.1596522067826412E-2</v>
      </c>
      <c r="BB19" s="147">
        <f t="shared" si="31"/>
        <v>6.2436522067826417</v>
      </c>
      <c r="BC19" s="5"/>
      <c r="BD19" s="153">
        <f t="shared" si="57"/>
        <v>6.0668736482926006E-2</v>
      </c>
      <c r="BE19" s="153">
        <f t="shared" si="32"/>
        <v>0.11099236196047585</v>
      </c>
      <c r="BF19" s="153">
        <f t="shared" si="33"/>
        <v>0.11055709779592499</v>
      </c>
      <c r="BG19" s="153"/>
      <c r="BH19" s="463">
        <f t="shared" si="34"/>
        <v>1.288243455252151E-3</v>
      </c>
      <c r="BI19" s="463">
        <f t="shared" si="35"/>
        <v>1.5458921463025809E-2</v>
      </c>
      <c r="BJ19" s="463">
        <f t="shared" si="36"/>
        <v>4.3749999999999995E-3</v>
      </c>
      <c r="BK19" s="463">
        <f t="shared" si="37"/>
        <v>2.8449792000000005E-2</v>
      </c>
      <c r="BL19">
        <f t="shared" si="38"/>
        <v>5.7999999999999996E-3</v>
      </c>
      <c r="BM19">
        <f t="shared" si="39"/>
        <v>1.3124999999999999E-5</v>
      </c>
      <c r="BN19">
        <f t="shared" si="40"/>
        <v>5.557220323698954E-2</v>
      </c>
      <c r="BO19" s="147">
        <f t="shared" si="58"/>
        <v>55.572203236989537</v>
      </c>
      <c r="BP19" s="153">
        <f t="shared" si="41"/>
        <v>1.4759948571963881E-2</v>
      </c>
      <c r="BQ19" s="153">
        <f t="shared" si="42"/>
        <v>1.46862741110161E-2</v>
      </c>
      <c r="BR19" s="463"/>
      <c r="BT19" s="147">
        <f t="shared" si="59"/>
        <v>29.446222682979979</v>
      </c>
      <c r="BU19" s="463">
        <f t="shared" si="43"/>
        <v>3.6806955864347171E-3</v>
      </c>
      <c r="BV19" s="463">
        <f t="shared" si="60"/>
        <v>1.2319304413565286E-2</v>
      </c>
      <c r="BW19" s="463">
        <f t="shared" si="44"/>
        <v>6.1114359365288615E-4</v>
      </c>
      <c r="BX19" s="463">
        <f t="shared" si="45"/>
        <v>0</v>
      </c>
      <c r="BY19" s="463">
        <f t="shared" si="46"/>
        <v>1.8629237059438E-2</v>
      </c>
      <c r="BZ19" s="463">
        <f t="shared" si="61"/>
        <v>1.6611143593652889E-2</v>
      </c>
      <c r="CA19" s="549">
        <f t="shared" si="47"/>
        <v>8.4000000000000012E-3</v>
      </c>
      <c r="CB19" s="147">
        <f t="shared" si="62"/>
        <v>27.029237059438</v>
      </c>
      <c r="CC19" s="153">
        <f t="shared" si="63"/>
        <v>0.11204766297940752</v>
      </c>
      <c r="CD19" s="5">
        <f t="shared" si="64"/>
        <v>0.504</v>
      </c>
      <c r="CE19" s="153">
        <f t="shared" si="65"/>
        <v>0.81811851628896948</v>
      </c>
      <c r="CF19" s="5">
        <f t="shared" si="66"/>
        <v>81.811851628896946</v>
      </c>
      <c r="CG19">
        <f t="shared" si="67"/>
        <v>14.000000000000002</v>
      </c>
      <c r="CI19" s="59">
        <f t="shared" si="48"/>
        <v>-50</v>
      </c>
      <c r="CJ19">
        <f t="shared" si="49"/>
        <v>-50</v>
      </c>
    </row>
    <row r="20" spans="5:88" x14ac:dyDescent="0.25">
      <c r="E20" s="150">
        <v>15</v>
      </c>
      <c r="F20" s="191">
        <f t="shared" si="68"/>
        <v>1.4999999999999999E-2</v>
      </c>
      <c r="G20" s="191">
        <f t="shared" si="50"/>
        <v>1.4999999999999999E-2</v>
      </c>
      <c r="H20" s="191">
        <f t="shared" si="0"/>
        <v>0.3</v>
      </c>
      <c r="I20" s="191">
        <f t="shared" si="69"/>
        <v>0.24</v>
      </c>
      <c r="J20" s="472">
        <f t="shared" si="1"/>
        <v>20</v>
      </c>
      <c r="K20" s="386">
        <f t="shared" si="2"/>
        <v>20.32</v>
      </c>
      <c r="L20" s="386">
        <f t="shared" si="3"/>
        <v>40.32</v>
      </c>
      <c r="M20" s="386"/>
      <c r="N20" s="191">
        <f t="shared" si="4"/>
        <v>0.50396825396825395</v>
      </c>
      <c r="O20" s="152">
        <f t="shared" si="51"/>
        <v>1.8898809523809523</v>
      </c>
      <c r="P20" s="152">
        <f t="shared" si="5"/>
        <v>2.7214285714285715</v>
      </c>
      <c r="Q20" s="191">
        <f t="shared" si="6"/>
        <v>9.4494047619047616E-2</v>
      </c>
      <c r="R20" s="191">
        <f t="shared" si="7"/>
        <v>0.11811755952380952</v>
      </c>
      <c r="S20" s="386">
        <f t="shared" si="8"/>
        <v>20</v>
      </c>
      <c r="T20" s="191">
        <f t="shared" si="9"/>
        <v>0.11905511811023624</v>
      </c>
      <c r="U20" s="191">
        <f t="shared" si="10"/>
        <v>0.35716535433070873</v>
      </c>
      <c r="V20" s="191">
        <f t="shared" si="11"/>
        <v>0.35154070308140623</v>
      </c>
      <c r="W20" s="175">
        <f t="shared" si="12"/>
        <v>350</v>
      </c>
      <c r="X20" s="386">
        <f t="shared" si="52"/>
        <v>350</v>
      </c>
      <c r="Z20" s="191">
        <f t="shared" si="13"/>
        <v>0.47996976568405147</v>
      </c>
      <c r="AA20" s="153">
        <f t="shared" si="14"/>
        <v>1.4172335600907031</v>
      </c>
      <c r="AB20" s="153">
        <f t="shared" si="15"/>
        <v>0.11904012045735404</v>
      </c>
      <c r="AC20" s="153"/>
      <c r="AD20" s="153">
        <f t="shared" si="16"/>
        <v>0.44291338582677164</v>
      </c>
      <c r="AE20" s="317">
        <f t="shared" si="17"/>
        <v>451.5555555555556</v>
      </c>
      <c r="AF20" s="463">
        <f t="shared" si="18"/>
        <v>1.1626476377952754E-2</v>
      </c>
      <c r="AH20" s="153">
        <f t="shared" si="19"/>
        <v>0.22677868380553634</v>
      </c>
      <c r="AI20" s="153">
        <f t="shared" si="20"/>
        <v>0.22677868380553634</v>
      </c>
      <c r="AJ20" s="153">
        <f t="shared" si="21"/>
        <v>1.2568730991152122</v>
      </c>
      <c r="AL20" s="317">
        <f t="shared" si="22"/>
        <v>15</v>
      </c>
      <c r="AM20" s="147">
        <f t="shared" si="23"/>
        <v>350</v>
      </c>
      <c r="AO20">
        <f t="shared" si="53"/>
        <v>15</v>
      </c>
      <c r="AP20" s="147">
        <f t="shared" si="24"/>
        <v>350</v>
      </c>
      <c r="AQ20" s="147"/>
      <c r="AR20" s="5">
        <f t="shared" si="54"/>
        <v>2.8571428571428572</v>
      </c>
      <c r="AS20" s="5">
        <f t="shared" si="25"/>
        <v>0.68033605141660902</v>
      </c>
      <c r="AT20" s="5">
        <f t="shared" si="55"/>
        <v>2.1768068057262484</v>
      </c>
      <c r="AU20" s="153">
        <f t="shared" si="56"/>
        <v>0.23811761799581316</v>
      </c>
      <c r="AW20" s="5">
        <f t="shared" si="26"/>
        <v>0.68947680000000022</v>
      </c>
      <c r="AX20" s="5">
        <f t="shared" si="27"/>
        <v>0.35526456000000001</v>
      </c>
      <c r="AY20" s="5">
        <f t="shared" si="28"/>
        <v>0.6949164380928764</v>
      </c>
      <c r="AZ20" s="5">
        <f t="shared" si="29"/>
        <v>0.14371359896065247</v>
      </c>
      <c r="BA20" s="5">
        <f t="shared" si="30"/>
        <v>6.530420417178745E-2</v>
      </c>
      <c r="BB20" s="147">
        <f t="shared" si="31"/>
        <v>6.6204204171787469</v>
      </c>
      <c r="BC20" s="5"/>
      <c r="BD20" s="153">
        <f t="shared" si="57"/>
        <v>6.3890659008180958E-2</v>
      </c>
      <c r="BE20" s="153">
        <f t="shared" si="32"/>
        <v>0.11428403578084513</v>
      </c>
      <c r="BF20" s="153">
        <f t="shared" si="33"/>
        <v>0.11383586309150849</v>
      </c>
      <c r="BG20" s="153"/>
      <c r="BH20" s="463">
        <f t="shared" si="34"/>
        <v>1.428705707974879E-3</v>
      </c>
      <c r="BI20" s="463">
        <f t="shared" si="35"/>
        <v>1.6001503929318643E-2</v>
      </c>
      <c r="BJ20" s="463">
        <f t="shared" si="36"/>
        <v>4.3749999999999995E-3</v>
      </c>
      <c r="BK20" s="463">
        <f t="shared" si="37"/>
        <v>2.8449792000000005E-2</v>
      </c>
      <c r="BL20">
        <f t="shared" si="38"/>
        <v>5.7999999999999996E-3</v>
      </c>
      <c r="BM20">
        <f t="shared" si="39"/>
        <v>1.3124999999999999E-5</v>
      </c>
      <c r="BN20">
        <f t="shared" si="40"/>
        <v>5.6275836004568418E-2</v>
      </c>
      <c r="BO20" s="147">
        <f t="shared" si="58"/>
        <v>56.275836004568419</v>
      </c>
      <c r="BP20" s="153">
        <f t="shared" si="41"/>
        <v>1.5708482397449125E-2</v>
      </c>
      <c r="BQ20" s="153">
        <f t="shared" si="42"/>
        <v>1.563037324650254E-2</v>
      </c>
      <c r="BR20" s="463"/>
      <c r="BT20" s="147">
        <f t="shared" si="59"/>
        <v>31.338855643951668</v>
      </c>
      <c r="BU20" s="463">
        <f t="shared" si="43"/>
        <v>4.0820163084996546E-3</v>
      </c>
      <c r="BV20" s="463">
        <f t="shared" si="60"/>
        <v>1.306084083435749E-2</v>
      </c>
      <c r="BW20" s="463">
        <f t="shared" si="44"/>
        <v>6.4793018628943322E-4</v>
      </c>
      <c r="BX20" s="463">
        <f t="shared" si="45"/>
        <v>0</v>
      </c>
      <c r="BY20" s="463">
        <f t="shared" si="46"/>
        <v>1.9954081714574762E-2</v>
      </c>
      <c r="BZ20" s="463">
        <f t="shared" si="61"/>
        <v>1.7790787329146577E-2</v>
      </c>
      <c r="CA20" s="549">
        <f t="shared" si="47"/>
        <v>9.0000000000000011E-3</v>
      </c>
      <c r="CB20" s="147">
        <f t="shared" si="62"/>
        <v>28.954081714574762</v>
      </c>
      <c r="CC20" s="153">
        <f t="shared" si="63"/>
        <v>0.11656877336309485</v>
      </c>
      <c r="CD20" s="5">
        <f t="shared" si="64"/>
        <v>0.54</v>
      </c>
      <c r="CE20" s="153">
        <f t="shared" si="65"/>
        <v>0.82245763415460182</v>
      </c>
      <c r="CF20" s="5">
        <f t="shared" si="66"/>
        <v>82.245763415460189</v>
      </c>
      <c r="CG20">
        <f t="shared" si="67"/>
        <v>15</v>
      </c>
      <c r="CI20" s="59">
        <f t="shared" si="48"/>
        <v>-50</v>
      </c>
      <c r="CJ20">
        <f t="shared" si="49"/>
        <v>-50</v>
      </c>
    </row>
    <row r="21" spans="5:88" s="59" customFormat="1" x14ac:dyDescent="0.25">
      <c r="E21" s="150">
        <v>16</v>
      </c>
      <c r="F21" s="191">
        <f t="shared" si="68"/>
        <v>1.6E-2</v>
      </c>
      <c r="G21" s="191">
        <f t="shared" si="50"/>
        <v>1.6E-2</v>
      </c>
      <c r="H21" s="191">
        <f t="shared" si="0"/>
        <v>0.32</v>
      </c>
      <c r="I21" s="191">
        <f t="shared" si="69"/>
        <v>0.25600000000000001</v>
      </c>
      <c r="J21" s="472">
        <f t="shared" si="1"/>
        <v>20</v>
      </c>
      <c r="K21" s="386">
        <f t="shared" si="2"/>
        <v>20.32</v>
      </c>
      <c r="L21" s="386">
        <f t="shared" si="3"/>
        <v>40.32</v>
      </c>
      <c r="M21" s="386"/>
      <c r="N21" s="191">
        <f t="shared" si="4"/>
        <v>0.50396825396825395</v>
      </c>
      <c r="O21" s="152">
        <f t="shared" si="51"/>
        <v>1.8898809523809523</v>
      </c>
      <c r="P21" s="152">
        <f t="shared" si="5"/>
        <v>2.7214285714285715</v>
      </c>
      <c r="Q21" s="191">
        <f t="shared" si="6"/>
        <v>9.4494047619047616E-2</v>
      </c>
      <c r="R21" s="191">
        <f t="shared" si="7"/>
        <v>0.11811755952380952</v>
      </c>
      <c r="S21" s="386">
        <f t="shared" si="8"/>
        <v>20</v>
      </c>
      <c r="T21" s="191">
        <f t="shared" si="9"/>
        <v>0.126992125984252</v>
      </c>
      <c r="U21" s="191">
        <f t="shared" si="10"/>
        <v>0.38097637795275602</v>
      </c>
      <c r="V21" s="191">
        <f t="shared" si="11"/>
        <v>0.3749767499535</v>
      </c>
      <c r="W21" s="175">
        <f t="shared" si="12"/>
        <v>350</v>
      </c>
      <c r="X21" s="386">
        <f t="shared" si="52"/>
        <v>350</v>
      </c>
      <c r="Z21" s="191">
        <f t="shared" si="13"/>
        <v>0.47996976568405147</v>
      </c>
      <c r="AA21" s="153">
        <f t="shared" si="14"/>
        <v>1.4172335600907031</v>
      </c>
      <c r="AB21" s="153">
        <f t="shared" si="15"/>
        <v>0.11904012045735404</v>
      </c>
      <c r="AC21" s="469"/>
      <c r="AD21" s="153">
        <f t="shared" si="16"/>
        <v>0.44291338582677164</v>
      </c>
      <c r="AE21" s="317">
        <f t="shared" si="17"/>
        <v>481.65925925925933</v>
      </c>
      <c r="AF21" s="463">
        <f t="shared" si="18"/>
        <v>1.1626476377952754E-2</v>
      </c>
      <c r="AG21"/>
      <c r="AH21" s="153">
        <f t="shared" si="19"/>
        <v>0.23421601750764798</v>
      </c>
      <c r="AI21" s="153">
        <f t="shared" si="20"/>
        <v>0.23421601750764798</v>
      </c>
      <c r="AJ21" s="153">
        <f t="shared" si="21"/>
        <v>1.2623822351908502</v>
      </c>
      <c r="AL21" s="317">
        <f t="shared" si="22"/>
        <v>16</v>
      </c>
      <c r="AM21" s="147">
        <f t="shared" si="23"/>
        <v>350</v>
      </c>
      <c r="AO21">
        <f t="shared" si="53"/>
        <v>16</v>
      </c>
      <c r="AP21" s="147">
        <f t="shared" si="24"/>
        <v>350</v>
      </c>
      <c r="AQ21" s="147"/>
      <c r="AR21" s="5">
        <f t="shared" si="54"/>
        <v>2.8571428571428572</v>
      </c>
      <c r="AS21" s="5">
        <f t="shared" si="25"/>
        <v>0.70264805252294393</v>
      </c>
      <c r="AT21" s="5">
        <f t="shared" si="55"/>
        <v>2.1544948046199135</v>
      </c>
      <c r="AU21" s="153">
        <f t="shared" si="56"/>
        <v>0.24592681838303038</v>
      </c>
      <c r="AW21" s="5">
        <f t="shared" si="26"/>
        <v>0.68947680000000022</v>
      </c>
      <c r="AX21" s="5">
        <f t="shared" si="27"/>
        <v>0.40101212159999994</v>
      </c>
      <c r="AY21" s="5">
        <f t="shared" si="28"/>
        <v>0.6949164380928764</v>
      </c>
      <c r="AZ21" s="5">
        <f t="shared" si="29"/>
        <v>0.16138080592856457</v>
      </c>
      <c r="BA21" s="5">
        <f t="shared" si="30"/>
        <v>6.8943833747837233E-2</v>
      </c>
      <c r="BB21" s="147">
        <f t="shared" si="31"/>
        <v>6.9903833747837236</v>
      </c>
      <c r="BC21" s="5"/>
      <c r="BD21" s="153">
        <f t="shared" si="57"/>
        <v>6.705928374316894E-2</v>
      </c>
      <c r="BE21" s="153">
        <f t="shared" si="32"/>
        <v>0.11742557962202038</v>
      </c>
      <c r="BF21" s="153">
        <f t="shared" si="33"/>
        <v>0.11696508715291441</v>
      </c>
      <c r="BG21" s="153"/>
      <c r="BH21" s="463">
        <f t="shared" si="34"/>
        <v>1.5739316376513948E-3</v>
      </c>
      <c r="BI21" s="463">
        <f t="shared" si="35"/>
        <v>1.6526282195339644E-2</v>
      </c>
      <c r="BJ21" s="463">
        <f t="shared" si="36"/>
        <v>4.3749999999999995E-3</v>
      </c>
      <c r="BK21" s="463">
        <f t="shared" si="37"/>
        <v>2.8449792000000005E-2</v>
      </c>
      <c r="BL21">
        <f t="shared" si="38"/>
        <v>5.7999999999999996E-3</v>
      </c>
      <c r="BM21">
        <f t="shared" si="39"/>
        <v>1.3124999999999999E-5</v>
      </c>
      <c r="BN21">
        <f t="shared" si="40"/>
        <v>5.6967154318071055E-2</v>
      </c>
      <c r="BO21" s="147">
        <f t="shared" si="58"/>
        <v>56.967154318071053</v>
      </c>
      <c r="BP21" s="153">
        <f t="shared" si="41"/>
        <v>1.6646617796669531E-2</v>
      </c>
      <c r="BQ21" s="153">
        <f t="shared" si="42"/>
        <v>1.6564155352094292E-2</v>
      </c>
      <c r="BR21" s="463"/>
      <c r="BT21" s="147">
        <f t="shared" si="59"/>
        <v>33.21077314876382</v>
      </c>
      <c r="BU21" s="463">
        <f t="shared" si="43"/>
        <v>4.4969475361468425E-3</v>
      </c>
      <c r="BV21" s="463">
        <f t="shared" si="60"/>
        <v>1.3788766749567449E-2</v>
      </c>
      <c r="BW21" s="463">
        <f t="shared" si="44"/>
        <v>6.8404158063444323E-4</v>
      </c>
      <c r="BX21" s="463">
        <f t="shared" si="45"/>
        <v>0</v>
      </c>
      <c r="BY21" s="463">
        <f t="shared" si="46"/>
        <v>2.127841828231359E-2</v>
      </c>
      <c r="BZ21" s="463">
        <f t="shared" si="61"/>
        <v>1.8969755866348734E-2</v>
      </c>
      <c r="CA21" s="549">
        <f t="shared" si="47"/>
        <v>9.6000000000000026E-3</v>
      </c>
      <c r="CB21" s="147">
        <f t="shared" si="62"/>
        <v>30.878418282313593</v>
      </c>
      <c r="CC21" s="153">
        <f t="shared" si="63"/>
        <v>0.12105634574914848</v>
      </c>
      <c r="CD21" s="5">
        <f t="shared" si="64"/>
        <v>0.57600000000000007</v>
      </c>
      <c r="CE21" s="153">
        <f t="shared" si="65"/>
        <v>0.82633205122170517</v>
      </c>
      <c r="CF21" s="5">
        <f t="shared" si="66"/>
        <v>82.633205122170523</v>
      </c>
      <c r="CG21">
        <f t="shared" si="67"/>
        <v>16</v>
      </c>
      <c r="CI21" s="59">
        <f t="shared" si="48"/>
        <v>-50</v>
      </c>
      <c r="CJ21">
        <f t="shared" si="49"/>
        <v>-50</v>
      </c>
    </row>
    <row r="22" spans="5:88" x14ac:dyDescent="0.25">
      <c r="E22" s="150">
        <v>17</v>
      </c>
      <c r="F22" s="191">
        <f t="shared" si="68"/>
        <v>1.7000000000000001E-2</v>
      </c>
      <c r="G22" s="191">
        <f t="shared" si="50"/>
        <v>1.7000000000000001E-2</v>
      </c>
      <c r="H22" s="191">
        <f t="shared" si="0"/>
        <v>0.34</v>
      </c>
      <c r="I22" s="191">
        <f t="shared" si="69"/>
        <v>0.27200000000000002</v>
      </c>
      <c r="J22" s="472">
        <f t="shared" si="1"/>
        <v>20</v>
      </c>
      <c r="K22" s="386">
        <f t="shared" si="2"/>
        <v>20.32</v>
      </c>
      <c r="L22" s="386">
        <f t="shared" si="3"/>
        <v>40.32</v>
      </c>
      <c r="M22" s="386"/>
      <c r="N22" s="191">
        <f t="shared" si="4"/>
        <v>0.50396825396825395</v>
      </c>
      <c r="O22" s="152">
        <f t="shared" si="51"/>
        <v>1.8898809523809523</v>
      </c>
      <c r="P22" s="152">
        <f t="shared" si="5"/>
        <v>2.7214285714285715</v>
      </c>
      <c r="Q22" s="191">
        <f t="shared" si="6"/>
        <v>9.4494047619047616E-2</v>
      </c>
      <c r="R22" s="191">
        <f t="shared" si="7"/>
        <v>0.11811755952380952</v>
      </c>
      <c r="S22" s="386">
        <f t="shared" si="8"/>
        <v>20</v>
      </c>
      <c r="T22" s="191">
        <f t="shared" si="9"/>
        <v>0.13492913385826774</v>
      </c>
      <c r="U22" s="191">
        <f t="shared" si="10"/>
        <v>0.40478740157480331</v>
      </c>
      <c r="V22" s="191">
        <f t="shared" si="11"/>
        <v>0.39841279682559377</v>
      </c>
      <c r="W22" s="175">
        <f t="shared" si="12"/>
        <v>350</v>
      </c>
      <c r="X22" s="386">
        <f t="shared" si="52"/>
        <v>350</v>
      </c>
      <c r="Z22" s="191">
        <f t="shared" si="13"/>
        <v>0.47996976568405147</v>
      </c>
      <c r="AA22" s="153">
        <f t="shared" si="14"/>
        <v>1.4172335600907031</v>
      </c>
      <c r="AB22" s="153">
        <f t="shared" si="15"/>
        <v>0.11904012045735404</v>
      </c>
      <c r="AC22" s="153"/>
      <c r="AD22" s="153">
        <f t="shared" si="16"/>
        <v>0.44291338582677164</v>
      </c>
      <c r="AE22" s="317">
        <f t="shared" si="17"/>
        <v>511.76296296296312</v>
      </c>
      <c r="AF22" s="463">
        <f t="shared" si="18"/>
        <v>1.1626476377952754E-2</v>
      </c>
      <c r="AH22" s="153">
        <f t="shared" si="19"/>
        <v>0.24142434484888697</v>
      </c>
      <c r="AI22" s="153">
        <f t="shared" si="20"/>
        <v>0.24142434484888697</v>
      </c>
      <c r="AJ22" s="153">
        <f t="shared" si="21"/>
        <v>1.2677217369251015</v>
      </c>
      <c r="AL22" s="317">
        <f t="shared" si="22"/>
        <v>17</v>
      </c>
      <c r="AM22" s="147">
        <f t="shared" si="23"/>
        <v>350</v>
      </c>
      <c r="AO22">
        <f t="shared" si="53"/>
        <v>17</v>
      </c>
      <c r="AP22" s="147">
        <f t="shared" si="24"/>
        <v>350</v>
      </c>
      <c r="AQ22" s="147"/>
      <c r="AR22" s="5">
        <f t="shared" si="54"/>
        <v>2.8571428571428572</v>
      </c>
      <c r="AS22" s="5">
        <f t="shared" si="25"/>
        <v>0.72427303454666103</v>
      </c>
      <c r="AT22" s="5">
        <f t="shared" si="55"/>
        <v>2.132869822596196</v>
      </c>
      <c r="AU22" s="153">
        <f t="shared" si="56"/>
        <v>0.25349556209133134</v>
      </c>
      <c r="AW22" s="5">
        <f t="shared" si="26"/>
        <v>0.68947680000000022</v>
      </c>
      <c r="AX22" s="5">
        <f t="shared" si="27"/>
        <v>0.4495175904</v>
      </c>
      <c r="AY22" s="5">
        <f t="shared" si="28"/>
        <v>0.6949164380928764</v>
      </c>
      <c r="AZ22" s="5">
        <f t="shared" si="29"/>
        <v>0.18005880044279363</v>
      </c>
      <c r="BA22" s="5">
        <f t="shared" si="30"/>
        <v>7.2517573968270674E-2</v>
      </c>
      <c r="BB22" s="147">
        <f t="shared" si="31"/>
        <v>7.3537573968270671</v>
      </c>
      <c r="BC22" s="5"/>
      <c r="BD22" s="153">
        <f t="shared" si="57"/>
        <v>7.017874774400934E-2</v>
      </c>
      <c r="BE22" s="153">
        <f t="shared" si="32"/>
        <v>0.12043053928989166</v>
      </c>
      <c r="BF22" s="153">
        <f t="shared" si="33"/>
        <v>0.11995826266522543</v>
      </c>
      <c r="BG22" s="153"/>
      <c r="BH22" s="463">
        <f t="shared" si="34"/>
        <v>1.7237698222210536E-3</v>
      </c>
      <c r="BI22" s="463">
        <f t="shared" si="35"/>
        <v>1.7034901772537466E-2</v>
      </c>
      <c r="BJ22" s="463">
        <f t="shared" si="36"/>
        <v>4.3749999999999995E-3</v>
      </c>
      <c r="BK22" s="463">
        <f t="shared" si="37"/>
        <v>2.8449792000000005E-2</v>
      </c>
      <c r="BL22">
        <f t="shared" si="38"/>
        <v>5.7999999999999996E-3</v>
      </c>
      <c r="BM22">
        <f t="shared" si="39"/>
        <v>1.3124999999999999E-5</v>
      </c>
      <c r="BN22">
        <f t="shared" si="40"/>
        <v>5.7647631515927604E-2</v>
      </c>
      <c r="BO22" s="147">
        <f t="shared" si="58"/>
        <v>57.647631515927607</v>
      </c>
      <c r="BP22" s="153">
        <f t="shared" si="41"/>
        <v>1.7574685302351761E-2</v>
      </c>
      <c r="BQ22" s="153">
        <f t="shared" si="42"/>
        <v>1.7487948373187644E-2</v>
      </c>
      <c r="BR22" s="463"/>
      <c r="BT22" s="147">
        <f t="shared" si="59"/>
        <v>35.062633675539402</v>
      </c>
      <c r="BU22" s="463">
        <f t="shared" si="43"/>
        <v>4.9250566349172964E-3</v>
      </c>
      <c r="BV22" s="463">
        <f t="shared" si="60"/>
        <v>1.4503514793654138E-2</v>
      </c>
      <c r="BW22" s="463">
        <f t="shared" si="44"/>
        <v>7.1949923908296086E-4</v>
      </c>
      <c r="BX22" s="463">
        <f t="shared" si="45"/>
        <v>0</v>
      </c>
      <c r="BY22" s="463">
        <f t="shared" si="46"/>
        <v>2.2602270519266651E-2</v>
      </c>
      <c r="BZ22" s="463">
        <f t="shared" si="61"/>
        <v>2.0148070667654394E-2</v>
      </c>
      <c r="CA22" s="549">
        <f t="shared" si="47"/>
        <v>1.0200000000000002E-2</v>
      </c>
      <c r="CB22" s="147">
        <f t="shared" si="62"/>
        <v>32.802270519266649</v>
      </c>
      <c r="CC22" s="153">
        <f t="shared" si="63"/>
        <v>0.12551253571073367</v>
      </c>
      <c r="CD22" s="5">
        <f t="shared" si="64"/>
        <v>0.6120000000000001</v>
      </c>
      <c r="CE22" s="153">
        <f t="shared" si="65"/>
        <v>0.82981640360895237</v>
      </c>
      <c r="CF22" s="5">
        <f t="shared" si="66"/>
        <v>82.981640360895241</v>
      </c>
      <c r="CG22">
        <f t="shared" si="67"/>
        <v>17</v>
      </c>
      <c r="CI22" s="59">
        <f t="shared" si="48"/>
        <v>-50</v>
      </c>
      <c r="CJ22">
        <f t="shared" si="49"/>
        <v>-50</v>
      </c>
    </row>
    <row r="23" spans="5:88" x14ac:dyDescent="0.25">
      <c r="E23" s="150">
        <v>18</v>
      </c>
      <c r="F23" s="191">
        <f t="shared" si="68"/>
        <v>1.7999999999999999E-2</v>
      </c>
      <c r="G23" s="191">
        <f t="shared" si="50"/>
        <v>1.7999999999999999E-2</v>
      </c>
      <c r="H23" s="191">
        <f t="shared" si="0"/>
        <v>0.36</v>
      </c>
      <c r="I23" s="191">
        <f t="shared" si="69"/>
        <v>0.28799999999999998</v>
      </c>
      <c r="J23" s="472">
        <f t="shared" si="1"/>
        <v>20</v>
      </c>
      <c r="K23" s="386">
        <f t="shared" si="2"/>
        <v>20.32</v>
      </c>
      <c r="L23" s="386">
        <f t="shared" si="3"/>
        <v>40.32</v>
      </c>
      <c r="M23" s="386"/>
      <c r="N23" s="191">
        <f t="shared" si="4"/>
        <v>0.50396825396825395</v>
      </c>
      <c r="O23" s="152">
        <f t="shared" si="51"/>
        <v>1.8898809523809523</v>
      </c>
      <c r="P23" s="152">
        <f t="shared" si="5"/>
        <v>2.7214285714285715</v>
      </c>
      <c r="Q23" s="191">
        <f t="shared" si="6"/>
        <v>9.4494047619047616E-2</v>
      </c>
      <c r="R23" s="191">
        <f t="shared" si="7"/>
        <v>0.11811755952380952</v>
      </c>
      <c r="S23" s="386">
        <f t="shared" si="8"/>
        <v>20</v>
      </c>
      <c r="T23" s="191">
        <f t="shared" si="9"/>
        <v>0.14286614173228346</v>
      </c>
      <c r="U23" s="191">
        <f t="shared" si="10"/>
        <v>0.42859842519685043</v>
      </c>
      <c r="V23" s="191">
        <f t="shared" si="11"/>
        <v>0.42184884369768738</v>
      </c>
      <c r="W23" s="175">
        <f t="shared" si="12"/>
        <v>350</v>
      </c>
      <c r="X23" s="386">
        <f t="shared" si="52"/>
        <v>350</v>
      </c>
      <c r="Z23" s="191">
        <f t="shared" si="13"/>
        <v>0.47996976568405147</v>
      </c>
      <c r="AA23" s="153">
        <f t="shared" si="14"/>
        <v>1.4172335600907031</v>
      </c>
      <c r="AB23" s="153">
        <f t="shared" si="15"/>
        <v>0.11904012045735404</v>
      </c>
      <c r="AC23" s="153"/>
      <c r="AD23" s="153">
        <f t="shared" si="16"/>
        <v>0.44291338582677164</v>
      </c>
      <c r="AE23" s="317">
        <f t="shared" si="17"/>
        <v>541.86666666666679</v>
      </c>
      <c r="AF23" s="463">
        <f t="shared" si="18"/>
        <v>1.1626476377952754E-2</v>
      </c>
      <c r="AH23" s="153">
        <f t="shared" si="19"/>
        <v>0.24842360136324751</v>
      </c>
      <c r="AI23" s="153">
        <f t="shared" si="20"/>
        <v>0.24842360136324751</v>
      </c>
      <c r="AJ23" s="153">
        <f t="shared" si="21"/>
        <v>1.2729063713801834</v>
      </c>
      <c r="AL23" s="317">
        <f t="shared" si="22"/>
        <v>18</v>
      </c>
      <c r="AM23" s="147">
        <f t="shared" si="23"/>
        <v>350</v>
      </c>
      <c r="AO23">
        <f t="shared" si="53"/>
        <v>18</v>
      </c>
      <c r="AP23" s="147">
        <f t="shared" si="24"/>
        <v>350</v>
      </c>
      <c r="AQ23" s="147"/>
      <c r="AR23" s="5">
        <f t="shared" si="54"/>
        <v>2.8571428571428572</v>
      </c>
      <c r="AS23" s="5">
        <f t="shared" si="25"/>
        <v>0.74527080408974256</v>
      </c>
      <c r="AT23" s="5">
        <f t="shared" si="55"/>
        <v>2.1118720530531148</v>
      </c>
      <c r="AU23" s="153">
        <f t="shared" si="56"/>
        <v>0.26084478143140988</v>
      </c>
      <c r="AW23" s="5">
        <f t="shared" si="26"/>
        <v>0.68947680000000022</v>
      </c>
      <c r="AX23" s="5">
        <f t="shared" si="27"/>
        <v>0.50078096639999981</v>
      </c>
      <c r="AY23" s="5">
        <f t="shared" si="28"/>
        <v>0.6949164380928764</v>
      </c>
      <c r="AZ23" s="5">
        <f t="shared" si="29"/>
        <v>0.19974758250333952</v>
      </c>
      <c r="BA23" s="5">
        <f t="shared" si="30"/>
        <v>7.6027393909912117E-2</v>
      </c>
      <c r="BB23" s="147">
        <f t="shared" si="31"/>
        <v>7.710739390991213</v>
      </c>
      <c r="BC23" s="5"/>
      <c r="BD23" s="153">
        <f t="shared" si="57"/>
        <v>7.3252643566264194E-2</v>
      </c>
      <c r="BE23" s="153">
        <f t="shared" si="32"/>
        <v>0.12331049745249764</v>
      </c>
      <c r="BF23" s="153">
        <f t="shared" si="33"/>
        <v>0.12282692687425255</v>
      </c>
      <c r="BG23" s="153"/>
      <c r="BH23" s="463">
        <f t="shared" si="34"/>
        <v>1.8780824263061515E-3</v>
      </c>
      <c r="BI23" s="463">
        <f t="shared" si="35"/>
        <v>1.7528769312190745E-2</v>
      </c>
      <c r="BJ23" s="463">
        <f t="shared" si="36"/>
        <v>4.3749999999999995E-3</v>
      </c>
      <c r="BK23" s="463">
        <f t="shared" si="37"/>
        <v>2.8449792000000005E-2</v>
      </c>
      <c r="BL23">
        <f t="shared" si="38"/>
        <v>5.7999999999999996E-3</v>
      </c>
      <c r="BM23">
        <f t="shared" si="39"/>
        <v>1.3124999999999999E-5</v>
      </c>
      <c r="BN23">
        <f t="shared" si="40"/>
        <v>5.831851759441585E-2</v>
      </c>
      <c r="BO23" s="147">
        <f t="shared" si="58"/>
        <v>58.318517594415852</v>
      </c>
      <c r="BP23" s="153">
        <f t="shared" si="41"/>
        <v>1.8492985789434577E-2</v>
      </c>
      <c r="BQ23" s="153">
        <f t="shared" si="42"/>
        <v>1.840205082954496E-2</v>
      </c>
      <c r="BR23" s="463"/>
      <c r="BT23" s="147">
        <f t="shared" si="59"/>
        <v>36.895036618979539</v>
      </c>
      <c r="BU23" s="463">
        <f t="shared" si="43"/>
        <v>5.3659497894461474E-3</v>
      </c>
      <c r="BV23" s="463">
        <f t="shared" si="60"/>
        <v>1.5205478781982428E-2</v>
      </c>
      <c r="BW23" s="463">
        <f t="shared" si="44"/>
        <v>7.5432269826864915E-4</v>
      </c>
      <c r="BX23" s="463">
        <f t="shared" si="45"/>
        <v>0</v>
      </c>
      <c r="BY23" s="463">
        <f t="shared" si="46"/>
        <v>2.392566003605227E-2</v>
      </c>
      <c r="BZ23" s="463">
        <f t="shared" si="61"/>
        <v>2.1325751269697223E-2</v>
      </c>
      <c r="CA23" s="549">
        <f t="shared" si="47"/>
        <v>1.0800000000000001E-2</v>
      </c>
      <c r="CB23" s="147">
        <f t="shared" si="62"/>
        <v>34.725660036052268</v>
      </c>
      <c r="CC23" s="153">
        <f t="shared" si="63"/>
        <v>0.12993921424944765</v>
      </c>
      <c r="CD23" s="5">
        <f t="shared" si="64"/>
        <v>0.64799999999999991</v>
      </c>
      <c r="CE23" s="153">
        <f t="shared" si="65"/>
        <v>0.8329699649158161</v>
      </c>
      <c r="CF23" s="5">
        <f t="shared" si="66"/>
        <v>83.296996491581609</v>
      </c>
      <c r="CG23">
        <f t="shared" si="67"/>
        <v>17.999999999999996</v>
      </c>
      <c r="CI23" s="59">
        <f t="shared" si="48"/>
        <v>-50</v>
      </c>
      <c r="CJ23">
        <f t="shared" si="49"/>
        <v>-50</v>
      </c>
    </row>
    <row r="24" spans="5:88" x14ac:dyDescent="0.25">
      <c r="E24" s="150">
        <v>19</v>
      </c>
      <c r="F24" s="191">
        <f t="shared" si="68"/>
        <v>1.9000000000000003E-2</v>
      </c>
      <c r="G24" s="191">
        <f t="shared" si="50"/>
        <v>1.9000000000000003E-2</v>
      </c>
      <c r="H24" s="191">
        <f t="shared" si="0"/>
        <v>0.38000000000000006</v>
      </c>
      <c r="I24" s="191">
        <f t="shared" si="69"/>
        <v>0.30400000000000005</v>
      </c>
      <c r="J24" s="472">
        <f t="shared" si="1"/>
        <v>20</v>
      </c>
      <c r="K24" s="386">
        <f t="shared" si="2"/>
        <v>20.32</v>
      </c>
      <c r="L24" s="386">
        <f t="shared" si="3"/>
        <v>40.32</v>
      </c>
      <c r="M24" s="386"/>
      <c r="N24" s="191">
        <f t="shared" si="4"/>
        <v>0.50396825396825395</v>
      </c>
      <c r="O24" s="152">
        <f t="shared" si="51"/>
        <v>1.8898809523809523</v>
      </c>
      <c r="P24" s="152">
        <f t="shared" si="5"/>
        <v>2.7214285714285715</v>
      </c>
      <c r="Q24" s="191">
        <f t="shared" si="6"/>
        <v>9.4494047619047616E-2</v>
      </c>
      <c r="R24" s="191">
        <f t="shared" si="7"/>
        <v>0.11811755952380952</v>
      </c>
      <c r="S24" s="386">
        <f t="shared" si="8"/>
        <v>20</v>
      </c>
      <c r="T24" s="191">
        <f t="shared" si="9"/>
        <v>0.15080314960629926</v>
      </c>
      <c r="U24" s="191">
        <f t="shared" si="10"/>
        <v>0.45240944881889783</v>
      </c>
      <c r="V24" s="191">
        <f t="shared" si="11"/>
        <v>0.44528489056978132</v>
      </c>
      <c r="W24" s="175">
        <f t="shared" si="12"/>
        <v>350</v>
      </c>
      <c r="X24" s="386">
        <f t="shared" si="52"/>
        <v>350</v>
      </c>
      <c r="Z24" s="191">
        <f t="shared" si="13"/>
        <v>0.47996976568405147</v>
      </c>
      <c r="AA24" s="153">
        <f t="shared" si="14"/>
        <v>1.4172335600907031</v>
      </c>
      <c r="AB24" s="153">
        <f t="shared" si="15"/>
        <v>0.11904012045735404</v>
      </c>
      <c r="AC24" s="153"/>
      <c r="AD24" s="153">
        <f t="shared" si="16"/>
        <v>0.44291338582677164</v>
      </c>
      <c r="AE24" s="317">
        <f t="shared" si="17"/>
        <v>571.97037037037057</v>
      </c>
      <c r="AF24" s="463">
        <f t="shared" si="18"/>
        <v>1.1626476377952754E-2</v>
      </c>
      <c r="AH24" s="153">
        <f t="shared" si="19"/>
        <v>0.25523098781859765</v>
      </c>
      <c r="AI24" s="153">
        <f t="shared" si="20"/>
        <v>0.25523098781859765</v>
      </c>
      <c r="AJ24" s="153">
        <f t="shared" si="21"/>
        <v>1.2779488798656278</v>
      </c>
      <c r="AL24" s="317">
        <f t="shared" si="22"/>
        <v>19.000000000000004</v>
      </c>
      <c r="AM24" s="147">
        <f t="shared" si="23"/>
        <v>350</v>
      </c>
      <c r="AO24">
        <f t="shared" si="53"/>
        <v>19.000000000000004</v>
      </c>
      <c r="AP24" s="147">
        <f t="shared" si="24"/>
        <v>350</v>
      </c>
      <c r="AQ24" s="147"/>
      <c r="AR24" s="5">
        <f t="shared" si="54"/>
        <v>2.8571428571428572</v>
      </c>
      <c r="AS24" s="5">
        <f t="shared" si="25"/>
        <v>0.76569296345579296</v>
      </c>
      <c r="AT24" s="5">
        <f t="shared" si="55"/>
        <v>2.0914498936870642</v>
      </c>
      <c r="AU24" s="153">
        <f t="shared" si="56"/>
        <v>0.26799253720952754</v>
      </c>
      <c r="AW24" s="5">
        <f t="shared" si="26"/>
        <v>0.68947680000000022</v>
      </c>
      <c r="AX24" s="5">
        <f t="shared" si="27"/>
        <v>0.55480224960000013</v>
      </c>
      <c r="AY24" s="5">
        <f t="shared" si="28"/>
        <v>0.6949164380928764</v>
      </c>
      <c r="AZ24" s="5">
        <f t="shared" si="29"/>
        <v>0.22044715211020247</v>
      </c>
      <c r="BA24" s="5">
        <f t="shared" si="30"/>
        <v>7.9475095960108461E-2</v>
      </c>
      <c r="BB24" s="147">
        <f t="shared" si="31"/>
        <v>8.0615095960108469</v>
      </c>
      <c r="BC24" s="5"/>
      <c r="BD24" s="153">
        <f t="shared" si="57"/>
        <v>7.6284117103523105E-2</v>
      </c>
      <c r="BE24" s="153">
        <f t="shared" si="32"/>
        <v>0.1260754503938879</v>
      </c>
      <c r="BF24" s="153">
        <f t="shared" si="33"/>
        <v>0.12558103686293148</v>
      </c>
      <c r="BG24" s="153"/>
      <c r="BH24" s="463">
        <f t="shared" si="34"/>
        <v>2.036743282792409E-3</v>
      </c>
      <c r="BI24" s="463">
        <f t="shared" si="35"/>
        <v>1.8009098500480252E-2</v>
      </c>
      <c r="BJ24" s="463">
        <f t="shared" si="36"/>
        <v>4.3749999999999995E-3</v>
      </c>
      <c r="BK24" s="463">
        <f t="shared" si="37"/>
        <v>2.8449792000000005E-2</v>
      </c>
      <c r="BL24">
        <f t="shared" si="38"/>
        <v>5.7999999999999996E-3</v>
      </c>
      <c r="BM24">
        <f t="shared" si="39"/>
        <v>1.3124999999999999E-5</v>
      </c>
      <c r="BN24">
        <f t="shared" si="40"/>
        <v>5.8980882911651551E-2</v>
      </c>
      <c r="BO24" s="147">
        <f t="shared" si="58"/>
        <v>58.980882911651548</v>
      </c>
      <c r="BP24" s="153">
        <f t="shared" si="41"/>
        <v>1.9401794662704575E-2</v>
      </c>
      <c r="BQ24" s="153">
        <f t="shared" si="42"/>
        <v>1.9306735970150687E-2</v>
      </c>
      <c r="BR24" s="463"/>
      <c r="BT24" s="147">
        <f t="shared" si="59"/>
        <v>38.708530632855258</v>
      </c>
      <c r="BU24" s="463">
        <f t="shared" si="43"/>
        <v>5.8192665222640263E-3</v>
      </c>
      <c r="BV24" s="463">
        <f t="shared" si="60"/>
        <v>1.589501919202169E-2</v>
      </c>
      <c r="BW24" s="463">
        <f t="shared" si="44"/>
        <v>7.8852984097844785E-4</v>
      </c>
      <c r="BX24" s="463">
        <f t="shared" si="45"/>
        <v>0</v>
      </c>
      <c r="BY24" s="463">
        <f t="shared" si="46"/>
        <v>2.5248606600885237E-2</v>
      </c>
      <c r="BZ24" s="463">
        <f t="shared" si="61"/>
        <v>2.2502815555264163E-2</v>
      </c>
      <c r="CA24" s="549">
        <f t="shared" si="47"/>
        <v>1.14E-2</v>
      </c>
      <c r="CB24" s="147">
        <f t="shared" si="62"/>
        <v>36.648606600885238</v>
      </c>
      <c r="CC24" s="153">
        <f t="shared" si="63"/>
        <v>0.13433802014539206</v>
      </c>
      <c r="CD24" s="5">
        <f t="shared" si="64"/>
        <v>0.68400000000000016</v>
      </c>
      <c r="CE24" s="153">
        <f t="shared" si="65"/>
        <v>0.83584042676946069</v>
      </c>
      <c r="CF24" s="5">
        <f t="shared" si="66"/>
        <v>83.584042676946069</v>
      </c>
      <c r="CG24">
        <f t="shared" si="67"/>
        <v>19.000000000000004</v>
      </c>
      <c r="CI24" s="59">
        <f t="shared" si="48"/>
        <v>-50</v>
      </c>
      <c r="CJ24">
        <f t="shared" si="49"/>
        <v>-50</v>
      </c>
    </row>
    <row r="25" spans="5:88" x14ac:dyDescent="0.25">
      <c r="E25" s="150">
        <v>20</v>
      </c>
      <c r="F25" s="191">
        <f t="shared" si="68"/>
        <v>2.0000000000000004E-2</v>
      </c>
      <c r="G25" s="191">
        <f t="shared" si="50"/>
        <v>2.0000000000000004E-2</v>
      </c>
      <c r="H25" s="191">
        <f t="shared" si="0"/>
        <v>0.40000000000000008</v>
      </c>
      <c r="I25" s="191">
        <f t="shared" si="69"/>
        <v>0.32000000000000006</v>
      </c>
      <c r="J25" s="472">
        <f t="shared" si="1"/>
        <v>20</v>
      </c>
      <c r="K25" s="386">
        <f t="shared" si="2"/>
        <v>20.32</v>
      </c>
      <c r="L25" s="386">
        <f t="shared" si="3"/>
        <v>40.32</v>
      </c>
      <c r="M25" s="386"/>
      <c r="N25" s="191">
        <f t="shared" si="4"/>
        <v>0.50396825396825395</v>
      </c>
      <c r="O25" s="152">
        <f t="shared" si="51"/>
        <v>1.8898809523809523</v>
      </c>
      <c r="P25" s="152">
        <f t="shared" si="5"/>
        <v>2.7214285714285715</v>
      </c>
      <c r="Q25" s="191">
        <f t="shared" si="6"/>
        <v>9.4494047619047616E-2</v>
      </c>
      <c r="R25" s="191">
        <f t="shared" si="7"/>
        <v>0.11811755952380952</v>
      </c>
      <c r="S25" s="386">
        <f t="shared" si="8"/>
        <v>20</v>
      </c>
      <c r="T25" s="191">
        <f t="shared" si="9"/>
        <v>0.158740157480315</v>
      </c>
      <c r="U25" s="191">
        <f t="shared" si="10"/>
        <v>0.47622047244094506</v>
      </c>
      <c r="V25" s="191">
        <f t="shared" si="11"/>
        <v>0.46872093744187499</v>
      </c>
      <c r="W25" s="175">
        <f t="shared" si="12"/>
        <v>350</v>
      </c>
      <c r="X25" s="386">
        <f t="shared" si="52"/>
        <v>350</v>
      </c>
      <c r="Z25" s="191">
        <f t="shared" si="13"/>
        <v>0.47996976568405147</v>
      </c>
      <c r="AA25" s="153">
        <f t="shared" si="14"/>
        <v>1.4172335600907031</v>
      </c>
      <c r="AB25" s="153">
        <f t="shared" si="15"/>
        <v>0.11904012045735404</v>
      </c>
      <c r="AC25" s="153"/>
      <c r="AD25" s="153">
        <f t="shared" si="16"/>
        <v>0.44291338582677164</v>
      </c>
      <c r="AE25" s="317">
        <f t="shared" si="17"/>
        <v>602.07407407407425</v>
      </c>
      <c r="AF25" s="463">
        <f t="shared" si="18"/>
        <v>1.1626476377952754E-2</v>
      </c>
      <c r="AH25" s="153">
        <f t="shared" si="19"/>
        <v>0.2618614682831909</v>
      </c>
      <c r="AI25" s="153">
        <f t="shared" si="20"/>
        <v>0.2618614682831909</v>
      </c>
      <c r="AJ25" s="153">
        <f t="shared" si="21"/>
        <v>1.2828603468764377</v>
      </c>
      <c r="AL25" s="317">
        <f t="shared" si="22"/>
        <v>20.000000000000004</v>
      </c>
      <c r="AM25" s="147">
        <f t="shared" si="23"/>
        <v>350</v>
      </c>
      <c r="AO25">
        <f t="shared" si="53"/>
        <v>20.000000000000004</v>
      </c>
      <c r="AP25" s="147">
        <f t="shared" si="24"/>
        <v>350</v>
      </c>
      <c r="AQ25" s="147"/>
      <c r="AR25" s="5">
        <f t="shared" si="54"/>
        <v>2.8571428571428572</v>
      </c>
      <c r="AS25" s="5">
        <f t="shared" si="25"/>
        <v>0.7855844048495727</v>
      </c>
      <c r="AT25" s="5">
        <f t="shared" si="55"/>
        <v>2.0715584522932846</v>
      </c>
      <c r="AU25" s="153">
        <f t="shared" si="56"/>
        <v>0.27495454169735045</v>
      </c>
      <c r="AW25" s="5">
        <f t="shared" si="26"/>
        <v>0.68947680000000022</v>
      </c>
      <c r="AX25" s="5">
        <f t="shared" si="27"/>
        <v>0.61158144000000036</v>
      </c>
      <c r="AY25" s="5">
        <f t="shared" si="28"/>
        <v>0.6949164380928764</v>
      </c>
      <c r="AZ25" s="5">
        <f t="shared" si="29"/>
        <v>0.24215750926338228</v>
      </c>
      <c r="BA25" s="5">
        <f t="shared" si="30"/>
        <v>8.2862338091731394E-2</v>
      </c>
      <c r="BB25" s="147">
        <f t="shared" si="31"/>
        <v>8.406233809173143</v>
      </c>
      <c r="BC25" s="5"/>
      <c r="BD25" s="153">
        <f t="shared" si="57"/>
        <v>7.9275943632331383E-2</v>
      </c>
      <c r="BE25" s="153">
        <f t="shared" si="32"/>
        <v>0.12873409656476514</v>
      </c>
      <c r="BF25" s="153">
        <f t="shared" si="33"/>
        <v>0.12822925697039353</v>
      </c>
      <c r="BG25" s="153"/>
      <c r="BH25" s="463">
        <f t="shared" si="34"/>
        <v>2.1996363335788039E-3</v>
      </c>
      <c r="BI25" s="463">
        <f t="shared" si="35"/>
        <v>1.8476945202061952E-2</v>
      </c>
      <c r="BJ25" s="463">
        <f t="shared" si="36"/>
        <v>4.3749999999999995E-3</v>
      </c>
      <c r="BK25" s="463">
        <f t="shared" si="37"/>
        <v>2.8449792000000005E-2</v>
      </c>
      <c r="BL25">
        <f t="shared" si="38"/>
        <v>5.7999999999999996E-3</v>
      </c>
      <c r="BM25">
        <f t="shared" si="39"/>
        <v>1.3124999999999999E-5</v>
      </c>
      <c r="BN25">
        <f t="shared" si="40"/>
        <v>5.9635651550297382E-2</v>
      </c>
      <c r="BO25" s="147">
        <f t="shared" si="58"/>
        <v>59.635651550297382</v>
      </c>
      <c r="BP25" s="153">
        <f t="shared" si="41"/>
        <v>2.0301365260416558E-2</v>
      </c>
      <c r="BQ25" s="153">
        <f t="shared" si="42"/>
        <v>2.0202255150188923E-2</v>
      </c>
      <c r="BR25" s="463"/>
      <c r="BT25" s="147">
        <f t="shared" si="59"/>
        <v>40.503620410605485</v>
      </c>
      <c r="BU25" s="463">
        <f t="shared" si="43"/>
        <v>6.2846752387965832E-3</v>
      </c>
      <c r="BV25" s="463">
        <f t="shared" si="60"/>
        <v>1.6572467618346277E-2</v>
      </c>
      <c r="BW25" s="463">
        <f t="shared" si="44"/>
        <v>8.2213711715896094E-4</v>
      </c>
      <c r="BX25" s="463">
        <f t="shared" si="45"/>
        <v>0</v>
      </c>
      <c r="BY25" s="463">
        <f t="shared" si="46"/>
        <v>2.6571128386281392E-2</v>
      </c>
      <c r="BZ25" s="463">
        <f t="shared" si="61"/>
        <v>2.3679279974301821E-2</v>
      </c>
      <c r="CA25" s="549">
        <f t="shared" si="47"/>
        <v>1.2000000000000005E-2</v>
      </c>
      <c r="CB25" s="147">
        <f t="shared" si="62"/>
        <v>38.571128386281401</v>
      </c>
      <c r="CC25" s="153">
        <f t="shared" si="63"/>
        <v>0.13871040034718427</v>
      </c>
      <c r="CD25" s="5">
        <f t="shared" si="64"/>
        <v>0.7200000000000002</v>
      </c>
      <c r="CE25" s="153">
        <f t="shared" si="65"/>
        <v>0.83846661192050032</v>
      </c>
      <c r="CF25" s="5">
        <f t="shared" si="66"/>
        <v>83.846661192050036</v>
      </c>
      <c r="CG25">
        <f t="shared" si="67"/>
        <v>20.000000000000004</v>
      </c>
      <c r="CI25" s="59">
        <f t="shared" si="48"/>
        <v>-50</v>
      </c>
      <c r="CJ25">
        <f t="shared" si="49"/>
        <v>-50</v>
      </c>
    </row>
    <row r="26" spans="5:88" x14ac:dyDescent="0.25">
      <c r="E26" s="150">
        <v>21</v>
      </c>
      <c r="F26" s="191">
        <f t="shared" si="68"/>
        <v>2.1000000000000001E-2</v>
      </c>
      <c r="G26" s="191">
        <f t="shared" si="50"/>
        <v>2.1000000000000001E-2</v>
      </c>
      <c r="H26" s="191">
        <f t="shared" si="0"/>
        <v>0.42000000000000004</v>
      </c>
      <c r="I26" s="191">
        <f t="shared" si="69"/>
        <v>0.33600000000000002</v>
      </c>
      <c r="J26" s="472">
        <f t="shared" si="1"/>
        <v>20</v>
      </c>
      <c r="K26" s="386">
        <f t="shared" si="2"/>
        <v>20.32</v>
      </c>
      <c r="L26" s="386">
        <f t="shared" si="3"/>
        <v>40.32</v>
      </c>
      <c r="M26" s="386"/>
      <c r="N26" s="191">
        <f t="shared" si="4"/>
        <v>0.50396825396825395</v>
      </c>
      <c r="O26" s="152">
        <f t="shared" si="51"/>
        <v>1.8898809523809523</v>
      </c>
      <c r="P26" s="152">
        <f t="shared" si="5"/>
        <v>2.7214285714285715</v>
      </c>
      <c r="Q26" s="191">
        <f t="shared" si="6"/>
        <v>9.4494047619047616E-2</v>
      </c>
      <c r="R26" s="191">
        <f t="shared" si="7"/>
        <v>0.11811755952380952</v>
      </c>
      <c r="S26" s="386">
        <f t="shared" si="8"/>
        <v>20</v>
      </c>
      <c r="T26" s="191">
        <f t="shared" si="9"/>
        <v>0.16667716535433072</v>
      </c>
      <c r="U26" s="191">
        <f t="shared" si="10"/>
        <v>0.50003149606299213</v>
      </c>
      <c r="V26" s="191">
        <f t="shared" si="11"/>
        <v>0.4921569843139687</v>
      </c>
      <c r="W26" s="175">
        <f t="shared" si="12"/>
        <v>350</v>
      </c>
      <c r="X26" s="386">
        <f t="shared" si="52"/>
        <v>350</v>
      </c>
      <c r="Z26" s="191">
        <f t="shared" si="13"/>
        <v>0.47996976568405147</v>
      </c>
      <c r="AA26" s="153">
        <f t="shared" si="14"/>
        <v>1.4172335600907031</v>
      </c>
      <c r="AB26" s="153">
        <f t="shared" si="15"/>
        <v>0.11904012045735404</v>
      </c>
      <c r="AC26" s="153"/>
      <c r="AD26" s="153">
        <f t="shared" si="16"/>
        <v>0.44291338582677164</v>
      </c>
      <c r="AE26" s="317">
        <f t="shared" si="17"/>
        <v>632.17777777777792</v>
      </c>
      <c r="AF26" s="463">
        <f t="shared" si="18"/>
        <v>1.1626476377952754E-2</v>
      </c>
      <c r="AH26" s="153">
        <f t="shared" si="19"/>
        <v>0.26832815729997478</v>
      </c>
      <c r="AI26" s="153">
        <f t="shared" si="20"/>
        <v>0.26832815729997478</v>
      </c>
      <c r="AJ26" s="153">
        <f t="shared" si="21"/>
        <v>1.2876504868888701</v>
      </c>
      <c r="AL26" s="317">
        <f t="shared" si="22"/>
        <v>21</v>
      </c>
      <c r="AM26" s="147">
        <f t="shared" si="23"/>
        <v>350</v>
      </c>
      <c r="AO26">
        <f t="shared" si="53"/>
        <v>21</v>
      </c>
      <c r="AP26" s="147">
        <f t="shared" si="24"/>
        <v>350</v>
      </c>
      <c r="AQ26" s="147"/>
      <c r="AR26" s="5">
        <f t="shared" si="54"/>
        <v>2.8571428571428572</v>
      </c>
      <c r="AS26" s="5">
        <f t="shared" si="25"/>
        <v>0.8049844718999245</v>
      </c>
      <c r="AT26" s="5">
        <f t="shared" si="55"/>
        <v>2.0521583852429326</v>
      </c>
      <c r="AU26" s="153">
        <f t="shared" si="56"/>
        <v>0.28174456516497359</v>
      </c>
      <c r="AW26" s="5">
        <f t="shared" si="26"/>
        <v>0.68947680000000022</v>
      </c>
      <c r="AX26" s="5">
        <f t="shared" si="27"/>
        <v>0.67111853760000018</v>
      </c>
      <c r="AY26" s="5">
        <f t="shared" si="28"/>
        <v>0.6949164380928764</v>
      </c>
      <c r="AZ26" s="5">
        <f t="shared" si="29"/>
        <v>0.26487865396287885</v>
      </c>
      <c r="BA26" s="5">
        <f t="shared" si="30"/>
        <v>8.6190652180203164E-2</v>
      </c>
      <c r="BB26" s="147">
        <f t="shared" si="31"/>
        <v>8.7450652180203168</v>
      </c>
      <c r="BC26" s="5"/>
      <c r="BD26" s="153">
        <f t="shared" si="57"/>
        <v>8.2230587763674465E-2</v>
      </c>
      <c r="BE26" s="153">
        <f t="shared" si="32"/>
        <v>0.13129406093209484</v>
      </c>
      <c r="BF26" s="153">
        <f t="shared" si="33"/>
        <v>0.1307791822617729</v>
      </c>
      <c r="BG26" s="153"/>
      <c r="BH26" s="463">
        <f t="shared" si="34"/>
        <v>2.3666543473857792E-3</v>
      </c>
      <c r="BI26" s="463">
        <f t="shared" si="35"/>
        <v>1.8933234779086219E-2</v>
      </c>
      <c r="BJ26" s="463">
        <f t="shared" si="36"/>
        <v>4.3749999999999995E-3</v>
      </c>
      <c r="BK26" s="463">
        <f t="shared" si="37"/>
        <v>2.8449792000000005E-2</v>
      </c>
      <c r="BL26">
        <f t="shared" si="38"/>
        <v>5.7999999999999996E-3</v>
      </c>
      <c r="BM26">
        <f t="shared" si="39"/>
        <v>1.3124999999999999E-5</v>
      </c>
      <c r="BN26">
        <f t="shared" si="40"/>
        <v>6.0283627172154713E-2</v>
      </c>
      <c r="BO26" s="147">
        <f t="shared" si="58"/>
        <v>60.283627172154716</v>
      </c>
      <c r="BP26" s="153">
        <f t="shared" si="41"/>
        <v>2.1191931653135047E-2</v>
      </c>
      <c r="BQ26" s="153">
        <f t="shared" si="42"/>
        <v>2.1088840607976327E-2</v>
      </c>
      <c r="BR26" s="463"/>
      <c r="BT26" s="147">
        <f t="shared" si="59"/>
        <v>42.28077226111138</v>
      </c>
      <c r="BU26" s="463">
        <f t="shared" si="43"/>
        <v>6.761869563959369E-3</v>
      </c>
      <c r="BV26" s="463">
        <f t="shared" si="60"/>
        <v>1.7238130436040631E-2</v>
      </c>
      <c r="BW26" s="463">
        <f t="shared" si="44"/>
        <v>8.5515972565290081E-4</v>
      </c>
      <c r="BX26" s="463">
        <f t="shared" si="45"/>
        <v>0</v>
      </c>
      <c r="BY26" s="463">
        <f t="shared" si="46"/>
        <v>2.7893242171887139E-2</v>
      </c>
      <c r="BZ26" s="463">
        <f t="shared" si="61"/>
        <v>2.4855159725652901E-2</v>
      </c>
      <c r="CA26" s="549">
        <f t="shared" si="47"/>
        <v>1.2600000000000005E-2</v>
      </c>
      <c r="CB26" s="147">
        <f t="shared" si="62"/>
        <v>40.49324217188714</v>
      </c>
      <c r="CC26" s="153">
        <f t="shared" si="63"/>
        <v>0.14305764160515322</v>
      </c>
      <c r="CD26" s="5">
        <f t="shared" si="64"/>
        <v>0.75600000000000001</v>
      </c>
      <c r="CE26" s="153">
        <f t="shared" si="65"/>
        <v>0.84088045639683129</v>
      </c>
      <c r="CF26" s="5">
        <f t="shared" si="66"/>
        <v>84.088045639683131</v>
      </c>
      <c r="CG26">
        <f t="shared" si="67"/>
        <v>21</v>
      </c>
      <c r="CI26" s="59">
        <f t="shared" si="48"/>
        <v>-50</v>
      </c>
      <c r="CJ26">
        <f t="shared" si="49"/>
        <v>-50</v>
      </c>
    </row>
    <row r="27" spans="5:88" x14ac:dyDescent="0.25">
      <c r="E27" s="150">
        <v>22</v>
      </c>
      <c r="F27" s="191">
        <f t="shared" si="68"/>
        <v>2.2000000000000002E-2</v>
      </c>
      <c r="G27" s="191">
        <f t="shared" si="50"/>
        <v>2.2000000000000002E-2</v>
      </c>
      <c r="H27" s="191">
        <f t="shared" si="0"/>
        <v>0.44000000000000006</v>
      </c>
      <c r="I27" s="191">
        <f t="shared" si="69"/>
        <v>0.35200000000000004</v>
      </c>
      <c r="J27" s="472">
        <f t="shared" si="1"/>
        <v>20</v>
      </c>
      <c r="K27" s="386">
        <f t="shared" si="2"/>
        <v>20.32</v>
      </c>
      <c r="L27" s="386">
        <f t="shared" si="3"/>
        <v>40.32</v>
      </c>
      <c r="M27" s="386"/>
      <c r="N27" s="191">
        <f t="shared" si="4"/>
        <v>0.50396825396825395</v>
      </c>
      <c r="O27" s="152">
        <f t="shared" si="51"/>
        <v>1.8898809523809523</v>
      </c>
      <c r="P27" s="152">
        <f t="shared" si="5"/>
        <v>2.7214285714285715</v>
      </c>
      <c r="Q27" s="191">
        <f t="shared" si="6"/>
        <v>9.4494047619047616E-2</v>
      </c>
      <c r="R27" s="191">
        <f t="shared" si="7"/>
        <v>0.11811755952380952</v>
      </c>
      <c r="S27" s="386">
        <f t="shared" si="8"/>
        <v>20</v>
      </c>
      <c r="T27" s="191">
        <f t="shared" si="9"/>
        <v>0.17461417322834646</v>
      </c>
      <c r="U27" s="191">
        <f t="shared" si="10"/>
        <v>0.52384251968503948</v>
      </c>
      <c r="V27" s="191">
        <f t="shared" si="11"/>
        <v>0.51559303118606248</v>
      </c>
      <c r="W27" s="175">
        <f t="shared" si="12"/>
        <v>350</v>
      </c>
      <c r="X27" s="386">
        <f t="shared" si="52"/>
        <v>350</v>
      </c>
      <c r="Z27" s="191">
        <f t="shared" si="13"/>
        <v>0.47996976568405147</v>
      </c>
      <c r="AA27" s="153">
        <f t="shared" si="14"/>
        <v>1.4172335600907031</v>
      </c>
      <c r="AB27" s="153">
        <f t="shared" si="15"/>
        <v>0.11904012045735404</v>
      </c>
      <c r="AC27" s="153"/>
      <c r="AD27" s="153">
        <f t="shared" si="16"/>
        <v>0.44291338582677164</v>
      </c>
      <c r="AE27" s="317">
        <f t="shared" si="17"/>
        <v>662.28148148148171</v>
      </c>
      <c r="AF27" s="463">
        <f t="shared" si="18"/>
        <v>1.1626476377952754E-2</v>
      </c>
      <c r="AH27" s="153">
        <f t="shared" si="19"/>
        <v>0.27464262493023806</v>
      </c>
      <c r="AI27" s="153">
        <f t="shared" si="20"/>
        <v>0.27464262493023806</v>
      </c>
      <c r="AJ27" s="153">
        <f t="shared" si="21"/>
        <v>1.2923278703186949</v>
      </c>
      <c r="AL27" s="317">
        <f t="shared" si="22"/>
        <v>22.000000000000004</v>
      </c>
      <c r="AM27" s="147">
        <f t="shared" si="23"/>
        <v>350</v>
      </c>
      <c r="AO27">
        <f t="shared" si="53"/>
        <v>22.000000000000004</v>
      </c>
      <c r="AP27" s="147">
        <f t="shared" si="24"/>
        <v>350</v>
      </c>
      <c r="AQ27" s="147"/>
      <c r="AR27" s="5">
        <f t="shared" si="54"/>
        <v>2.8571428571428572</v>
      </c>
      <c r="AS27" s="5">
        <f t="shared" si="25"/>
        <v>0.82392787479071417</v>
      </c>
      <c r="AT27" s="5">
        <f t="shared" si="55"/>
        <v>2.0332149823521428</v>
      </c>
      <c r="AU27" s="153">
        <f t="shared" si="56"/>
        <v>0.28837475617674996</v>
      </c>
      <c r="AW27" s="5">
        <f t="shared" si="26"/>
        <v>0.68947680000000022</v>
      </c>
      <c r="AX27" s="5">
        <f t="shared" si="27"/>
        <v>0.73341354240000012</v>
      </c>
      <c r="AY27" s="5">
        <f t="shared" si="28"/>
        <v>0.6949164380928764</v>
      </c>
      <c r="AZ27" s="5">
        <f t="shared" si="29"/>
        <v>0.28861058620869245</v>
      </c>
      <c r="BA27" s="5">
        <f t="shared" si="30"/>
        <v>8.9461459223494286E-2</v>
      </c>
      <c r="BB27" s="147">
        <f t="shared" si="31"/>
        <v>9.0781459223494299</v>
      </c>
      <c r="BC27" s="5"/>
      <c r="BD27" s="153">
        <f t="shared" si="57"/>
        <v>8.5150251310012484E-2</v>
      </c>
      <c r="BE27" s="153">
        <f t="shared" si="32"/>
        <v>0.13376207177185487</v>
      </c>
      <c r="BF27" s="153">
        <f t="shared" si="33"/>
        <v>0.13323751462765152</v>
      </c>
      <c r="BG27" s="153"/>
      <c r="BH27" s="463">
        <f t="shared" si="34"/>
        <v>2.5376978543553987E-3</v>
      </c>
      <c r="BI27" s="463">
        <f t="shared" si="35"/>
        <v>1.93787836150776E-2</v>
      </c>
      <c r="BJ27" s="463">
        <f t="shared" si="36"/>
        <v>4.3749999999999995E-3</v>
      </c>
      <c r="BK27" s="463">
        <f t="shared" si="37"/>
        <v>2.8449792000000005E-2</v>
      </c>
      <c r="BL27">
        <f t="shared" si="38"/>
        <v>5.7999999999999996E-3</v>
      </c>
      <c r="BM27">
        <f t="shared" si="39"/>
        <v>1.3124999999999999E-5</v>
      </c>
      <c r="BN27">
        <f t="shared" si="40"/>
        <v>6.092551332522033E-2</v>
      </c>
      <c r="BO27" s="147">
        <f t="shared" si="58"/>
        <v>60.925513325220329</v>
      </c>
      <c r="BP27" s="153">
        <f t="shared" si="41"/>
        <v>2.2073710969349927E-2</v>
      </c>
      <c r="BQ27" s="153">
        <f t="shared" si="42"/>
        <v>2.1966707772373393E-2</v>
      </c>
      <c r="BR27" s="463"/>
      <c r="BT27" s="147">
        <f t="shared" si="59"/>
        <v>44.040418741723322</v>
      </c>
      <c r="BU27" s="463">
        <f t="shared" si="43"/>
        <v>7.2505652981582824E-3</v>
      </c>
      <c r="BV27" s="463">
        <f t="shared" si="60"/>
        <v>1.7892291844698854E-2</v>
      </c>
      <c r="BW27" s="463">
        <f t="shared" si="44"/>
        <v>8.8761176520768266E-4</v>
      </c>
      <c r="BX27" s="463">
        <f t="shared" si="45"/>
        <v>0</v>
      </c>
      <c r="BY27" s="463">
        <f t="shared" si="46"/>
        <v>2.9214963512982594E-2</v>
      </c>
      <c r="BZ27" s="463">
        <f t="shared" si="61"/>
        <v>2.6030468908064819E-2</v>
      </c>
      <c r="CA27" s="549">
        <f t="shared" si="47"/>
        <v>1.32E-2</v>
      </c>
      <c r="CB27" s="147">
        <f t="shared" si="62"/>
        <v>42.414963512982595</v>
      </c>
      <c r="CC27" s="153">
        <f t="shared" si="63"/>
        <v>0.14738089557992623</v>
      </c>
      <c r="CD27" s="5">
        <f t="shared" si="64"/>
        <v>0.79200000000000004</v>
      </c>
      <c r="CE27" s="153">
        <f t="shared" si="65"/>
        <v>0.84310848105023384</v>
      </c>
      <c r="CF27" s="5">
        <f t="shared" si="66"/>
        <v>84.310848105023382</v>
      </c>
      <c r="CG27">
        <f t="shared" si="67"/>
        <v>22</v>
      </c>
      <c r="CI27" s="59">
        <f t="shared" si="48"/>
        <v>-50</v>
      </c>
      <c r="CJ27">
        <f t="shared" si="49"/>
        <v>-50</v>
      </c>
    </row>
    <row r="28" spans="5:88" x14ac:dyDescent="0.25">
      <c r="E28" s="150">
        <v>23</v>
      </c>
      <c r="F28" s="191">
        <f t="shared" si="68"/>
        <v>2.3000000000000003E-2</v>
      </c>
      <c r="G28" s="191">
        <f t="shared" si="50"/>
        <v>2.3000000000000003E-2</v>
      </c>
      <c r="H28" s="191">
        <f t="shared" si="0"/>
        <v>0.46000000000000008</v>
      </c>
      <c r="I28" s="191">
        <f t="shared" si="69"/>
        <v>0.36800000000000005</v>
      </c>
      <c r="J28" s="472">
        <f t="shared" si="1"/>
        <v>20</v>
      </c>
      <c r="K28" s="386">
        <f t="shared" si="2"/>
        <v>20.32</v>
      </c>
      <c r="L28" s="386">
        <f t="shared" si="3"/>
        <v>40.32</v>
      </c>
      <c r="M28" s="386"/>
      <c r="N28" s="191">
        <f t="shared" si="4"/>
        <v>0.50396825396825395</v>
      </c>
      <c r="O28" s="152">
        <f t="shared" si="51"/>
        <v>1.8898809523809523</v>
      </c>
      <c r="P28" s="152">
        <f t="shared" si="5"/>
        <v>2.7214285714285715</v>
      </c>
      <c r="Q28" s="191">
        <f t="shared" si="6"/>
        <v>9.4494047619047616E-2</v>
      </c>
      <c r="R28" s="191">
        <f t="shared" si="7"/>
        <v>0.11811755952380952</v>
      </c>
      <c r="S28" s="386">
        <f t="shared" si="8"/>
        <v>20</v>
      </c>
      <c r="T28" s="191">
        <f t="shared" si="9"/>
        <v>0.18255118110236224</v>
      </c>
      <c r="U28" s="191">
        <f t="shared" si="10"/>
        <v>0.54765354330708671</v>
      </c>
      <c r="V28" s="191">
        <f t="shared" si="11"/>
        <v>0.53902907805815614</v>
      </c>
      <c r="W28" s="175">
        <f t="shared" si="12"/>
        <v>350</v>
      </c>
      <c r="X28" s="386">
        <f t="shared" si="52"/>
        <v>350</v>
      </c>
      <c r="Z28" s="191">
        <f t="shared" si="13"/>
        <v>0.47996976568405147</v>
      </c>
      <c r="AA28" s="153">
        <f t="shared" si="14"/>
        <v>1.4172335600907031</v>
      </c>
      <c r="AB28" s="153">
        <f t="shared" si="15"/>
        <v>0.11904012045735404</v>
      </c>
      <c r="AC28" s="153"/>
      <c r="AD28" s="153">
        <f t="shared" si="16"/>
        <v>0.44291338582677164</v>
      </c>
      <c r="AE28" s="317">
        <f t="shared" si="17"/>
        <v>692.38518518518538</v>
      </c>
      <c r="AF28" s="463">
        <f t="shared" si="18"/>
        <v>1.1626476377952754E-2</v>
      </c>
      <c r="AH28" s="153">
        <f t="shared" si="19"/>
        <v>0.28081514000698549</v>
      </c>
      <c r="AI28" s="153">
        <f t="shared" si="20"/>
        <v>0.28081514000698549</v>
      </c>
      <c r="AJ28" s="153">
        <f t="shared" si="21"/>
        <v>1.2969001037088781</v>
      </c>
      <c r="AL28" s="317">
        <f t="shared" si="22"/>
        <v>23.000000000000004</v>
      </c>
      <c r="AM28" s="147">
        <f t="shared" si="23"/>
        <v>350</v>
      </c>
      <c r="AO28">
        <f t="shared" si="53"/>
        <v>23.000000000000004</v>
      </c>
      <c r="AP28" s="147">
        <f t="shared" si="24"/>
        <v>350</v>
      </c>
      <c r="AQ28" s="147"/>
      <c r="AR28" s="5">
        <f t="shared" si="54"/>
        <v>2.8571428571428572</v>
      </c>
      <c r="AS28" s="5">
        <f t="shared" si="25"/>
        <v>0.84244542002095657</v>
      </c>
      <c r="AT28" s="5">
        <f t="shared" si="55"/>
        <v>2.0146974371219004</v>
      </c>
      <c r="AU28" s="153">
        <f t="shared" si="56"/>
        <v>0.29485589700733478</v>
      </c>
      <c r="AW28" s="5">
        <f t="shared" si="26"/>
        <v>0.68947680000000022</v>
      </c>
      <c r="AX28" s="5">
        <f t="shared" si="27"/>
        <v>0.79846645440000019</v>
      </c>
      <c r="AY28" s="5">
        <f t="shared" si="28"/>
        <v>0.6949164380928764</v>
      </c>
      <c r="AZ28" s="5">
        <f t="shared" si="29"/>
        <v>0.31335330600082295</v>
      </c>
      <c r="BA28" s="5">
        <f t="shared" si="30"/>
        <v>9.2676082107607416E-2</v>
      </c>
      <c r="BB28" s="147">
        <f t="shared" si="31"/>
        <v>9.4056082107607413</v>
      </c>
      <c r="BC28" s="5"/>
      <c r="BD28" s="153">
        <f t="shared" si="57"/>
        <v>8.803691194148508E-2</v>
      </c>
      <c r="BE28" s="153">
        <f t="shared" si="32"/>
        <v>0.13614410167730914</v>
      </c>
      <c r="BF28" s="153">
        <f t="shared" si="33"/>
        <v>0.13561020323935891</v>
      </c>
      <c r="BG28" s="153"/>
      <c r="BH28" s="463">
        <f t="shared" si="34"/>
        <v>2.7126742524674792E-3</v>
      </c>
      <c r="BI28" s="463">
        <f t="shared" si="35"/>
        <v>1.9814316278892897E-2</v>
      </c>
      <c r="BJ28" s="463">
        <f t="shared" si="36"/>
        <v>4.3749999999999995E-3</v>
      </c>
      <c r="BK28" s="463">
        <f t="shared" si="37"/>
        <v>2.8449792000000005E-2</v>
      </c>
      <c r="BL28">
        <f t="shared" si="38"/>
        <v>5.7999999999999996E-3</v>
      </c>
      <c r="BM28">
        <f t="shared" si="39"/>
        <v>1.3124999999999999E-5</v>
      </c>
      <c r="BN28">
        <f t="shared" si="40"/>
        <v>6.1561929587057591E-2</v>
      </c>
      <c r="BO28" s="147">
        <f t="shared" si="58"/>
        <v>61.561929587057591</v>
      </c>
      <c r="BP28" s="153">
        <f t="shared" si="41"/>
        <v>2.294690534604242E-2</v>
      </c>
      <c r="BQ28" s="153">
        <f t="shared" si="42"/>
        <v>2.283605719808186E-2</v>
      </c>
      <c r="BR28" s="463"/>
      <c r="BT28" s="147">
        <f t="shared" si="59"/>
        <v>45.782962544124281</v>
      </c>
      <c r="BU28" s="463">
        <f t="shared" si="43"/>
        <v>7.7504978641927983E-3</v>
      </c>
      <c r="BV28" s="463">
        <f t="shared" si="60"/>
        <v>1.8535216421521492E-2</v>
      </c>
      <c r="BW28" s="463">
        <f t="shared" si="44"/>
        <v>9.1950636113101154E-4</v>
      </c>
      <c r="BX28" s="463">
        <f t="shared" si="45"/>
        <v>0</v>
      </c>
      <c r="BY28" s="463">
        <f t="shared" si="46"/>
        <v>3.0536306881783434E-2</v>
      </c>
      <c r="BZ28" s="463">
        <f t="shared" si="61"/>
        <v>2.7205220646845302E-2</v>
      </c>
      <c r="CA28" s="549">
        <f t="shared" si="47"/>
        <v>1.3800000000000002E-2</v>
      </c>
      <c r="CB28" s="147">
        <f t="shared" si="62"/>
        <v>44.336306881783436</v>
      </c>
      <c r="CC28" s="153">
        <f t="shared" si="63"/>
        <v>0.15168119901296531</v>
      </c>
      <c r="CD28" s="5">
        <f t="shared" si="64"/>
        <v>0.82800000000000007</v>
      </c>
      <c r="CE28" s="153">
        <f t="shared" si="65"/>
        <v>0.84517289995379619</v>
      </c>
      <c r="CF28" s="5">
        <f t="shared" si="66"/>
        <v>84.517289995379613</v>
      </c>
      <c r="CG28">
        <f t="shared" si="67"/>
        <v>23</v>
      </c>
      <c r="CI28" s="59">
        <f t="shared" si="48"/>
        <v>-50</v>
      </c>
      <c r="CJ28">
        <f t="shared" si="49"/>
        <v>-50</v>
      </c>
    </row>
    <row r="29" spans="5:88" x14ac:dyDescent="0.25">
      <c r="E29" s="150">
        <v>24</v>
      </c>
      <c r="F29" s="191">
        <f t="shared" si="68"/>
        <v>2.4E-2</v>
      </c>
      <c r="G29" s="191">
        <f t="shared" si="50"/>
        <v>2.4E-2</v>
      </c>
      <c r="H29" s="191">
        <f t="shared" si="0"/>
        <v>0.48</v>
      </c>
      <c r="I29" s="191">
        <f t="shared" si="69"/>
        <v>0.38400000000000001</v>
      </c>
      <c r="J29" s="472">
        <f t="shared" si="1"/>
        <v>20</v>
      </c>
      <c r="K29" s="386">
        <f t="shared" si="2"/>
        <v>20.32</v>
      </c>
      <c r="L29" s="386">
        <f t="shared" si="3"/>
        <v>40.32</v>
      </c>
      <c r="M29" s="386"/>
      <c r="N29" s="191">
        <f t="shared" si="4"/>
        <v>0.50396825396825395</v>
      </c>
      <c r="O29" s="152">
        <f t="shared" si="51"/>
        <v>1.8898809523809523</v>
      </c>
      <c r="P29" s="152">
        <f t="shared" si="5"/>
        <v>2.7214285714285715</v>
      </c>
      <c r="Q29" s="191">
        <f t="shared" si="6"/>
        <v>9.4494047619047616E-2</v>
      </c>
      <c r="R29" s="191">
        <f t="shared" si="7"/>
        <v>0.11811755952380952</v>
      </c>
      <c r="S29" s="386">
        <f t="shared" si="8"/>
        <v>20</v>
      </c>
      <c r="T29" s="191">
        <f t="shared" si="9"/>
        <v>0.19048818897637795</v>
      </c>
      <c r="U29" s="191">
        <f t="shared" si="10"/>
        <v>0.57146456692913394</v>
      </c>
      <c r="V29" s="191">
        <f t="shared" si="11"/>
        <v>0.5624651249302498</v>
      </c>
      <c r="W29" s="175">
        <f t="shared" si="12"/>
        <v>350</v>
      </c>
      <c r="X29" s="386">
        <f t="shared" si="52"/>
        <v>350</v>
      </c>
      <c r="Z29" s="191">
        <f t="shared" si="13"/>
        <v>0.47996976568405147</v>
      </c>
      <c r="AA29" s="153">
        <f t="shared" si="14"/>
        <v>1.4172335600907031</v>
      </c>
      <c r="AB29" s="153">
        <f t="shared" si="15"/>
        <v>0.11904012045735404</v>
      </c>
      <c r="AC29" s="153"/>
      <c r="AD29" s="153">
        <f t="shared" si="16"/>
        <v>0.44291338582677164</v>
      </c>
      <c r="AE29" s="317">
        <f t="shared" si="17"/>
        <v>722.48888888888894</v>
      </c>
      <c r="AF29" s="463">
        <f t="shared" si="18"/>
        <v>1.1626476377952754E-2</v>
      </c>
      <c r="AH29" s="153">
        <f t="shared" si="19"/>
        <v>0.28685486624025447</v>
      </c>
      <c r="AI29" s="153">
        <f t="shared" si="20"/>
        <v>0.28685486624025447</v>
      </c>
      <c r="AJ29" s="153">
        <f t="shared" si="21"/>
        <v>1.3013739749927811</v>
      </c>
      <c r="AL29" s="317">
        <f t="shared" si="22"/>
        <v>24</v>
      </c>
      <c r="AM29" s="147">
        <f t="shared" si="23"/>
        <v>350</v>
      </c>
      <c r="AO29">
        <f t="shared" si="53"/>
        <v>24</v>
      </c>
      <c r="AP29" s="147">
        <f t="shared" si="24"/>
        <v>350</v>
      </c>
      <c r="AQ29" s="147"/>
      <c r="AR29" s="5">
        <f t="shared" si="54"/>
        <v>2.8571428571428572</v>
      </c>
      <c r="AS29" s="5">
        <f t="shared" si="25"/>
        <v>0.86056459872076341</v>
      </c>
      <c r="AT29" s="5">
        <f t="shared" si="55"/>
        <v>1.9965782584220939</v>
      </c>
      <c r="AU29" s="153">
        <f t="shared" si="56"/>
        <v>0.30119760955226721</v>
      </c>
      <c r="AW29" s="5">
        <f t="shared" si="26"/>
        <v>0.68947680000000022</v>
      </c>
      <c r="AX29" s="5">
        <f t="shared" si="27"/>
        <v>0.86627727359999995</v>
      </c>
      <c r="AY29" s="5">
        <f t="shared" si="28"/>
        <v>0.6949164380928764</v>
      </c>
      <c r="AZ29" s="5">
        <f t="shared" si="29"/>
        <v>0.33910681333927023</v>
      </c>
      <c r="BA29" s="5">
        <f t="shared" si="30"/>
        <v>9.5835756404260508E-2</v>
      </c>
      <c r="BB29" s="147">
        <f t="shared" si="31"/>
        <v>9.7275756404260516</v>
      </c>
      <c r="BC29" s="5"/>
      <c r="BD29" s="153">
        <f t="shared" si="57"/>
        <v>9.0892354726452809E-2</v>
      </c>
      <c r="BE29" s="153">
        <f t="shared" si="32"/>
        <v>0.13844548125833539</v>
      </c>
      <c r="BF29" s="153">
        <f t="shared" si="33"/>
        <v>0.13790255780242036</v>
      </c>
      <c r="BG29" s="153"/>
      <c r="BH29" s="463">
        <f t="shared" si="34"/>
        <v>2.8914970517017646E-3</v>
      </c>
      <c r="BI29" s="463">
        <f t="shared" si="35"/>
        <v>2.0240479361912353E-2</v>
      </c>
      <c r="BJ29" s="463">
        <f t="shared" si="36"/>
        <v>4.3749999999999995E-3</v>
      </c>
      <c r="BK29" s="463">
        <f t="shared" si="37"/>
        <v>2.8449792000000005E-2</v>
      </c>
      <c r="BL29">
        <f t="shared" si="38"/>
        <v>5.7999999999999996E-3</v>
      </c>
      <c r="BM29">
        <f t="shared" si="39"/>
        <v>1.3124999999999999E-5</v>
      </c>
      <c r="BN29">
        <f t="shared" si="40"/>
        <v>6.2193424538724479E-2</v>
      </c>
      <c r="BO29" s="147">
        <f t="shared" si="58"/>
        <v>62.193424538724479</v>
      </c>
      <c r="BP29" s="153">
        <f t="shared" si="41"/>
        <v>2.3811703578571004E-2</v>
      </c>
      <c r="BQ29" s="153">
        <f t="shared" si="42"/>
        <v>2.369707620261572E-2</v>
      </c>
      <c r="BR29" s="463"/>
      <c r="BT29" s="147">
        <f t="shared" si="59"/>
        <v>47.508779781186725</v>
      </c>
      <c r="BU29" s="463">
        <f t="shared" si="43"/>
        <v>8.2614201477193283E-3</v>
      </c>
      <c r="BV29" s="463">
        <f t="shared" si="60"/>
        <v>1.9167151280852095E-2</v>
      </c>
      <c r="BW29" s="463">
        <f t="shared" si="44"/>
        <v>9.5085577242249447E-4</v>
      </c>
      <c r="BX29" s="463">
        <f t="shared" si="45"/>
        <v>0</v>
      </c>
      <c r="BY29" s="463">
        <f t="shared" si="46"/>
        <v>3.1857285786938125E-2</v>
      </c>
      <c r="BZ29" s="463">
        <f t="shared" si="61"/>
        <v>2.8379427200993918E-2</v>
      </c>
      <c r="CA29" s="549">
        <f t="shared" si="47"/>
        <v>1.4400000000000001E-2</v>
      </c>
      <c r="CB29" s="147">
        <f t="shared" si="62"/>
        <v>46.257285786938127</v>
      </c>
      <c r="CC29" s="153">
        <f t="shared" si="63"/>
        <v>0.15595949010684931</v>
      </c>
      <c r="CD29" s="5">
        <f t="shared" si="64"/>
        <v>0.86399999999999999</v>
      </c>
      <c r="CE29" s="153">
        <f t="shared" si="65"/>
        <v>0.84709246629931223</v>
      </c>
      <c r="CF29" s="5">
        <f t="shared" si="66"/>
        <v>84.709246629931229</v>
      </c>
      <c r="CG29">
        <f t="shared" si="67"/>
        <v>24</v>
      </c>
      <c r="CI29" s="59">
        <f t="shared" si="48"/>
        <v>-50</v>
      </c>
      <c r="CJ29">
        <f t="shared" si="49"/>
        <v>-50</v>
      </c>
    </row>
    <row r="30" spans="5:88" x14ac:dyDescent="0.25">
      <c r="E30" s="150">
        <v>25</v>
      </c>
      <c r="F30" s="191">
        <f t="shared" si="68"/>
        <v>2.5000000000000001E-2</v>
      </c>
      <c r="G30" s="191">
        <f t="shared" si="50"/>
        <v>2.5000000000000001E-2</v>
      </c>
      <c r="H30" s="191">
        <f t="shared" si="0"/>
        <v>0.5</v>
      </c>
      <c r="I30" s="191">
        <f t="shared" si="69"/>
        <v>0.4</v>
      </c>
      <c r="J30" s="472">
        <f t="shared" si="1"/>
        <v>20</v>
      </c>
      <c r="K30" s="386">
        <f t="shared" si="2"/>
        <v>20.32</v>
      </c>
      <c r="L30" s="386">
        <f t="shared" si="3"/>
        <v>40.32</v>
      </c>
      <c r="M30" s="386"/>
      <c r="N30" s="191">
        <f t="shared" si="4"/>
        <v>0.50396825396825395</v>
      </c>
      <c r="O30" s="152">
        <f t="shared" si="51"/>
        <v>1.8898809523809523</v>
      </c>
      <c r="P30" s="152">
        <f t="shared" si="5"/>
        <v>2.7214285714285715</v>
      </c>
      <c r="Q30" s="191">
        <f t="shared" si="6"/>
        <v>9.4494047619047616E-2</v>
      </c>
      <c r="R30" s="191">
        <f t="shared" si="7"/>
        <v>0.11811755952380952</v>
      </c>
      <c r="S30" s="386">
        <f t="shared" si="8"/>
        <v>20</v>
      </c>
      <c r="T30" s="191">
        <f t="shared" si="9"/>
        <v>0.1984251968503937</v>
      </c>
      <c r="U30" s="191">
        <f t="shared" si="10"/>
        <v>0.59527559055118107</v>
      </c>
      <c r="V30" s="191">
        <f t="shared" si="11"/>
        <v>0.58590117180234358</v>
      </c>
      <c r="W30" s="175">
        <f t="shared" si="12"/>
        <v>350</v>
      </c>
      <c r="X30" s="386">
        <f t="shared" si="52"/>
        <v>350</v>
      </c>
      <c r="Z30" s="191">
        <f t="shared" si="13"/>
        <v>0.47996976568405147</v>
      </c>
      <c r="AA30" s="153">
        <f t="shared" si="14"/>
        <v>1.4172335600907031</v>
      </c>
      <c r="AB30" s="153">
        <f t="shared" si="15"/>
        <v>0.11904012045735404</v>
      </c>
      <c r="AC30" s="153"/>
      <c r="AD30" s="153">
        <f t="shared" si="16"/>
        <v>0.44291338582677164</v>
      </c>
      <c r="AE30" s="317">
        <f t="shared" si="17"/>
        <v>752.59259259259272</v>
      </c>
      <c r="AF30" s="463">
        <f t="shared" si="18"/>
        <v>1.1626476377952754E-2</v>
      </c>
      <c r="AH30" s="153">
        <f t="shared" si="19"/>
        <v>0.29277002188455997</v>
      </c>
      <c r="AI30" s="153">
        <f t="shared" si="20"/>
        <v>0.29277002188455997</v>
      </c>
      <c r="AJ30" s="153">
        <f t="shared" si="21"/>
        <v>1.3057555717663407</v>
      </c>
      <c r="AL30" s="317">
        <f t="shared" si="22"/>
        <v>25</v>
      </c>
      <c r="AM30" s="147">
        <f t="shared" si="23"/>
        <v>350</v>
      </c>
      <c r="AO30">
        <f t="shared" si="53"/>
        <v>25</v>
      </c>
      <c r="AP30" s="147">
        <f t="shared" si="24"/>
        <v>350</v>
      </c>
      <c r="AQ30" s="147"/>
      <c r="AR30" s="5">
        <f t="shared" si="54"/>
        <v>2.8571428571428572</v>
      </c>
      <c r="AS30" s="5">
        <f t="shared" si="25"/>
        <v>0.87831006565367997</v>
      </c>
      <c r="AT30" s="5">
        <f t="shared" si="55"/>
        <v>1.9788327914891772</v>
      </c>
      <c r="AU30" s="153">
        <f t="shared" si="56"/>
        <v>0.30740852297878796</v>
      </c>
      <c r="AW30" s="5">
        <f t="shared" si="26"/>
        <v>0.68947680000000022</v>
      </c>
      <c r="AX30" s="5">
        <f t="shared" si="27"/>
        <v>0.93684600000000029</v>
      </c>
      <c r="AY30" s="5">
        <f t="shared" si="28"/>
        <v>0.6949164380928764</v>
      </c>
      <c r="AZ30" s="5">
        <f t="shared" si="29"/>
        <v>0.36587110822403468</v>
      </c>
      <c r="BA30" s="5">
        <f t="shared" si="30"/>
        <v>9.8941639574458867E-2</v>
      </c>
      <c r="BB30" s="147">
        <f t="shared" si="31"/>
        <v>10.044163957445887</v>
      </c>
      <c r="BC30" s="5"/>
      <c r="BD30" s="153">
        <f t="shared" si="57"/>
        <v>9.3718198107607689E-2</v>
      </c>
      <c r="BE30" s="153">
        <f t="shared" si="32"/>
        <v>0.14067099173209724</v>
      </c>
      <c r="BF30" s="153">
        <f t="shared" si="33"/>
        <v>0.14011934078412824</v>
      </c>
      <c r="BG30" s="153"/>
      <c r="BH30" s="463">
        <f t="shared" si="34"/>
        <v>3.07408522978788E-3</v>
      </c>
      <c r="BI30" s="463">
        <f t="shared" si="35"/>
        <v>2.0657852744174553E-2</v>
      </c>
      <c r="BJ30" s="463">
        <f t="shared" si="36"/>
        <v>4.3749999999999995E-3</v>
      </c>
      <c r="BK30" s="463">
        <f t="shared" si="37"/>
        <v>2.8449792000000005E-2</v>
      </c>
      <c r="BL30">
        <f t="shared" si="38"/>
        <v>5.7999999999999996E-3</v>
      </c>
      <c r="BM30">
        <f t="shared" si="39"/>
        <v>1.3124999999999999E-5</v>
      </c>
      <c r="BN30">
        <f t="shared" si="40"/>
        <v>6.2820486295093125E-2</v>
      </c>
      <c r="BO30" s="147">
        <f t="shared" si="58"/>
        <v>62.820486295093126</v>
      </c>
      <c r="BP30" s="153">
        <f t="shared" si="41"/>
        <v>2.4668282526977316E-2</v>
      </c>
      <c r="BQ30" s="153">
        <f t="shared" si="42"/>
        <v>2.4549940261598902E-2</v>
      </c>
      <c r="BR30" s="463"/>
      <c r="BT30" s="147">
        <f t="shared" si="59"/>
        <v>49.21822278857622</v>
      </c>
      <c r="BU30" s="463">
        <f t="shared" si="43"/>
        <v>8.7831006565368009E-3</v>
      </c>
      <c r="BV30" s="463">
        <f t="shared" si="60"/>
        <v>1.9788327914891771E-2</v>
      </c>
      <c r="BW30" s="463">
        <f t="shared" si="44"/>
        <v>9.8167148308893316E-4</v>
      </c>
      <c r="BX30" s="463">
        <f t="shared" si="45"/>
        <v>0</v>
      </c>
      <c r="BY30" s="463">
        <f t="shared" si="46"/>
        <v>3.317791287536407E-2</v>
      </c>
      <c r="BZ30" s="463">
        <f t="shared" si="61"/>
        <v>2.9553100054517507E-2</v>
      </c>
      <c r="CA30" s="549">
        <f t="shared" si="47"/>
        <v>1.5000000000000005E-2</v>
      </c>
      <c r="CB30" s="147">
        <f t="shared" si="62"/>
        <v>48.177912875364079</v>
      </c>
      <c r="CC30" s="153">
        <f t="shared" si="63"/>
        <v>0.16021662195903341</v>
      </c>
      <c r="CD30" s="5">
        <f t="shared" si="64"/>
        <v>0.9</v>
      </c>
      <c r="CE30" s="153">
        <f t="shared" si="65"/>
        <v>0.84888312573048474</v>
      </c>
      <c r="CF30" s="5">
        <f t="shared" si="66"/>
        <v>84.888312573048481</v>
      </c>
      <c r="CG30">
        <f t="shared" si="67"/>
        <v>25</v>
      </c>
      <c r="CI30" s="59">
        <f t="shared" si="48"/>
        <v>-50</v>
      </c>
      <c r="CJ30">
        <f t="shared" si="49"/>
        <v>-50</v>
      </c>
    </row>
    <row r="31" spans="5:88" x14ac:dyDescent="0.25">
      <c r="E31" s="150">
        <v>26</v>
      </c>
      <c r="F31" s="191">
        <f t="shared" si="68"/>
        <v>2.6000000000000002E-2</v>
      </c>
      <c r="G31" s="191">
        <f t="shared" si="50"/>
        <v>2.6000000000000002E-2</v>
      </c>
      <c r="H31" s="191">
        <f t="shared" si="0"/>
        <v>0.52</v>
      </c>
      <c r="I31" s="191">
        <f t="shared" si="69"/>
        <v>0.41600000000000004</v>
      </c>
      <c r="J31" s="472">
        <f t="shared" si="1"/>
        <v>20</v>
      </c>
      <c r="K31" s="386">
        <f t="shared" si="2"/>
        <v>20.32</v>
      </c>
      <c r="L31" s="386">
        <f t="shared" si="3"/>
        <v>40.32</v>
      </c>
      <c r="M31" s="386"/>
      <c r="N31" s="191">
        <f t="shared" si="4"/>
        <v>0.50396825396825395</v>
      </c>
      <c r="O31" s="152">
        <f t="shared" si="51"/>
        <v>1.8898809523809523</v>
      </c>
      <c r="P31" s="152">
        <f t="shared" si="5"/>
        <v>2.7214285714285715</v>
      </c>
      <c r="Q31" s="191">
        <f t="shared" si="6"/>
        <v>9.4494047619047616E-2</v>
      </c>
      <c r="R31" s="191">
        <f t="shared" si="7"/>
        <v>0.11811755952380952</v>
      </c>
      <c r="S31" s="386">
        <f t="shared" si="8"/>
        <v>20</v>
      </c>
      <c r="T31" s="191">
        <f t="shared" si="9"/>
        <v>0.20636220472440947</v>
      </c>
      <c r="U31" s="191">
        <f t="shared" si="10"/>
        <v>0.61908661417322841</v>
      </c>
      <c r="V31" s="191">
        <f t="shared" si="11"/>
        <v>0.60933721867443746</v>
      </c>
      <c r="W31" s="175">
        <f t="shared" si="12"/>
        <v>350</v>
      </c>
      <c r="X31" s="386">
        <f t="shared" si="52"/>
        <v>350</v>
      </c>
      <c r="Z31" s="191">
        <f t="shared" si="13"/>
        <v>0.47996976568405147</v>
      </c>
      <c r="AA31" s="153">
        <f t="shared" si="14"/>
        <v>1.4172335600907031</v>
      </c>
      <c r="AB31" s="153">
        <f t="shared" si="15"/>
        <v>0.11904012045735404</v>
      </c>
      <c r="AC31" s="153"/>
      <c r="AD31" s="153">
        <f t="shared" si="16"/>
        <v>0.44291338582677164</v>
      </c>
      <c r="AE31" s="317">
        <f t="shared" si="17"/>
        <v>782.69629629629651</v>
      </c>
      <c r="AF31" s="463">
        <f t="shared" si="18"/>
        <v>1.1626476377952754E-2</v>
      </c>
      <c r="AH31" s="153">
        <f t="shared" si="19"/>
        <v>0.29856801091687157</v>
      </c>
      <c r="AI31" s="153">
        <f t="shared" si="20"/>
        <v>0.29856801091687157</v>
      </c>
      <c r="AJ31" s="153">
        <f t="shared" si="21"/>
        <v>1.3100503784569419</v>
      </c>
      <c r="AL31" s="317">
        <f t="shared" si="22"/>
        <v>26.000000000000004</v>
      </c>
      <c r="AM31" s="147">
        <f t="shared" si="23"/>
        <v>350</v>
      </c>
      <c r="AO31">
        <f t="shared" si="53"/>
        <v>26.000000000000004</v>
      </c>
      <c r="AP31" s="147">
        <f t="shared" si="24"/>
        <v>350</v>
      </c>
      <c r="AQ31" s="147"/>
      <c r="AR31" s="5">
        <f t="shared" si="54"/>
        <v>2.8571428571428572</v>
      </c>
      <c r="AS31" s="5">
        <f t="shared" si="25"/>
        <v>0.89570403275061483</v>
      </c>
      <c r="AT31" s="5">
        <f t="shared" si="55"/>
        <v>1.9614388243922423</v>
      </c>
      <c r="AU31" s="153">
        <f t="shared" si="56"/>
        <v>0.31349641146271517</v>
      </c>
      <c r="AW31" s="5">
        <f t="shared" si="26"/>
        <v>0.68947680000000022</v>
      </c>
      <c r="AX31" s="5">
        <f t="shared" si="27"/>
        <v>1.0101726336000003</v>
      </c>
      <c r="AY31" s="5">
        <f t="shared" si="28"/>
        <v>0.6949164380928764</v>
      </c>
      <c r="AZ31" s="5">
        <f t="shared" si="29"/>
        <v>0.39364619065511597</v>
      </c>
      <c r="BA31" s="5">
        <f t="shared" si="30"/>
        <v>0.10199481886839661</v>
      </c>
      <c r="BB31" s="147">
        <f t="shared" si="31"/>
        <v>10.355481886839659</v>
      </c>
      <c r="BC31" s="5"/>
      <c r="BD31" s="153">
        <f t="shared" si="57"/>
        <v>9.6515915478258774E-2</v>
      </c>
      <c r="BE31" s="153">
        <f t="shared" si="32"/>
        <v>0.14282494100709203</v>
      </c>
      <c r="BF31" s="153">
        <f t="shared" si="33"/>
        <v>0.14226484319922109</v>
      </c>
      <c r="BG31" s="153"/>
      <c r="BH31" s="463">
        <f t="shared" si="34"/>
        <v>3.2603626792122365E-3</v>
      </c>
      <c r="BI31" s="463">
        <f t="shared" si="35"/>
        <v>2.106695885029446E-2</v>
      </c>
      <c r="BJ31" s="463">
        <f t="shared" si="36"/>
        <v>4.3749999999999995E-3</v>
      </c>
      <c r="BK31" s="463">
        <f t="shared" si="37"/>
        <v>2.8449792000000005E-2</v>
      </c>
      <c r="BL31">
        <f t="shared" si="38"/>
        <v>5.7999999999999996E-3</v>
      </c>
      <c r="BM31">
        <f t="shared" si="39"/>
        <v>1.3124999999999999E-5</v>
      </c>
      <c r="BN31">
        <f t="shared" si="40"/>
        <v>6.3443551129179765E-2</v>
      </c>
      <c r="BO31" s="147">
        <f t="shared" si="58"/>
        <v>63.443551129179767</v>
      </c>
      <c r="BP31" s="153">
        <f t="shared" si="41"/>
        <v>2.5516808323091E-2</v>
      </c>
      <c r="BQ31" s="153">
        <f t="shared" si="42"/>
        <v>2.5394814206421212E-2</v>
      </c>
      <c r="BR31" s="463"/>
      <c r="BT31" s="147">
        <f t="shared" si="59"/>
        <v>50.911622529512215</v>
      </c>
      <c r="BU31" s="463">
        <f t="shared" si="43"/>
        <v>9.3153219406063911E-3</v>
      </c>
      <c r="BV31" s="463">
        <f t="shared" si="60"/>
        <v>2.0398963773679318E-2</v>
      </c>
      <c r="BW31" s="463">
        <f t="shared" si="44"/>
        <v>1.0119642805249483E-3</v>
      </c>
      <c r="BX31" s="463">
        <f t="shared" si="45"/>
        <v>0</v>
      </c>
      <c r="BY31" s="463">
        <f t="shared" si="46"/>
        <v>3.4498200019641899E-2</v>
      </c>
      <c r="BZ31" s="463">
        <f t="shared" si="61"/>
        <v>3.0726249994810655E-2</v>
      </c>
      <c r="CA31" s="549">
        <f t="shared" si="47"/>
        <v>1.5600000000000003E-2</v>
      </c>
      <c r="CB31" s="147">
        <f t="shared" si="62"/>
        <v>50.098200019641901</v>
      </c>
      <c r="CC31" s="153">
        <f t="shared" si="63"/>
        <v>0.16445337367833388</v>
      </c>
      <c r="CD31" s="5">
        <f t="shared" si="64"/>
        <v>0.93600000000000005</v>
      </c>
      <c r="CE31" s="153">
        <f t="shared" si="65"/>
        <v>0.85055852650200137</v>
      </c>
      <c r="CF31" s="5">
        <f t="shared" si="66"/>
        <v>85.055852650200137</v>
      </c>
      <c r="CG31">
        <f t="shared" si="67"/>
        <v>26</v>
      </c>
      <c r="CI31" s="59">
        <f t="shared" si="48"/>
        <v>-50</v>
      </c>
      <c r="CJ31">
        <f t="shared" si="49"/>
        <v>-50</v>
      </c>
    </row>
    <row r="32" spans="5:88" x14ac:dyDescent="0.25">
      <c r="E32" s="150">
        <v>27</v>
      </c>
      <c r="F32" s="191">
        <f t="shared" si="68"/>
        <v>2.7000000000000003E-2</v>
      </c>
      <c r="G32" s="191">
        <f t="shared" si="50"/>
        <v>2.7000000000000003E-2</v>
      </c>
      <c r="H32" s="191">
        <f t="shared" si="0"/>
        <v>0.54</v>
      </c>
      <c r="I32" s="191">
        <f t="shared" si="69"/>
        <v>0.43200000000000005</v>
      </c>
      <c r="J32" s="472">
        <f t="shared" si="1"/>
        <v>20</v>
      </c>
      <c r="K32" s="386">
        <f t="shared" si="2"/>
        <v>20.32</v>
      </c>
      <c r="L32" s="386">
        <f t="shared" si="3"/>
        <v>40.32</v>
      </c>
      <c r="M32" s="386"/>
      <c r="N32" s="191">
        <f t="shared" si="4"/>
        <v>0.50396825396825395</v>
      </c>
      <c r="O32" s="152">
        <f t="shared" si="51"/>
        <v>1.8898809523809523</v>
      </c>
      <c r="P32" s="152">
        <f t="shared" si="5"/>
        <v>2.7214285714285715</v>
      </c>
      <c r="Q32" s="191">
        <f t="shared" si="6"/>
        <v>9.4494047619047616E-2</v>
      </c>
      <c r="R32" s="191">
        <f t="shared" si="7"/>
        <v>0.11811755952380952</v>
      </c>
      <c r="S32" s="386">
        <f t="shared" si="8"/>
        <v>20</v>
      </c>
      <c r="T32" s="191">
        <f t="shared" si="9"/>
        <v>0.21429921259842521</v>
      </c>
      <c r="U32" s="191">
        <f t="shared" si="10"/>
        <v>0.64289763779527564</v>
      </c>
      <c r="V32" s="191">
        <f t="shared" si="11"/>
        <v>0.63277326554653113</v>
      </c>
      <c r="W32" s="175">
        <f t="shared" si="12"/>
        <v>350</v>
      </c>
      <c r="X32" s="386">
        <f t="shared" si="52"/>
        <v>350</v>
      </c>
      <c r="Z32" s="191">
        <f t="shared" si="13"/>
        <v>0.47996976568405147</v>
      </c>
      <c r="AA32" s="153">
        <f t="shared" si="14"/>
        <v>1.4172335600907031</v>
      </c>
      <c r="AB32" s="153">
        <f t="shared" si="15"/>
        <v>0.11904012045735404</v>
      </c>
      <c r="AC32" s="153"/>
      <c r="AD32" s="153">
        <f t="shared" si="16"/>
        <v>0.44291338582677164</v>
      </c>
      <c r="AE32" s="317">
        <f t="shared" si="17"/>
        <v>812.80000000000018</v>
      </c>
      <c r="AF32" s="463">
        <f t="shared" si="18"/>
        <v>1.1626476377952754E-2</v>
      </c>
      <c r="AH32" s="153">
        <f t="shared" si="19"/>
        <v>0.30425553170226599</v>
      </c>
      <c r="AI32" s="153">
        <f t="shared" si="20"/>
        <v>0.30425553170226599</v>
      </c>
      <c r="AJ32" s="153">
        <f t="shared" si="21"/>
        <v>1.3142633568164932</v>
      </c>
      <c r="AL32" s="317">
        <f t="shared" si="22"/>
        <v>27.000000000000004</v>
      </c>
      <c r="AM32" s="147">
        <f t="shared" si="23"/>
        <v>350</v>
      </c>
      <c r="AO32">
        <f t="shared" si="53"/>
        <v>27.000000000000004</v>
      </c>
      <c r="AP32" s="147">
        <f t="shared" si="24"/>
        <v>350</v>
      </c>
      <c r="AQ32" s="147"/>
      <c r="AR32" s="5">
        <f t="shared" si="54"/>
        <v>2.8571428571428572</v>
      </c>
      <c r="AS32" s="5">
        <f t="shared" si="25"/>
        <v>0.91276659510679792</v>
      </c>
      <c r="AT32" s="5">
        <f t="shared" si="55"/>
        <v>1.9443762620360592</v>
      </c>
      <c r="AU32" s="153">
        <f t="shared" si="56"/>
        <v>0.31946830828737927</v>
      </c>
      <c r="AW32" s="5">
        <f t="shared" si="26"/>
        <v>0.68947680000000022</v>
      </c>
      <c r="AX32" s="5">
        <f t="shared" si="27"/>
        <v>1.0862571744000002</v>
      </c>
      <c r="AY32" s="5">
        <f t="shared" si="28"/>
        <v>0.6949164380928764</v>
      </c>
      <c r="AZ32" s="5">
        <f t="shared" si="29"/>
        <v>0.42243206063251404</v>
      </c>
      <c r="BA32" s="5">
        <f t="shared" si="30"/>
        <v>0.10499631814994721</v>
      </c>
      <c r="BB32" s="147">
        <f t="shared" si="31"/>
        <v>10.661631814994722</v>
      </c>
      <c r="BC32" s="5"/>
      <c r="BD32" s="153">
        <f t="shared" si="57"/>
        <v>9.9286853244291193E-2</v>
      </c>
      <c r="BE32" s="153">
        <f t="shared" si="32"/>
        <v>0.1449112267217052</v>
      </c>
      <c r="BF32" s="153">
        <f t="shared" si="33"/>
        <v>0.14434294740122794</v>
      </c>
      <c r="BG32" s="153"/>
      <c r="BH32" s="463">
        <f t="shared" si="34"/>
        <v>3.4502577295036953E-3</v>
      </c>
      <c r="BI32" s="463">
        <f t="shared" si="35"/>
        <v>2.146827031691189E-2</v>
      </c>
      <c r="BJ32" s="463">
        <f t="shared" si="36"/>
        <v>4.3749999999999995E-3</v>
      </c>
      <c r="BK32" s="463">
        <f t="shared" si="37"/>
        <v>2.8449792000000005E-2</v>
      </c>
      <c r="BL32">
        <f t="shared" si="38"/>
        <v>5.7999999999999996E-3</v>
      </c>
      <c r="BM32">
        <f t="shared" si="39"/>
        <v>1.3124999999999999E-5</v>
      </c>
      <c r="BN32">
        <f t="shared" si="40"/>
        <v>6.406301059398313E-2</v>
      </c>
      <c r="BO32" s="147">
        <f t="shared" si="58"/>
        <v>64.063010593983137</v>
      </c>
      <c r="BP32" s="153">
        <f t="shared" si="41"/>
        <v>2.6357437413311938E-2</v>
      </c>
      <c r="BQ32" s="153">
        <f t="shared" si="42"/>
        <v>2.6231853258857879E-2</v>
      </c>
      <c r="BR32" s="463"/>
      <c r="BT32" s="147">
        <f t="shared" si="59"/>
        <v>52.589290672169817</v>
      </c>
      <c r="BU32" s="463">
        <f t="shared" si="43"/>
        <v>9.8578792271534158E-3</v>
      </c>
      <c r="BV32" s="463">
        <f t="shared" si="60"/>
        <v>2.0999263629989447E-2</v>
      </c>
      <c r="BW32" s="463">
        <f t="shared" si="44"/>
        <v>1.0417443232236827E-3</v>
      </c>
      <c r="BX32" s="463">
        <f t="shared" si="45"/>
        <v>0</v>
      </c>
      <c r="BY32" s="463">
        <f t="shared" si="46"/>
        <v>3.5818158393498743E-2</v>
      </c>
      <c r="BZ32" s="463">
        <f t="shared" si="61"/>
        <v>3.1898887180366542E-2</v>
      </c>
      <c r="CA32" s="549">
        <f t="shared" si="47"/>
        <v>1.6200000000000003E-2</v>
      </c>
      <c r="CB32" s="147">
        <f t="shared" si="62"/>
        <v>52.018158393498744</v>
      </c>
      <c r="CC32" s="153">
        <f t="shared" si="63"/>
        <v>0.16867045965965169</v>
      </c>
      <c r="CD32" s="5">
        <f t="shared" si="64"/>
        <v>0.97200000000000009</v>
      </c>
      <c r="CE32" s="153">
        <f t="shared" si="65"/>
        <v>0.85213042186611998</v>
      </c>
      <c r="CF32" s="5">
        <f t="shared" si="66"/>
        <v>85.213042186612</v>
      </c>
      <c r="CG32">
        <f t="shared" si="67"/>
        <v>27</v>
      </c>
      <c r="CI32" s="59">
        <f t="shared" si="48"/>
        <v>-50</v>
      </c>
      <c r="CJ32">
        <f t="shared" si="49"/>
        <v>-50</v>
      </c>
    </row>
    <row r="33" spans="5:88" x14ac:dyDescent="0.25">
      <c r="E33" s="150">
        <v>28</v>
      </c>
      <c r="F33" s="191">
        <f t="shared" si="68"/>
        <v>2.8000000000000004E-2</v>
      </c>
      <c r="G33" s="191">
        <f t="shared" si="50"/>
        <v>2.8000000000000004E-2</v>
      </c>
      <c r="H33" s="191">
        <f t="shared" si="0"/>
        <v>0.56000000000000005</v>
      </c>
      <c r="I33" s="191">
        <f t="shared" si="69"/>
        <v>0.44800000000000006</v>
      </c>
      <c r="J33" s="472">
        <f t="shared" si="1"/>
        <v>20</v>
      </c>
      <c r="K33" s="386">
        <f t="shared" si="2"/>
        <v>20.32</v>
      </c>
      <c r="L33" s="386">
        <f t="shared" si="3"/>
        <v>40.32</v>
      </c>
      <c r="M33" s="386"/>
      <c r="N33" s="191">
        <f t="shared" si="4"/>
        <v>0.50396825396825395</v>
      </c>
      <c r="O33" s="152">
        <f t="shared" si="51"/>
        <v>1.8898809523809523</v>
      </c>
      <c r="P33" s="152">
        <f t="shared" si="5"/>
        <v>2.7214285714285715</v>
      </c>
      <c r="Q33" s="191">
        <f t="shared" si="6"/>
        <v>9.4494047619047616E-2</v>
      </c>
      <c r="R33" s="191">
        <f t="shared" si="7"/>
        <v>0.11811755952380952</v>
      </c>
      <c r="S33" s="386">
        <f t="shared" si="8"/>
        <v>20</v>
      </c>
      <c r="T33" s="191">
        <f t="shared" si="9"/>
        <v>0.22223622047244096</v>
      </c>
      <c r="U33" s="191">
        <f t="shared" si="10"/>
        <v>0.66670866141732299</v>
      </c>
      <c r="V33" s="191">
        <f t="shared" si="11"/>
        <v>0.6562093124186249</v>
      </c>
      <c r="W33" s="175">
        <f t="shared" si="12"/>
        <v>350</v>
      </c>
      <c r="X33" s="386">
        <f t="shared" si="52"/>
        <v>350</v>
      </c>
      <c r="Z33" s="191">
        <f t="shared" si="13"/>
        <v>0.47996976568405147</v>
      </c>
      <c r="AA33" s="153">
        <f t="shared" si="14"/>
        <v>1.4172335600907031</v>
      </c>
      <c r="AB33" s="153">
        <f t="shared" si="15"/>
        <v>0.11904012045735404</v>
      </c>
      <c r="AC33" s="153"/>
      <c r="AD33" s="153">
        <f t="shared" si="16"/>
        <v>0.44291338582677164</v>
      </c>
      <c r="AE33" s="317">
        <f t="shared" si="17"/>
        <v>842.90370370370397</v>
      </c>
      <c r="AF33" s="463">
        <f t="shared" si="18"/>
        <v>1.1626476377952754E-2</v>
      </c>
      <c r="AH33" s="153">
        <f t="shared" si="19"/>
        <v>0.30983866769659335</v>
      </c>
      <c r="AI33" s="153">
        <f t="shared" si="20"/>
        <v>0.30983866769659335</v>
      </c>
      <c r="AJ33" s="153">
        <f t="shared" si="21"/>
        <v>1.3183990131085876</v>
      </c>
      <c r="AL33" s="317">
        <f t="shared" si="22"/>
        <v>28.000000000000004</v>
      </c>
      <c r="AM33" s="147">
        <f t="shared" si="23"/>
        <v>350</v>
      </c>
      <c r="AO33">
        <f t="shared" si="53"/>
        <v>28.000000000000004</v>
      </c>
      <c r="AP33" s="147">
        <f t="shared" si="24"/>
        <v>350</v>
      </c>
      <c r="AQ33" s="147"/>
      <c r="AR33" s="5">
        <f t="shared" si="54"/>
        <v>2.8571428571428572</v>
      </c>
      <c r="AS33" s="5">
        <f t="shared" si="25"/>
        <v>0.92951600308978011</v>
      </c>
      <c r="AT33" s="5">
        <f t="shared" si="55"/>
        <v>1.9276268540530772</v>
      </c>
      <c r="AU33" s="153">
        <f t="shared" si="56"/>
        <v>0.32533060108142303</v>
      </c>
      <c r="AW33" s="5">
        <f t="shared" si="26"/>
        <v>0.68947680000000022</v>
      </c>
      <c r="AX33" s="5">
        <f t="shared" si="27"/>
        <v>1.1650996224000001</v>
      </c>
      <c r="AY33" s="5">
        <f t="shared" si="28"/>
        <v>0.6949164380928764</v>
      </c>
      <c r="AZ33" s="5">
        <f t="shared" si="29"/>
        <v>0.45222871815622906</v>
      </c>
      <c r="BA33" s="5">
        <f t="shared" si="30"/>
        <v>0.10794710382697231</v>
      </c>
      <c r="BB33" s="147">
        <f t="shared" si="31"/>
        <v>10.962710382697232</v>
      </c>
      <c r="BC33" s="5"/>
      <c r="BD33" s="153">
        <f t="shared" si="57"/>
        <v>0.10203224605292945</v>
      </c>
      <c r="BE33" s="153">
        <f t="shared" si="32"/>
        <v>0.14693338887194587</v>
      </c>
      <c r="BF33" s="153">
        <f t="shared" si="33"/>
        <v>0.14635717950382063</v>
      </c>
      <c r="BG33" s="153"/>
      <c r="BH33" s="463">
        <f t="shared" si="34"/>
        <v>3.6437027321119374E-3</v>
      </c>
      <c r="BI33" s="463">
        <f t="shared" si="35"/>
        <v>2.1862216392671625E-2</v>
      </c>
      <c r="BJ33" s="463">
        <f t="shared" si="36"/>
        <v>4.3749999999999995E-3</v>
      </c>
      <c r="BK33" s="463">
        <f t="shared" si="37"/>
        <v>2.8449792000000005E-2</v>
      </c>
      <c r="BL33">
        <f t="shared" si="38"/>
        <v>5.7999999999999996E-3</v>
      </c>
      <c r="BM33">
        <f t="shared" si="39"/>
        <v>1.3124999999999999E-5</v>
      </c>
      <c r="BN33">
        <f t="shared" si="40"/>
        <v>6.4679217448343582E-2</v>
      </c>
      <c r="BO33" s="147">
        <f t="shared" si="58"/>
        <v>64.679217448343579</v>
      </c>
      <c r="BP33" s="153">
        <f t="shared" si="41"/>
        <v>2.7190317464761377E-2</v>
      </c>
      <c r="BQ33" s="153">
        <f t="shared" si="42"/>
        <v>2.7061203930127575E-2</v>
      </c>
      <c r="BR33" s="463"/>
      <c r="BT33" s="147">
        <f t="shared" si="59"/>
        <v>54.251521394888954</v>
      </c>
      <c r="BU33" s="463">
        <f t="shared" si="43"/>
        <v>1.0410579234605536E-2</v>
      </c>
      <c r="BV33" s="463">
        <f t="shared" si="60"/>
        <v>2.1589420765394468E-2</v>
      </c>
      <c r="BW33" s="463">
        <f t="shared" si="44"/>
        <v>1.0710211996156787E-3</v>
      </c>
      <c r="BX33" s="463">
        <f t="shared" si="45"/>
        <v>0</v>
      </c>
      <c r="BY33" s="463">
        <f t="shared" si="46"/>
        <v>3.7137798537388522E-2</v>
      </c>
      <c r="BZ33" s="463">
        <f t="shared" si="61"/>
        <v>3.3071021199615677E-2</v>
      </c>
      <c r="CA33" s="549">
        <f t="shared" si="47"/>
        <v>1.6800000000000002E-2</v>
      </c>
      <c r="CB33" s="147">
        <f t="shared" si="62"/>
        <v>53.937798537388524</v>
      </c>
      <c r="CC33" s="153">
        <f t="shared" si="63"/>
        <v>0.17286853738062105</v>
      </c>
      <c r="CD33" s="5">
        <f t="shared" si="64"/>
        <v>1.008</v>
      </c>
      <c r="CE33" s="153">
        <f t="shared" si="65"/>
        <v>0.85360899040965676</v>
      </c>
      <c r="CF33" s="5">
        <f t="shared" si="66"/>
        <v>85.360899040965677</v>
      </c>
      <c r="CG33">
        <f t="shared" si="67"/>
        <v>28.000000000000004</v>
      </c>
      <c r="CI33" s="59">
        <f t="shared" si="48"/>
        <v>-50</v>
      </c>
      <c r="CJ33">
        <f t="shared" si="49"/>
        <v>-50</v>
      </c>
    </row>
    <row r="34" spans="5:88" x14ac:dyDescent="0.25">
      <c r="E34" s="150">
        <v>29</v>
      </c>
      <c r="F34" s="191">
        <f t="shared" si="68"/>
        <v>2.8999999999999998E-2</v>
      </c>
      <c r="G34" s="191">
        <f t="shared" si="50"/>
        <v>2.8999999999999998E-2</v>
      </c>
      <c r="H34" s="191">
        <f t="shared" si="0"/>
        <v>0.57999999999999996</v>
      </c>
      <c r="I34" s="191">
        <f t="shared" si="69"/>
        <v>0.46399999999999997</v>
      </c>
      <c r="J34" s="472">
        <f t="shared" si="1"/>
        <v>20</v>
      </c>
      <c r="K34" s="386">
        <f t="shared" si="2"/>
        <v>20.32</v>
      </c>
      <c r="L34" s="386">
        <f t="shared" si="3"/>
        <v>40.32</v>
      </c>
      <c r="M34" s="386"/>
      <c r="N34" s="191">
        <f t="shared" si="4"/>
        <v>0.50396825396825395</v>
      </c>
      <c r="O34" s="152">
        <f t="shared" si="51"/>
        <v>1.8898809523809523</v>
      </c>
      <c r="P34" s="152">
        <f t="shared" si="5"/>
        <v>2.7214285714285715</v>
      </c>
      <c r="Q34" s="191">
        <f t="shared" si="6"/>
        <v>9.4494047619047616E-2</v>
      </c>
      <c r="R34" s="191">
        <f t="shared" si="7"/>
        <v>0.11811755952380952</v>
      </c>
      <c r="S34" s="386">
        <f t="shared" si="8"/>
        <v>20</v>
      </c>
      <c r="T34" s="191">
        <f t="shared" si="9"/>
        <v>0.2301732283464567</v>
      </c>
      <c r="U34" s="191">
        <f t="shared" si="10"/>
        <v>0.69051968503937011</v>
      </c>
      <c r="V34" s="191">
        <f t="shared" si="11"/>
        <v>0.67964535929071868</v>
      </c>
      <c r="W34" s="175">
        <f t="shared" si="12"/>
        <v>350</v>
      </c>
      <c r="X34" s="386">
        <f t="shared" si="52"/>
        <v>350</v>
      </c>
      <c r="Z34" s="191">
        <f t="shared" si="13"/>
        <v>0.47996976568405147</v>
      </c>
      <c r="AA34" s="153">
        <f t="shared" si="14"/>
        <v>1.4172335600907031</v>
      </c>
      <c r="AB34" s="153">
        <f t="shared" si="15"/>
        <v>0.11904012045735404</v>
      </c>
      <c r="AC34" s="153"/>
      <c r="AD34" s="153">
        <f t="shared" si="16"/>
        <v>0.44291338582677164</v>
      </c>
      <c r="AE34" s="317">
        <f t="shared" si="17"/>
        <v>873.00740740740753</v>
      </c>
      <c r="AF34" s="463">
        <f t="shared" si="18"/>
        <v>1.1626476377952754E-2</v>
      </c>
      <c r="AH34" s="153">
        <f t="shared" si="19"/>
        <v>0.31532296368734619</v>
      </c>
      <c r="AI34" s="153">
        <f t="shared" si="20"/>
        <v>0.31532296368734619</v>
      </c>
      <c r="AJ34" s="153">
        <f t="shared" si="21"/>
        <v>1.3224614545832194</v>
      </c>
      <c r="AL34" s="317">
        <f t="shared" si="22"/>
        <v>28.999999999999996</v>
      </c>
      <c r="AM34" s="147">
        <f t="shared" si="23"/>
        <v>350</v>
      </c>
      <c r="AO34">
        <f t="shared" si="53"/>
        <v>28.999999999999996</v>
      </c>
      <c r="AP34" s="147">
        <f t="shared" si="24"/>
        <v>350</v>
      </c>
      <c r="AQ34" s="147"/>
      <c r="AR34" s="5">
        <f t="shared" si="54"/>
        <v>2.8571428571428572</v>
      </c>
      <c r="AS34" s="5">
        <f t="shared" si="25"/>
        <v>0.94596889106203852</v>
      </c>
      <c r="AT34" s="5">
        <f t="shared" si="55"/>
        <v>1.9111739660808187</v>
      </c>
      <c r="AU34" s="153">
        <f t="shared" si="56"/>
        <v>0.33108911187171347</v>
      </c>
      <c r="AW34" s="5">
        <f t="shared" si="26"/>
        <v>0.68947680000000022</v>
      </c>
      <c r="AX34" s="5">
        <f t="shared" si="27"/>
        <v>1.2466999775999998</v>
      </c>
      <c r="AY34" s="5">
        <f t="shared" si="28"/>
        <v>0.6949164380928764</v>
      </c>
      <c r="AZ34" s="5">
        <f t="shared" si="29"/>
        <v>0.48303616322626092</v>
      </c>
      <c r="BA34" s="5">
        <f t="shared" si="30"/>
        <v>0.11084809003268747</v>
      </c>
      <c r="BB34" s="147">
        <f t="shared" si="31"/>
        <v>11.25880900326875</v>
      </c>
      <c r="BC34" s="5"/>
      <c r="BD34" s="153">
        <f t="shared" si="57"/>
        <v>0.1047532297178452</v>
      </c>
      <c r="BE34" s="153">
        <f t="shared" si="32"/>
        <v>0.14889465405627397</v>
      </c>
      <c r="BF34" s="153">
        <f t="shared" si="33"/>
        <v>0.14831075345213171</v>
      </c>
      <c r="BG34" s="153"/>
      <c r="BH34" s="463">
        <f t="shared" si="34"/>
        <v>3.8406336977118765E-3</v>
      </c>
      <c r="BI34" s="463">
        <f t="shared" si="35"/>
        <v>2.224918831777915E-2</v>
      </c>
      <c r="BJ34" s="463">
        <f t="shared" si="36"/>
        <v>4.3749999999999995E-3</v>
      </c>
      <c r="BK34" s="463">
        <f t="shared" si="37"/>
        <v>2.8449792000000005E-2</v>
      </c>
      <c r="BL34">
        <f t="shared" si="38"/>
        <v>5.7999999999999996E-3</v>
      </c>
      <c r="BM34">
        <f t="shared" si="39"/>
        <v>1.3124999999999999E-5</v>
      </c>
      <c r="BN34">
        <f t="shared" si="40"/>
        <v>6.52924906222552E-2</v>
      </c>
      <c r="BO34" s="147">
        <f t="shared" si="58"/>
        <v>65.292490622255201</v>
      </c>
      <c r="BP34" s="153">
        <f t="shared" si="41"/>
        <v>2.8015588156994654E-2</v>
      </c>
      <c r="BQ34" s="153">
        <f t="shared" si="42"/>
        <v>2.7883004806407798E-2</v>
      </c>
      <c r="BR34" s="463"/>
      <c r="BT34" s="147">
        <f t="shared" si="59"/>
        <v>55.89859296340245</v>
      </c>
      <c r="BU34" s="463">
        <f t="shared" si="43"/>
        <v>1.0973239136319647E-2</v>
      </c>
      <c r="BV34" s="463">
        <f t="shared" si="60"/>
        <v>2.2169618006537502E-2</v>
      </c>
      <c r="BW34" s="463">
        <f t="shared" si="44"/>
        <v>1.09980397947695E-3</v>
      </c>
      <c r="BX34" s="463">
        <f t="shared" si="45"/>
        <v>0</v>
      </c>
      <c r="BY34" s="463">
        <f t="shared" si="46"/>
        <v>3.8457130415779389E-2</v>
      </c>
      <c r="BZ34" s="463">
        <f t="shared" si="61"/>
        <v>3.4242661122334095E-2</v>
      </c>
      <c r="CA34" s="549">
        <f t="shared" si="47"/>
        <v>1.7400000000000006E-2</v>
      </c>
      <c r="CB34" s="147">
        <f t="shared" si="62"/>
        <v>55.857130415779395</v>
      </c>
      <c r="CC34" s="153">
        <f t="shared" si="63"/>
        <v>0.17704821400143703</v>
      </c>
      <c r="CD34" s="5">
        <f t="shared" si="64"/>
        <v>1.044</v>
      </c>
      <c r="CE34" s="153">
        <f t="shared" si="65"/>
        <v>0.85500309326751223</v>
      </c>
      <c r="CF34" s="5">
        <f t="shared" si="66"/>
        <v>85.500309326751221</v>
      </c>
      <c r="CG34">
        <f t="shared" si="67"/>
        <v>28.999999999999996</v>
      </c>
      <c r="CI34" s="59">
        <f t="shared" si="48"/>
        <v>-50</v>
      </c>
      <c r="CJ34">
        <f t="shared" si="49"/>
        <v>-50</v>
      </c>
    </row>
    <row r="35" spans="5:88" x14ac:dyDescent="0.25">
      <c r="E35" s="150">
        <v>30</v>
      </c>
      <c r="F35" s="191">
        <f t="shared" si="68"/>
        <v>0.03</v>
      </c>
      <c r="G35" s="191">
        <f t="shared" si="50"/>
        <v>0.03</v>
      </c>
      <c r="H35" s="191">
        <f t="shared" si="0"/>
        <v>0.6</v>
      </c>
      <c r="I35" s="191">
        <f t="shared" si="69"/>
        <v>0.48</v>
      </c>
      <c r="J35" s="472">
        <f t="shared" si="1"/>
        <v>20</v>
      </c>
      <c r="K35" s="386">
        <f t="shared" si="2"/>
        <v>20.32</v>
      </c>
      <c r="L35" s="386">
        <f t="shared" si="3"/>
        <v>40.32</v>
      </c>
      <c r="M35" s="386"/>
      <c r="N35" s="191">
        <f t="shared" si="4"/>
        <v>0.50396825396825395</v>
      </c>
      <c r="O35" s="152">
        <f t="shared" si="51"/>
        <v>1.8898809523809523</v>
      </c>
      <c r="P35" s="152">
        <f t="shared" si="5"/>
        <v>2.7214285714285715</v>
      </c>
      <c r="Q35" s="191">
        <f t="shared" si="6"/>
        <v>9.4494047619047616E-2</v>
      </c>
      <c r="R35" s="191">
        <f t="shared" si="7"/>
        <v>0.11811755952380952</v>
      </c>
      <c r="S35" s="386">
        <f t="shared" si="8"/>
        <v>20</v>
      </c>
      <c r="T35" s="191">
        <f t="shared" si="9"/>
        <v>0.23811023622047248</v>
      </c>
      <c r="U35" s="191">
        <f t="shared" si="10"/>
        <v>0.71433070866141746</v>
      </c>
      <c r="V35" s="191">
        <f t="shared" si="11"/>
        <v>0.70308140616281245</v>
      </c>
      <c r="W35" s="175">
        <f t="shared" si="12"/>
        <v>350</v>
      </c>
      <c r="X35" s="386">
        <f t="shared" si="52"/>
        <v>350</v>
      </c>
      <c r="Z35" s="191">
        <f t="shared" si="13"/>
        <v>0.47996976568405147</v>
      </c>
      <c r="AA35" s="153">
        <f t="shared" si="14"/>
        <v>1.4172335600907031</v>
      </c>
      <c r="AB35" s="153">
        <f t="shared" si="15"/>
        <v>0.11904012045735404</v>
      </c>
      <c r="AC35" s="153"/>
      <c r="AD35" s="153">
        <f t="shared" si="16"/>
        <v>0.44291338582677164</v>
      </c>
      <c r="AE35" s="317">
        <f t="shared" si="17"/>
        <v>903.1111111111112</v>
      </c>
      <c r="AF35" s="463">
        <f t="shared" si="18"/>
        <v>1.1626476377952754E-2</v>
      </c>
      <c r="AH35" s="153">
        <f t="shared" si="19"/>
        <v>0.32071349029490925</v>
      </c>
      <c r="AI35" s="153">
        <f t="shared" si="20"/>
        <v>0.32071349029490925</v>
      </c>
      <c r="AJ35" s="153">
        <f t="shared" si="21"/>
        <v>1.3264544372554883</v>
      </c>
      <c r="AL35" s="317">
        <f t="shared" si="22"/>
        <v>30</v>
      </c>
      <c r="AM35" s="147">
        <f t="shared" si="23"/>
        <v>350</v>
      </c>
      <c r="AO35">
        <f t="shared" si="53"/>
        <v>30</v>
      </c>
      <c r="AP35" s="147">
        <f t="shared" si="24"/>
        <v>350</v>
      </c>
      <c r="AQ35" s="147"/>
      <c r="AR35" s="5">
        <f t="shared" si="54"/>
        <v>2.8571428571428572</v>
      </c>
      <c r="AS35" s="5">
        <f t="shared" si="25"/>
        <v>0.96214047088472776</v>
      </c>
      <c r="AT35" s="5">
        <f t="shared" si="55"/>
        <v>1.8950023862581293</v>
      </c>
      <c r="AU35" s="153">
        <f t="shared" si="56"/>
        <v>0.33674916480965472</v>
      </c>
      <c r="AW35" s="5">
        <f t="shared" si="26"/>
        <v>0.68947680000000022</v>
      </c>
      <c r="AX35" s="5">
        <f t="shared" si="27"/>
        <v>1.3310582400000002</v>
      </c>
      <c r="AY35" s="5">
        <f t="shared" si="28"/>
        <v>0.6949164380928764</v>
      </c>
      <c r="AZ35" s="5">
        <f t="shared" si="29"/>
        <v>0.51485439584260995</v>
      </c>
      <c r="BA35" s="5">
        <f t="shared" si="30"/>
        <v>0.11370014317548775</v>
      </c>
      <c r="BB35" s="147">
        <f t="shared" si="31"/>
        <v>11.550014317548776</v>
      </c>
      <c r="BC35" s="5"/>
      <c r="BD35" s="153">
        <f t="shared" si="57"/>
        <v>0.1074508522563536</v>
      </c>
      <c r="BE35" s="153">
        <f t="shared" si="32"/>
        <v>0.15079797291441802</v>
      </c>
      <c r="BF35" s="153">
        <f t="shared" si="33"/>
        <v>0.15020660831475363</v>
      </c>
      <c r="BG35" s="153"/>
      <c r="BH35" s="463">
        <f t="shared" si="34"/>
        <v>4.0409899777158554E-3</v>
      </c>
      <c r="BI35" s="463">
        <f t="shared" si="35"/>
        <v>2.2629543875208796E-2</v>
      </c>
      <c r="BJ35" s="463">
        <f t="shared" si="36"/>
        <v>4.3749999999999995E-3</v>
      </c>
      <c r="BK35" s="463">
        <f t="shared" si="37"/>
        <v>2.8449792000000005E-2</v>
      </c>
      <c r="BL35">
        <f t="shared" si="38"/>
        <v>5.7999999999999996E-3</v>
      </c>
      <c r="BM35">
        <f t="shared" si="39"/>
        <v>1.3124999999999999E-5</v>
      </c>
      <c r="BN35">
        <f t="shared" si="40"/>
        <v>6.5903119404321212E-2</v>
      </c>
      <c r="BO35" s="147">
        <f t="shared" si="58"/>
        <v>65.903119404321217</v>
      </c>
      <c r="BP35" s="153">
        <f t="shared" si="41"/>
        <v>2.8833381877214528E-2</v>
      </c>
      <c r="BQ35" s="153">
        <f t="shared" si="42"/>
        <v>2.8697387238606271E-2</v>
      </c>
      <c r="BR35" s="463"/>
      <c r="BT35" s="147">
        <f t="shared" si="59"/>
        <v>57.530769115820803</v>
      </c>
      <c r="BU35" s="463">
        <f t="shared" si="43"/>
        <v>1.1545685650616731E-2</v>
      </c>
      <c r="BV35" s="463">
        <f t="shared" si="60"/>
        <v>2.274002863509755E-2</v>
      </c>
      <c r="BW35" s="463">
        <f t="shared" si="44"/>
        <v>1.1281012590710908E-3</v>
      </c>
      <c r="BX35" s="463">
        <f t="shared" si="45"/>
        <v>0</v>
      </c>
      <c r="BY35" s="463">
        <f t="shared" si="46"/>
        <v>3.9776163467448854E-2</v>
      </c>
      <c r="BZ35" s="463">
        <f t="shared" si="61"/>
        <v>3.5413815544785371E-2</v>
      </c>
      <c r="CA35" s="549">
        <f t="shared" si="47"/>
        <v>1.8000000000000002E-2</v>
      </c>
      <c r="CB35" s="147">
        <f t="shared" si="62"/>
        <v>57.776163467448853</v>
      </c>
      <c r="CC35" s="153">
        <f t="shared" si="63"/>
        <v>0.18121005198759088</v>
      </c>
      <c r="CD35" s="5">
        <f t="shared" si="64"/>
        <v>1.08</v>
      </c>
      <c r="CE35" s="153">
        <f t="shared" si="65"/>
        <v>0.85632048230029989</v>
      </c>
      <c r="CF35" s="5">
        <f t="shared" si="66"/>
        <v>85.632048230029994</v>
      </c>
      <c r="CG35">
        <f t="shared" si="67"/>
        <v>30</v>
      </c>
      <c r="CI35" s="59">
        <f t="shared" si="48"/>
        <v>-50</v>
      </c>
      <c r="CJ35">
        <f t="shared" si="49"/>
        <v>-50</v>
      </c>
    </row>
    <row r="36" spans="5:88" x14ac:dyDescent="0.25">
      <c r="E36" s="150">
        <v>31</v>
      </c>
      <c r="F36" s="191">
        <f t="shared" si="68"/>
        <v>3.1E-2</v>
      </c>
      <c r="G36" s="191">
        <f t="shared" si="50"/>
        <v>3.1E-2</v>
      </c>
      <c r="H36" s="191">
        <f t="shared" si="0"/>
        <v>0.62</v>
      </c>
      <c r="I36" s="191">
        <f t="shared" si="69"/>
        <v>0.496</v>
      </c>
      <c r="J36" s="472">
        <f t="shared" si="1"/>
        <v>20</v>
      </c>
      <c r="K36" s="386">
        <f t="shared" si="2"/>
        <v>20.32</v>
      </c>
      <c r="L36" s="386">
        <f t="shared" si="3"/>
        <v>40.32</v>
      </c>
      <c r="M36" s="386"/>
      <c r="N36" s="191">
        <f t="shared" si="4"/>
        <v>0.50396825396825395</v>
      </c>
      <c r="O36" s="152">
        <f t="shared" si="51"/>
        <v>1.8898809523809523</v>
      </c>
      <c r="P36" s="152">
        <f t="shared" si="5"/>
        <v>2.7214285714285715</v>
      </c>
      <c r="Q36" s="191">
        <f t="shared" si="6"/>
        <v>9.4494047619047616E-2</v>
      </c>
      <c r="R36" s="191">
        <f t="shared" si="7"/>
        <v>0.11811755952380952</v>
      </c>
      <c r="S36" s="386">
        <f t="shared" si="8"/>
        <v>20</v>
      </c>
      <c r="T36" s="191">
        <f t="shared" si="9"/>
        <v>0.24604724409448822</v>
      </c>
      <c r="U36" s="191">
        <f t="shared" si="10"/>
        <v>0.73814173228346469</v>
      </c>
      <c r="V36" s="191">
        <f t="shared" si="11"/>
        <v>0.72651745303490622</v>
      </c>
      <c r="W36" s="175">
        <f t="shared" si="12"/>
        <v>350</v>
      </c>
      <c r="X36" s="386">
        <f t="shared" si="52"/>
        <v>350</v>
      </c>
      <c r="Z36" s="191">
        <f t="shared" si="13"/>
        <v>0.47996976568405147</v>
      </c>
      <c r="AA36" s="153">
        <f t="shared" si="14"/>
        <v>1.4172335600907031</v>
      </c>
      <c r="AB36" s="153">
        <f t="shared" si="15"/>
        <v>0.11904012045735404</v>
      </c>
      <c r="AC36" s="153"/>
      <c r="AD36" s="153">
        <f t="shared" si="16"/>
        <v>0.44291338582677164</v>
      </c>
      <c r="AE36" s="317">
        <f t="shared" si="17"/>
        <v>933.21481481481499</v>
      </c>
      <c r="AF36" s="463">
        <f t="shared" si="18"/>
        <v>1.1626476377952754E-2</v>
      </c>
      <c r="AH36" s="153">
        <f t="shared" si="19"/>
        <v>0.32601489887076374</v>
      </c>
      <c r="AI36" s="153">
        <f t="shared" si="20"/>
        <v>0.32601489887076374</v>
      </c>
      <c r="AJ36" s="153">
        <f t="shared" si="21"/>
        <v>1.3303814065709361</v>
      </c>
      <c r="AL36" s="317">
        <f t="shared" si="22"/>
        <v>31</v>
      </c>
      <c r="AM36" s="147">
        <f t="shared" si="23"/>
        <v>350</v>
      </c>
      <c r="AO36">
        <f t="shared" si="53"/>
        <v>31</v>
      </c>
      <c r="AP36" s="147">
        <f t="shared" si="24"/>
        <v>350</v>
      </c>
      <c r="AQ36" s="147"/>
      <c r="AR36" s="5">
        <f t="shared" si="54"/>
        <v>2.8571428571428572</v>
      </c>
      <c r="AS36" s="5">
        <f t="shared" si="25"/>
        <v>0.97804469661229121</v>
      </c>
      <c r="AT36" s="5">
        <f t="shared" si="55"/>
        <v>1.8790981605305661</v>
      </c>
      <c r="AU36" s="153">
        <f t="shared" si="56"/>
        <v>0.34231564381430191</v>
      </c>
      <c r="AW36" s="5">
        <f t="shared" si="26"/>
        <v>0.68947680000000022</v>
      </c>
      <c r="AX36" s="5">
        <f t="shared" si="27"/>
        <v>1.4181744096</v>
      </c>
      <c r="AY36" s="5">
        <f t="shared" si="28"/>
        <v>0.6949164380928764</v>
      </c>
      <c r="AZ36" s="5">
        <f t="shared" si="29"/>
        <v>0.54768341600527559</v>
      </c>
      <c r="BA36" s="5">
        <f t="shared" si="30"/>
        <v>0.1165040859528951</v>
      </c>
      <c r="BB36" s="147">
        <f t="shared" si="31"/>
        <v>11.836408595289511</v>
      </c>
      <c r="BC36" s="5"/>
      <c r="BD36" s="153">
        <f t="shared" si="57"/>
        <v>0.11012608336807594</v>
      </c>
      <c r="BE36" s="153">
        <f t="shared" si="32"/>
        <v>0.15264605199800951</v>
      </c>
      <c r="BF36" s="153">
        <f t="shared" si="33"/>
        <v>0.15204744002938989</v>
      </c>
      <c r="BG36" s="153"/>
      <c r="BH36" s="463">
        <f t="shared" si="34"/>
        <v>4.2447139832973444E-3</v>
      </c>
      <c r="BI36" s="463">
        <f t="shared" si="35"/>
        <v>2.3003611264321086E-2</v>
      </c>
      <c r="BJ36" s="463">
        <f t="shared" si="36"/>
        <v>4.3749999999999995E-3</v>
      </c>
      <c r="BK36" s="463">
        <f t="shared" si="37"/>
        <v>2.8449792000000005E-2</v>
      </c>
      <c r="BL36">
        <f t="shared" si="38"/>
        <v>5.7999999999999996E-3</v>
      </c>
      <c r="BM36">
        <f t="shared" si="39"/>
        <v>1.3124999999999999E-5</v>
      </c>
      <c r="BN36">
        <f t="shared" si="40"/>
        <v>6.6511366994461793E-2</v>
      </c>
      <c r="BO36" s="147">
        <f t="shared" si="58"/>
        <v>66.511366994461795</v>
      </c>
      <c r="BP36" s="153">
        <f t="shared" si="41"/>
        <v>2.9643824333602374E-2</v>
      </c>
      <c r="BQ36" s="153">
        <f t="shared" si="42"/>
        <v>2.9504475950891063E-2</v>
      </c>
      <c r="BR36" s="463"/>
      <c r="BT36" s="147">
        <f t="shared" si="59"/>
        <v>59.148300284493438</v>
      </c>
      <c r="BU36" s="463">
        <f t="shared" si="43"/>
        <v>1.2127754237992413E-2</v>
      </c>
      <c r="BV36" s="463">
        <f t="shared" si="60"/>
        <v>2.3300817190579023E-2</v>
      </c>
      <c r="BW36" s="463">
        <f t="shared" si="44"/>
        <v>1.1559212009745457E-3</v>
      </c>
      <c r="BX36" s="463">
        <f t="shared" si="45"/>
        <v>0</v>
      </c>
      <c r="BY36" s="463">
        <f t="shared" si="46"/>
        <v>4.1094906649846955E-2</v>
      </c>
      <c r="BZ36" s="463">
        <f t="shared" si="61"/>
        <v>3.6584492629545981E-2</v>
      </c>
      <c r="CA36" s="549">
        <f t="shared" si="47"/>
        <v>1.8600000000000005E-2</v>
      </c>
      <c r="CB36" s="147">
        <f t="shared" si="62"/>
        <v>59.694906649846963</v>
      </c>
      <c r="CC36" s="153">
        <f t="shared" si="63"/>
        <v>0.18535457392880217</v>
      </c>
      <c r="CD36" s="5">
        <f t="shared" si="64"/>
        <v>1.1160000000000001</v>
      </c>
      <c r="CE36" s="153">
        <f t="shared" si="65"/>
        <v>0.85756796983529648</v>
      </c>
      <c r="CF36" s="5">
        <f t="shared" si="66"/>
        <v>85.756796983529654</v>
      </c>
      <c r="CG36">
        <f t="shared" si="67"/>
        <v>31</v>
      </c>
      <c r="CI36" s="59">
        <f t="shared" si="48"/>
        <v>-50</v>
      </c>
      <c r="CJ36">
        <f t="shared" si="49"/>
        <v>-50</v>
      </c>
    </row>
    <row r="37" spans="5:88" x14ac:dyDescent="0.25">
      <c r="E37" s="150">
        <v>32</v>
      </c>
      <c r="F37" s="191">
        <f t="shared" si="68"/>
        <v>3.2000000000000001E-2</v>
      </c>
      <c r="G37" s="191">
        <f t="shared" si="50"/>
        <v>3.2000000000000001E-2</v>
      </c>
      <c r="H37" s="191">
        <f t="shared" ref="H37:H68" si="70">F37*Vout</f>
        <v>0.64</v>
      </c>
      <c r="I37" s="191">
        <f t="shared" si="69"/>
        <v>0.51200000000000001</v>
      </c>
      <c r="J37" s="472">
        <f t="shared" si="1"/>
        <v>20</v>
      </c>
      <c r="K37" s="386">
        <f t="shared" si="2"/>
        <v>20.32</v>
      </c>
      <c r="L37" s="386">
        <f t="shared" si="3"/>
        <v>40.32</v>
      </c>
      <c r="M37" s="386"/>
      <c r="N37" s="191">
        <f t="shared" si="4"/>
        <v>0.50396825396825395</v>
      </c>
      <c r="O37" s="152">
        <f t="shared" si="51"/>
        <v>1.8898809523809523</v>
      </c>
      <c r="P37" s="152">
        <f t="shared" ref="P37:P68" si="71">N37*J37*Isw_max*0.5*Efficiency*(Pout2/Pout_total)</f>
        <v>2.7214285714285715</v>
      </c>
      <c r="Q37" s="191">
        <f t="shared" si="6"/>
        <v>9.4494047619047616E-2</v>
      </c>
      <c r="R37" s="191">
        <f t="shared" ref="R37:R68" si="72">O37/Vout2</f>
        <v>0.11811755952380952</v>
      </c>
      <c r="S37" s="386">
        <f t="shared" ref="S37:S68" si="73">MIN(Vout,O37/F37)</f>
        <v>20</v>
      </c>
      <c r="T37" s="191">
        <f t="shared" ref="T37:T68" si="74">MIN(2*(Vout*F37+Vout2*G37)/(Efficiency*J37*N37), Isw_max)</f>
        <v>0.25398425196850399</v>
      </c>
      <c r="U37" s="191">
        <f t="shared" si="10"/>
        <v>0.76195275590551204</v>
      </c>
      <c r="V37" s="191">
        <f t="shared" si="11"/>
        <v>0.749953499907</v>
      </c>
      <c r="W37" s="175">
        <f t="shared" si="12"/>
        <v>350</v>
      </c>
      <c r="X37" s="386">
        <f t="shared" si="52"/>
        <v>350</v>
      </c>
      <c r="Z37" s="191">
        <f t="shared" si="13"/>
        <v>0.47996976568405147</v>
      </c>
      <c r="AA37" s="153">
        <f t="shared" si="14"/>
        <v>1.4172335600907031</v>
      </c>
      <c r="AB37" s="153">
        <f t="shared" ref="AB37:AB68" si="75">0.5*AA37*Z37*Nps*W37/1000*(Pout/Pout_total)</f>
        <v>0.11904012045735404</v>
      </c>
      <c r="AC37" s="153"/>
      <c r="AD37" s="153">
        <f t="shared" si="16"/>
        <v>0.44291338582677164</v>
      </c>
      <c r="AE37" s="317">
        <f t="shared" ref="AE37:AE68" si="76">MAX(10, F37/(0.5*AD37/1000000*Isw_min*Nps)/1000*Pout_total/Pout)</f>
        <v>963.31851851851866</v>
      </c>
      <c r="AF37" s="463">
        <f t="shared" ref="AF37:AF68" si="77">0.5*AD37/1000000*Isw_min*Nps*W37*1000*(Pout/Pout_total)</f>
        <v>1.1626476377952754E-2</v>
      </c>
      <c r="AH37" s="153">
        <f t="shared" ref="AH37:AH68" si="78">SQRT((H37+I37)/(0.5*L*Fsw_DCM))</f>
        <v>0.33123146848433005</v>
      </c>
      <c r="AI37" s="153">
        <f t="shared" ref="AI37:AI68" si="79">MAX(IF(F37&gt;AB37,T37,AH37),Isw_min)</f>
        <v>0.33123146848433005</v>
      </c>
      <c r="AJ37" s="153">
        <f t="shared" ref="AJ37:AJ68" si="80">IF(F37&gt;AF37, (AI37-Isw_min)/1.08*0.8+1.2, AE37*0.2/350+1)</f>
        <v>1.3342455322106148</v>
      </c>
      <c r="AL37" s="317">
        <f t="shared" ref="AL37:AL68" si="81">F37*1000</f>
        <v>32</v>
      </c>
      <c r="AM37" s="147">
        <f t="shared" ref="AM37:AM68" si="82">IF(F37&gt;AF37, X37, AE37)</f>
        <v>350</v>
      </c>
      <c r="AO37">
        <f t="shared" si="53"/>
        <v>32</v>
      </c>
      <c r="AP37" s="147">
        <f t="shared" si="24"/>
        <v>350</v>
      </c>
      <c r="AQ37" s="147"/>
      <c r="AR37" s="5">
        <f t="shared" si="54"/>
        <v>2.8571428571428572</v>
      </c>
      <c r="AS37" s="5">
        <f t="shared" si="25"/>
        <v>0.99369440545299026</v>
      </c>
      <c r="AT37" s="5">
        <f t="shared" si="55"/>
        <v>1.8634484516898668</v>
      </c>
      <c r="AU37" s="153">
        <f t="shared" si="56"/>
        <v>0.3477930419085466</v>
      </c>
      <c r="AW37" s="5">
        <f t="shared" ref="AW37:AW68" si="83">L*Iout^2/(2*Vripple1_spec*Vout*Npri_sec1^2)*1000000000*((1+N37)/(1-N37))^2</f>
        <v>0.68947680000000022</v>
      </c>
      <c r="AX37" s="5">
        <f t="shared" ref="AX37:AX68" si="84">L*F37^2/(2*Cout*Vout*Nps^2)*1000000000*((1+N37)/(1-N37))^2+F37*RCoutEsr</f>
        <v>1.5080484863999999</v>
      </c>
      <c r="AY37" s="5">
        <f t="shared" ref="AY37:AY68" si="85">L*Iout2^2/(2*Vripple2_spec*Vout2*Npri_sec2^2)*1000000000*((1+N37)/(1-N37))^2</f>
        <v>0.6949164380928764</v>
      </c>
      <c r="AZ37" s="5">
        <f t="shared" ref="AZ37:AZ68" si="86">L*G37^2/(2*Cout2*Vout2*Npri_sec2^2)*1000000000*((1+N37)/(1-N37))^2+G37*CoutEsr2</f>
        <v>0.58152322371425824</v>
      </c>
      <c r="BA37" s="5">
        <f t="shared" ref="BA37:BA68" si="87">(H37+I37)/Efficiency/J37*AT37/Vinripple1</f>
        <v>0.11926070090815148</v>
      </c>
      <c r="BB37" s="147">
        <f t="shared" ref="BB37:BB68" si="88">((CD37/J37/Efficiency)*AT37/Cin+(CD37/J37/Efficiency)*RCinEsr)*1000</f>
        <v>12.118070090815147</v>
      </c>
      <c r="BC37" s="5"/>
      <c r="BD37" s="153">
        <f t="shared" si="57"/>
        <v>0.11277982261822493</v>
      </c>
      <c r="BE37" s="153">
        <f t="shared" ref="BE37:BE68" si="89">AI37*Npri_sec1*SQRT((1-AU37)/3)*(Pout/Pout_total)</f>
        <v>0.15444138105323424</v>
      </c>
      <c r="BF37" s="153">
        <f t="shared" ref="BF37:BF68" si="90">AI37*Npri_sec2*SQRT((1-AU37)/3)*(Pout2/Pout_total)</f>
        <v>0.15383572857851568</v>
      </c>
      <c r="BG37" s="153"/>
      <c r="BH37" s="463">
        <f t="shared" si="34"/>
        <v>4.4517509364293975E-3</v>
      </c>
      <c r="BI37" s="463">
        <f t="shared" si="35"/>
        <v>2.3371692416254329E-2</v>
      </c>
      <c r="BJ37" s="463">
        <f t="shared" si="36"/>
        <v>4.3749999999999995E-3</v>
      </c>
      <c r="BK37" s="463">
        <f t="shared" si="37"/>
        <v>2.8449792000000005E-2</v>
      </c>
      <c r="BL37">
        <f t="shared" si="38"/>
        <v>5.7999999999999996E-3</v>
      </c>
      <c r="BM37">
        <f t="shared" ref="BM37:BM68" si="91">(J37-Vdd)*Qg*AM37</f>
        <v>1.3124999999999999E-5</v>
      </c>
      <c r="BN37">
        <f t="shared" ref="BN37:BN68" si="92">(BI37+BJ37+BK37+BL37+BM37+BH37*(1+RdsonTC*(Ta-25)))/(1-BH37*RdsonTC*ThetaJA)</f>
        <v>6.7117473534960975E-2</v>
      </c>
      <c r="BO37" s="147">
        <f t="shared" si="58"/>
        <v>67.117473534960979</v>
      </c>
      <c r="BP37" s="153">
        <f t="shared" ref="BP37:BP68" si="93">(Vfwd2*F37+BE37^2*Rdiode)*(1+Diode_TC/1000*(Ta-25))</f>
        <v>3.0447035098765549E-2</v>
      </c>
      <c r="BQ37" s="153">
        <f t="shared" ref="BQ37:BQ68" si="94">(Vfwd2*G37+BF37^2*Rdiode)*(1+Diode_TC/1000*(Ta-25))</f>
        <v>3.0304389579884024E-2</v>
      </c>
      <c r="BR37" s="463"/>
      <c r="BT37" s="147">
        <f t="shared" si="59"/>
        <v>60.75142467864957</v>
      </c>
      <c r="BU37" s="463">
        <f t="shared" si="43"/>
        <v>1.2719288389798279E-2</v>
      </c>
      <c r="BV37" s="463">
        <f t="shared" si="60"/>
        <v>2.3852140181630298E-2</v>
      </c>
      <c r="BW37" s="463">
        <f t="shared" ref="BW37:BW68" si="95">Rdcr_sec2*BF37^2</f>
        <v>1.1832715693641375E-3</v>
      </c>
      <c r="BX37" s="463">
        <f t="shared" si="45"/>
        <v>0</v>
      </c>
      <c r="BY37" s="463">
        <f t="shared" ref="BY37:BY68" si="96">(BX37+(BU37+BV37+BW37)*(1+Ltc*(Ta-25)))/(1-(BU37+BV37+BW37)*Ltc*ThetaCa)</f>
        <v>4.2413368478396871E-2</v>
      </c>
      <c r="BZ37" s="463">
        <f t="shared" si="61"/>
        <v>3.7754700140792713E-2</v>
      </c>
      <c r="CA37" s="549">
        <f t="shared" ref="CA37:CA68" si="97">0.5*Lleak*0.000000001*AI37^2*AM37*1000</f>
        <v>1.9200000000000009E-2</v>
      </c>
      <c r="CB37" s="147">
        <f t="shared" si="62"/>
        <v>61.613368478396879</v>
      </c>
      <c r="CC37" s="153">
        <f t="shared" si="63"/>
        <v>0.18948226669200741</v>
      </c>
      <c r="CD37" s="5">
        <f t="shared" si="64"/>
        <v>1.1520000000000001</v>
      </c>
      <c r="CE37" s="153">
        <f t="shared" si="65"/>
        <v>0.85875156802537822</v>
      </c>
      <c r="CF37" s="5">
        <f t="shared" si="66"/>
        <v>85.875156802537816</v>
      </c>
      <c r="CG37">
        <f t="shared" si="67"/>
        <v>32</v>
      </c>
      <c r="CI37" s="59">
        <f t="shared" ref="CI37:CI68" si="98">IF(ABS(F37-Ioutmax_Vinnom)&lt;Iout/200, AM37, -50)</f>
        <v>-50</v>
      </c>
      <c r="CJ37">
        <f t="shared" ref="CJ37:CJ68" si="99">IF(ABS(F37-Ioutmax_Vinnom)&lt;Iout/200, (O37+P37)*CE37, -50)</f>
        <v>-50</v>
      </c>
    </row>
    <row r="38" spans="5:88" x14ac:dyDescent="0.25">
      <c r="E38" s="150">
        <v>33</v>
      </c>
      <c r="F38" s="191">
        <f t="shared" si="68"/>
        <v>3.3000000000000002E-2</v>
      </c>
      <c r="G38" s="191">
        <f t="shared" ref="G38:G69" si="100">IF(PLOT_TYPE=1, E38/100*Iout2, min_I*EXP(Q38*rr/100))</f>
        <v>3.3000000000000002E-2</v>
      </c>
      <c r="H38" s="191">
        <f t="shared" si="70"/>
        <v>0.66</v>
      </c>
      <c r="I38" s="191">
        <f t="shared" si="69"/>
        <v>0.52800000000000002</v>
      </c>
      <c r="J38" s="472">
        <f t="shared" si="1"/>
        <v>20</v>
      </c>
      <c r="K38" s="386">
        <f t="shared" si="2"/>
        <v>20.32</v>
      </c>
      <c r="L38" s="386">
        <f t="shared" si="3"/>
        <v>40.32</v>
      </c>
      <c r="M38" s="386"/>
      <c r="N38" s="191">
        <f t="shared" si="4"/>
        <v>0.50396825396825395</v>
      </c>
      <c r="O38" s="152">
        <f t="shared" ref="O38:O69" si="101">N38*J38*Isw_max*0.5*Efficiency*Pout/(Pout+Pout2)</f>
        <v>1.8898809523809523</v>
      </c>
      <c r="P38" s="152">
        <f t="shared" si="71"/>
        <v>2.7214285714285715</v>
      </c>
      <c r="Q38" s="191">
        <f t="shared" si="6"/>
        <v>9.4494047619047616E-2</v>
      </c>
      <c r="R38" s="191">
        <f t="shared" si="72"/>
        <v>0.11811755952380952</v>
      </c>
      <c r="S38" s="386">
        <f t="shared" si="73"/>
        <v>20</v>
      </c>
      <c r="T38" s="191">
        <f t="shared" si="74"/>
        <v>0.26192125984251974</v>
      </c>
      <c r="U38" s="191">
        <f t="shared" si="10"/>
        <v>0.78576377952755916</v>
      </c>
      <c r="V38" s="191">
        <f t="shared" si="11"/>
        <v>0.77338954677909366</v>
      </c>
      <c r="W38" s="175">
        <f t="shared" si="12"/>
        <v>350</v>
      </c>
      <c r="X38" s="386">
        <f t="shared" si="52"/>
        <v>350</v>
      </c>
      <c r="Z38" s="191">
        <f t="shared" si="13"/>
        <v>0.47996976568405147</v>
      </c>
      <c r="AA38" s="153">
        <f t="shared" si="14"/>
        <v>1.4172335600907031</v>
      </c>
      <c r="AB38" s="153">
        <f t="shared" si="75"/>
        <v>0.11904012045735404</v>
      </c>
      <c r="AC38" s="153"/>
      <c r="AD38" s="153">
        <f t="shared" si="16"/>
        <v>0.44291338582677164</v>
      </c>
      <c r="AE38" s="317">
        <f t="shared" si="76"/>
        <v>993.42222222222233</v>
      </c>
      <c r="AF38" s="463">
        <f t="shared" si="77"/>
        <v>1.1626476377952754E-2</v>
      </c>
      <c r="AH38" s="153">
        <f t="shared" si="78"/>
        <v>0.33636714634883286</v>
      </c>
      <c r="AI38" s="153">
        <f t="shared" si="79"/>
        <v>0.33636714634883286</v>
      </c>
      <c r="AJ38" s="153">
        <f t="shared" si="80"/>
        <v>1.3380497380361724</v>
      </c>
      <c r="AL38" s="317">
        <f t="shared" si="81"/>
        <v>33</v>
      </c>
      <c r="AM38" s="147">
        <f t="shared" si="82"/>
        <v>350</v>
      </c>
      <c r="AO38">
        <f t="shared" si="53"/>
        <v>33</v>
      </c>
      <c r="AP38" s="147">
        <f t="shared" si="24"/>
        <v>350</v>
      </c>
      <c r="AQ38" s="147"/>
      <c r="AR38" s="5">
        <f t="shared" si="54"/>
        <v>2.8571428571428572</v>
      </c>
      <c r="AS38" s="5">
        <f t="shared" si="25"/>
        <v>1.0091014390464985</v>
      </c>
      <c r="AT38" s="5">
        <f t="shared" si="55"/>
        <v>1.8480414180963587</v>
      </c>
      <c r="AU38" s="153">
        <f t="shared" si="56"/>
        <v>0.35318550366627449</v>
      </c>
      <c r="AW38" s="5">
        <f t="shared" si="83"/>
        <v>0.68947680000000022</v>
      </c>
      <c r="AX38" s="5">
        <f t="shared" si="84"/>
        <v>1.6006804704000002</v>
      </c>
      <c r="AY38" s="5">
        <f t="shared" si="85"/>
        <v>0.6949164380928764</v>
      </c>
      <c r="AZ38" s="5">
        <f t="shared" si="86"/>
        <v>0.61637381896955801</v>
      </c>
      <c r="BA38" s="5">
        <f t="shared" si="87"/>
        <v>0.12197073359435968</v>
      </c>
      <c r="BB38" s="147">
        <f t="shared" si="88"/>
        <v>12.395073359435969</v>
      </c>
      <c r="BC38" s="5"/>
      <c r="BD38" s="153">
        <f t="shared" si="57"/>
        <v>0.11541290653741365</v>
      </c>
      <c r="BE38" s="153">
        <f t="shared" si="89"/>
        <v>0.15618625649804124</v>
      </c>
      <c r="BF38" s="153">
        <f t="shared" si="90"/>
        <v>0.15557376137451953</v>
      </c>
      <c r="BG38" s="153"/>
      <c r="BH38" s="463">
        <f t="shared" si="34"/>
        <v>4.6620486483948216E-3</v>
      </c>
      <c r="BI38" s="463">
        <f t="shared" si="35"/>
        <v>2.373406584637365E-2</v>
      </c>
      <c r="BJ38" s="463">
        <f t="shared" si="36"/>
        <v>4.3749999999999995E-3</v>
      </c>
      <c r="BK38" s="463">
        <f t="shared" si="37"/>
        <v>2.8449792000000005E-2</v>
      </c>
      <c r="BL38">
        <f t="shared" si="38"/>
        <v>5.7999999999999996E-3</v>
      </c>
      <c r="BM38">
        <f t="shared" si="91"/>
        <v>1.3124999999999999E-5</v>
      </c>
      <c r="BN38">
        <f t="shared" si="92"/>
        <v>6.7721658709947369E-2</v>
      </c>
      <c r="BO38" s="147">
        <f t="shared" si="58"/>
        <v>67.721658709947363</v>
      </c>
      <c r="BP38" s="153">
        <f t="shared" si="93"/>
        <v>3.1243128093218161E-2</v>
      </c>
      <c r="BQ38" s="153">
        <f t="shared" si="94"/>
        <v>3.1097241154356987E-2</v>
      </c>
      <c r="BR38" s="463"/>
      <c r="BT38" s="147">
        <f t="shared" si="59"/>
        <v>62.340369247575147</v>
      </c>
      <c r="BU38" s="463">
        <f t="shared" si="43"/>
        <v>1.3320138995413778E-2</v>
      </c>
      <c r="BV38" s="463">
        <f t="shared" si="60"/>
        <v>2.4394146718871929E-2</v>
      </c>
      <c r="BW38" s="463">
        <f t="shared" si="95"/>
        <v>1.2101597614107974E-3</v>
      </c>
      <c r="BX38" s="463">
        <f t="shared" si="45"/>
        <v>0</v>
      </c>
      <c r="BY38" s="463">
        <f t="shared" si="96"/>
        <v>4.3731557061452549E-2</v>
      </c>
      <c r="BZ38" s="463">
        <f t="shared" si="61"/>
        <v>3.8924445475696505E-2</v>
      </c>
      <c r="CA38" s="549">
        <f t="shared" si="97"/>
        <v>1.9800000000000005E-2</v>
      </c>
      <c r="CB38" s="147">
        <f t="shared" si="62"/>
        <v>63.531557061452553</v>
      </c>
      <c r="CC38" s="153">
        <f t="shared" si="63"/>
        <v>0.19359358501897508</v>
      </c>
      <c r="CD38" s="5">
        <f t="shared" si="64"/>
        <v>1.1880000000000002</v>
      </c>
      <c r="CE38" s="153">
        <f t="shared" si="65"/>
        <v>0.85987660400412447</v>
      </c>
      <c r="CF38" s="5">
        <f t="shared" si="66"/>
        <v>85.987660400412452</v>
      </c>
      <c r="CG38">
        <f t="shared" ref="CG38:CG69" si="102">F38/Iout*100</f>
        <v>33</v>
      </c>
      <c r="CI38" s="59">
        <f t="shared" si="98"/>
        <v>-50</v>
      </c>
      <c r="CJ38">
        <f t="shared" si="99"/>
        <v>-50</v>
      </c>
    </row>
    <row r="39" spans="5:88" x14ac:dyDescent="0.25">
      <c r="E39" s="150">
        <v>34</v>
      </c>
      <c r="F39" s="191">
        <f t="shared" si="68"/>
        <v>3.4000000000000002E-2</v>
      </c>
      <c r="G39" s="191">
        <f t="shared" si="100"/>
        <v>3.4000000000000002E-2</v>
      </c>
      <c r="H39" s="191">
        <f t="shared" si="70"/>
        <v>0.68</v>
      </c>
      <c r="I39" s="191">
        <f t="shared" si="69"/>
        <v>0.54400000000000004</v>
      </c>
      <c r="J39" s="472">
        <f t="shared" si="1"/>
        <v>20</v>
      </c>
      <c r="K39" s="386">
        <f t="shared" si="2"/>
        <v>20.32</v>
      </c>
      <c r="L39" s="386">
        <f t="shared" si="3"/>
        <v>40.32</v>
      </c>
      <c r="M39" s="386"/>
      <c r="N39" s="191">
        <f t="shared" si="4"/>
        <v>0.50396825396825395</v>
      </c>
      <c r="O39" s="152">
        <f t="shared" si="101"/>
        <v>1.8898809523809523</v>
      </c>
      <c r="P39" s="152">
        <f t="shared" si="71"/>
        <v>2.7214285714285715</v>
      </c>
      <c r="Q39" s="191">
        <f t="shared" si="6"/>
        <v>9.4494047619047616E-2</v>
      </c>
      <c r="R39" s="191">
        <f t="shared" si="72"/>
        <v>0.11811755952380952</v>
      </c>
      <c r="S39" s="386">
        <f t="shared" si="73"/>
        <v>20</v>
      </c>
      <c r="T39" s="191">
        <f t="shared" si="74"/>
        <v>0.26985826771653548</v>
      </c>
      <c r="U39" s="191">
        <f t="shared" si="10"/>
        <v>0.80957480314960661</v>
      </c>
      <c r="V39" s="191">
        <f t="shared" si="11"/>
        <v>0.79682559365118755</v>
      </c>
      <c r="W39" s="175">
        <f t="shared" si="12"/>
        <v>350</v>
      </c>
      <c r="X39" s="386">
        <f t="shared" si="52"/>
        <v>350</v>
      </c>
      <c r="Z39" s="191">
        <f t="shared" si="13"/>
        <v>0.47996976568405147</v>
      </c>
      <c r="AA39" s="153">
        <f t="shared" si="14"/>
        <v>1.4172335600907031</v>
      </c>
      <c r="AB39" s="153">
        <f t="shared" si="75"/>
        <v>0.11904012045735404</v>
      </c>
      <c r="AC39" s="153"/>
      <c r="AD39" s="153">
        <f t="shared" si="16"/>
        <v>0.44291338582677164</v>
      </c>
      <c r="AE39" s="317">
        <f t="shared" si="76"/>
        <v>1023.5259259259262</v>
      </c>
      <c r="AF39" s="463">
        <f t="shared" si="77"/>
        <v>1.1626476377952754E-2</v>
      </c>
      <c r="AH39" s="153">
        <f t="shared" si="78"/>
        <v>0.34142558277233503</v>
      </c>
      <c r="AI39" s="153">
        <f t="shared" si="79"/>
        <v>0.34142558277233503</v>
      </c>
      <c r="AJ39" s="153">
        <f t="shared" si="80"/>
        <v>1.3417967279795073</v>
      </c>
      <c r="AL39" s="317">
        <f t="shared" si="81"/>
        <v>34</v>
      </c>
      <c r="AM39" s="147">
        <f t="shared" si="82"/>
        <v>350</v>
      </c>
      <c r="AO39">
        <f t="shared" si="53"/>
        <v>34</v>
      </c>
      <c r="AP39" s="147">
        <f t="shared" si="24"/>
        <v>350</v>
      </c>
      <c r="AQ39" s="147"/>
      <c r="AR39" s="5">
        <f t="shared" si="54"/>
        <v>2.8571428571428572</v>
      </c>
      <c r="AS39" s="5">
        <f t="shared" si="25"/>
        <v>1.024276748317005</v>
      </c>
      <c r="AT39" s="5">
        <f t="shared" si="55"/>
        <v>1.8328661088258522</v>
      </c>
      <c r="AU39" s="153">
        <f t="shared" si="56"/>
        <v>0.35849686191095176</v>
      </c>
      <c r="AW39" s="5">
        <f t="shared" si="83"/>
        <v>0.68947680000000022</v>
      </c>
      <c r="AX39" s="5">
        <f t="shared" si="84"/>
        <v>1.6960703616000001</v>
      </c>
      <c r="AY39" s="5">
        <f t="shared" si="85"/>
        <v>0.6949164380928764</v>
      </c>
      <c r="AZ39" s="5">
        <f t="shared" si="86"/>
        <v>0.65223520177117456</v>
      </c>
      <c r="BA39" s="5">
        <f t="shared" si="87"/>
        <v>0.12463489540015796</v>
      </c>
      <c r="BB39" s="147">
        <f t="shared" si="88"/>
        <v>12.667489540015795</v>
      </c>
      <c r="BC39" s="5"/>
      <c r="BD39" s="153">
        <f t="shared" si="57"/>
        <v>0.11802611480986432</v>
      </c>
      <c r="BE39" s="153">
        <f t="shared" si="89"/>
        <v>0.15788280172340366</v>
      </c>
      <c r="BF39" s="153">
        <f t="shared" si="90"/>
        <v>0.1572636534813511</v>
      </c>
      <c r="BG39" s="153"/>
      <c r="BH39" s="463">
        <f t="shared" si="34"/>
        <v>4.875557321988945E-3</v>
      </c>
      <c r="BI39" s="463">
        <f t="shared" si="35"/>
        <v>2.4090989120415962E-2</v>
      </c>
      <c r="BJ39" s="463">
        <f t="shared" si="36"/>
        <v>4.3749999999999995E-3</v>
      </c>
      <c r="BK39" s="463">
        <f t="shared" si="37"/>
        <v>2.8449792000000005E-2</v>
      </c>
      <c r="BL39">
        <f t="shared" si="38"/>
        <v>5.7999999999999996E-3</v>
      </c>
      <c r="BM39">
        <f t="shared" si="91"/>
        <v>1.3124999999999999E-5</v>
      </c>
      <c r="BN39">
        <f t="shared" si="92"/>
        <v>6.8324123985630772E-2</v>
      </c>
      <c r="BO39" s="147">
        <f t="shared" si="58"/>
        <v>68.324123985630777</v>
      </c>
      <c r="BP39" s="153">
        <f t="shared" si="93"/>
        <v>3.2032212017144145E-2</v>
      </c>
      <c r="BQ39" s="153">
        <f t="shared" si="94"/>
        <v>3.1883138523615101E-2</v>
      </c>
      <c r="BR39" s="463"/>
      <c r="BT39" s="147">
        <f t="shared" si="59"/>
        <v>63.915350540759249</v>
      </c>
      <c r="BU39" s="463">
        <f t="shared" si="43"/>
        <v>1.3930163777111274E-2</v>
      </c>
      <c r="BV39" s="463">
        <f t="shared" si="60"/>
        <v>2.4926979080031594E-2</v>
      </c>
      <c r="BW39" s="463">
        <f t="shared" si="95"/>
        <v>1.2365928353151238E-3</v>
      </c>
      <c r="BX39" s="463">
        <f t="shared" si="45"/>
        <v>0</v>
      </c>
      <c r="BY39" s="463">
        <f t="shared" si="96"/>
        <v>4.5049480131510986E-2</v>
      </c>
      <c r="BZ39" s="463">
        <f t="shared" si="61"/>
        <v>4.0093735692457992E-2</v>
      </c>
      <c r="CA39" s="549">
        <f t="shared" si="97"/>
        <v>2.0400000000000008E-2</v>
      </c>
      <c r="CB39" s="147">
        <f t="shared" si="62"/>
        <v>65.449480131510995</v>
      </c>
      <c r="CC39" s="153">
        <f t="shared" si="63"/>
        <v>0.19768895465790101</v>
      </c>
      <c r="CD39" s="5">
        <f t="shared" si="64"/>
        <v>1.2240000000000002</v>
      </c>
      <c r="CE39" s="153">
        <f t="shared" si="65"/>
        <v>0.86094781561732636</v>
      </c>
      <c r="CF39" s="5">
        <f t="shared" si="66"/>
        <v>86.094781561732631</v>
      </c>
      <c r="CG39">
        <f t="shared" si="102"/>
        <v>34</v>
      </c>
      <c r="CI39" s="59">
        <f t="shared" si="98"/>
        <v>-50</v>
      </c>
      <c r="CJ39">
        <f t="shared" si="99"/>
        <v>-50</v>
      </c>
    </row>
    <row r="40" spans="5:88" x14ac:dyDescent="0.25">
      <c r="E40" s="150">
        <v>35</v>
      </c>
      <c r="F40" s="191">
        <f t="shared" ref="F40:F71" si="103">IF(PLOT_TYPE=1, E40/100*Iout_max, min_I*EXP(O40*rr/100))</f>
        <v>3.4999999999999996E-2</v>
      </c>
      <c r="G40" s="191">
        <f t="shared" si="100"/>
        <v>3.4999999999999996E-2</v>
      </c>
      <c r="H40" s="191">
        <f t="shared" si="70"/>
        <v>0.7</v>
      </c>
      <c r="I40" s="191">
        <f t="shared" ref="I40:I71" si="104">Vout2*G40</f>
        <v>0.55999999999999994</v>
      </c>
      <c r="J40" s="472">
        <f t="shared" si="1"/>
        <v>20</v>
      </c>
      <c r="K40" s="386">
        <f t="shared" si="2"/>
        <v>20.32</v>
      </c>
      <c r="L40" s="386">
        <f t="shared" si="3"/>
        <v>40.32</v>
      </c>
      <c r="M40" s="386"/>
      <c r="N40" s="191">
        <f t="shared" si="4"/>
        <v>0.50396825396825395</v>
      </c>
      <c r="O40" s="152">
        <f t="shared" si="101"/>
        <v>1.8898809523809523</v>
      </c>
      <c r="P40" s="152">
        <f t="shared" si="71"/>
        <v>2.7214285714285715</v>
      </c>
      <c r="Q40" s="191">
        <f t="shared" si="6"/>
        <v>9.4494047619047616E-2</v>
      </c>
      <c r="R40" s="191">
        <f t="shared" si="72"/>
        <v>0.11811755952380952</v>
      </c>
      <c r="S40" s="386">
        <f t="shared" si="73"/>
        <v>20</v>
      </c>
      <c r="T40" s="191">
        <f t="shared" si="74"/>
        <v>0.27779527559055112</v>
      </c>
      <c r="U40" s="191">
        <f t="shared" si="10"/>
        <v>0.83338582677165329</v>
      </c>
      <c r="V40" s="191">
        <f t="shared" si="11"/>
        <v>0.82026164052328088</v>
      </c>
      <c r="W40" s="175">
        <f t="shared" si="12"/>
        <v>350</v>
      </c>
      <c r="X40" s="386">
        <f t="shared" si="52"/>
        <v>350</v>
      </c>
      <c r="Z40" s="191">
        <f t="shared" si="13"/>
        <v>0.47996976568405147</v>
      </c>
      <c r="AA40" s="153">
        <f t="shared" si="14"/>
        <v>1.4172335600907031</v>
      </c>
      <c r="AB40" s="153">
        <f t="shared" si="75"/>
        <v>0.11904012045735404</v>
      </c>
      <c r="AC40" s="153"/>
      <c r="AD40" s="153">
        <f t="shared" si="16"/>
        <v>0.44291338582677164</v>
      </c>
      <c r="AE40" s="317">
        <f t="shared" si="76"/>
        <v>1053.6296296296296</v>
      </c>
      <c r="AF40" s="463">
        <f t="shared" si="77"/>
        <v>1.1626476377952754E-2</v>
      </c>
      <c r="AH40" s="153">
        <f t="shared" si="78"/>
        <v>0.34641016151377541</v>
      </c>
      <c r="AI40" s="153">
        <f t="shared" si="79"/>
        <v>0.34641016151377541</v>
      </c>
      <c r="AJ40" s="153">
        <f t="shared" si="80"/>
        <v>1.3454890085287226</v>
      </c>
      <c r="AL40" s="317">
        <f t="shared" si="81"/>
        <v>34.999999999999993</v>
      </c>
      <c r="AM40" s="147">
        <f t="shared" si="82"/>
        <v>350</v>
      </c>
      <c r="AO40">
        <f t="shared" si="53"/>
        <v>34.999999999999993</v>
      </c>
      <c r="AP40" s="147">
        <f t="shared" si="24"/>
        <v>350</v>
      </c>
      <c r="AQ40" s="147"/>
      <c r="AR40" s="5">
        <f t="shared" si="54"/>
        <v>2.8571428571428572</v>
      </c>
      <c r="AS40" s="5">
        <f t="shared" si="25"/>
        <v>1.0392304845413263</v>
      </c>
      <c r="AT40" s="5">
        <f t="shared" si="55"/>
        <v>1.8179123726015309</v>
      </c>
      <c r="AU40" s="153">
        <f t="shared" si="56"/>
        <v>0.36373066958946421</v>
      </c>
      <c r="AW40" s="5">
        <f t="shared" si="83"/>
        <v>0.68947680000000022</v>
      </c>
      <c r="AX40" s="5">
        <f t="shared" si="84"/>
        <v>1.7942181599999998</v>
      </c>
      <c r="AY40" s="5">
        <f t="shared" si="85"/>
        <v>0.6949164380928764</v>
      </c>
      <c r="AZ40" s="5">
        <f t="shared" si="86"/>
        <v>0.68910737211910766</v>
      </c>
      <c r="BA40" s="5">
        <f t="shared" si="87"/>
        <v>0.12725386608210712</v>
      </c>
      <c r="BB40" s="147">
        <f t="shared" si="88"/>
        <v>12.935386608210713</v>
      </c>
      <c r="BC40" s="5"/>
      <c r="BD40" s="153">
        <f t="shared" si="57"/>
        <v>0.12062017569038176</v>
      </c>
      <c r="BE40" s="153">
        <f t="shared" si="89"/>
        <v>0.15953298472861788</v>
      </c>
      <c r="BF40" s="153">
        <f t="shared" si="90"/>
        <v>0.15890736518066251</v>
      </c>
      <c r="BG40" s="153"/>
      <c r="BH40" s="463">
        <f t="shared" si="34"/>
        <v>5.0922293742524972E-3</v>
      </c>
      <c r="BI40" s="463">
        <f t="shared" si="35"/>
        <v>2.4442700996411992E-2</v>
      </c>
      <c r="BJ40" s="463">
        <f t="shared" si="36"/>
        <v>4.3749999999999995E-3</v>
      </c>
      <c r="BK40" s="463">
        <f t="shared" si="37"/>
        <v>2.8449792000000005E-2</v>
      </c>
      <c r="BL40">
        <f t="shared" si="38"/>
        <v>5.7999999999999996E-3</v>
      </c>
      <c r="BM40">
        <f t="shared" si="91"/>
        <v>1.3124999999999999E-5</v>
      </c>
      <c r="BN40">
        <f t="shared" si="92"/>
        <v>6.8925054549763942E-2</v>
      </c>
      <c r="BO40" s="147">
        <f t="shared" si="58"/>
        <v>68.925054549763942</v>
      </c>
      <c r="BP40" s="153">
        <f t="shared" si="93"/>
        <v>3.2814390737345975E-2</v>
      </c>
      <c r="BQ40" s="153">
        <f t="shared" si="94"/>
        <v>3.2662184741416571E-2</v>
      </c>
      <c r="BR40" s="463"/>
      <c r="BT40" s="147">
        <f t="shared" si="59"/>
        <v>65.476575478762541</v>
      </c>
      <c r="BU40" s="463">
        <f t="shared" si="43"/>
        <v>1.4549226783578563E-2</v>
      </c>
      <c r="BV40" s="463">
        <f t="shared" si="60"/>
        <v>2.5450773216421425E-2</v>
      </c>
      <c r="BW40" s="463">
        <f t="shared" si="95"/>
        <v>1.2625775354330217E-3</v>
      </c>
      <c r="BX40" s="463">
        <f t="shared" si="45"/>
        <v>0</v>
      </c>
      <c r="BY40" s="463">
        <f t="shared" si="96"/>
        <v>4.6367145073179274E-2</v>
      </c>
      <c r="BZ40" s="463">
        <f t="shared" si="61"/>
        <v>4.1262577535433012E-2</v>
      </c>
      <c r="CA40" s="549">
        <f t="shared" si="97"/>
        <v>2.0999999999999998E-2</v>
      </c>
      <c r="CB40" s="147">
        <f t="shared" si="62"/>
        <v>67.367145073179273</v>
      </c>
      <c r="CC40" s="153">
        <f t="shared" si="63"/>
        <v>0.20176877510170574</v>
      </c>
      <c r="CD40" s="5">
        <f t="shared" si="64"/>
        <v>1.2599999999999998</v>
      </c>
      <c r="CE40" s="153">
        <f t="shared" si="65"/>
        <v>0.86196943145972782</v>
      </c>
      <c r="CF40" s="5">
        <f t="shared" si="66"/>
        <v>86.196943145972782</v>
      </c>
      <c r="CG40">
        <f t="shared" si="102"/>
        <v>34.999999999999993</v>
      </c>
      <c r="CI40" s="59">
        <f t="shared" si="98"/>
        <v>-50</v>
      </c>
      <c r="CJ40">
        <f t="shared" si="99"/>
        <v>-50</v>
      </c>
    </row>
    <row r="41" spans="5:88" x14ac:dyDescent="0.25">
      <c r="E41" s="150">
        <v>36</v>
      </c>
      <c r="F41" s="191">
        <f t="shared" si="103"/>
        <v>3.5999999999999997E-2</v>
      </c>
      <c r="G41" s="191">
        <f t="shared" si="100"/>
        <v>3.5999999999999997E-2</v>
      </c>
      <c r="H41" s="191">
        <f t="shared" si="70"/>
        <v>0.72</v>
      </c>
      <c r="I41" s="191">
        <f t="shared" si="104"/>
        <v>0.57599999999999996</v>
      </c>
      <c r="J41" s="472">
        <f t="shared" si="1"/>
        <v>20</v>
      </c>
      <c r="K41" s="386">
        <f t="shared" si="2"/>
        <v>20.32</v>
      </c>
      <c r="L41" s="386">
        <f t="shared" si="3"/>
        <v>40.32</v>
      </c>
      <c r="M41" s="386"/>
      <c r="N41" s="191">
        <f t="shared" si="4"/>
        <v>0.50396825396825395</v>
      </c>
      <c r="O41" s="152">
        <f t="shared" si="101"/>
        <v>1.8898809523809523</v>
      </c>
      <c r="P41" s="152">
        <f t="shared" si="71"/>
        <v>2.7214285714285715</v>
      </c>
      <c r="Q41" s="191">
        <f t="shared" si="6"/>
        <v>9.4494047619047616E-2</v>
      </c>
      <c r="R41" s="191">
        <f t="shared" si="72"/>
        <v>0.11811755952380952</v>
      </c>
      <c r="S41" s="386">
        <f t="shared" si="73"/>
        <v>20</v>
      </c>
      <c r="T41" s="191">
        <f t="shared" si="74"/>
        <v>0.28573228346456692</v>
      </c>
      <c r="U41" s="191">
        <f t="shared" si="10"/>
        <v>0.85719685039370086</v>
      </c>
      <c r="V41" s="191">
        <f t="shared" si="11"/>
        <v>0.84369768739537476</v>
      </c>
      <c r="W41" s="175">
        <f t="shared" si="12"/>
        <v>350</v>
      </c>
      <c r="X41" s="386">
        <f t="shared" si="52"/>
        <v>350</v>
      </c>
      <c r="Z41" s="191">
        <f t="shared" si="13"/>
        <v>0.47996976568405147</v>
      </c>
      <c r="AA41" s="153">
        <f t="shared" si="14"/>
        <v>1.4172335600907031</v>
      </c>
      <c r="AB41" s="153">
        <f t="shared" si="75"/>
        <v>0.11904012045735404</v>
      </c>
      <c r="AC41" s="153"/>
      <c r="AD41" s="153">
        <f t="shared" si="16"/>
        <v>0.44291338582677164</v>
      </c>
      <c r="AE41" s="317">
        <f t="shared" si="76"/>
        <v>1083.7333333333336</v>
      </c>
      <c r="AF41" s="463">
        <f t="shared" si="77"/>
        <v>1.1626476377952754E-2</v>
      </c>
      <c r="AH41" s="153">
        <f t="shared" si="78"/>
        <v>0.35132402626147191</v>
      </c>
      <c r="AI41" s="153">
        <f t="shared" si="79"/>
        <v>0.35132402626147191</v>
      </c>
      <c r="AJ41" s="153">
        <f t="shared" si="80"/>
        <v>1.349128908341831</v>
      </c>
      <c r="AL41" s="317">
        <f t="shared" si="81"/>
        <v>36</v>
      </c>
      <c r="AM41" s="147">
        <f t="shared" si="82"/>
        <v>350</v>
      </c>
      <c r="AO41">
        <f t="shared" si="53"/>
        <v>36</v>
      </c>
      <c r="AP41" s="147">
        <f t="shared" si="24"/>
        <v>350</v>
      </c>
      <c r="AQ41" s="147"/>
      <c r="AR41" s="5">
        <f t="shared" si="54"/>
        <v>2.8571428571428572</v>
      </c>
      <c r="AS41" s="5">
        <f t="shared" si="25"/>
        <v>1.0539720787844158</v>
      </c>
      <c r="AT41" s="5">
        <f t="shared" si="55"/>
        <v>1.8031707783584414</v>
      </c>
      <c r="AU41" s="153">
        <f t="shared" si="56"/>
        <v>0.36889022757454554</v>
      </c>
      <c r="AW41" s="5">
        <f t="shared" si="83"/>
        <v>0.68947680000000022</v>
      </c>
      <c r="AX41" s="5">
        <f t="shared" si="84"/>
        <v>1.8951238655999996</v>
      </c>
      <c r="AY41" s="5">
        <f t="shared" si="85"/>
        <v>0.6949164380928764</v>
      </c>
      <c r="AZ41" s="5">
        <f t="shared" si="86"/>
        <v>0.726990330013358</v>
      </c>
      <c r="BA41" s="5">
        <f t="shared" si="87"/>
        <v>0.12982829604180773</v>
      </c>
      <c r="BB41" s="147">
        <f t="shared" si="88"/>
        <v>13.198829604180775</v>
      </c>
      <c r="BC41" s="5"/>
      <c r="BD41" s="153">
        <f t="shared" si="57"/>
        <v>0.12319577076545925</v>
      </c>
      <c r="BE41" s="153">
        <f t="shared" si="89"/>
        <v>0.16113863350656027</v>
      </c>
      <c r="BF41" s="153">
        <f t="shared" si="90"/>
        <v>0.16050671729673061</v>
      </c>
      <c r="BG41" s="153"/>
      <c r="BH41" s="463">
        <f t="shared" si="34"/>
        <v>5.3120192770734539E-3</v>
      </c>
      <c r="BI41" s="463">
        <f t="shared" si="35"/>
        <v>2.4789423293009458E-2</v>
      </c>
      <c r="BJ41" s="463">
        <f t="shared" si="36"/>
        <v>4.3749999999999995E-3</v>
      </c>
      <c r="BK41" s="463">
        <f t="shared" si="37"/>
        <v>2.8449792000000005E-2</v>
      </c>
      <c r="BL41">
        <f t="shared" si="38"/>
        <v>5.7999999999999996E-3</v>
      </c>
      <c r="BM41">
        <f t="shared" si="91"/>
        <v>1.3124999999999999E-5</v>
      </c>
      <c r="BN41">
        <f t="shared" si="92"/>
        <v>6.9524620997914191E-2</v>
      </c>
      <c r="BO41" s="147">
        <f t="shared" si="58"/>
        <v>69.524620997914198</v>
      </c>
      <c r="BP41" s="153">
        <f t="shared" si="93"/>
        <v>3.3589763635188223E-2</v>
      </c>
      <c r="BQ41" s="153">
        <f t="shared" si="94"/>
        <v>3.3434478411192667E-2</v>
      </c>
      <c r="BR41" s="463"/>
      <c r="BT41" s="147">
        <f t="shared" si="59"/>
        <v>67.024242046380877</v>
      </c>
      <c r="BU41" s="463">
        <f t="shared" si="43"/>
        <v>1.5177197934495583E-2</v>
      </c>
      <c r="BV41" s="463">
        <f t="shared" si="60"/>
        <v>2.5965659208361549E-2</v>
      </c>
      <c r="BW41" s="463">
        <f t="shared" si="95"/>
        <v>1.2881203148686301E-3</v>
      </c>
      <c r="BX41" s="463">
        <f t="shared" si="45"/>
        <v>0</v>
      </c>
      <c r="BY41" s="463">
        <f t="shared" si="96"/>
        <v>4.768455894831828E-2</v>
      </c>
      <c r="BZ41" s="463">
        <f t="shared" si="61"/>
        <v>4.2430977457725762E-2</v>
      </c>
      <c r="CA41" s="549">
        <f t="shared" si="97"/>
        <v>2.1600000000000001E-2</v>
      </c>
      <c r="CB41" s="147">
        <f t="shared" si="62"/>
        <v>69.284558948318278</v>
      </c>
      <c r="CC41" s="153">
        <f t="shared" si="63"/>
        <v>0.20583342199261337</v>
      </c>
      <c r="CD41" s="5">
        <f t="shared" si="64"/>
        <v>1.2959999999999998</v>
      </c>
      <c r="CE41" s="153">
        <f t="shared" si="65"/>
        <v>0.8629452381479723</v>
      </c>
      <c r="CF41" s="5">
        <f t="shared" si="66"/>
        <v>86.29452381479723</v>
      </c>
      <c r="CG41">
        <f t="shared" si="102"/>
        <v>35.999999999999993</v>
      </c>
      <c r="CI41" s="59">
        <f t="shared" si="98"/>
        <v>-50</v>
      </c>
      <c r="CJ41">
        <f t="shared" si="99"/>
        <v>-50</v>
      </c>
    </row>
    <row r="42" spans="5:88" x14ac:dyDescent="0.25">
      <c r="E42" s="150">
        <v>37</v>
      </c>
      <c r="F42" s="191">
        <f t="shared" si="103"/>
        <v>3.6999999999999998E-2</v>
      </c>
      <c r="G42" s="191">
        <f t="shared" si="100"/>
        <v>3.6999999999999998E-2</v>
      </c>
      <c r="H42" s="191">
        <f t="shared" si="70"/>
        <v>0.74</v>
      </c>
      <c r="I42" s="191">
        <f t="shared" si="104"/>
        <v>0.59199999999999997</v>
      </c>
      <c r="J42" s="472">
        <f t="shared" si="1"/>
        <v>20</v>
      </c>
      <c r="K42" s="386">
        <f t="shared" si="2"/>
        <v>20.32</v>
      </c>
      <c r="L42" s="386">
        <f t="shared" si="3"/>
        <v>40.32</v>
      </c>
      <c r="M42" s="386"/>
      <c r="N42" s="191">
        <f t="shared" si="4"/>
        <v>0.50396825396825395</v>
      </c>
      <c r="O42" s="152">
        <f t="shared" si="101"/>
        <v>1.8898809523809523</v>
      </c>
      <c r="P42" s="152">
        <f t="shared" si="71"/>
        <v>2.7214285714285715</v>
      </c>
      <c r="Q42" s="191">
        <f t="shared" si="6"/>
        <v>9.4494047619047616E-2</v>
      </c>
      <c r="R42" s="191">
        <f t="shared" si="72"/>
        <v>0.11811755952380952</v>
      </c>
      <c r="S42" s="386">
        <f t="shared" si="73"/>
        <v>20</v>
      </c>
      <c r="T42" s="191">
        <f t="shared" si="74"/>
        <v>0.29366929133858266</v>
      </c>
      <c r="U42" s="191">
        <f t="shared" si="10"/>
        <v>0.88100787401574787</v>
      </c>
      <c r="V42" s="191">
        <f t="shared" si="11"/>
        <v>0.86713373426746843</v>
      </c>
      <c r="W42" s="175">
        <f t="shared" si="12"/>
        <v>350</v>
      </c>
      <c r="X42" s="386">
        <f t="shared" si="52"/>
        <v>350</v>
      </c>
      <c r="Z42" s="191">
        <f t="shared" si="13"/>
        <v>0.47996976568405147</v>
      </c>
      <c r="AA42" s="153">
        <f t="shared" si="14"/>
        <v>1.4172335600907031</v>
      </c>
      <c r="AB42" s="153">
        <f t="shared" si="75"/>
        <v>0.11904012045735404</v>
      </c>
      <c r="AC42" s="153"/>
      <c r="AD42" s="153">
        <f t="shared" si="16"/>
        <v>0.44291338582677164</v>
      </c>
      <c r="AE42" s="317">
        <f t="shared" si="76"/>
        <v>1113.8370370370371</v>
      </c>
      <c r="AF42" s="463">
        <f t="shared" si="77"/>
        <v>1.1626476377952754E-2</v>
      </c>
      <c r="AH42" s="153">
        <f t="shared" si="78"/>
        <v>0.35617010382279818</v>
      </c>
      <c r="AI42" s="153">
        <f t="shared" si="79"/>
        <v>0.35617010382279818</v>
      </c>
      <c r="AJ42" s="153">
        <f t="shared" si="80"/>
        <v>1.3527185954242948</v>
      </c>
      <c r="AL42" s="317">
        <f t="shared" si="81"/>
        <v>37</v>
      </c>
      <c r="AM42" s="147">
        <f t="shared" si="82"/>
        <v>350</v>
      </c>
      <c r="AO42">
        <f t="shared" si="53"/>
        <v>37</v>
      </c>
      <c r="AP42" s="147">
        <f t="shared" si="24"/>
        <v>350</v>
      </c>
      <c r="AQ42" s="147"/>
      <c r="AR42" s="5">
        <f t="shared" si="54"/>
        <v>2.8571428571428572</v>
      </c>
      <c r="AS42" s="5">
        <f t="shared" si="25"/>
        <v>1.0685103114683945</v>
      </c>
      <c r="AT42" s="5">
        <f t="shared" si="55"/>
        <v>1.7886325456744627</v>
      </c>
      <c r="AU42" s="153">
        <f t="shared" si="56"/>
        <v>0.37397860901393803</v>
      </c>
      <c r="AW42" s="5">
        <f t="shared" si="83"/>
        <v>0.68947680000000022</v>
      </c>
      <c r="AX42" s="5">
        <f t="shared" si="84"/>
        <v>1.9987874783999999</v>
      </c>
      <c r="AY42" s="5">
        <f t="shared" si="85"/>
        <v>0.6949164380928764</v>
      </c>
      <c r="AZ42" s="5">
        <f t="shared" si="86"/>
        <v>0.76588407545392523</v>
      </c>
      <c r="BA42" s="5">
        <f t="shared" si="87"/>
        <v>0.13235880837991021</v>
      </c>
      <c r="BB42" s="147">
        <f t="shared" si="88"/>
        <v>13.457880837991024</v>
      </c>
      <c r="BC42" s="5"/>
      <c r="BD42" s="153">
        <f t="shared" si="57"/>
        <v>0.12575353915390308</v>
      </c>
      <c r="BE42" s="153">
        <f t="shared" si="89"/>
        <v>0.16270144952022414</v>
      </c>
      <c r="BF42" s="153">
        <f t="shared" si="90"/>
        <v>0.16206340462014482</v>
      </c>
      <c r="BG42" s="153"/>
      <c r="BH42" s="463">
        <f t="shared" si="34"/>
        <v>5.5348834134062823E-3</v>
      </c>
      <c r="BI42" s="463">
        <f t="shared" si="35"/>
        <v>2.5131362525736639E-2</v>
      </c>
      <c r="BJ42" s="463">
        <f t="shared" si="36"/>
        <v>4.3749999999999995E-3</v>
      </c>
      <c r="BK42" s="463">
        <f t="shared" si="37"/>
        <v>2.8449792000000005E-2</v>
      </c>
      <c r="BL42">
        <f t="shared" si="38"/>
        <v>5.7999999999999996E-3</v>
      </c>
      <c r="BM42">
        <f t="shared" si="91"/>
        <v>1.3124999999999999E-5</v>
      </c>
      <c r="BN42">
        <f t="shared" si="92"/>
        <v>7.0122980805512519E-2</v>
      </c>
      <c r="BO42" s="147">
        <f t="shared" si="58"/>
        <v>70.122980805512526</v>
      </c>
      <c r="BP42" s="153">
        <f t="shared" si="93"/>
        <v>3.4358425920450283E-2</v>
      </c>
      <c r="BQ42" s="153">
        <f t="shared" si="94"/>
        <v>3.4200113997443604E-2</v>
      </c>
      <c r="BR42" s="463"/>
      <c r="BT42" s="147">
        <f t="shared" si="59"/>
        <v>68.558539917893881</v>
      </c>
      <c r="BU42" s="463">
        <f t="shared" si="43"/>
        <v>1.5813952609732236E-2</v>
      </c>
      <c r="BV42" s="463">
        <f t="shared" si="60"/>
        <v>2.6471761675982045E-2</v>
      </c>
      <c r="BW42" s="463">
        <f t="shared" si="95"/>
        <v>1.313227355853639E-3</v>
      </c>
      <c r="BX42" s="463">
        <f t="shared" si="45"/>
        <v>0</v>
      </c>
      <c r="BY42" s="463">
        <f t="shared" si="96"/>
        <v>4.9001728518717959E-2</v>
      </c>
      <c r="BZ42" s="463">
        <f t="shared" si="61"/>
        <v>4.3598941641567919E-2</v>
      </c>
      <c r="CA42" s="549">
        <f t="shared" si="97"/>
        <v>2.2200000000000001E-2</v>
      </c>
      <c r="CB42" s="147">
        <f t="shared" si="62"/>
        <v>71.201728518717957</v>
      </c>
      <c r="CC42" s="153">
        <f t="shared" si="63"/>
        <v>0.20988324924212434</v>
      </c>
      <c r="CD42" s="5">
        <f t="shared" si="64"/>
        <v>1.3319999999999999</v>
      </c>
      <c r="CE42" s="153">
        <f t="shared" si="65"/>
        <v>0.86387863715019453</v>
      </c>
      <c r="CF42" s="5">
        <f t="shared" si="66"/>
        <v>86.387863715019449</v>
      </c>
      <c r="CG42">
        <f t="shared" si="102"/>
        <v>36.999999999999993</v>
      </c>
      <c r="CI42" s="59">
        <f t="shared" si="98"/>
        <v>-50</v>
      </c>
      <c r="CJ42">
        <f t="shared" si="99"/>
        <v>-50</v>
      </c>
    </row>
    <row r="43" spans="5:88" x14ac:dyDescent="0.25">
      <c r="E43" s="150">
        <v>38</v>
      </c>
      <c r="F43" s="191">
        <f t="shared" si="103"/>
        <v>3.8000000000000006E-2</v>
      </c>
      <c r="G43" s="191">
        <f t="shared" si="100"/>
        <v>3.8000000000000006E-2</v>
      </c>
      <c r="H43" s="191">
        <f t="shared" si="70"/>
        <v>0.76000000000000012</v>
      </c>
      <c r="I43" s="191">
        <f t="shared" si="104"/>
        <v>0.6080000000000001</v>
      </c>
      <c r="J43" s="472">
        <f t="shared" si="1"/>
        <v>20</v>
      </c>
      <c r="K43" s="386">
        <f t="shared" si="2"/>
        <v>20.32</v>
      </c>
      <c r="L43" s="386">
        <f t="shared" si="3"/>
        <v>40.32</v>
      </c>
      <c r="M43" s="386"/>
      <c r="N43" s="191">
        <f t="shared" si="4"/>
        <v>0.50396825396825395</v>
      </c>
      <c r="O43" s="152">
        <f t="shared" si="101"/>
        <v>1.8898809523809523</v>
      </c>
      <c r="P43" s="152">
        <f t="shared" si="71"/>
        <v>2.7214285714285715</v>
      </c>
      <c r="Q43" s="191">
        <f t="shared" si="6"/>
        <v>9.4494047619047616E-2</v>
      </c>
      <c r="R43" s="191">
        <f t="shared" si="72"/>
        <v>0.11811755952380952</v>
      </c>
      <c r="S43" s="386">
        <f t="shared" si="73"/>
        <v>20</v>
      </c>
      <c r="T43" s="191">
        <f t="shared" si="74"/>
        <v>0.30160629921259852</v>
      </c>
      <c r="U43" s="191">
        <f t="shared" si="10"/>
        <v>0.90481889763779566</v>
      </c>
      <c r="V43" s="191">
        <f t="shared" si="11"/>
        <v>0.89056978113956264</v>
      </c>
      <c r="W43" s="175">
        <f t="shared" si="12"/>
        <v>350</v>
      </c>
      <c r="X43" s="386">
        <f t="shared" si="52"/>
        <v>350</v>
      </c>
      <c r="Z43" s="191">
        <f t="shared" si="13"/>
        <v>0.47996976568405147</v>
      </c>
      <c r="AA43" s="153">
        <f t="shared" si="14"/>
        <v>1.4172335600907031</v>
      </c>
      <c r="AB43" s="153">
        <f t="shared" si="75"/>
        <v>0.11904012045735404</v>
      </c>
      <c r="AC43" s="153"/>
      <c r="AD43" s="153">
        <f t="shared" si="16"/>
        <v>0.44291338582677164</v>
      </c>
      <c r="AE43" s="317">
        <f t="shared" si="76"/>
        <v>1143.9407407407411</v>
      </c>
      <c r="AF43" s="463">
        <f t="shared" si="77"/>
        <v>1.1626476377952754E-2</v>
      </c>
      <c r="AH43" s="153">
        <f t="shared" si="78"/>
        <v>0.36095112451094302</v>
      </c>
      <c r="AI43" s="153">
        <f t="shared" si="79"/>
        <v>0.36095112451094302</v>
      </c>
      <c r="AJ43" s="153">
        <f t="shared" si="80"/>
        <v>1.3562600922303281</v>
      </c>
      <c r="AL43" s="317">
        <f t="shared" si="81"/>
        <v>38.000000000000007</v>
      </c>
      <c r="AM43" s="147">
        <f t="shared" si="82"/>
        <v>350</v>
      </c>
      <c r="AO43">
        <f t="shared" si="53"/>
        <v>38.000000000000007</v>
      </c>
      <c r="AP43" s="147">
        <f t="shared" si="24"/>
        <v>350</v>
      </c>
      <c r="AQ43" s="147"/>
      <c r="AR43" s="5">
        <f t="shared" si="54"/>
        <v>2.8571428571428572</v>
      </c>
      <c r="AS43" s="5">
        <f t="shared" si="25"/>
        <v>1.082853373532829</v>
      </c>
      <c r="AT43" s="5">
        <f t="shared" si="55"/>
        <v>1.7742894836100283</v>
      </c>
      <c r="AU43" s="153">
        <f t="shared" si="56"/>
        <v>0.37899868073649012</v>
      </c>
      <c r="AW43" s="5">
        <f t="shared" si="83"/>
        <v>0.68947680000000022</v>
      </c>
      <c r="AX43" s="5">
        <f t="shared" si="84"/>
        <v>2.1052089984000006</v>
      </c>
      <c r="AY43" s="5">
        <f t="shared" si="85"/>
        <v>0.6949164380928764</v>
      </c>
      <c r="AZ43" s="5">
        <f t="shared" si="86"/>
        <v>0.80578860844080991</v>
      </c>
      <c r="BA43" s="5">
        <f t="shared" si="87"/>
        <v>0.13484600075436218</v>
      </c>
      <c r="BB43" s="147">
        <f t="shared" si="88"/>
        <v>13.712600075436217</v>
      </c>
      <c r="BC43" s="5"/>
      <c r="BD43" s="153">
        <f t="shared" si="57"/>
        <v>0.12829408122629432</v>
      </c>
      <c r="BE43" s="153">
        <f t="shared" si="89"/>
        <v>0.16422301955229185</v>
      </c>
      <c r="BF43" s="153">
        <f t="shared" si="90"/>
        <v>0.16357900771091033</v>
      </c>
      <c r="BG43" s="153"/>
      <c r="BH43" s="463">
        <f t="shared" si="34"/>
        <v>5.7607799471946523E-3</v>
      </c>
      <c r="BI43" s="463">
        <f t="shared" si="35"/>
        <v>2.546871134549214E-2</v>
      </c>
      <c r="BJ43" s="463">
        <f t="shared" si="36"/>
        <v>4.3749999999999995E-3</v>
      </c>
      <c r="BK43" s="463">
        <f t="shared" si="37"/>
        <v>2.8449792000000005E-2</v>
      </c>
      <c r="BL43">
        <f t="shared" si="38"/>
        <v>5.7999999999999996E-3</v>
      </c>
      <c r="BM43">
        <f t="shared" si="91"/>
        <v>1.3124999999999999E-5</v>
      </c>
      <c r="BN43">
        <f t="shared" si="92"/>
        <v>7.0720279617779935E-2</v>
      </c>
      <c r="BO43" s="147">
        <f t="shared" si="58"/>
        <v>70.720279617779937</v>
      </c>
      <c r="BP43" s="153">
        <f t="shared" si="93"/>
        <v>3.5120468915266545E-2</v>
      </c>
      <c r="BQ43" s="153">
        <f t="shared" si="94"/>
        <v>3.495918210745616E-2</v>
      </c>
      <c r="BR43" s="463"/>
      <c r="BT43" s="147">
        <f t="shared" si="59"/>
        <v>70.0796510227227</v>
      </c>
      <c r="BU43" s="463">
        <f t="shared" si="43"/>
        <v>1.6459371277699007E-2</v>
      </c>
      <c r="BV43" s="463">
        <f t="shared" si="60"/>
        <v>2.6969200150872431E-2</v>
      </c>
      <c r="BW43" s="463">
        <f t="shared" si="95"/>
        <v>1.3379045881843031E-3</v>
      </c>
      <c r="BX43" s="463">
        <f t="shared" si="45"/>
        <v>0</v>
      </c>
      <c r="BY43" s="463">
        <f t="shared" si="96"/>
        <v>5.0318660266608063E-2</v>
      </c>
      <c r="BZ43" s="463">
        <f t="shared" si="61"/>
        <v>4.4766476016755742E-2</v>
      </c>
      <c r="CA43" s="549">
        <f t="shared" si="97"/>
        <v>2.2800000000000001E-2</v>
      </c>
      <c r="CB43" s="147">
        <f t="shared" si="62"/>
        <v>73.118660266608074</v>
      </c>
      <c r="CC43" s="153">
        <f t="shared" si="63"/>
        <v>0.21391859090711068</v>
      </c>
      <c r="CD43" s="5">
        <f t="shared" si="64"/>
        <v>1.3680000000000003</v>
      </c>
      <c r="CE43" s="153">
        <f t="shared" si="65"/>
        <v>0.86477269302180437</v>
      </c>
      <c r="CF43" s="5">
        <f t="shared" si="66"/>
        <v>86.477269302180432</v>
      </c>
      <c r="CG43">
        <f t="shared" si="102"/>
        <v>38.000000000000007</v>
      </c>
      <c r="CI43" s="59">
        <f t="shared" si="98"/>
        <v>-50</v>
      </c>
      <c r="CJ43">
        <f t="shared" si="99"/>
        <v>-50</v>
      </c>
    </row>
    <row r="44" spans="5:88" x14ac:dyDescent="0.25">
      <c r="E44" s="150">
        <v>39</v>
      </c>
      <c r="F44" s="191">
        <f t="shared" si="103"/>
        <v>3.9000000000000007E-2</v>
      </c>
      <c r="G44" s="191">
        <f t="shared" si="100"/>
        <v>3.9000000000000007E-2</v>
      </c>
      <c r="H44" s="191">
        <f t="shared" si="70"/>
        <v>0.78000000000000014</v>
      </c>
      <c r="I44" s="191">
        <f t="shared" si="104"/>
        <v>0.62400000000000011</v>
      </c>
      <c r="J44" s="472">
        <f t="shared" si="1"/>
        <v>20</v>
      </c>
      <c r="K44" s="386">
        <f t="shared" si="2"/>
        <v>20.32</v>
      </c>
      <c r="L44" s="386">
        <f t="shared" si="3"/>
        <v>40.32</v>
      </c>
      <c r="M44" s="386"/>
      <c r="N44" s="191">
        <f t="shared" si="4"/>
        <v>0.50396825396825395</v>
      </c>
      <c r="O44" s="152">
        <f t="shared" si="101"/>
        <v>1.8898809523809523</v>
      </c>
      <c r="P44" s="152">
        <f t="shared" si="71"/>
        <v>2.7214285714285715</v>
      </c>
      <c r="Q44" s="191">
        <f t="shared" si="6"/>
        <v>9.4494047619047616E-2</v>
      </c>
      <c r="R44" s="191">
        <f t="shared" si="72"/>
        <v>0.11811755952380952</v>
      </c>
      <c r="S44" s="386">
        <f t="shared" si="73"/>
        <v>20</v>
      </c>
      <c r="T44" s="191">
        <f t="shared" si="74"/>
        <v>0.30954330708661426</v>
      </c>
      <c r="U44" s="191">
        <f t="shared" si="10"/>
        <v>0.92862992125984267</v>
      </c>
      <c r="V44" s="191">
        <f t="shared" si="11"/>
        <v>0.91400582801165631</v>
      </c>
      <c r="W44" s="175">
        <f t="shared" si="12"/>
        <v>350</v>
      </c>
      <c r="X44" s="386">
        <f t="shared" si="52"/>
        <v>350</v>
      </c>
      <c r="Z44" s="191">
        <f t="shared" si="13"/>
        <v>0.47996976568405147</v>
      </c>
      <c r="AA44" s="153">
        <f t="shared" si="14"/>
        <v>1.4172335600907031</v>
      </c>
      <c r="AB44" s="153">
        <f t="shared" si="75"/>
        <v>0.11904012045735404</v>
      </c>
      <c r="AC44" s="153"/>
      <c r="AD44" s="153">
        <f t="shared" si="16"/>
        <v>0.44291338582677164</v>
      </c>
      <c r="AE44" s="317">
        <f t="shared" si="76"/>
        <v>1174.0444444444447</v>
      </c>
      <c r="AF44" s="463">
        <f t="shared" si="77"/>
        <v>1.1626476377952754E-2</v>
      </c>
      <c r="AH44" s="153">
        <f t="shared" si="78"/>
        <v>0.36566964013202646</v>
      </c>
      <c r="AI44" s="153">
        <f t="shared" si="79"/>
        <v>0.36566964013202646</v>
      </c>
      <c r="AJ44" s="153">
        <f t="shared" si="80"/>
        <v>1.3597552889866862</v>
      </c>
      <c r="AL44" s="317">
        <f t="shared" si="81"/>
        <v>39.000000000000007</v>
      </c>
      <c r="AM44" s="147">
        <f t="shared" si="82"/>
        <v>350</v>
      </c>
      <c r="AO44">
        <f t="shared" si="53"/>
        <v>39.000000000000007</v>
      </c>
      <c r="AP44" s="147">
        <f t="shared" si="24"/>
        <v>350</v>
      </c>
      <c r="AQ44" s="147"/>
      <c r="AR44" s="5">
        <f t="shared" si="54"/>
        <v>2.8571428571428572</v>
      </c>
      <c r="AS44" s="5">
        <f t="shared" si="25"/>
        <v>1.0970089203960793</v>
      </c>
      <c r="AT44" s="5">
        <f t="shared" si="55"/>
        <v>1.7601339367467779</v>
      </c>
      <c r="AU44" s="153">
        <f t="shared" si="56"/>
        <v>0.38395312213862776</v>
      </c>
      <c r="AW44" s="5">
        <f t="shared" si="83"/>
        <v>0.68947680000000022</v>
      </c>
      <c r="AX44" s="5">
        <f t="shared" si="84"/>
        <v>2.2143884256000002</v>
      </c>
      <c r="AY44" s="5">
        <f t="shared" si="85"/>
        <v>0.6949164380928764</v>
      </c>
      <c r="AZ44" s="5">
        <f t="shared" si="86"/>
        <v>0.84670392897401081</v>
      </c>
      <c r="BA44" s="5">
        <f t="shared" si="87"/>
        <v>0.13729044706624871</v>
      </c>
      <c r="BB44" s="147">
        <f t="shared" si="88"/>
        <v>13.963044706624871</v>
      </c>
      <c r="BC44" s="5"/>
      <c r="BD44" s="153">
        <f t="shared" si="57"/>
        <v>0.13081796190958961</v>
      </c>
      <c r="BE44" s="153">
        <f t="shared" si="89"/>
        <v>0.16570482616161106</v>
      </c>
      <c r="BF44" s="153">
        <f t="shared" si="90"/>
        <v>0.16505500331391848</v>
      </c>
      <c r="BG44" s="153"/>
      <c r="BH44" s="463">
        <f t="shared" si="34"/>
        <v>5.9896687053625922E-3</v>
      </c>
      <c r="BI44" s="463">
        <f t="shared" si="35"/>
        <v>2.580164980771579E-2</v>
      </c>
      <c r="BJ44" s="463">
        <f t="shared" si="36"/>
        <v>4.3749999999999995E-3</v>
      </c>
      <c r="BK44" s="463">
        <f t="shared" si="37"/>
        <v>2.8449792000000005E-2</v>
      </c>
      <c r="BL44">
        <f t="shared" si="38"/>
        <v>5.7999999999999996E-3</v>
      </c>
      <c r="BM44">
        <f t="shared" si="91"/>
        <v>1.3124999999999999E-5</v>
      </c>
      <c r="BN44">
        <f t="shared" si="92"/>
        <v>7.1316652384118787E-2</v>
      </c>
      <c r="BO44" s="147">
        <f t="shared" si="58"/>
        <v>71.316652384118782</v>
      </c>
      <c r="BP44" s="153">
        <f t="shared" si="93"/>
        <v>3.5875980311722809E-2</v>
      </c>
      <c r="BQ44" s="153">
        <f t="shared" si="94"/>
        <v>3.5711769746883643E-2</v>
      </c>
      <c r="BR44" s="463"/>
      <c r="BT44" s="147">
        <f t="shared" si="59"/>
        <v>71.58775005860646</v>
      </c>
      <c r="BU44" s="463">
        <f t="shared" si="43"/>
        <v>1.7113339158178836E-2</v>
      </c>
      <c r="BV44" s="463">
        <f t="shared" si="60"/>
        <v>2.7458089413249741E-2</v>
      </c>
      <c r="BW44" s="463">
        <f t="shared" si="95"/>
        <v>1.3621577059478821E-3</v>
      </c>
      <c r="BX44" s="463">
        <f t="shared" si="45"/>
        <v>0</v>
      </c>
      <c r="BY44" s="463">
        <f t="shared" si="96"/>
        <v>5.1635360413262117E-2</v>
      </c>
      <c r="BZ44" s="463">
        <f t="shared" si="61"/>
        <v>4.5933586277376461E-2</v>
      </c>
      <c r="CA44" s="549">
        <f t="shared" si="97"/>
        <v>2.3400000000000011E-2</v>
      </c>
      <c r="CB44" s="147">
        <f t="shared" si="62"/>
        <v>75.035360413262126</v>
      </c>
      <c r="CC44" s="153">
        <f t="shared" si="63"/>
        <v>0.21793976285598735</v>
      </c>
      <c r="CD44" s="5">
        <f t="shared" si="64"/>
        <v>1.4040000000000004</v>
      </c>
      <c r="CE44" s="153">
        <f t="shared" si="65"/>
        <v>0.86563017453112512</v>
      </c>
      <c r="CF44" s="5">
        <f t="shared" si="66"/>
        <v>86.563017453112508</v>
      </c>
      <c r="CG44">
        <f t="shared" si="102"/>
        <v>39.000000000000007</v>
      </c>
      <c r="CI44" s="59">
        <f t="shared" si="98"/>
        <v>-50</v>
      </c>
      <c r="CJ44">
        <f t="shared" si="99"/>
        <v>-50</v>
      </c>
    </row>
    <row r="45" spans="5:88" x14ac:dyDescent="0.25">
      <c r="E45" s="150">
        <v>40</v>
      </c>
      <c r="F45" s="191">
        <f t="shared" si="103"/>
        <v>4.0000000000000008E-2</v>
      </c>
      <c r="G45" s="191">
        <f t="shared" si="100"/>
        <v>4.0000000000000008E-2</v>
      </c>
      <c r="H45" s="191">
        <f t="shared" si="70"/>
        <v>0.80000000000000016</v>
      </c>
      <c r="I45" s="191">
        <f t="shared" si="104"/>
        <v>0.64000000000000012</v>
      </c>
      <c r="J45" s="472">
        <f t="shared" si="1"/>
        <v>20</v>
      </c>
      <c r="K45" s="386">
        <f t="shared" si="2"/>
        <v>20.32</v>
      </c>
      <c r="L45" s="386">
        <f t="shared" si="3"/>
        <v>40.32</v>
      </c>
      <c r="M45" s="386"/>
      <c r="N45" s="191">
        <f t="shared" si="4"/>
        <v>0.50396825396825395</v>
      </c>
      <c r="O45" s="152">
        <f t="shared" si="101"/>
        <v>1.8898809523809523</v>
      </c>
      <c r="P45" s="152">
        <f t="shared" si="71"/>
        <v>2.7214285714285715</v>
      </c>
      <c r="Q45" s="191">
        <f t="shared" si="6"/>
        <v>9.4494047619047616E-2</v>
      </c>
      <c r="R45" s="191">
        <f t="shared" si="72"/>
        <v>0.11811755952380952</v>
      </c>
      <c r="S45" s="386">
        <f t="shared" si="73"/>
        <v>20</v>
      </c>
      <c r="T45" s="191">
        <f t="shared" si="74"/>
        <v>0.31748031496063001</v>
      </c>
      <c r="U45" s="191">
        <f t="shared" si="10"/>
        <v>0.95244094488189013</v>
      </c>
      <c r="V45" s="191">
        <f t="shared" si="11"/>
        <v>0.93744187488374997</v>
      </c>
      <c r="W45" s="175">
        <f t="shared" si="12"/>
        <v>350</v>
      </c>
      <c r="X45" s="386">
        <f t="shared" si="52"/>
        <v>350</v>
      </c>
      <c r="Z45" s="191">
        <f t="shared" si="13"/>
        <v>0.47996976568405147</v>
      </c>
      <c r="AA45" s="153">
        <f t="shared" si="14"/>
        <v>1.4172335600907031</v>
      </c>
      <c r="AB45" s="153">
        <f t="shared" si="75"/>
        <v>0.11904012045735404</v>
      </c>
      <c r="AC45" s="153"/>
      <c r="AD45" s="153">
        <f t="shared" si="16"/>
        <v>0.44291338582677164</v>
      </c>
      <c r="AE45" s="317">
        <f t="shared" si="76"/>
        <v>1204.1481481481485</v>
      </c>
      <c r="AF45" s="463">
        <f t="shared" si="77"/>
        <v>1.1626476377952754E-2</v>
      </c>
      <c r="AH45" s="153">
        <f t="shared" si="78"/>
        <v>0.37032803990902063</v>
      </c>
      <c r="AI45" s="153">
        <f t="shared" si="79"/>
        <v>0.37032803990902063</v>
      </c>
      <c r="AJ45" s="153">
        <f t="shared" si="80"/>
        <v>1.3632059554881635</v>
      </c>
      <c r="AL45" s="317">
        <f t="shared" si="81"/>
        <v>40.000000000000007</v>
      </c>
      <c r="AM45" s="147">
        <f t="shared" si="82"/>
        <v>350</v>
      </c>
      <c r="AO45">
        <f t="shared" si="53"/>
        <v>40.000000000000007</v>
      </c>
      <c r="AP45" s="147">
        <f t="shared" si="24"/>
        <v>350</v>
      </c>
      <c r="AQ45" s="147"/>
      <c r="AR45" s="5">
        <f t="shared" si="54"/>
        <v>2.8571428571428572</v>
      </c>
      <c r="AS45" s="5">
        <f t="shared" si="25"/>
        <v>1.1109841197270618</v>
      </c>
      <c r="AT45" s="5">
        <f t="shared" si="55"/>
        <v>1.7461587374157954</v>
      </c>
      <c r="AU45" s="153">
        <f t="shared" si="56"/>
        <v>0.38884444190447159</v>
      </c>
      <c r="AW45" s="5">
        <f t="shared" si="83"/>
        <v>0.68947680000000022</v>
      </c>
      <c r="AX45" s="5">
        <f t="shared" si="84"/>
        <v>2.3263257600000014</v>
      </c>
      <c r="AY45" s="5">
        <f t="shared" si="85"/>
        <v>0.6949164380928764</v>
      </c>
      <c r="AZ45" s="5">
        <f t="shared" si="86"/>
        <v>0.88863003705352916</v>
      </c>
      <c r="BA45" s="5">
        <f t="shared" si="87"/>
        <v>0.13969269899326367</v>
      </c>
      <c r="BB45" s="147">
        <f t="shared" si="88"/>
        <v>14.209269899326371</v>
      </c>
      <c r="BC45" s="5"/>
      <c r="BD45" s="153">
        <f t="shared" si="57"/>
        <v>0.13332571363256598</v>
      </c>
      <c r="BE45" s="153">
        <f t="shared" si="89"/>
        <v>0.16714825694171248</v>
      </c>
      <c r="BF45" s="153">
        <f t="shared" si="90"/>
        <v>0.16649277358115677</v>
      </c>
      <c r="BG45" s="153"/>
      <c r="BH45" s="463">
        <f t="shared" si="34"/>
        <v>6.2215110704715469E-3</v>
      </c>
      <c r="BI45" s="463">
        <f t="shared" si="35"/>
        <v>2.6130346495980498E-2</v>
      </c>
      <c r="BJ45" s="463">
        <f t="shared" si="36"/>
        <v>4.3749999999999995E-3</v>
      </c>
      <c r="BK45" s="463">
        <f t="shared" si="37"/>
        <v>2.8449792000000005E-2</v>
      </c>
      <c r="BL45">
        <f t="shared" si="38"/>
        <v>5.7999999999999996E-3</v>
      </c>
      <c r="BM45">
        <f t="shared" si="91"/>
        <v>1.3124999999999999E-5</v>
      </c>
      <c r="BN45">
        <f t="shared" si="92"/>
        <v>7.1912224359106922E-2</v>
      </c>
      <c r="BO45" s="147">
        <f t="shared" si="58"/>
        <v>71.912224359106915</v>
      </c>
      <c r="BP45" s="153">
        <f t="shared" si="93"/>
        <v>3.6625044406170697E-2</v>
      </c>
      <c r="BQ45" s="153">
        <f t="shared" si="94"/>
        <v>3.6457960552226207E-2</v>
      </c>
      <c r="BR45" s="463"/>
      <c r="BT45" s="147">
        <f t="shared" si="59"/>
        <v>73.083004958396899</v>
      </c>
      <c r="BU45" s="463">
        <f t="shared" si="43"/>
        <v>1.7775745915632992E-2</v>
      </c>
      <c r="BV45" s="463">
        <f t="shared" si="60"/>
        <v>2.7938539798652736E-2</v>
      </c>
      <c r="BW45" s="463">
        <f t="shared" si="95"/>
        <v>1.3859921827373168E-3</v>
      </c>
      <c r="BX45" s="463">
        <f t="shared" si="45"/>
        <v>0</v>
      </c>
      <c r="BY45" s="463">
        <f t="shared" si="96"/>
        <v>5.295183493591693E-2</v>
      </c>
      <c r="BZ45" s="463">
        <f t="shared" si="61"/>
        <v>4.7100277897023042E-2</v>
      </c>
      <c r="CA45" s="549">
        <f t="shared" si="97"/>
        <v>2.4000000000000011E-2</v>
      </c>
      <c r="CB45" s="147">
        <f t="shared" si="62"/>
        <v>76.951834935916935</v>
      </c>
      <c r="CC45" s="153">
        <f t="shared" si="63"/>
        <v>0.22194706425342076</v>
      </c>
      <c r="CD45" s="5">
        <f t="shared" si="64"/>
        <v>1.4400000000000004</v>
      </c>
      <c r="CE45" s="153">
        <f t="shared" si="65"/>
        <v>0.86645358987223597</v>
      </c>
      <c r="CF45" s="5">
        <f t="shared" si="66"/>
        <v>86.645358987223602</v>
      </c>
      <c r="CG45">
        <f t="shared" si="102"/>
        <v>40.000000000000007</v>
      </c>
      <c r="CI45" s="59">
        <f t="shared" si="98"/>
        <v>-50</v>
      </c>
      <c r="CJ45">
        <f t="shared" si="99"/>
        <v>-50</v>
      </c>
    </row>
    <row r="46" spans="5:88" x14ac:dyDescent="0.25">
      <c r="E46" s="150">
        <v>41</v>
      </c>
      <c r="F46" s="191">
        <f t="shared" si="103"/>
        <v>4.1000000000000002E-2</v>
      </c>
      <c r="G46" s="191">
        <f t="shared" si="100"/>
        <v>4.1000000000000002E-2</v>
      </c>
      <c r="H46" s="191">
        <f t="shared" si="70"/>
        <v>0.82000000000000006</v>
      </c>
      <c r="I46" s="191">
        <f t="shared" si="104"/>
        <v>0.65600000000000003</v>
      </c>
      <c r="J46" s="472">
        <f t="shared" si="1"/>
        <v>20</v>
      </c>
      <c r="K46" s="386">
        <f t="shared" si="2"/>
        <v>20.32</v>
      </c>
      <c r="L46" s="386">
        <f t="shared" si="3"/>
        <v>40.32</v>
      </c>
      <c r="M46" s="386"/>
      <c r="N46" s="191">
        <f t="shared" si="4"/>
        <v>0.50396825396825395</v>
      </c>
      <c r="O46" s="152">
        <f t="shared" si="101"/>
        <v>1.8898809523809523</v>
      </c>
      <c r="P46" s="152">
        <f t="shared" si="71"/>
        <v>2.7214285714285715</v>
      </c>
      <c r="Q46" s="191">
        <f t="shared" si="6"/>
        <v>9.4494047619047616E-2</v>
      </c>
      <c r="R46" s="191">
        <f t="shared" si="72"/>
        <v>0.11811755952380952</v>
      </c>
      <c r="S46" s="386">
        <f t="shared" si="73"/>
        <v>20</v>
      </c>
      <c r="T46" s="191">
        <f t="shared" si="74"/>
        <v>0.32541732283464569</v>
      </c>
      <c r="U46" s="191">
        <f t="shared" si="10"/>
        <v>0.97625196850393703</v>
      </c>
      <c r="V46" s="191">
        <f t="shared" si="11"/>
        <v>0.96087792175584352</v>
      </c>
      <c r="W46" s="175">
        <f t="shared" si="12"/>
        <v>350</v>
      </c>
      <c r="X46" s="386">
        <f t="shared" si="52"/>
        <v>350</v>
      </c>
      <c r="Z46" s="191">
        <f t="shared" si="13"/>
        <v>0.47996976568405147</v>
      </c>
      <c r="AA46" s="153">
        <f t="shared" si="14"/>
        <v>1.4172335600907031</v>
      </c>
      <c r="AB46" s="153">
        <f t="shared" si="75"/>
        <v>0.11904012045735404</v>
      </c>
      <c r="AC46" s="153"/>
      <c r="AD46" s="153">
        <f t="shared" si="16"/>
        <v>0.44291338582677164</v>
      </c>
      <c r="AE46" s="317">
        <f t="shared" si="76"/>
        <v>1234.2518518518521</v>
      </c>
      <c r="AF46" s="463">
        <f t="shared" si="77"/>
        <v>1.1626476377952754E-2</v>
      </c>
      <c r="AH46" s="153">
        <f t="shared" si="78"/>
        <v>0.37492856462455426</v>
      </c>
      <c r="AI46" s="153">
        <f t="shared" si="79"/>
        <v>0.37492856462455426</v>
      </c>
      <c r="AJ46" s="153">
        <f t="shared" si="80"/>
        <v>1.3666137515737438</v>
      </c>
      <c r="AL46" s="317">
        <f t="shared" si="81"/>
        <v>41</v>
      </c>
      <c r="AM46" s="147">
        <f t="shared" si="82"/>
        <v>350</v>
      </c>
      <c r="AO46">
        <f t="shared" si="53"/>
        <v>41</v>
      </c>
      <c r="AP46" s="147">
        <f t="shared" si="24"/>
        <v>350</v>
      </c>
      <c r="AQ46" s="147"/>
      <c r="AR46" s="5">
        <f t="shared" si="54"/>
        <v>2.8571428571428572</v>
      </c>
      <c r="AS46" s="5">
        <f t="shared" si="25"/>
        <v>1.1247856938736627</v>
      </c>
      <c r="AT46" s="5">
        <f t="shared" si="55"/>
        <v>1.7323571632691945</v>
      </c>
      <c r="AU46" s="153">
        <f t="shared" si="56"/>
        <v>0.39367499285578195</v>
      </c>
      <c r="AW46" s="5">
        <f t="shared" si="83"/>
        <v>0.68947680000000022</v>
      </c>
      <c r="AX46" s="5">
        <f t="shared" si="84"/>
        <v>2.4410210016000002</v>
      </c>
      <c r="AY46" s="5">
        <f t="shared" si="85"/>
        <v>0.6949164380928764</v>
      </c>
      <c r="AZ46" s="5">
        <f t="shared" si="86"/>
        <v>0.93156693267936364</v>
      </c>
      <c r="BA46" s="5">
        <f t="shared" si="87"/>
        <v>0.14205328738807393</v>
      </c>
      <c r="BB46" s="147">
        <f t="shared" si="88"/>
        <v>14.451328738807396</v>
      </c>
      <c r="BC46" s="5"/>
      <c r="BD46" s="153">
        <f t="shared" si="57"/>
        <v>0.13581783895912963</v>
      </c>
      <c r="BE46" s="153">
        <f t="shared" si="89"/>
        <v>0.1685546127449937</v>
      </c>
      <c r="BF46" s="153">
        <f t="shared" si="90"/>
        <v>0.1678936142636408</v>
      </c>
      <c r="BG46" s="153"/>
      <c r="BH46" s="463">
        <f t="shared" si="34"/>
        <v>6.4562698828348241E-3</v>
      </c>
      <c r="BI46" s="463">
        <f t="shared" si="35"/>
        <v>2.645495951990855E-2</v>
      </c>
      <c r="BJ46" s="463">
        <f t="shared" si="36"/>
        <v>4.3749999999999995E-3</v>
      </c>
      <c r="BK46" s="463">
        <f t="shared" si="37"/>
        <v>2.8449792000000005E-2</v>
      </c>
      <c r="BL46">
        <f t="shared" si="38"/>
        <v>5.7999999999999996E-3</v>
      </c>
      <c r="BM46">
        <f t="shared" si="91"/>
        <v>1.3124999999999999E-5</v>
      </c>
      <c r="BN46">
        <f t="shared" si="92"/>
        <v>7.2507111988617715E-2</v>
      </c>
      <c r="BO46" s="147">
        <f t="shared" si="58"/>
        <v>72.507111988617709</v>
      </c>
      <c r="BP46" s="153">
        <f t="shared" si="93"/>
        <v>3.7367742312897703E-2</v>
      </c>
      <c r="BQ46" s="153">
        <f t="shared" si="94"/>
        <v>3.7197835002828271E-2</v>
      </c>
      <c r="BR46" s="463"/>
      <c r="BT46" s="147">
        <f t="shared" si="59"/>
        <v>74.56557731572596</v>
      </c>
      <c r="BU46" s="463">
        <f t="shared" si="43"/>
        <v>1.8446485379528071E-2</v>
      </c>
      <c r="BV46" s="463">
        <f t="shared" si="60"/>
        <v>2.841065747761479E-2</v>
      </c>
      <c r="BW46" s="463">
        <f t="shared" si="95"/>
        <v>1.4094132855254106E-3</v>
      </c>
      <c r="BX46" s="463">
        <f t="shared" si="45"/>
        <v>0</v>
      </c>
      <c r="BY46" s="463">
        <f t="shared" si="96"/>
        <v>5.4268089583198287E-2</v>
      </c>
      <c r="BZ46" s="463">
        <f t="shared" si="61"/>
        <v>4.8266556142668268E-2</v>
      </c>
      <c r="CA46" s="549">
        <f t="shared" si="97"/>
        <v>2.46E-2</v>
      </c>
      <c r="CB46" s="147">
        <f t="shared" si="62"/>
        <v>78.868089583198284</v>
      </c>
      <c r="CC46" s="153">
        <f t="shared" si="63"/>
        <v>0.22594077888754199</v>
      </c>
      <c r="CD46" s="5">
        <f t="shared" si="64"/>
        <v>1.476</v>
      </c>
      <c r="CE46" s="153">
        <f t="shared" si="65"/>
        <v>0.8672452169368513</v>
      </c>
      <c r="CF46" s="5">
        <f t="shared" si="66"/>
        <v>86.724521693685134</v>
      </c>
      <c r="CG46">
        <f t="shared" si="102"/>
        <v>41</v>
      </c>
      <c r="CI46" s="59">
        <f t="shared" si="98"/>
        <v>-50</v>
      </c>
      <c r="CJ46">
        <f t="shared" si="99"/>
        <v>-50</v>
      </c>
    </row>
    <row r="47" spans="5:88" x14ac:dyDescent="0.25">
      <c r="E47" s="150">
        <v>42</v>
      </c>
      <c r="F47" s="191">
        <f t="shared" si="103"/>
        <v>4.2000000000000003E-2</v>
      </c>
      <c r="G47" s="191">
        <f t="shared" si="100"/>
        <v>4.2000000000000003E-2</v>
      </c>
      <c r="H47" s="191">
        <f t="shared" si="70"/>
        <v>0.84000000000000008</v>
      </c>
      <c r="I47" s="191">
        <f t="shared" si="104"/>
        <v>0.67200000000000004</v>
      </c>
      <c r="J47" s="472">
        <f t="shared" si="1"/>
        <v>20</v>
      </c>
      <c r="K47" s="386">
        <f t="shared" si="2"/>
        <v>20.32</v>
      </c>
      <c r="L47" s="386">
        <f t="shared" si="3"/>
        <v>40.32</v>
      </c>
      <c r="M47" s="386"/>
      <c r="N47" s="191">
        <f t="shared" si="4"/>
        <v>0.50396825396825395</v>
      </c>
      <c r="O47" s="152">
        <f t="shared" si="101"/>
        <v>1.8898809523809523</v>
      </c>
      <c r="P47" s="152">
        <f t="shared" si="71"/>
        <v>2.7214285714285715</v>
      </c>
      <c r="Q47" s="191">
        <f t="shared" si="6"/>
        <v>9.4494047619047616E-2</v>
      </c>
      <c r="R47" s="191">
        <f t="shared" si="72"/>
        <v>0.11811755952380952</v>
      </c>
      <c r="S47" s="386">
        <f t="shared" si="73"/>
        <v>20</v>
      </c>
      <c r="T47" s="191">
        <f t="shared" si="74"/>
        <v>0.33335433070866144</v>
      </c>
      <c r="U47" s="191">
        <f t="shared" si="10"/>
        <v>1.0000629921259843</v>
      </c>
      <c r="V47" s="191">
        <f t="shared" si="11"/>
        <v>0.98431396862793741</v>
      </c>
      <c r="W47" s="175">
        <f t="shared" si="12"/>
        <v>350</v>
      </c>
      <c r="X47" s="386">
        <f t="shared" si="52"/>
        <v>350</v>
      </c>
      <c r="Z47" s="191">
        <f t="shared" si="13"/>
        <v>0.47996976568405147</v>
      </c>
      <c r="AA47" s="153">
        <f t="shared" si="14"/>
        <v>1.4172335600907031</v>
      </c>
      <c r="AB47" s="153">
        <f t="shared" si="75"/>
        <v>0.11904012045735404</v>
      </c>
      <c r="AC47" s="153"/>
      <c r="AD47" s="153">
        <f t="shared" si="16"/>
        <v>0.44291338582677164</v>
      </c>
      <c r="AE47" s="317">
        <f t="shared" si="76"/>
        <v>1264.3555555555558</v>
      </c>
      <c r="AF47" s="463">
        <f t="shared" si="77"/>
        <v>1.1626476377952754E-2</v>
      </c>
      <c r="AH47" s="153">
        <f t="shared" si="78"/>
        <v>0.3794733192202055</v>
      </c>
      <c r="AI47" s="153">
        <f t="shared" si="79"/>
        <v>0.3794733192202055</v>
      </c>
      <c r="AJ47" s="153">
        <f t="shared" si="80"/>
        <v>1.3699802364594114</v>
      </c>
      <c r="AL47" s="317">
        <f t="shared" si="81"/>
        <v>42</v>
      </c>
      <c r="AM47" s="147">
        <f t="shared" si="82"/>
        <v>350</v>
      </c>
      <c r="AO47">
        <f t="shared" si="53"/>
        <v>42</v>
      </c>
      <c r="AP47" s="147">
        <f t="shared" si="24"/>
        <v>350</v>
      </c>
      <c r="AQ47" s="147"/>
      <c r="AR47" s="5">
        <f t="shared" si="54"/>
        <v>2.8571428571428572</v>
      </c>
      <c r="AS47" s="5">
        <f t="shared" si="25"/>
        <v>1.1384199576606164</v>
      </c>
      <c r="AT47" s="5">
        <f t="shared" si="55"/>
        <v>1.7187228994822408</v>
      </c>
      <c r="AU47" s="153">
        <f t="shared" si="56"/>
        <v>0.39844698518121574</v>
      </c>
      <c r="AW47" s="5">
        <f t="shared" si="83"/>
        <v>0.68947680000000022</v>
      </c>
      <c r="AX47" s="5">
        <f t="shared" si="84"/>
        <v>2.5584741504000004</v>
      </c>
      <c r="AY47" s="5">
        <f t="shared" si="85"/>
        <v>0.6949164380928764</v>
      </c>
      <c r="AZ47" s="5">
        <f t="shared" si="86"/>
        <v>0.97551461585151533</v>
      </c>
      <c r="BA47" s="5">
        <f t="shared" si="87"/>
        <v>0.14437272355650821</v>
      </c>
      <c r="BB47" s="147">
        <f t="shared" si="88"/>
        <v>14.689272355650825</v>
      </c>
      <c r="BC47" s="5"/>
      <c r="BD47" s="153">
        <f t="shared" si="57"/>
        <v>0.13829481294935958</v>
      </c>
      <c r="BE47" s="153">
        <f t="shared" si="89"/>
        <v>0.16992511501041169</v>
      </c>
      <c r="BF47" s="153">
        <f t="shared" si="90"/>
        <v>0.16925874201037086</v>
      </c>
      <c r="BG47" s="153"/>
      <c r="BH47" s="463">
        <f t="shared" si="34"/>
        <v>6.6939093510444232E-3</v>
      </c>
      <c r="BI47" s="463">
        <f t="shared" si="35"/>
        <v>2.6775637404177703E-2</v>
      </c>
      <c r="BJ47" s="463">
        <f t="shared" si="36"/>
        <v>4.3749999999999995E-3</v>
      </c>
      <c r="BK47" s="463">
        <f t="shared" si="37"/>
        <v>2.8449792000000005E-2</v>
      </c>
      <c r="BL47">
        <f t="shared" si="38"/>
        <v>5.7999999999999996E-3</v>
      </c>
      <c r="BM47">
        <f t="shared" si="91"/>
        <v>1.3124999999999999E-5</v>
      </c>
      <c r="BN47">
        <f t="shared" si="92"/>
        <v>7.310142369663794E-2</v>
      </c>
      <c r="BO47" s="147">
        <f t="shared" si="58"/>
        <v>73.101423696637937</v>
      </c>
      <c r="BP47" s="153">
        <f t="shared" si="93"/>
        <v>3.8104152159434461E-2</v>
      </c>
      <c r="BQ47" s="153">
        <f t="shared" si="94"/>
        <v>3.7931470614657029E-2</v>
      </c>
      <c r="BR47" s="463"/>
      <c r="BT47" s="147">
        <f t="shared" si="59"/>
        <v>76.035622774091479</v>
      </c>
      <c r="BU47" s="463">
        <f t="shared" si="43"/>
        <v>1.9125455288698353E-2</v>
      </c>
      <c r="BV47" s="463">
        <f t="shared" si="60"/>
        <v>2.8874544711301638E-2</v>
      </c>
      <c r="BW47" s="463">
        <f t="shared" si="95"/>
        <v>1.4324260873466643E-3</v>
      </c>
      <c r="BX47" s="463">
        <f t="shared" si="45"/>
        <v>0</v>
      </c>
      <c r="BY47" s="463">
        <f t="shared" si="96"/>
        <v>5.5584129889218521E-2</v>
      </c>
      <c r="BZ47" s="463">
        <f t="shared" si="61"/>
        <v>4.9432426087346652E-2</v>
      </c>
      <c r="CA47" s="549">
        <f t="shared" si="97"/>
        <v>2.5200000000000004E-2</v>
      </c>
      <c r="CB47" s="147">
        <f t="shared" si="62"/>
        <v>80.784129889218534</v>
      </c>
      <c r="CC47" s="153">
        <f t="shared" si="63"/>
        <v>0.22992117635994797</v>
      </c>
      <c r="CD47" s="5">
        <f t="shared" si="64"/>
        <v>1.512</v>
      </c>
      <c r="CE47" s="153">
        <f t="shared" si="65"/>
        <v>0.86800712943830849</v>
      </c>
      <c r="CF47" s="5">
        <f t="shared" si="66"/>
        <v>86.800712943830845</v>
      </c>
      <c r="CG47">
        <f t="shared" si="102"/>
        <v>42</v>
      </c>
      <c r="CI47" s="59">
        <f t="shared" si="98"/>
        <v>-50</v>
      </c>
      <c r="CJ47">
        <f t="shared" si="99"/>
        <v>-50</v>
      </c>
    </row>
    <row r="48" spans="5:88" x14ac:dyDescent="0.25">
      <c r="E48" s="150">
        <v>43</v>
      </c>
      <c r="F48" s="191">
        <f t="shared" si="103"/>
        <v>4.3000000000000003E-2</v>
      </c>
      <c r="G48" s="191">
        <f t="shared" si="100"/>
        <v>4.3000000000000003E-2</v>
      </c>
      <c r="H48" s="191">
        <f t="shared" si="70"/>
        <v>0.8600000000000001</v>
      </c>
      <c r="I48" s="191">
        <f t="shared" si="104"/>
        <v>0.68800000000000006</v>
      </c>
      <c r="J48" s="472">
        <f t="shared" si="1"/>
        <v>20</v>
      </c>
      <c r="K48" s="386">
        <f t="shared" si="2"/>
        <v>20.32</v>
      </c>
      <c r="L48" s="386">
        <f t="shared" si="3"/>
        <v>40.32</v>
      </c>
      <c r="M48" s="386"/>
      <c r="N48" s="191">
        <f t="shared" si="4"/>
        <v>0.50396825396825395</v>
      </c>
      <c r="O48" s="152">
        <f t="shared" si="101"/>
        <v>1.8898809523809523</v>
      </c>
      <c r="P48" s="152">
        <f t="shared" si="71"/>
        <v>2.7214285714285715</v>
      </c>
      <c r="Q48" s="191">
        <f t="shared" si="6"/>
        <v>9.4494047619047616E-2</v>
      </c>
      <c r="R48" s="191">
        <f t="shared" si="72"/>
        <v>0.11811755952380952</v>
      </c>
      <c r="S48" s="386">
        <f t="shared" si="73"/>
        <v>20</v>
      </c>
      <c r="T48" s="191">
        <f t="shared" si="74"/>
        <v>0.34129133858267718</v>
      </c>
      <c r="U48" s="191">
        <f t="shared" si="10"/>
        <v>1.0238740157480317</v>
      </c>
      <c r="V48" s="191">
        <f t="shared" si="11"/>
        <v>1.0077500155000312</v>
      </c>
      <c r="W48" s="175">
        <f t="shared" si="12"/>
        <v>350</v>
      </c>
      <c r="X48" s="386">
        <f t="shared" si="52"/>
        <v>350</v>
      </c>
      <c r="Z48" s="191">
        <f t="shared" si="13"/>
        <v>0.47996976568405147</v>
      </c>
      <c r="AA48" s="153">
        <f t="shared" si="14"/>
        <v>1.4172335600907031</v>
      </c>
      <c r="AB48" s="153">
        <f t="shared" si="75"/>
        <v>0.11904012045735404</v>
      </c>
      <c r="AC48" s="153"/>
      <c r="AD48" s="153">
        <f t="shared" si="16"/>
        <v>0.44291338582677164</v>
      </c>
      <c r="AE48" s="317">
        <f t="shared" si="76"/>
        <v>1294.4592592592596</v>
      </c>
      <c r="AF48" s="463">
        <f t="shared" si="77"/>
        <v>1.1626476377952754E-2</v>
      </c>
      <c r="AH48" s="153">
        <f t="shared" si="78"/>
        <v>0.38396428405331068</v>
      </c>
      <c r="AI48" s="153">
        <f t="shared" si="79"/>
        <v>0.38396428405331068</v>
      </c>
      <c r="AJ48" s="153">
        <f t="shared" si="80"/>
        <v>1.3733068770765264</v>
      </c>
      <c r="AL48" s="317">
        <f t="shared" si="81"/>
        <v>43</v>
      </c>
      <c r="AM48" s="147">
        <f t="shared" si="82"/>
        <v>350</v>
      </c>
      <c r="AO48">
        <f t="shared" si="53"/>
        <v>43</v>
      </c>
      <c r="AP48" s="147">
        <f t="shared" si="24"/>
        <v>350</v>
      </c>
      <c r="AQ48" s="147"/>
      <c r="AR48" s="5">
        <f t="shared" si="54"/>
        <v>2.8571428571428572</v>
      </c>
      <c r="AS48" s="5">
        <f t="shared" si="25"/>
        <v>1.1518928521599319</v>
      </c>
      <c r="AT48" s="5">
        <f t="shared" si="55"/>
        <v>1.7052500049829253</v>
      </c>
      <c r="AU48" s="153">
        <f t="shared" si="56"/>
        <v>0.40316249825597616</v>
      </c>
      <c r="AW48" s="5">
        <f t="shared" si="83"/>
        <v>0.68947680000000022</v>
      </c>
      <c r="AX48" s="5">
        <f t="shared" si="84"/>
        <v>2.6786852064000009</v>
      </c>
      <c r="AY48" s="5">
        <f t="shared" si="85"/>
        <v>0.6949164380928764</v>
      </c>
      <c r="AZ48" s="5">
        <f t="shared" si="86"/>
        <v>1.0204730865699843</v>
      </c>
      <c r="BA48" s="5">
        <f t="shared" si="87"/>
        <v>0.14665150042853156</v>
      </c>
      <c r="BB48" s="147">
        <f t="shared" si="88"/>
        <v>14.923150042853157</v>
      </c>
      <c r="BC48" s="5"/>
      <c r="BD48" s="153">
        <f t="shared" si="57"/>
        <v>0.1407570852822366</v>
      </c>
      <c r="BE48" s="153">
        <f t="shared" si="89"/>
        <v>0.17126091231132198</v>
      </c>
      <c r="BF48" s="153">
        <f t="shared" si="90"/>
        <v>0.17058930089049329</v>
      </c>
      <c r="BG48" s="153"/>
      <c r="BH48" s="463">
        <f t="shared" si="34"/>
        <v>6.934394970002789E-3</v>
      </c>
      <c r="BI48" s="463">
        <f t="shared" si="35"/>
        <v>2.7092519882801605E-2</v>
      </c>
      <c r="BJ48" s="463">
        <f t="shared" si="36"/>
        <v>4.3749999999999995E-3</v>
      </c>
      <c r="BK48" s="463">
        <f t="shared" si="37"/>
        <v>2.8449792000000005E-2</v>
      </c>
      <c r="BL48">
        <f t="shared" si="38"/>
        <v>5.7999999999999996E-3</v>
      </c>
      <c r="BM48">
        <f t="shared" si="91"/>
        <v>1.3124999999999999E-5</v>
      </c>
      <c r="BN48">
        <f t="shared" si="92"/>
        <v>7.3695260585931829E-2</v>
      </c>
      <c r="BO48" s="147">
        <f t="shared" si="58"/>
        <v>73.695260585931834</v>
      </c>
      <c r="BP48" s="153">
        <f t="shared" si="93"/>
        <v>3.8834349265479629E-2</v>
      </c>
      <c r="BQ48" s="153">
        <f t="shared" si="94"/>
        <v>3.8658942117826743E-2</v>
      </c>
      <c r="BR48" s="463"/>
      <c r="BT48" s="147">
        <f t="shared" si="59"/>
        <v>77.493291383306385</v>
      </c>
      <c r="BU48" s="463">
        <f t="shared" si="43"/>
        <v>1.9812557057150827E-2</v>
      </c>
      <c r="BV48" s="463">
        <f t="shared" si="60"/>
        <v>2.9330300085706317E-2</v>
      </c>
      <c r="BW48" s="463">
        <f t="shared" si="95"/>
        <v>1.4550354789153628E-3</v>
      </c>
      <c r="BX48" s="463">
        <f t="shared" si="45"/>
        <v>0</v>
      </c>
      <c r="BY48" s="463">
        <f t="shared" si="96"/>
        <v>5.6899961186488976E-2</v>
      </c>
      <c r="BZ48" s="463">
        <f t="shared" si="61"/>
        <v>5.0597892621772507E-2</v>
      </c>
      <c r="CA48" s="549">
        <f t="shared" si="97"/>
        <v>2.5800000000000003E-2</v>
      </c>
      <c r="CB48" s="147">
        <f t="shared" si="62"/>
        <v>82.699961186488977</v>
      </c>
      <c r="CC48" s="153">
        <f t="shared" si="63"/>
        <v>0.23388851315572717</v>
      </c>
      <c r="CD48" s="5">
        <f t="shared" si="64"/>
        <v>1.548</v>
      </c>
      <c r="CE48" s="153">
        <f t="shared" si="65"/>
        <v>0.86874121953819083</v>
      </c>
      <c r="CF48" s="5">
        <f t="shared" si="66"/>
        <v>86.874121953819085</v>
      </c>
      <c r="CG48">
        <f t="shared" si="102"/>
        <v>43</v>
      </c>
      <c r="CI48" s="59">
        <f t="shared" si="98"/>
        <v>-50</v>
      </c>
      <c r="CJ48">
        <f t="shared" si="99"/>
        <v>-50</v>
      </c>
    </row>
    <row r="49" spans="5:88" x14ac:dyDescent="0.25">
      <c r="E49" s="150">
        <v>44</v>
      </c>
      <c r="F49" s="191">
        <f t="shared" si="103"/>
        <v>4.4000000000000004E-2</v>
      </c>
      <c r="G49" s="191">
        <f t="shared" si="100"/>
        <v>4.4000000000000004E-2</v>
      </c>
      <c r="H49" s="191">
        <f t="shared" si="70"/>
        <v>0.88000000000000012</v>
      </c>
      <c r="I49" s="191">
        <f t="shared" si="104"/>
        <v>0.70400000000000007</v>
      </c>
      <c r="J49" s="472">
        <f t="shared" si="1"/>
        <v>20</v>
      </c>
      <c r="K49" s="386">
        <f t="shared" si="2"/>
        <v>20.32</v>
      </c>
      <c r="L49" s="386">
        <f t="shared" si="3"/>
        <v>40.32</v>
      </c>
      <c r="M49" s="386"/>
      <c r="N49" s="191">
        <f t="shared" si="4"/>
        <v>0.50396825396825395</v>
      </c>
      <c r="O49" s="152">
        <f t="shared" si="101"/>
        <v>1.8898809523809523</v>
      </c>
      <c r="P49" s="152">
        <f t="shared" si="71"/>
        <v>2.7214285714285715</v>
      </c>
      <c r="Q49" s="191">
        <f t="shared" si="6"/>
        <v>9.4494047619047616E-2</v>
      </c>
      <c r="R49" s="191">
        <f t="shared" si="72"/>
        <v>0.11811755952380952</v>
      </c>
      <c r="S49" s="386">
        <f t="shared" si="73"/>
        <v>20</v>
      </c>
      <c r="T49" s="191">
        <f t="shared" si="74"/>
        <v>0.34922834645669293</v>
      </c>
      <c r="U49" s="191">
        <f t="shared" si="10"/>
        <v>1.047685039370079</v>
      </c>
      <c r="V49" s="191">
        <f t="shared" si="11"/>
        <v>1.031186062372125</v>
      </c>
      <c r="W49" s="175">
        <f t="shared" si="12"/>
        <v>350</v>
      </c>
      <c r="X49" s="386">
        <f t="shared" si="52"/>
        <v>350</v>
      </c>
      <c r="Z49" s="191">
        <f t="shared" si="13"/>
        <v>0.47996976568405147</v>
      </c>
      <c r="AA49" s="153">
        <f t="shared" si="14"/>
        <v>1.4172335600907031</v>
      </c>
      <c r="AB49" s="153">
        <f t="shared" si="75"/>
        <v>0.11904012045735404</v>
      </c>
      <c r="AC49" s="153"/>
      <c r="AD49" s="153">
        <f t="shared" si="16"/>
        <v>0.44291338582677164</v>
      </c>
      <c r="AE49" s="317">
        <f t="shared" si="76"/>
        <v>1324.5629629629634</v>
      </c>
      <c r="AF49" s="463">
        <f t="shared" si="77"/>
        <v>1.1626476377952754E-2</v>
      </c>
      <c r="AH49" s="153">
        <f t="shared" si="78"/>
        <v>0.38840332498208979</v>
      </c>
      <c r="AI49" s="153">
        <f t="shared" si="79"/>
        <v>0.38840332498208979</v>
      </c>
      <c r="AJ49" s="153">
        <f t="shared" si="80"/>
        <v>1.3765950555422888</v>
      </c>
      <c r="AL49" s="317">
        <f t="shared" si="81"/>
        <v>44.000000000000007</v>
      </c>
      <c r="AM49" s="147">
        <f t="shared" si="82"/>
        <v>350</v>
      </c>
      <c r="AO49">
        <f t="shared" si="53"/>
        <v>44.000000000000007</v>
      </c>
      <c r="AP49" s="147">
        <f t="shared" si="24"/>
        <v>350</v>
      </c>
      <c r="AQ49" s="147"/>
      <c r="AR49" s="5">
        <f t="shared" si="54"/>
        <v>2.8571428571428572</v>
      </c>
      <c r="AS49" s="5">
        <f t="shared" si="25"/>
        <v>1.1652099749462694</v>
      </c>
      <c r="AT49" s="5">
        <f t="shared" si="55"/>
        <v>1.6919328821965878</v>
      </c>
      <c r="AU49" s="153">
        <f t="shared" si="56"/>
        <v>0.40782349123119427</v>
      </c>
      <c r="AW49" s="5">
        <f t="shared" si="83"/>
        <v>0.68947680000000022</v>
      </c>
      <c r="AX49" s="5">
        <f t="shared" si="84"/>
        <v>2.8016541696000004</v>
      </c>
      <c r="AY49" s="5">
        <f t="shared" si="85"/>
        <v>0.6949164380928764</v>
      </c>
      <c r="AZ49" s="5">
        <f t="shared" si="86"/>
        <v>1.0664423448347697</v>
      </c>
      <c r="BA49" s="5">
        <f t="shared" si="87"/>
        <v>0.14889009363329972</v>
      </c>
      <c r="BB49" s="147">
        <f t="shared" si="88"/>
        <v>15.153009363329975</v>
      </c>
      <c r="BC49" s="5"/>
      <c r="BD49" s="153">
        <f t="shared" si="57"/>
        <v>0.14320508216908484</v>
      </c>
      <c r="BE49" s="153">
        <f t="shared" si="89"/>
        <v>0.17256308622257527</v>
      </c>
      <c r="BF49" s="153">
        <f t="shared" si="90"/>
        <v>0.1718863682373887</v>
      </c>
      <c r="BG49" s="153"/>
      <c r="BH49" s="463">
        <f t="shared" si="34"/>
        <v>7.1776934456690188E-3</v>
      </c>
      <c r="BI49" s="463">
        <f t="shared" si="35"/>
        <v>2.7405738610736252E-2</v>
      </c>
      <c r="BJ49" s="463">
        <f t="shared" si="36"/>
        <v>4.3749999999999995E-3</v>
      </c>
      <c r="BK49" s="463">
        <f t="shared" si="37"/>
        <v>2.8449792000000005E-2</v>
      </c>
      <c r="BL49">
        <f t="shared" si="38"/>
        <v>5.7999999999999996E-3</v>
      </c>
      <c r="BM49">
        <f t="shared" si="91"/>
        <v>1.3124999999999999E-5</v>
      </c>
      <c r="BN49">
        <f t="shared" si="92"/>
        <v>7.428871706369955E-2</v>
      </c>
      <c r="BO49" s="147">
        <f t="shared" si="58"/>
        <v>74.288717063699551</v>
      </c>
      <c r="BP49" s="153">
        <f t="shared" si="93"/>
        <v>3.9558406307168205E-2</v>
      </c>
      <c r="BQ49" s="153">
        <f t="shared" si="94"/>
        <v>3.9380321619581146E-2</v>
      </c>
      <c r="BR49" s="463"/>
      <c r="BT49" s="147">
        <f t="shared" si="59"/>
        <v>78.938727926749351</v>
      </c>
      <c r="BU49" s="463">
        <f t="shared" si="43"/>
        <v>2.050769555905434E-2</v>
      </c>
      <c r="BV49" s="463">
        <f t="shared" si="60"/>
        <v>2.9778018726659947E-2</v>
      </c>
      <c r="BW49" s="463">
        <f t="shared" si="95"/>
        <v>1.4772461792919595E-3</v>
      </c>
      <c r="BX49" s="463">
        <f t="shared" si="45"/>
        <v>0</v>
      </c>
      <c r="BY49" s="463">
        <f t="shared" si="96"/>
        <v>5.8215588617772505E-2</v>
      </c>
      <c r="BZ49" s="463">
        <f t="shared" si="61"/>
        <v>5.1762960465006246E-2</v>
      </c>
      <c r="CA49" s="549">
        <f t="shared" si="97"/>
        <v>2.6400000000000003E-2</v>
      </c>
      <c r="CB49" s="147">
        <f t="shared" si="62"/>
        <v>84.615588617772502</v>
      </c>
      <c r="CC49" s="153">
        <f t="shared" si="63"/>
        <v>0.2378430336082214</v>
      </c>
      <c r="CD49" s="5">
        <f t="shared" si="64"/>
        <v>1.5840000000000001</v>
      </c>
      <c r="CE49" s="153">
        <f t="shared" si="65"/>
        <v>0.86944921751180437</v>
      </c>
      <c r="CF49" s="5">
        <f t="shared" si="66"/>
        <v>86.944921751180431</v>
      </c>
      <c r="CG49">
        <f t="shared" si="102"/>
        <v>44</v>
      </c>
      <c r="CI49" s="59">
        <f t="shared" si="98"/>
        <v>-50</v>
      </c>
      <c r="CJ49">
        <f t="shared" si="99"/>
        <v>-50</v>
      </c>
    </row>
    <row r="50" spans="5:88" x14ac:dyDescent="0.25">
      <c r="E50" s="150">
        <v>45</v>
      </c>
      <c r="F50" s="191">
        <f t="shared" si="103"/>
        <v>4.5000000000000005E-2</v>
      </c>
      <c r="G50" s="191">
        <f t="shared" si="100"/>
        <v>4.5000000000000005E-2</v>
      </c>
      <c r="H50" s="191">
        <f t="shared" si="70"/>
        <v>0.90000000000000013</v>
      </c>
      <c r="I50" s="191">
        <f t="shared" si="104"/>
        <v>0.72000000000000008</v>
      </c>
      <c r="J50" s="472">
        <f t="shared" si="1"/>
        <v>20</v>
      </c>
      <c r="K50" s="386">
        <f t="shared" si="2"/>
        <v>20.32</v>
      </c>
      <c r="L50" s="386">
        <f t="shared" si="3"/>
        <v>40.32</v>
      </c>
      <c r="M50" s="386"/>
      <c r="N50" s="191">
        <f t="shared" si="4"/>
        <v>0.50396825396825395</v>
      </c>
      <c r="O50" s="152">
        <f t="shared" si="101"/>
        <v>1.8898809523809523</v>
      </c>
      <c r="P50" s="152">
        <f t="shared" si="71"/>
        <v>2.7214285714285715</v>
      </c>
      <c r="Q50" s="191">
        <f t="shared" si="6"/>
        <v>9.4494047619047616E-2</v>
      </c>
      <c r="R50" s="191">
        <f t="shared" si="72"/>
        <v>0.11811755952380952</v>
      </c>
      <c r="S50" s="386">
        <f t="shared" si="73"/>
        <v>20</v>
      </c>
      <c r="T50" s="191">
        <f t="shared" si="74"/>
        <v>0.35716535433070867</v>
      </c>
      <c r="U50" s="191">
        <f t="shared" si="10"/>
        <v>1.071496062992126</v>
      </c>
      <c r="V50" s="191">
        <f t="shared" si="11"/>
        <v>1.0546221092442185</v>
      </c>
      <c r="W50" s="175">
        <f t="shared" si="12"/>
        <v>350</v>
      </c>
      <c r="X50" s="386">
        <f t="shared" si="52"/>
        <v>350</v>
      </c>
      <c r="Z50" s="191">
        <f t="shared" si="13"/>
        <v>0.47996976568405147</v>
      </c>
      <c r="AA50" s="153">
        <f t="shared" si="14"/>
        <v>1.4172335600907031</v>
      </c>
      <c r="AB50" s="153">
        <f t="shared" si="75"/>
        <v>0.11904012045735404</v>
      </c>
      <c r="AC50" s="153"/>
      <c r="AD50" s="153">
        <f t="shared" si="16"/>
        <v>0.44291338582677164</v>
      </c>
      <c r="AE50" s="317">
        <f t="shared" si="76"/>
        <v>1354.666666666667</v>
      </c>
      <c r="AF50" s="463">
        <f t="shared" si="77"/>
        <v>1.1626476377952754E-2</v>
      </c>
      <c r="AH50" s="153">
        <f t="shared" si="78"/>
        <v>0.3927922024247863</v>
      </c>
      <c r="AI50" s="153">
        <f t="shared" si="79"/>
        <v>0.3927922024247863</v>
      </c>
      <c r="AJ50" s="153">
        <f t="shared" si="80"/>
        <v>1.379846075870212</v>
      </c>
      <c r="AL50" s="317">
        <f t="shared" si="81"/>
        <v>45.000000000000007</v>
      </c>
      <c r="AM50" s="147">
        <f t="shared" si="82"/>
        <v>350</v>
      </c>
      <c r="AO50">
        <f t="shared" si="53"/>
        <v>45.000000000000007</v>
      </c>
      <c r="AP50" s="147">
        <f t="shared" si="24"/>
        <v>350</v>
      </c>
      <c r="AQ50" s="147"/>
      <c r="AR50" s="5">
        <f t="shared" si="54"/>
        <v>2.8571428571428572</v>
      </c>
      <c r="AS50" s="5">
        <f t="shared" si="25"/>
        <v>1.1783766072743589</v>
      </c>
      <c r="AT50" s="5">
        <f t="shared" si="55"/>
        <v>1.6787662498684983</v>
      </c>
      <c r="AU50" s="153">
        <f t="shared" si="56"/>
        <v>0.41243181254602562</v>
      </c>
      <c r="AW50" s="5">
        <f t="shared" si="83"/>
        <v>0.68947680000000022</v>
      </c>
      <c r="AX50" s="5">
        <f t="shared" si="84"/>
        <v>2.9273810400000002</v>
      </c>
      <c r="AY50" s="5">
        <f t="shared" si="85"/>
        <v>0.6949164380928764</v>
      </c>
      <c r="AZ50" s="5">
        <f t="shared" si="86"/>
        <v>1.1134223906458725</v>
      </c>
      <c r="BA50" s="5">
        <f t="shared" si="87"/>
        <v>0.15108896248816484</v>
      </c>
      <c r="BB50" s="147">
        <f t="shared" si="88"/>
        <v>15.378896248816483</v>
      </c>
      <c r="BC50" s="5"/>
      <c r="BD50" s="153">
        <f t="shared" si="57"/>
        <v>0.14563920808263983</v>
      </c>
      <c r="BE50" s="153">
        <f t="shared" si="89"/>
        <v>0.17383265659142694</v>
      </c>
      <c r="BF50" s="153">
        <f t="shared" si="90"/>
        <v>0.17315095989891158</v>
      </c>
      <c r="BG50" s="153"/>
      <c r="BH50" s="463">
        <f t="shared" si="34"/>
        <v>7.4237726258284623E-3</v>
      </c>
      <c r="BI50" s="463">
        <f t="shared" si="35"/>
        <v>2.7715417803092921E-2</v>
      </c>
      <c r="BJ50" s="463">
        <f t="shared" si="36"/>
        <v>4.3749999999999995E-3</v>
      </c>
      <c r="BK50" s="463">
        <f t="shared" si="37"/>
        <v>2.8449792000000005E-2</v>
      </c>
      <c r="BL50">
        <f t="shared" si="38"/>
        <v>5.7999999999999996E-3</v>
      </c>
      <c r="BM50">
        <f t="shared" si="91"/>
        <v>1.3124999999999999E-5</v>
      </c>
      <c r="BN50">
        <f t="shared" si="92"/>
        <v>7.4881881401721889E-2</v>
      </c>
      <c r="BO50" s="147">
        <f t="shared" si="58"/>
        <v>74.881881401721884</v>
      </c>
      <c r="BP50" s="153">
        <f t="shared" si="93"/>
        <v>4.027639346819159E-2</v>
      </c>
      <c r="BQ50" s="153">
        <f t="shared" si="94"/>
        <v>4.0095678754230674E-2</v>
      </c>
      <c r="BR50" s="463"/>
      <c r="BT50" s="147">
        <f t="shared" si="59"/>
        <v>80.372072222422261</v>
      </c>
      <c r="BU50" s="463">
        <f t="shared" si="43"/>
        <v>2.1210778930938465E-2</v>
      </c>
      <c r="BV50" s="463">
        <f t="shared" si="60"/>
        <v>3.0217792497632966E-2</v>
      </c>
      <c r="BW50" s="463">
        <f t="shared" si="95"/>
        <v>1.4990627456957244E-3</v>
      </c>
      <c r="BX50" s="463">
        <f t="shared" si="45"/>
        <v>0</v>
      </c>
      <c r="BY50" s="463">
        <f t="shared" si="96"/>
        <v>5.9531017146985436E-2</v>
      </c>
      <c r="BZ50" s="463">
        <f t="shared" si="61"/>
        <v>5.2927634174267157E-2</v>
      </c>
      <c r="CA50" s="549">
        <f t="shared" si="97"/>
        <v>2.700000000000001E-2</v>
      </c>
      <c r="CB50" s="147">
        <f t="shared" si="62"/>
        <v>86.531017146985434</v>
      </c>
      <c r="CC50" s="153">
        <f t="shared" si="63"/>
        <v>0.24178497077112959</v>
      </c>
      <c r="CD50" s="5">
        <f t="shared" si="64"/>
        <v>1.62</v>
      </c>
      <c r="CE50" s="153">
        <f t="shared" si="65"/>
        <v>0.87013270889656757</v>
      </c>
      <c r="CF50" s="5">
        <f t="shared" si="66"/>
        <v>87.013270889656752</v>
      </c>
      <c r="CG50">
        <f t="shared" si="102"/>
        <v>45</v>
      </c>
      <c r="CI50" s="59">
        <f t="shared" si="98"/>
        <v>-50</v>
      </c>
      <c r="CJ50">
        <f t="shared" si="99"/>
        <v>-50</v>
      </c>
    </row>
    <row r="51" spans="5:88" x14ac:dyDescent="0.25">
      <c r="E51" s="150">
        <v>46</v>
      </c>
      <c r="F51" s="191">
        <f t="shared" si="103"/>
        <v>4.6000000000000006E-2</v>
      </c>
      <c r="G51" s="191">
        <f t="shared" si="100"/>
        <v>4.6000000000000006E-2</v>
      </c>
      <c r="H51" s="191">
        <f t="shared" si="70"/>
        <v>0.92000000000000015</v>
      </c>
      <c r="I51" s="191">
        <f t="shared" si="104"/>
        <v>0.7360000000000001</v>
      </c>
      <c r="J51" s="472">
        <f t="shared" si="1"/>
        <v>20</v>
      </c>
      <c r="K51" s="386">
        <f t="shared" si="2"/>
        <v>20.32</v>
      </c>
      <c r="L51" s="386">
        <f t="shared" si="3"/>
        <v>40.32</v>
      </c>
      <c r="M51" s="386"/>
      <c r="N51" s="191">
        <f t="shared" si="4"/>
        <v>0.50396825396825395</v>
      </c>
      <c r="O51" s="152">
        <f t="shared" si="101"/>
        <v>1.8898809523809523</v>
      </c>
      <c r="P51" s="152">
        <f t="shared" si="71"/>
        <v>2.7214285714285715</v>
      </c>
      <c r="Q51" s="191">
        <f t="shared" si="6"/>
        <v>9.4494047619047616E-2</v>
      </c>
      <c r="R51" s="191">
        <f t="shared" si="72"/>
        <v>0.11811755952380952</v>
      </c>
      <c r="S51" s="386">
        <f t="shared" si="73"/>
        <v>20</v>
      </c>
      <c r="T51" s="191">
        <f t="shared" si="74"/>
        <v>0.36510236220472447</v>
      </c>
      <c r="U51" s="191">
        <f t="shared" si="10"/>
        <v>1.0953070866141734</v>
      </c>
      <c r="V51" s="191">
        <f t="shared" si="11"/>
        <v>1.0780581561163123</v>
      </c>
      <c r="W51" s="175">
        <f t="shared" si="12"/>
        <v>350</v>
      </c>
      <c r="X51" s="386">
        <f t="shared" si="52"/>
        <v>350</v>
      </c>
      <c r="Z51" s="191">
        <f t="shared" si="13"/>
        <v>0.47996976568405147</v>
      </c>
      <c r="AA51" s="153">
        <f t="shared" si="14"/>
        <v>1.4172335600907031</v>
      </c>
      <c r="AB51" s="153">
        <f t="shared" si="75"/>
        <v>0.11904012045735404</v>
      </c>
      <c r="AC51" s="153"/>
      <c r="AD51" s="153">
        <f t="shared" si="16"/>
        <v>0.44291338582677164</v>
      </c>
      <c r="AE51" s="317">
        <f t="shared" si="76"/>
        <v>1384.7703703703708</v>
      </c>
      <c r="AF51" s="463">
        <f t="shared" si="77"/>
        <v>1.1626476377952754E-2</v>
      </c>
      <c r="AH51" s="153">
        <f t="shared" si="78"/>
        <v>0.39713257951757841</v>
      </c>
      <c r="AI51" s="153">
        <f t="shared" si="79"/>
        <v>0.39713257951757841</v>
      </c>
      <c r="AJ51" s="153">
        <f t="shared" si="80"/>
        <v>1.3830611700130211</v>
      </c>
      <c r="AL51" s="317">
        <f t="shared" si="81"/>
        <v>46.000000000000007</v>
      </c>
      <c r="AM51" s="147">
        <f t="shared" si="82"/>
        <v>350</v>
      </c>
      <c r="AO51">
        <f t="shared" si="53"/>
        <v>46.000000000000007</v>
      </c>
      <c r="AP51" s="147">
        <f t="shared" si="24"/>
        <v>350</v>
      </c>
      <c r="AQ51" s="147"/>
      <c r="AR51" s="5">
        <f t="shared" si="54"/>
        <v>2.8571428571428572</v>
      </c>
      <c r="AS51" s="5">
        <f t="shared" si="25"/>
        <v>1.1913977385527355</v>
      </c>
      <c r="AT51" s="5">
        <f t="shared" si="55"/>
        <v>1.6657451185901218</v>
      </c>
      <c r="AU51" s="153">
        <f t="shared" si="56"/>
        <v>0.41698920849345739</v>
      </c>
      <c r="AW51" s="5">
        <f t="shared" si="83"/>
        <v>0.68947680000000022</v>
      </c>
      <c r="AX51" s="5">
        <f t="shared" si="84"/>
        <v>3.0558658176000009</v>
      </c>
      <c r="AY51" s="5">
        <f t="shared" si="85"/>
        <v>0.6949164380928764</v>
      </c>
      <c r="AZ51" s="5">
        <f t="shared" si="86"/>
        <v>1.1614132240032919</v>
      </c>
      <c r="BA51" s="5">
        <f t="shared" si="87"/>
        <v>0.15324855091029119</v>
      </c>
      <c r="BB51" s="147">
        <f t="shared" si="88"/>
        <v>15.600855091029121</v>
      </c>
      <c r="BC51" s="5"/>
      <c r="BD51" s="153">
        <f t="shared" si="57"/>
        <v>0.14805984732320351</v>
      </c>
      <c r="BE51" s="153">
        <f t="shared" si="89"/>
        <v>0.17507058628467045</v>
      </c>
      <c r="BF51" s="153">
        <f t="shared" si="90"/>
        <v>0.17438403496590704</v>
      </c>
      <c r="BG51" s="153"/>
      <c r="BH51" s="463">
        <f t="shared" si="34"/>
        <v>7.6726014362796168E-3</v>
      </c>
      <c r="BI51" s="463">
        <f t="shared" si="35"/>
        <v>2.8021674810760334E-2</v>
      </c>
      <c r="BJ51" s="463">
        <f t="shared" si="36"/>
        <v>4.3749999999999995E-3</v>
      </c>
      <c r="BK51" s="463">
        <f t="shared" si="37"/>
        <v>2.8449792000000005E-2</v>
      </c>
      <c r="BL51">
        <f t="shared" si="38"/>
        <v>5.7999999999999996E-3</v>
      </c>
      <c r="BM51">
        <f t="shared" si="91"/>
        <v>1.3124999999999999E-5</v>
      </c>
      <c r="BN51">
        <f t="shared" si="92"/>
        <v>7.5474836239101478E-2</v>
      </c>
      <c r="BO51" s="147">
        <f t="shared" si="58"/>
        <v>75.474836239101478</v>
      </c>
      <c r="BP51" s="153">
        <f t="shared" si="93"/>
        <v>4.0988378579092502E-2</v>
      </c>
      <c r="BQ51" s="153">
        <f t="shared" si="94"/>
        <v>4.0805080821356893E-2</v>
      </c>
      <c r="BR51" s="463"/>
      <c r="BT51" s="147">
        <f t="shared" si="59"/>
        <v>81.793459400449393</v>
      </c>
      <c r="BU51" s="463">
        <f t="shared" si="43"/>
        <v>2.1921718389370334E-2</v>
      </c>
      <c r="BV51" s="463">
        <f t="shared" si="60"/>
        <v>3.0649710182058244E-2</v>
      </c>
      <c r="BW51" s="463">
        <f t="shared" si="95"/>
        <v>1.5204895825495345E-3</v>
      </c>
      <c r="BX51" s="463">
        <f t="shared" si="45"/>
        <v>0</v>
      </c>
      <c r="BY51" s="463">
        <f t="shared" si="96"/>
        <v>6.0846251569244288E-2</v>
      </c>
      <c r="BZ51" s="463">
        <f t="shared" si="61"/>
        <v>5.4091918153978111E-2</v>
      </c>
      <c r="CA51" s="549">
        <f t="shared" si="97"/>
        <v>2.760000000000001E-2</v>
      </c>
      <c r="CB51" s="147">
        <f t="shared" si="62"/>
        <v>88.446251569244296</v>
      </c>
      <c r="CC51" s="153">
        <f t="shared" si="63"/>
        <v>0.24571454720879515</v>
      </c>
      <c r="CD51" s="5">
        <f t="shared" si="64"/>
        <v>1.6560000000000001</v>
      </c>
      <c r="CE51" s="153">
        <f t="shared" si="65"/>
        <v>0.87079314949268394</v>
      </c>
      <c r="CF51" s="5">
        <f t="shared" si="66"/>
        <v>87.079314949268394</v>
      </c>
      <c r="CG51">
        <f t="shared" si="102"/>
        <v>46</v>
      </c>
      <c r="CI51" s="59">
        <f t="shared" si="98"/>
        <v>-50</v>
      </c>
      <c r="CJ51">
        <f t="shared" si="99"/>
        <v>-50</v>
      </c>
    </row>
    <row r="52" spans="5:88" x14ac:dyDescent="0.25">
      <c r="E52" s="150">
        <v>47</v>
      </c>
      <c r="F52" s="191">
        <f t="shared" si="103"/>
        <v>4.7E-2</v>
      </c>
      <c r="G52" s="191">
        <f t="shared" si="100"/>
        <v>4.7E-2</v>
      </c>
      <c r="H52" s="191">
        <f t="shared" si="70"/>
        <v>0.94</v>
      </c>
      <c r="I52" s="191">
        <f t="shared" si="104"/>
        <v>0.752</v>
      </c>
      <c r="J52" s="472">
        <f t="shared" si="1"/>
        <v>20</v>
      </c>
      <c r="K52" s="386">
        <f t="shared" si="2"/>
        <v>20.32</v>
      </c>
      <c r="L52" s="386">
        <f t="shared" si="3"/>
        <v>40.32</v>
      </c>
      <c r="M52" s="386"/>
      <c r="N52" s="191">
        <f t="shared" si="4"/>
        <v>0.50396825396825395</v>
      </c>
      <c r="O52" s="152">
        <f t="shared" si="101"/>
        <v>1.8898809523809523</v>
      </c>
      <c r="P52" s="152">
        <f t="shared" si="71"/>
        <v>2.7214285714285715</v>
      </c>
      <c r="Q52" s="191">
        <f t="shared" si="6"/>
        <v>9.4494047619047616E-2</v>
      </c>
      <c r="R52" s="191">
        <f t="shared" si="72"/>
        <v>0.11811755952380952</v>
      </c>
      <c r="S52" s="386">
        <f t="shared" si="73"/>
        <v>20</v>
      </c>
      <c r="T52" s="191">
        <f t="shared" si="74"/>
        <v>0.37303937007874016</v>
      </c>
      <c r="U52" s="191">
        <f t="shared" si="10"/>
        <v>1.1191181102362207</v>
      </c>
      <c r="V52" s="191">
        <f t="shared" si="11"/>
        <v>1.1014942029884061</v>
      </c>
      <c r="W52" s="175">
        <f t="shared" si="12"/>
        <v>350</v>
      </c>
      <c r="X52" s="386">
        <f t="shared" si="52"/>
        <v>350</v>
      </c>
      <c r="Z52" s="191">
        <f t="shared" si="13"/>
        <v>0.47996976568405147</v>
      </c>
      <c r="AA52" s="153">
        <f t="shared" si="14"/>
        <v>1.4172335600907031</v>
      </c>
      <c r="AB52" s="153">
        <f t="shared" si="75"/>
        <v>0.11904012045735404</v>
      </c>
      <c r="AC52" s="153"/>
      <c r="AD52" s="153">
        <f t="shared" si="16"/>
        <v>0.44291338582677164</v>
      </c>
      <c r="AE52" s="317">
        <f t="shared" si="76"/>
        <v>1414.8740740740743</v>
      </c>
      <c r="AF52" s="463">
        <f t="shared" si="77"/>
        <v>1.1626476377952754E-2</v>
      </c>
      <c r="AH52" s="153">
        <f t="shared" si="78"/>
        <v>0.40142602947847955</v>
      </c>
      <c r="AI52" s="153">
        <f t="shared" si="79"/>
        <v>0.40142602947847955</v>
      </c>
      <c r="AJ52" s="153">
        <f t="shared" si="80"/>
        <v>1.3862415033173923</v>
      </c>
      <c r="AL52" s="317">
        <f t="shared" si="81"/>
        <v>47</v>
      </c>
      <c r="AM52" s="147">
        <f t="shared" si="82"/>
        <v>350</v>
      </c>
      <c r="AO52">
        <f t="shared" si="53"/>
        <v>47</v>
      </c>
      <c r="AP52" s="147">
        <f t="shared" si="24"/>
        <v>350</v>
      </c>
      <c r="AQ52" s="147"/>
      <c r="AR52" s="5">
        <f t="shared" si="54"/>
        <v>2.8571428571428572</v>
      </c>
      <c r="AS52" s="5">
        <f t="shared" si="25"/>
        <v>1.2042780884354387</v>
      </c>
      <c r="AT52" s="5">
        <f t="shared" si="55"/>
        <v>1.6528647687074185</v>
      </c>
      <c r="AU52" s="153">
        <f t="shared" si="56"/>
        <v>0.42149733095240355</v>
      </c>
      <c r="AW52" s="5">
        <f t="shared" si="83"/>
        <v>0.68947680000000022</v>
      </c>
      <c r="AX52" s="5">
        <f t="shared" si="84"/>
        <v>3.1871085023999997</v>
      </c>
      <c r="AY52" s="5">
        <f t="shared" si="85"/>
        <v>0.6949164380928764</v>
      </c>
      <c r="AZ52" s="5">
        <f t="shared" si="86"/>
        <v>1.210414844907028</v>
      </c>
      <c r="BA52" s="5">
        <f t="shared" si="87"/>
        <v>0.15536928825849733</v>
      </c>
      <c r="BB52" s="147">
        <f t="shared" si="88"/>
        <v>15.818928825849731</v>
      </c>
      <c r="BC52" s="5"/>
      <c r="BD52" s="153">
        <f t="shared" si="57"/>
        <v>0.15046736544043776</v>
      </c>
      <c r="BE52" s="153">
        <f t="shared" si="89"/>
        <v>0.17627778547423231</v>
      </c>
      <c r="BF52" s="153">
        <f t="shared" si="90"/>
        <v>0.17558650004100004</v>
      </c>
      <c r="BG52" s="153"/>
      <c r="BH52" s="463">
        <f t="shared" si="34"/>
        <v>7.9241498219051847E-3</v>
      </c>
      <c r="BI52" s="463">
        <f t="shared" si="35"/>
        <v>2.8324620640001522E-2</v>
      </c>
      <c r="BJ52" s="463">
        <f t="shared" si="36"/>
        <v>4.3749999999999995E-3</v>
      </c>
      <c r="BK52" s="463">
        <f t="shared" si="37"/>
        <v>2.8449792000000005E-2</v>
      </c>
      <c r="BL52">
        <f t="shared" si="38"/>
        <v>5.7999999999999996E-3</v>
      </c>
      <c r="BM52">
        <f t="shared" si="91"/>
        <v>1.3124999999999999E-5</v>
      </c>
      <c r="BN52">
        <f t="shared" si="92"/>
        <v>7.6067659034556936E-2</v>
      </c>
      <c r="BO52" s="147">
        <f t="shared" si="58"/>
        <v>76.067659034556939</v>
      </c>
      <c r="BP52" s="153">
        <f t="shared" si="93"/>
        <v>4.1694427245898398E-2</v>
      </c>
      <c r="BQ52" s="153">
        <f t="shared" si="94"/>
        <v>4.1508592913439162E-2</v>
      </c>
      <c r="BR52" s="463"/>
      <c r="BT52" s="147">
        <f t="shared" si="59"/>
        <v>83.203020159337555</v>
      </c>
      <c r="BU52" s="463">
        <f t="shared" si="43"/>
        <v>2.2640428062586242E-2</v>
      </c>
      <c r="BV52" s="463">
        <f t="shared" si="60"/>
        <v>3.1073857651699469E-2</v>
      </c>
      <c r="BW52" s="463">
        <f t="shared" si="95"/>
        <v>1.5415309498324056E-3</v>
      </c>
      <c r="BX52" s="463">
        <f t="shared" si="45"/>
        <v>0</v>
      </c>
      <c r="BY52" s="463">
        <f t="shared" si="96"/>
        <v>6.2161296520141969E-2</v>
      </c>
      <c r="BZ52" s="463">
        <f t="shared" si="61"/>
        <v>5.5255816664118121E-2</v>
      </c>
      <c r="CA52" s="549">
        <f t="shared" si="97"/>
        <v>2.8200000000000003E-2</v>
      </c>
      <c r="CB52" s="147">
        <f t="shared" si="62"/>
        <v>90.361296520141963</v>
      </c>
      <c r="CC52" s="153">
        <f t="shared" si="63"/>
        <v>0.24963197571403647</v>
      </c>
      <c r="CD52" s="5">
        <f t="shared" si="64"/>
        <v>1.6919999999999999</v>
      </c>
      <c r="CE52" s="153">
        <f t="shared" si="65"/>
        <v>0.87143187852464465</v>
      </c>
      <c r="CF52" s="5">
        <f t="shared" si="66"/>
        <v>87.143187852464465</v>
      </c>
      <c r="CG52">
        <f t="shared" si="102"/>
        <v>47</v>
      </c>
      <c r="CI52" s="59">
        <f t="shared" si="98"/>
        <v>-50</v>
      </c>
      <c r="CJ52">
        <f t="shared" si="99"/>
        <v>-50</v>
      </c>
    </row>
    <row r="53" spans="5:88" x14ac:dyDescent="0.25">
      <c r="E53" s="150">
        <v>48</v>
      </c>
      <c r="F53" s="191">
        <f t="shared" si="103"/>
        <v>4.8000000000000001E-2</v>
      </c>
      <c r="G53" s="191">
        <f t="shared" si="100"/>
        <v>4.8000000000000001E-2</v>
      </c>
      <c r="H53" s="191">
        <f t="shared" si="70"/>
        <v>0.96</v>
      </c>
      <c r="I53" s="191">
        <f t="shared" si="104"/>
        <v>0.76800000000000002</v>
      </c>
      <c r="J53" s="472">
        <f t="shared" si="1"/>
        <v>20</v>
      </c>
      <c r="K53" s="386">
        <f t="shared" si="2"/>
        <v>20.32</v>
      </c>
      <c r="L53" s="386">
        <f t="shared" si="3"/>
        <v>40.32</v>
      </c>
      <c r="M53" s="386"/>
      <c r="N53" s="191">
        <f t="shared" si="4"/>
        <v>0.50396825396825395</v>
      </c>
      <c r="O53" s="152">
        <f t="shared" si="101"/>
        <v>1.8898809523809523</v>
      </c>
      <c r="P53" s="152">
        <f t="shared" si="71"/>
        <v>2.7214285714285715</v>
      </c>
      <c r="Q53" s="191">
        <f t="shared" si="6"/>
        <v>9.4494047619047616E-2</v>
      </c>
      <c r="R53" s="191">
        <f t="shared" si="72"/>
        <v>0.11811755952380952</v>
      </c>
      <c r="S53" s="386">
        <f t="shared" si="73"/>
        <v>20</v>
      </c>
      <c r="T53" s="191">
        <f t="shared" si="74"/>
        <v>0.38097637795275591</v>
      </c>
      <c r="U53" s="191">
        <f t="shared" si="10"/>
        <v>1.1429291338582679</v>
      </c>
      <c r="V53" s="191">
        <f t="shared" si="11"/>
        <v>1.1249302498604996</v>
      </c>
      <c r="W53" s="175">
        <f t="shared" si="12"/>
        <v>350</v>
      </c>
      <c r="X53" s="386">
        <f t="shared" si="52"/>
        <v>350</v>
      </c>
      <c r="Z53" s="191">
        <f t="shared" si="13"/>
        <v>0.47996976568405147</v>
      </c>
      <c r="AA53" s="153">
        <f t="shared" si="14"/>
        <v>1.4172335600907031</v>
      </c>
      <c r="AB53" s="153">
        <f t="shared" si="75"/>
        <v>0.11904012045735404</v>
      </c>
      <c r="AC53" s="153"/>
      <c r="AD53" s="153">
        <f t="shared" si="16"/>
        <v>0.44291338582677164</v>
      </c>
      <c r="AE53" s="317">
        <f t="shared" si="76"/>
        <v>1444.9777777777779</v>
      </c>
      <c r="AF53" s="463">
        <f t="shared" si="77"/>
        <v>1.1626476377952754E-2</v>
      </c>
      <c r="AH53" s="153">
        <f t="shared" si="78"/>
        <v>0.40567404226968795</v>
      </c>
      <c r="AI53" s="153">
        <f t="shared" si="79"/>
        <v>0.40567404226968795</v>
      </c>
      <c r="AJ53" s="153">
        <f t="shared" si="80"/>
        <v>1.3893881794590279</v>
      </c>
      <c r="AL53" s="317">
        <f t="shared" si="81"/>
        <v>48</v>
      </c>
      <c r="AM53" s="147">
        <f t="shared" si="82"/>
        <v>350</v>
      </c>
      <c r="AO53">
        <f t="shared" si="53"/>
        <v>48</v>
      </c>
      <c r="AP53" s="147">
        <f t="shared" si="24"/>
        <v>350</v>
      </c>
      <c r="AQ53" s="147"/>
      <c r="AR53" s="5">
        <f t="shared" si="54"/>
        <v>2.8571428571428572</v>
      </c>
      <c r="AS53" s="5">
        <f t="shared" si="25"/>
        <v>1.2170221268090637</v>
      </c>
      <c r="AT53" s="5">
        <f t="shared" si="55"/>
        <v>1.6401207303337935</v>
      </c>
      <c r="AU53" s="153">
        <f t="shared" si="56"/>
        <v>0.4259577443831723</v>
      </c>
      <c r="AW53" s="5">
        <f t="shared" si="83"/>
        <v>0.68947680000000022</v>
      </c>
      <c r="AX53" s="5">
        <f t="shared" si="84"/>
        <v>3.3211090943999997</v>
      </c>
      <c r="AY53" s="5">
        <f t="shared" si="85"/>
        <v>0.6949164380928764</v>
      </c>
      <c r="AZ53" s="5">
        <f t="shared" si="86"/>
        <v>1.2604272533570811</v>
      </c>
      <c r="BA53" s="5">
        <f t="shared" si="87"/>
        <v>0.15745159011204418</v>
      </c>
      <c r="BB53" s="147">
        <f t="shared" si="88"/>
        <v>16.033159011204418</v>
      </c>
      <c r="BC53" s="5"/>
      <c r="BD53" s="153">
        <f t="shared" si="57"/>
        <v>0.15286211052688636</v>
      </c>
      <c r="BE53" s="153">
        <f t="shared" si="89"/>
        <v>0.17745511551490656</v>
      </c>
      <c r="BF53" s="153">
        <f t="shared" si="90"/>
        <v>0.17675921310112264</v>
      </c>
      <c r="BG53" s="153"/>
      <c r="BH53" s="463">
        <f t="shared" si="34"/>
        <v>8.1783886921569082E-3</v>
      </c>
      <c r="BI53" s="463">
        <f t="shared" si="35"/>
        <v>2.8624360422549185E-2</v>
      </c>
      <c r="BJ53" s="463">
        <f t="shared" si="36"/>
        <v>4.3749999999999995E-3</v>
      </c>
      <c r="BK53" s="463">
        <f t="shared" si="37"/>
        <v>2.8449792000000005E-2</v>
      </c>
      <c r="BL53">
        <f t="shared" si="38"/>
        <v>5.7999999999999996E-3</v>
      </c>
      <c r="BM53">
        <f t="shared" si="91"/>
        <v>1.3124999999999999E-5</v>
      </c>
      <c r="BN53">
        <f t="shared" si="92"/>
        <v>7.6660422474256515E-2</v>
      </c>
      <c r="BO53" s="147">
        <f t="shared" si="58"/>
        <v>76.660422474256521</v>
      </c>
      <c r="BP53" s="153">
        <f t="shared" si="93"/>
        <v>4.2394602969120357E-2</v>
      </c>
      <c r="BQ53" s="153">
        <f t="shared" si="94"/>
        <v>4.2206278033921865E-2</v>
      </c>
      <c r="BR53" s="463"/>
      <c r="BT53" s="147">
        <f t="shared" si="59"/>
        <v>84.600881003042218</v>
      </c>
      <c r="BU53" s="463">
        <f t="shared" si="43"/>
        <v>2.3366824834734023E-2</v>
      </c>
      <c r="BV53" s="463">
        <f t="shared" si="60"/>
        <v>3.1490318022408828E-2</v>
      </c>
      <c r="BW53" s="463">
        <f t="shared" si="95"/>
        <v>1.5621909708064044E-3</v>
      </c>
      <c r="BX53" s="463">
        <f t="shared" si="45"/>
        <v>0</v>
      </c>
      <c r="BY53" s="463">
        <f t="shared" si="96"/>
        <v>6.3476156484327528E-2</v>
      </c>
      <c r="BZ53" s="463">
        <f t="shared" si="61"/>
        <v>5.641933382794926E-2</v>
      </c>
      <c r="CA53" s="549">
        <f t="shared" si="97"/>
        <v>2.8800000000000003E-2</v>
      </c>
      <c r="CB53" s="147">
        <f t="shared" si="62"/>
        <v>92.276156484327529</v>
      </c>
      <c r="CC53" s="153">
        <f t="shared" si="63"/>
        <v>0.25353745996162624</v>
      </c>
      <c r="CD53" s="5">
        <f t="shared" si="64"/>
        <v>1.728</v>
      </c>
      <c r="CE53" s="153">
        <f t="shared" si="65"/>
        <v>0.87205013022234956</v>
      </c>
      <c r="CF53" s="5">
        <f t="shared" si="66"/>
        <v>87.205013022234951</v>
      </c>
      <c r="CG53">
        <f t="shared" si="102"/>
        <v>48</v>
      </c>
      <c r="CI53" s="59">
        <f t="shared" si="98"/>
        <v>-50</v>
      </c>
      <c r="CJ53">
        <f t="shared" si="99"/>
        <v>-50</v>
      </c>
    </row>
    <row r="54" spans="5:88" x14ac:dyDescent="0.25">
      <c r="E54" s="150">
        <v>49</v>
      </c>
      <c r="F54" s="191">
        <f t="shared" si="103"/>
        <v>4.9000000000000002E-2</v>
      </c>
      <c r="G54" s="191">
        <f t="shared" si="100"/>
        <v>4.9000000000000002E-2</v>
      </c>
      <c r="H54" s="191">
        <f t="shared" si="70"/>
        <v>0.98</v>
      </c>
      <c r="I54" s="191">
        <f t="shared" si="104"/>
        <v>0.78400000000000003</v>
      </c>
      <c r="J54" s="472">
        <f t="shared" si="1"/>
        <v>20</v>
      </c>
      <c r="K54" s="386">
        <f t="shared" si="2"/>
        <v>20.32</v>
      </c>
      <c r="L54" s="386">
        <f t="shared" si="3"/>
        <v>40.32</v>
      </c>
      <c r="M54" s="386"/>
      <c r="N54" s="191">
        <f t="shared" si="4"/>
        <v>0.50396825396825395</v>
      </c>
      <c r="O54" s="152">
        <f t="shared" si="101"/>
        <v>1.8898809523809523</v>
      </c>
      <c r="P54" s="152">
        <f t="shared" si="71"/>
        <v>2.7214285714285715</v>
      </c>
      <c r="Q54" s="191">
        <f t="shared" si="6"/>
        <v>9.4494047619047616E-2</v>
      </c>
      <c r="R54" s="191">
        <f t="shared" si="72"/>
        <v>0.11811755952380952</v>
      </c>
      <c r="S54" s="386">
        <f t="shared" si="73"/>
        <v>20</v>
      </c>
      <c r="T54" s="191">
        <f t="shared" si="74"/>
        <v>0.38891338582677165</v>
      </c>
      <c r="U54" s="191">
        <f t="shared" si="10"/>
        <v>1.1667401574803149</v>
      </c>
      <c r="V54" s="191">
        <f t="shared" si="11"/>
        <v>1.1483662967325936</v>
      </c>
      <c r="W54" s="175">
        <f t="shared" si="12"/>
        <v>350</v>
      </c>
      <c r="X54" s="386">
        <f t="shared" si="52"/>
        <v>350</v>
      </c>
      <c r="Z54" s="191">
        <f t="shared" si="13"/>
        <v>0.47996976568405147</v>
      </c>
      <c r="AA54" s="153">
        <f t="shared" si="14"/>
        <v>1.4172335600907031</v>
      </c>
      <c r="AB54" s="153">
        <f t="shared" si="75"/>
        <v>0.11904012045735404</v>
      </c>
      <c r="AC54" s="153"/>
      <c r="AD54" s="153">
        <f t="shared" si="16"/>
        <v>0.44291338582677164</v>
      </c>
      <c r="AE54" s="317">
        <f t="shared" si="76"/>
        <v>1475.0814814814819</v>
      </c>
      <c r="AF54" s="463">
        <f t="shared" si="77"/>
        <v>1.1626476377952754E-2</v>
      </c>
      <c r="AH54" s="153">
        <f t="shared" si="78"/>
        <v>0.40987803063838396</v>
      </c>
      <c r="AI54" s="153">
        <f t="shared" si="79"/>
        <v>0.40987803063838396</v>
      </c>
      <c r="AJ54" s="153">
        <f t="shared" si="80"/>
        <v>1.3925022449173214</v>
      </c>
      <c r="AL54" s="317">
        <f t="shared" si="81"/>
        <v>49</v>
      </c>
      <c r="AM54" s="147">
        <f t="shared" si="82"/>
        <v>350</v>
      </c>
      <c r="AO54">
        <f t="shared" si="53"/>
        <v>49</v>
      </c>
      <c r="AP54" s="147">
        <f t="shared" si="24"/>
        <v>350</v>
      </c>
      <c r="AQ54" s="147"/>
      <c r="AR54" s="5">
        <f t="shared" si="54"/>
        <v>2.8571428571428572</v>
      </c>
      <c r="AS54" s="5">
        <f t="shared" si="25"/>
        <v>1.2296340919151518</v>
      </c>
      <c r="AT54" s="5">
        <f t="shared" si="55"/>
        <v>1.6275087652277054</v>
      </c>
      <c r="AU54" s="153">
        <f t="shared" si="56"/>
        <v>0.43037193217030312</v>
      </c>
      <c r="AW54" s="5">
        <f t="shared" si="83"/>
        <v>0.68947680000000022</v>
      </c>
      <c r="AX54" s="5">
        <f t="shared" si="84"/>
        <v>3.4578675936000005</v>
      </c>
      <c r="AY54" s="5">
        <f t="shared" si="85"/>
        <v>0.6949164380928764</v>
      </c>
      <c r="AZ54" s="5">
        <f t="shared" si="86"/>
        <v>1.3114504493534518</v>
      </c>
      <c r="BA54" s="5">
        <f t="shared" si="87"/>
        <v>0.15949585899231514</v>
      </c>
      <c r="BB54" s="147">
        <f t="shared" si="88"/>
        <v>16.243585899231512</v>
      </c>
      <c r="BC54" s="5"/>
      <c r="BD54" s="153">
        <f t="shared" si="57"/>
        <v>0.15524441439722389</v>
      </c>
      <c r="BE54" s="153">
        <f t="shared" si="89"/>
        <v>0.17860339246067816</v>
      </c>
      <c r="BF54" s="153">
        <f t="shared" si="90"/>
        <v>0.17790298700004809</v>
      </c>
      <c r="BG54" s="153"/>
      <c r="BH54" s="463">
        <f t="shared" si="34"/>
        <v>8.4352898705379407E-3</v>
      </c>
      <c r="BI54" s="463">
        <f t="shared" si="35"/>
        <v>2.8920993841844371E-2</v>
      </c>
      <c r="BJ54" s="463">
        <f t="shared" si="36"/>
        <v>4.3749999999999995E-3</v>
      </c>
      <c r="BK54" s="463">
        <f t="shared" si="37"/>
        <v>2.8449792000000005E-2</v>
      </c>
      <c r="BL54">
        <f t="shared" si="38"/>
        <v>5.7999999999999996E-3</v>
      </c>
      <c r="BM54">
        <f t="shared" si="91"/>
        <v>1.3124999999999999E-5</v>
      </c>
      <c r="BN54">
        <f t="shared" si="92"/>
        <v>7.7253194840361139E-2</v>
      </c>
      <c r="BO54" s="147">
        <f t="shared" si="58"/>
        <v>77.253194840361132</v>
      </c>
      <c r="BP54" s="153">
        <f t="shared" si="93"/>
        <v>4.3088967254025758E-2</v>
      </c>
      <c r="BQ54" s="153">
        <f t="shared" si="94"/>
        <v>4.2898197206624016E-2</v>
      </c>
      <c r="BR54" s="463"/>
      <c r="BT54" s="147">
        <f t="shared" si="59"/>
        <v>85.98716446064978</v>
      </c>
      <c r="BU54" s="463">
        <f t="shared" si="43"/>
        <v>2.4100828201536976E-2</v>
      </c>
      <c r="BV54" s="463">
        <f t="shared" si="60"/>
        <v>3.1899171798463029E-2</v>
      </c>
      <c r="BW54" s="463">
        <f t="shared" si="95"/>
        <v>1.582473639176964E-3</v>
      </c>
      <c r="BX54" s="463">
        <f t="shared" si="45"/>
        <v>0</v>
      </c>
      <c r="BY54" s="463">
        <f t="shared" si="96"/>
        <v>6.4790835803455238E-2</v>
      </c>
      <c r="BZ54" s="463">
        <f t="shared" si="61"/>
        <v>5.758247363917697E-2</v>
      </c>
      <c r="CA54" s="549">
        <f t="shared" si="97"/>
        <v>2.9400000000000009E-2</v>
      </c>
      <c r="CB54" s="147">
        <f t="shared" si="62"/>
        <v>94.190835803455244</v>
      </c>
      <c r="CC54" s="153">
        <f t="shared" si="63"/>
        <v>0.25743119510446616</v>
      </c>
      <c r="CD54" s="5">
        <f t="shared" si="64"/>
        <v>1.764</v>
      </c>
      <c r="CE54" s="153">
        <f t="shared" si="65"/>
        <v>0.87264904403972932</v>
      </c>
      <c r="CF54" s="5">
        <f t="shared" si="66"/>
        <v>87.264904403972935</v>
      </c>
      <c r="CG54">
        <f t="shared" si="102"/>
        <v>49</v>
      </c>
      <c r="CI54" s="59">
        <f t="shared" si="98"/>
        <v>-50</v>
      </c>
      <c r="CJ54">
        <f t="shared" si="99"/>
        <v>-50</v>
      </c>
    </row>
    <row r="55" spans="5:88" x14ac:dyDescent="0.25">
      <c r="E55" s="150">
        <v>50</v>
      </c>
      <c r="F55" s="191">
        <f t="shared" si="103"/>
        <v>0.05</v>
      </c>
      <c r="G55" s="191">
        <f t="shared" si="100"/>
        <v>0.05</v>
      </c>
      <c r="H55" s="191">
        <f t="shared" si="70"/>
        <v>1</v>
      </c>
      <c r="I55" s="191">
        <f t="shared" si="104"/>
        <v>0.8</v>
      </c>
      <c r="J55" s="472">
        <f t="shared" si="1"/>
        <v>20</v>
      </c>
      <c r="K55" s="386">
        <f t="shared" si="2"/>
        <v>20.32</v>
      </c>
      <c r="L55" s="386">
        <f t="shared" si="3"/>
        <v>40.32</v>
      </c>
      <c r="M55" s="386"/>
      <c r="N55" s="191">
        <f t="shared" si="4"/>
        <v>0.50396825396825395</v>
      </c>
      <c r="O55" s="152">
        <f t="shared" si="101"/>
        <v>1.8898809523809523</v>
      </c>
      <c r="P55" s="152">
        <f t="shared" si="71"/>
        <v>2.7214285714285715</v>
      </c>
      <c r="Q55" s="191">
        <f t="shared" si="6"/>
        <v>9.4494047619047616E-2</v>
      </c>
      <c r="R55" s="191">
        <f t="shared" si="72"/>
        <v>0.11811755952380952</v>
      </c>
      <c r="S55" s="386">
        <f t="shared" si="73"/>
        <v>20</v>
      </c>
      <c r="T55" s="191">
        <f t="shared" si="74"/>
        <v>0.3968503937007874</v>
      </c>
      <c r="U55" s="191">
        <f t="shared" si="10"/>
        <v>1.1905511811023621</v>
      </c>
      <c r="V55" s="191">
        <f t="shared" si="11"/>
        <v>1.1718023436046872</v>
      </c>
      <c r="W55" s="175">
        <f t="shared" si="12"/>
        <v>350</v>
      </c>
      <c r="X55" s="386">
        <f t="shared" si="52"/>
        <v>350</v>
      </c>
      <c r="Z55" s="191">
        <f t="shared" si="13"/>
        <v>0.47996976568405147</v>
      </c>
      <c r="AA55" s="153">
        <f t="shared" si="14"/>
        <v>1.4172335600907031</v>
      </c>
      <c r="AB55" s="153">
        <f t="shared" si="75"/>
        <v>0.11904012045735404</v>
      </c>
      <c r="AC55" s="153"/>
      <c r="AD55" s="153">
        <f t="shared" si="16"/>
        <v>0.44291338582677164</v>
      </c>
      <c r="AE55" s="317">
        <f t="shared" si="76"/>
        <v>1505.1851851851854</v>
      </c>
      <c r="AF55" s="463">
        <f t="shared" si="77"/>
        <v>1.1626476377952754E-2</v>
      </c>
      <c r="AH55" s="153">
        <f t="shared" si="78"/>
        <v>0.41403933560541251</v>
      </c>
      <c r="AI55" s="153">
        <f t="shared" si="79"/>
        <v>0.41403933560541251</v>
      </c>
      <c r="AJ55" s="153">
        <f t="shared" si="80"/>
        <v>1.3955846930410463</v>
      </c>
      <c r="AL55" s="317">
        <f t="shared" si="81"/>
        <v>50</v>
      </c>
      <c r="AM55" s="147">
        <f t="shared" si="82"/>
        <v>350</v>
      </c>
      <c r="AO55">
        <f t="shared" si="53"/>
        <v>50</v>
      </c>
      <c r="AP55" s="147">
        <f t="shared" si="24"/>
        <v>350</v>
      </c>
      <c r="AQ55" s="147"/>
      <c r="AR55" s="5">
        <f t="shared" si="54"/>
        <v>2.8571428571428572</v>
      </c>
      <c r="AS55" s="5">
        <f t="shared" si="25"/>
        <v>1.2421180068162376</v>
      </c>
      <c r="AT55" s="5">
        <f t="shared" si="55"/>
        <v>1.6150248503266196</v>
      </c>
      <c r="AU55" s="153">
        <f t="shared" si="56"/>
        <v>0.43474130238568315</v>
      </c>
      <c r="AW55" s="5">
        <f t="shared" si="83"/>
        <v>0.68947680000000022</v>
      </c>
      <c r="AX55" s="5">
        <f t="shared" si="84"/>
        <v>3.5973840000000008</v>
      </c>
      <c r="AY55" s="5">
        <f t="shared" si="85"/>
        <v>0.6949164380928764</v>
      </c>
      <c r="AZ55" s="5">
        <f t="shared" si="86"/>
        <v>1.3634844328961389</v>
      </c>
      <c r="BA55" s="5">
        <f t="shared" si="87"/>
        <v>0.16150248503266196</v>
      </c>
      <c r="BB55" s="147">
        <f t="shared" si="88"/>
        <v>16.450248503266195</v>
      </c>
      <c r="BC55" s="5"/>
      <c r="BD55" s="153">
        <f t="shared" si="57"/>
        <v>0.15761459366544947</v>
      </c>
      <c r="BE55" s="153">
        <f t="shared" si="89"/>
        <v>0.17972339025995582</v>
      </c>
      <c r="BF55" s="153">
        <f t="shared" si="90"/>
        <v>0.17901859265109327</v>
      </c>
      <c r="BG55" s="153"/>
      <c r="BH55" s="463">
        <f t="shared" si="34"/>
        <v>8.6948260477136604E-3</v>
      </c>
      <c r="BI55" s="463">
        <f t="shared" si="35"/>
        <v>2.921461552031791E-2</v>
      </c>
      <c r="BJ55" s="463">
        <f t="shared" si="36"/>
        <v>4.3749999999999995E-3</v>
      </c>
      <c r="BK55" s="463">
        <f t="shared" si="37"/>
        <v>2.8449792000000005E-2</v>
      </c>
      <c r="BL55">
        <f t="shared" si="38"/>
        <v>5.7999999999999996E-3</v>
      </c>
      <c r="BM55">
        <f t="shared" si="91"/>
        <v>1.3124999999999999E-5</v>
      </c>
      <c r="BN55">
        <f t="shared" si="92"/>
        <v>7.7846040344753953E-2</v>
      </c>
      <c r="BO55" s="147">
        <f t="shared" si="58"/>
        <v>77.846040344753959</v>
      </c>
      <c r="BP55" s="153">
        <f t="shared" si="93"/>
        <v>4.3777579712990747E-2</v>
      </c>
      <c r="BQ55" s="153">
        <f t="shared" si="94"/>
        <v>4.3584409577290442E-2</v>
      </c>
      <c r="BR55" s="463"/>
      <c r="BT55" s="147">
        <f t="shared" si="59"/>
        <v>87.361989290281187</v>
      </c>
      <c r="BU55" s="463">
        <f t="shared" si="43"/>
        <v>2.4842360136324744E-2</v>
      </c>
      <c r="BV55" s="463">
        <f t="shared" si="60"/>
        <v>3.2300497006532383E-2</v>
      </c>
      <c r="BW55" s="463">
        <f t="shared" si="95"/>
        <v>1.6023828257389031E-3</v>
      </c>
      <c r="BX55" s="463">
        <f t="shared" si="45"/>
        <v>0</v>
      </c>
      <c r="BY55" s="463">
        <f t="shared" si="96"/>
        <v>6.6105338683561263E-2</v>
      </c>
      <c r="BZ55" s="463">
        <f t="shared" si="61"/>
        <v>5.8745239968596027E-2</v>
      </c>
      <c r="CA55" s="549">
        <f t="shared" si="97"/>
        <v>3.0000000000000002E-2</v>
      </c>
      <c r="CB55" s="147">
        <f t="shared" si="62"/>
        <v>96.105338683561257</v>
      </c>
      <c r="CC55" s="153">
        <f t="shared" si="63"/>
        <v>0.26131336831859642</v>
      </c>
      <c r="CD55" s="5">
        <f t="shared" si="64"/>
        <v>1.8</v>
      </c>
      <c r="CE55" s="153">
        <f t="shared" si="65"/>
        <v>0.87322967369500526</v>
      </c>
      <c r="CF55" s="5">
        <f t="shared" si="66"/>
        <v>87.322967369500532</v>
      </c>
      <c r="CG55">
        <f t="shared" si="102"/>
        <v>50</v>
      </c>
      <c r="CI55" s="59">
        <f t="shared" si="98"/>
        <v>-50</v>
      </c>
      <c r="CJ55">
        <f t="shared" si="99"/>
        <v>-50</v>
      </c>
    </row>
    <row r="56" spans="5:88" x14ac:dyDescent="0.25">
      <c r="E56" s="150">
        <v>51</v>
      </c>
      <c r="F56" s="191">
        <f t="shared" si="103"/>
        <v>5.1000000000000004E-2</v>
      </c>
      <c r="G56" s="191">
        <f t="shared" si="100"/>
        <v>5.1000000000000004E-2</v>
      </c>
      <c r="H56" s="191">
        <f t="shared" si="70"/>
        <v>1.02</v>
      </c>
      <c r="I56" s="191">
        <f t="shared" si="104"/>
        <v>0.81600000000000006</v>
      </c>
      <c r="J56" s="472">
        <f t="shared" si="1"/>
        <v>20</v>
      </c>
      <c r="K56" s="386">
        <f t="shared" si="2"/>
        <v>20.32</v>
      </c>
      <c r="L56" s="386">
        <f t="shared" si="3"/>
        <v>40.32</v>
      </c>
      <c r="M56" s="386"/>
      <c r="N56" s="191">
        <f t="shared" si="4"/>
        <v>0.50396825396825395</v>
      </c>
      <c r="O56" s="152">
        <f t="shared" si="101"/>
        <v>1.8898809523809523</v>
      </c>
      <c r="P56" s="152">
        <f t="shared" si="71"/>
        <v>2.7214285714285715</v>
      </c>
      <c r="Q56" s="191">
        <f t="shared" si="6"/>
        <v>9.4494047619047616E-2</v>
      </c>
      <c r="R56" s="191">
        <f t="shared" si="72"/>
        <v>0.11811755952380952</v>
      </c>
      <c r="S56" s="386">
        <f t="shared" si="73"/>
        <v>20</v>
      </c>
      <c r="T56" s="191">
        <f t="shared" si="74"/>
        <v>0.4047874015748032</v>
      </c>
      <c r="U56" s="191">
        <f t="shared" si="10"/>
        <v>1.2143622047244096</v>
      </c>
      <c r="V56" s="191">
        <f t="shared" si="11"/>
        <v>1.1952383904767812</v>
      </c>
      <c r="W56" s="175">
        <f t="shared" si="12"/>
        <v>350</v>
      </c>
      <c r="X56" s="386">
        <f t="shared" si="52"/>
        <v>350</v>
      </c>
      <c r="Z56" s="191">
        <f t="shared" si="13"/>
        <v>0.47996976568405147</v>
      </c>
      <c r="AA56" s="153">
        <f t="shared" si="14"/>
        <v>1.4172335600907031</v>
      </c>
      <c r="AB56" s="153">
        <f t="shared" si="75"/>
        <v>0.11904012045735404</v>
      </c>
      <c r="AC56" s="153"/>
      <c r="AD56" s="153">
        <f t="shared" si="16"/>
        <v>0.44291338582677164</v>
      </c>
      <c r="AE56" s="317">
        <f t="shared" si="76"/>
        <v>1535.2888888888892</v>
      </c>
      <c r="AF56" s="463">
        <f t="shared" si="77"/>
        <v>1.1626476377952754E-2</v>
      </c>
      <c r="AH56" s="153">
        <f t="shared" si="78"/>
        <v>0.41815923146230177</v>
      </c>
      <c r="AI56" s="153">
        <f t="shared" si="79"/>
        <v>0.41815923146230177</v>
      </c>
      <c r="AJ56" s="153">
        <f t="shared" si="80"/>
        <v>1.3986364677498531</v>
      </c>
      <c r="AL56" s="317">
        <f t="shared" si="81"/>
        <v>51.000000000000007</v>
      </c>
      <c r="AM56" s="147">
        <f t="shared" si="82"/>
        <v>350</v>
      </c>
      <c r="AO56">
        <f t="shared" si="53"/>
        <v>51.000000000000007</v>
      </c>
      <c r="AP56" s="147">
        <f t="shared" si="24"/>
        <v>350</v>
      </c>
      <c r="AQ56" s="147"/>
      <c r="AR56" s="5">
        <f t="shared" si="54"/>
        <v>2.8571428571428572</v>
      </c>
      <c r="AS56" s="5">
        <f t="shared" si="25"/>
        <v>1.2544776943869054</v>
      </c>
      <c r="AT56" s="5">
        <f t="shared" si="55"/>
        <v>1.6026651627559518</v>
      </c>
      <c r="AU56" s="153">
        <f t="shared" si="56"/>
        <v>0.43906719303541686</v>
      </c>
      <c r="AW56" s="5">
        <f t="shared" si="83"/>
        <v>0.68947680000000022</v>
      </c>
      <c r="AX56" s="5">
        <f t="shared" si="84"/>
        <v>3.739658313600001</v>
      </c>
      <c r="AY56" s="5">
        <f t="shared" si="85"/>
        <v>0.6949164380928764</v>
      </c>
      <c r="AZ56" s="5">
        <f t="shared" si="86"/>
        <v>1.4165292039851429</v>
      </c>
      <c r="BA56" s="5">
        <f t="shared" si="87"/>
        <v>0.16347184660110711</v>
      </c>
      <c r="BB56" s="147">
        <f t="shared" si="88"/>
        <v>16.653184660110711</v>
      </c>
      <c r="BC56" s="5"/>
      <c r="BD56" s="153">
        <f t="shared" si="57"/>
        <v>0.15997295073071843</v>
      </c>
      <c r="BE56" s="153">
        <f t="shared" si="89"/>
        <v>0.1808158436648222</v>
      </c>
      <c r="BF56" s="153">
        <f t="shared" si="90"/>
        <v>0.18010676192496017</v>
      </c>
      <c r="BG56" s="153"/>
      <c r="BH56" s="463">
        <f t="shared" si="34"/>
        <v>8.9569707379225025E-3</v>
      </c>
      <c r="BI56" s="463">
        <f t="shared" si="35"/>
        <v>2.9505315371980017E-2</v>
      </c>
      <c r="BJ56" s="463">
        <f t="shared" si="36"/>
        <v>4.3749999999999995E-3</v>
      </c>
      <c r="BK56" s="463">
        <f t="shared" si="37"/>
        <v>2.8449792000000005E-2</v>
      </c>
      <c r="BL56">
        <f t="shared" si="38"/>
        <v>5.7999999999999996E-3</v>
      </c>
      <c r="BM56">
        <f t="shared" si="91"/>
        <v>1.3124999999999999E-5</v>
      </c>
      <c r="BN56">
        <f t="shared" si="92"/>
        <v>7.8439019431847237E-2</v>
      </c>
      <c r="BO56" s="147">
        <f t="shared" si="58"/>
        <v>78.439019431847242</v>
      </c>
      <c r="BP56" s="153">
        <f t="shared" si="93"/>
        <v>4.4460498160649169E-2</v>
      </c>
      <c r="BQ56" s="153">
        <f t="shared" si="94"/>
        <v>4.4264972507996034E-2</v>
      </c>
      <c r="BR56" s="463"/>
      <c r="BT56" s="147">
        <f t="shared" si="59"/>
        <v>88.725470668645201</v>
      </c>
      <c r="BU56" s="463">
        <f t="shared" si="43"/>
        <v>2.5591344965492868E-2</v>
      </c>
      <c r="BV56" s="463">
        <f t="shared" si="60"/>
        <v>3.269436932022142E-2</v>
      </c>
      <c r="BW56" s="463">
        <f t="shared" si="95"/>
        <v>1.6219222845547142E-3</v>
      </c>
      <c r="BX56" s="463">
        <f t="shared" si="45"/>
        <v>0</v>
      </c>
      <c r="BY56" s="463">
        <f t="shared" si="96"/>
        <v>6.7419669201920204E-2</v>
      </c>
      <c r="BZ56" s="463">
        <f t="shared" si="61"/>
        <v>5.9907636570268999E-2</v>
      </c>
      <c r="CA56" s="549">
        <f t="shared" si="97"/>
        <v>3.0600000000000006E-2</v>
      </c>
      <c r="CB56" s="147">
        <f t="shared" si="62"/>
        <v>98.019669201920209</v>
      </c>
      <c r="CC56" s="153">
        <f t="shared" si="63"/>
        <v>0.26518415930241268</v>
      </c>
      <c r="CD56" s="5">
        <f t="shared" si="64"/>
        <v>1.8360000000000001</v>
      </c>
      <c r="CE56" s="153">
        <f t="shared" si="65"/>
        <v>0.87379299518874476</v>
      </c>
      <c r="CF56" s="5">
        <f t="shared" si="66"/>
        <v>87.379299518874475</v>
      </c>
      <c r="CG56">
        <f t="shared" si="102"/>
        <v>51</v>
      </c>
      <c r="CI56" s="59">
        <f t="shared" si="98"/>
        <v>-50</v>
      </c>
      <c r="CJ56">
        <f t="shared" si="99"/>
        <v>-50</v>
      </c>
    </row>
    <row r="57" spans="5:88" x14ac:dyDescent="0.25">
      <c r="E57" s="150">
        <v>52</v>
      </c>
      <c r="F57" s="191">
        <f t="shared" si="103"/>
        <v>5.2000000000000005E-2</v>
      </c>
      <c r="G57" s="191">
        <f t="shared" si="100"/>
        <v>5.2000000000000005E-2</v>
      </c>
      <c r="H57" s="191">
        <f t="shared" si="70"/>
        <v>1.04</v>
      </c>
      <c r="I57" s="191">
        <f t="shared" si="104"/>
        <v>0.83200000000000007</v>
      </c>
      <c r="J57" s="472">
        <f t="shared" si="1"/>
        <v>20</v>
      </c>
      <c r="K57" s="386">
        <f t="shared" si="2"/>
        <v>20.32</v>
      </c>
      <c r="L57" s="386">
        <f t="shared" si="3"/>
        <v>40.32</v>
      </c>
      <c r="M57" s="386"/>
      <c r="N57" s="191">
        <f t="shared" si="4"/>
        <v>0.50396825396825395</v>
      </c>
      <c r="O57" s="152">
        <f t="shared" si="101"/>
        <v>1.8898809523809523</v>
      </c>
      <c r="P57" s="152">
        <f t="shared" si="71"/>
        <v>2.7214285714285715</v>
      </c>
      <c r="Q57" s="191">
        <f t="shared" si="6"/>
        <v>9.4494047619047616E-2</v>
      </c>
      <c r="R57" s="191">
        <f t="shared" si="72"/>
        <v>0.11811755952380952</v>
      </c>
      <c r="S57" s="386">
        <f t="shared" si="73"/>
        <v>20</v>
      </c>
      <c r="T57" s="191">
        <f t="shared" si="74"/>
        <v>0.41272440944881894</v>
      </c>
      <c r="U57" s="191">
        <f t="shared" si="10"/>
        <v>1.2381732283464568</v>
      </c>
      <c r="V57" s="191">
        <f t="shared" si="11"/>
        <v>1.2186744373488749</v>
      </c>
      <c r="W57" s="175">
        <f t="shared" si="12"/>
        <v>350</v>
      </c>
      <c r="X57" s="386">
        <f t="shared" si="52"/>
        <v>350</v>
      </c>
      <c r="Z57" s="191">
        <f t="shared" si="13"/>
        <v>0.47996976568405147</v>
      </c>
      <c r="AA57" s="153">
        <f t="shared" si="14"/>
        <v>1.4172335600907031</v>
      </c>
      <c r="AB57" s="153">
        <f t="shared" si="75"/>
        <v>0.11904012045735404</v>
      </c>
      <c r="AC57" s="153"/>
      <c r="AD57" s="153">
        <f t="shared" si="16"/>
        <v>0.44291338582677164</v>
      </c>
      <c r="AE57" s="317">
        <f t="shared" si="76"/>
        <v>1565.392592592593</v>
      </c>
      <c r="AF57" s="463">
        <f t="shared" si="77"/>
        <v>1.1626476377952754E-2</v>
      </c>
      <c r="AH57" s="153">
        <f t="shared" si="78"/>
        <v>0.42223893032939808</v>
      </c>
      <c r="AI57" s="153">
        <f t="shared" si="79"/>
        <v>0.42223893032939808</v>
      </c>
      <c r="AJ57" s="153">
        <f t="shared" si="80"/>
        <v>1.4016584669106651</v>
      </c>
      <c r="AL57" s="317">
        <f t="shared" si="81"/>
        <v>52.000000000000007</v>
      </c>
      <c r="AM57" s="147">
        <f t="shared" si="82"/>
        <v>350</v>
      </c>
      <c r="AO57">
        <f t="shared" si="53"/>
        <v>52.000000000000007</v>
      </c>
      <c r="AP57" s="147">
        <f t="shared" si="24"/>
        <v>350</v>
      </c>
      <c r="AQ57" s="147"/>
      <c r="AR57" s="5">
        <f t="shared" si="54"/>
        <v>2.8571428571428572</v>
      </c>
      <c r="AS57" s="5">
        <f t="shared" si="25"/>
        <v>1.2667167909881942</v>
      </c>
      <c r="AT57" s="5">
        <f t="shared" si="55"/>
        <v>1.590426066154663</v>
      </c>
      <c r="AU57" s="153">
        <f t="shared" si="56"/>
        <v>0.44335087684586799</v>
      </c>
      <c r="AW57" s="5">
        <f t="shared" si="83"/>
        <v>0.68947680000000022</v>
      </c>
      <c r="AX57" s="5">
        <f t="shared" si="84"/>
        <v>3.8846905344000011</v>
      </c>
      <c r="AY57" s="5">
        <f t="shared" si="85"/>
        <v>0.6949164380928764</v>
      </c>
      <c r="AZ57" s="5">
        <f t="shared" si="86"/>
        <v>1.470584762620464</v>
      </c>
      <c r="BA57" s="5">
        <f t="shared" si="87"/>
        <v>0.16540431088008498</v>
      </c>
      <c r="BB57" s="147">
        <f t="shared" si="88"/>
        <v>16.852431088008494</v>
      </c>
      <c r="BC57" s="5"/>
      <c r="BD57" s="153">
        <f t="shared" si="57"/>
        <v>0.1623197746811966</v>
      </c>
      <c r="BE57" s="153">
        <f t="shared" si="89"/>
        <v>0.18188145088495689</v>
      </c>
      <c r="BF57" s="153">
        <f t="shared" si="90"/>
        <v>0.18116819029325115</v>
      </c>
      <c r="BG57" s="153"/>
      <c r="BH57" s="463">
        <f t="shared" si="34"/>
        <v>9.2216982383940514E-3</v>
      </c>
      <c r="BI57" s="463">
        <f t="shared" si="35"/>
        <v>2.9793178924042325E-2</v>
      </c>
      <c r="BJ57" s="463">
        <f t="shared" si="36"/>
        <v>4.3749999999999995E-3</v>
      </c>
      <c r="BK57" s="463">
        <f t="shared" si="37"/>
        <v>2.8449792000000005E-2</v>
      </c>
      <c r="BL57">
        <f t="shared" si="38"/>
        <v>5.7999999999999996E-3</v>
      </c>
      <c r="BM57">
        <f t="shared" si="91"/>
        <v>1.3124999999999999E-5</v>
      </c>
      <c r="BN57">
        <f t="shared" si="92"/>
        <v>7.9032189053856547E-2</v>
      </c>
      <c r="BO57" s="147">
        <f t="shared" si="58"/>
        <v>79.032189053856541</v>
      </c>
      <c r="BP57" s="153">
        <f t="shared" si="93"/>
        <v>4.5137778702476976E-2</v>
      </c>
      <c r="BQ57" s="153">
        <f t="shared" si="94"/>
        <v>4.4939941665036592E-2</v>
      </c>
      <c r="BR57" s="463"/>
      <c r="BT57" s="147">
        <f t="shared" si="59"/>
        <v>90.077720367513578</v>
      </c>
      <c r="BU57" s="463">
        <f t="shared" si="43"/>
        <v>2.6347709252554433E-2</v>
      </c>
      <c r="BV57" s="463">
        <f t="shared" si="60"/>
        <v>3.3080862176016981E-2</v>
      </c>
      <c r="BW57" s="463">
        <f t="shared" si="95"/>
        <v>1.6410956587065832E-3</v>
      </c>
      <c r="BX57" s="463">
        <f t="shared" si="45"/>
        <v>0</v>
      </c>
      <c r="BY57" s="463">
        <f t="shared" si="96"/>
        <v>6.8733831313426891E-2</v>
      </c>
      <c r="BZ57" s="463">
        <f t="shared" si="61"/>
        <v>6.1069667087277998E-2</v>
      </c>
      <c r="CA57" s="549">
        <f t="shared" si="97"/>
        <v>3.1200000000000006E-2</v>
      </c>
      <c r="CB57" s="147">
        <f t="shared" si="62"/>
        <v>99.933831313426893</v>
      </c>
      <c r="CC57" s="153">
        <f t="shared" si="63"/>
        <v>0.26904374073479698</v>
      </c>
      <c r="CD57" s="5">
        <f t="shared" si="64"/>
        <v>1.8720000000000001</v>
      </c>
      <c r="CE57" s="153">
        <f t="shared" si="65"/>
        <v>0.8743399139326028</v>
      </c>
      <c r="CF57" s="5">
        <f t="shared" si="66"/>
        <v>87.433991393260285</v>
      </c>
      <c r="CG57">
        <f t="shared" si="102"/>
        <v>52</v>
      </c>
      <c r="CI57" s="59">
        <f t="shared" si="98"/>
        <v>-50</v>
      </c>
      <c r="CJ57">
        <f t="shared" si="99"/>
        <v>-50</v>
      </c>
    </row>
    <row r="58" spans="5:88" x14ac:dyDescent="0.25">
      <c r="E58" s="150">
        <v>53</v>
      </c>
      <c r="F58" s="191">
        <f t="shared" si="103"/>
        <v>5.3000000000000005E-2</v>
      </c>
      <c r="G58" s="191">
        <f t="shared" si="100"/>
        <v>5.3000000000000005E-2</v>
      </c>
      <c r="H58" s="191">
        <f t="shared" si="70"/>
        <v>1.06</v>
      </c>
      <c r="I58" s="191">
        <f t="shared" si="104"/>
        <v>0.84800000000000009</v>
      </c>
      <c r="J58" s="472">
        <f t="shared" si="1"/>
        <v>20</v>
      </c>
      <c r="K58" s="386">
        <f t="shared" si="2"/>
        <v>20.32</v>
      </c>
      <c r="L58" s="386">
        <f t="shared" si="3"/>
        <v>40.32</v>
      </c>
      <c r="M58" s="386"/>
      <c r="N58" s="191">
        <f t="shared" si="4"/>
        <v>0.50396825396825395</v>
      </c>
      <c r="O58" s="152">
        <f t="shared" si="101"/>
        <v>1.8898809523809523</v>
      </c>
      <c r="P58" s="152">
        <f t="shared" si="71"/>
        <v>2.7214285714285715</v>
      </c>
      <c r="Q58" s="191">
        <f t="shared" si="6"/>
        <v>9.4494047619047616E-2</v>
      </c>
      <c r="R58" s="191">
        <f t="shared" si="72"/>
        <v>0.11811755952380952</v>
      </c>
      <c r="S58" s="386">
        <f t="shared" si="73"/>
        <v>20</v>
      </c>
      <c r="T58" s="191">
        <f t="shared" si="74"/>
        <v>0.42066141732283469</v>
      </c>
      <c r="U58" s="191">
        <f t="shared" si="10"/>
        <v>1.2619842519685041</v>
      </c>
      <c r="V58" s="191">
        <f t="shared" si="11"/>
        <v>1.2421104842209685</v>
      </c>
      <c r="W58" s="175">
        <f t="shared" si="12"/>
        <v>350</v>
      </c>
      <c r="X58" s="386">
        <f t="shared" si="52"/>
        <v>350</v>
      </c>
      <c r="Z58" s="191">
        <f t="shared" si="13"/>
        <v>0.47996976568405147</v>
      </c>
      <c r="AA58" s="153">
        <f t="shared" si="14"/>
        <v>1.4172335600907031</v>
      </c>
      <c r="AB58" s="153">
        <f t="shared" si="75"/>
        <v>0.11904012045735404</v>
      </c>
      <c r="AC58" s="153"/>
      <c r="AD58" s="153">
        <f t="shared" si="16"/>
        <v>0.44291338582677164</v>
      </c>
      <c r="AE58" s="317">
        <f t="shared" si="76"/>
        <v>1595.4962962962966</v>
      </c>
      <c r="AF58" s="463">
        <f t="shared" si="77"/>
        <v>1.1626476377952754E-2</v>
      </c>
      <c r="AH58" s="153">
        <f t="shared" si="78"/>
        <v>0.42627958632133173</v>
      </c>
      <c r="AI58" s="153">
        <f t="shared" si="79"/>
        <v>0.42627958632133173</v>
      </c>
      <c r="AJ58" s="153">
        <f t="shared" si="80"/>
        <v>1.4046515454232087</v>
      </c>
      <c r="AL58" s="317">
        <f t="shared" si="81"/>
        <v>53.000000000000007</v>
      </c>
      <c r="AM58" s="147">
        <f t="shared" si="82"/>
        <v>350</v>
      </c>
      <c r="AO58">
        <f t="shared" si="53"/>
        <v>53.000000000000007</v>
      </c>
      <c r="AP58" s="147">
        <f t="shared" si="24"/>
        <v>350</v>
      </c>
      <c r="AQ58" s="147"/>
      <c r="AR58" s="5">
        <f t="shared" si="54"/>
        <v>2.8571428571428572</v>
      </c>
      <c r="AS58" s="5">
        <f t="shared" si="25"/>
        <v>1.2788387589639951</v>
      </c>
      <c r="AT58" s="5">
        <f t="shared" si="55"/>
        <v>1.5783040981788621</v>
      </c>
      <c r="AU58" s="153">
        <f t="shared" si="56"/>
        <v>0.44759356563739827</v>
      </c>
      <c r="AW58" s="5">
        <f t="shared" si="83"/>
        <v>0.68947680000000022</v>
      </c>
      <c r="AX58" s="5">
        <f t="shared" si="84"/>
        <v>4.0324806624000011</v>
      </c>
      <c r="AY58" s="5">
        <f t="shared" si="85"/>
        <v>0.6949164380928764</v>
      </c>
      <c r="AZ58" s="5">
        <f t="shared" si="86"/>
        <v>1.5256511088021016</v>
      </c>
      <c r="BA58" s="5">
        <f t="shared" si="87"/>
        <v>0.1673002344069594</v>
      </c>
      <c r="BB58" s="147">
        <f t="shared" si="88"/>
        <v>17.048023440695939</v>
      </c>
      <c r="BC58" s="5"/>
      <c r="BD58" s="153">
        <f t="shared" si="57"/>
        <v>0.164655342124198</v>
      </c>
      <c r="BE58" s="153">
        <f t="shared" si="89"/>
        <v>0.18292087601307805</v>
      </c>
      <c r="BF58" s="153">
        <f t="shared" si="90"/>
        <v>0.18220353924439936</v>
      </c>
      <c r="BG58" s="153"/>
      <c r="BH58" s="463">
        <f t="shared" si="34"/>
        <v>9.4889835915128416E-3</v>
      </c>
      <c r="BI58" s="463">
        <f t="shared" si="35"/>
        <v>3.0078287610833167E-2</v>
      </c>
      <c r="BJ58" s="463">
        <f t="shared" si="36"/>
        <v>4.3749999999999995E-3</v>
      </c>
      <c r="BK58" s="463">
        <f t="shared" si="37"/>
        <v>2.8449792000000005E-2</v>
      </c>
      <c r="BL58">
        <f t="shared" si="38"/>
        <v>5.7999999999999996E-3</v>
      </c>
      <c r="BM58">
        <f t="shared" si="91"/>
        <v>1.3124999999999999E-5</v>
      </c>
      <c r="BN58">
        <f t="shared" si="92"/>
        <v>7.962560292150396E-2</v>
      </c>
      <c r="BO58" s="147">
        <f t="shared" si="58"/>
        <v>79.625602921503955</v>
      </c>
      <c r="BP58" s="153">
        <f t="shared" si="93"/>
        <v>4.5809475817383392E-2</v>
      </c>
      <c r="BQ58" s="153">
        <f t="shared" si="94"/>
        <v>4.5609371100873639E-2</v>
      </c>
      <c r="BR58" s="463"/>
      <c r="BT58" s="147">
        <f t="shared" si="59"/>
        <v>91.418846918257017</v>
      </c>
      <c r="BU58" s="463">
        <f t="shared" si="43"/>
        <v>2.7111381690036691E-2</v>
      </c>
      <c r="BV58" s="463">
        <f t="shared" si="60"/>
        <v>3.3460046881391869E-2</v>
      </c>
      <c r="BW58" s="463">
        <f t="shared" si="95"/>
        <v>1.6599064856592689E-3</v>
      </c>
      <c r="BX58" s="463">
        <f t="shared" si="45"/>
        <v>0</v>
      </c>
      <c r="BY58" s="463">
        <f t="shared" si="96"/>
        <v>7.0047828856545827E-2</v>
      </c>
      <c r="BZ58" s="463">
        <f t="shared" si="61"/>
        <v>6.2231335057087833E-2</v>
      </c>
      <c r="CA58" s="549">
        <f t="shared" si="97"/>
        <v>3.1800000000000009E-2</v>
      </c>
      <c r="CB58" s="147">
        <f t="shared" si="62"/>
        <v>101.84782885654583</v>
      </c>
      <c r="CC58" s="153">
        <f t="shared" si="63"/>
        <v>0.27289227869630678</v>
      </c>
      <c r="CD58" s="5">
        <f t="shared" si="64"/>
        <v>1.9080000000000001</v>
      </c>
      <c r="CE58" s="153">
        <f t="shared" si="65"/>
        <v>0.87487127110219476</v>
      </c>
      <c r="CF58" s="5">
        <f t="shared" si="66"/>
        <v>87.487127110219475</v>
      </c>
      <c r="CG58">
        <f t="shared" si="102"/>
        <v>53</v>
      </c>
      <c r="CI58" s="59">
        <f t="shared" si="98"/>
        <v>-50</v>
      </c>
      <c r="CJ58">
        <f t="shared" si="99"/>
        <v>-50</v>
      </c>
    </row>
    <row r="59" spans="5:88" x14ac:dyDescent="0.25">
      <c r="E59" s="150">
        <v>54</v>
      </c>
      <c r="F59" s="191">
        <f t="shared" si="103"/>
        <v>5.4000000000000006E-2</v>
      </c>
      <c r="G59" s="191">
        <f t="shared" si="100"/>
        <v>5.4000000000000006E-2</v>
      </c>
      <c r="H59" s="191">
        <f t="shared" si="70"/>
        <v>1.08</v>
      </c>
      <c r="I59" s="191">
        <f t="shared" si="104"/>
        <v>0.8640000000000001</v>
      </c>
      <c r="J59" s="472">
        <f t="shared" si="1"/>
        <v>20</v>
      </c>
      <c r="K59" s="386">
        <f t="shared" si="2"/>
        <v>20.32</v>
      </c>
      <c r="L59" s="386">
        <f t="shared" si="3"/>
        <v>40.32</v>
      </c>
      <c r="M59" s="386"/>
      <c r="N59" s="191">
        <f t="shared" si="4"/>
        <v>0.50396825396825395</v>
      </c>
      <c r="O59" s="152">
        <f t="shared" si="101"/>
        <v>1.8898809523809523</v>
      </c>
      <c r="P59" s="152">
        <f t="shared" si="71"/>
        <v>2.7214285714285715</v>
      </c>
      <c r="Q59" s="191">
        <f t="shared" si="6"/>
        <v>9.4494047619047616E-2</v>
      </c>
      <c r="R59" s="191">
        <f t="shared" si="72"/>
        <v>0.11811755952380952</v>
      </c>
      <c r="S59" s="386">
        <f t="shared" si="73"/>
        <v>20</v>
      </c>
      <c r="T59" s="191">
        <f t="shared" si="74"/>
        <v>0.42859842519685043</v>
      </c>
      <c r="U59" s="191">
        <f t="shared" si="10"/>
        <v>1.2857952755905513</v>
      </c>
      <c r="V59" s="191">
        <f t="shared" si="11"/>
        <v>1.2655465310930623</v>
      </c>
      <c r="W59" s="175">
        <f t="shared" si="12"/>
        <v>350</v>
      </c>
      <c r="X59" s="386">
        <f t="shared" si="52"/>
        <v>350</v>
      </c>
      <c r="Z59" s="191">
        <f t="shared" si="13"/>
        <v>0.47996976568405147</v>
      </c>
      <c r="AA59" s="153">
        <f t="shared" si="14"/>
        <v>1.4172335600907031</v>
      </c>
      <c r="AB59" s="153">
        <f t="shared" si="75"/>
        <v>0.11904012045735404</v>
      </c>
      <c r="AC59" s="153"/>
      <c r="AD59" s="153">
        <f t="shared" si="16"/>
        <v>0.44291338582677164</v>
      </c>
      <c r="AE59" s="317">
        <f t="shared" si="76"/>
        <v>1625.6000000000004</v>
      </c>
      <c r="AF59" s="463">
        <f t="shared" si="77"/>
        <v>1.1626476377952754E-2</v>
      </c>
      <c r="AH59" s="153">
        <f t="shared" si="78"/>
        <v>0.43028229936038176</v>
      </c>
      <c r="AI59" s="153">
        <f t="shared" si="79"/>
        <v>0.43028229936038176</v>
      </c>
      <c r="AJ59" s="153">
        <f t="shared" si="80"/>
        <v>1.4076165180447271</v>
      </c>
      <c r="AL59" s="317">
        <f t="shared" si="81"/>
        <v>54.000000000000007</v>
      </c>
      <c r="AM59" s="147">
        <f t="shared" si="82"/>
        <v>350</v>
      </c>
      <c r="AO59">
        <f t="shared" si="53"/>
        <v>54.000000000000007</v>
      </c>
      <c r="AP59" s="147">
        <f t="shared" si="24"/>
        <v>350</v>
      </c>
      <c r="AQ59" s="147"/>
      <c r="AR59" s="5">
        <f t="shared" si="54"/>
        <v>2.8571428571428572</v>
      </c>
      <c r="AS59" s="5">
        <f t="shared" si="25"/>
        <v>1.2908468980811454</v>
      </c>
      <c r="AT59" s="5">
        <f t="shared" si="55"/>
        <v>1.5662959590617118</v>
      </c>
      <c r="AU59" s="153">
        <f t="shared" si="56"/>
        <v>0.4517964143284009</v>
      </c>
      <c r="AW59" s="5">
        <f t="shared" si="83"/>
        <v>0.68947680000000022</v>
      </c>
      <c r="AX59" s="5">
        <f t="shared" si="84"/>
        <v>4.1830286976000011</v>
      </c>
      <c r="AY59" s="5">
        <f t="shared" si="85"/>
        <v>0.6949164380928764</v>
      </c>
      <c r="AZ59" s="5">
        <f t="shared" si="86"/>
        <v>1.5817282425300563</v>
      </c>
      <c r="BA59" s="5">
        <f t="shared" si="87"/>
        <v>0.16915996357866489</v>
      </c>
      <c r="BB59" s="147">
        <f t="shared" si="88"/>
        <v>17.239996357866492</v>
      </c>
      <c r="BC59" s="5"/>
      <c r="BD59" s="153">
        <f t="shared" si="57"/>
        <v>0.16697991794989225</v>
      </c>
      <c r="BE59" s="153">
        <f t="shared" si="89"/>
        <v>0.18393475124547015</v>
      </c>
      <c r="BF59" s="153">
        <f t="shared" si="90"/>
        <v>0.18321343849548793</v>
      </c>
      <c r="BG59" s="153"/>
      <c r="BH59" s="463">
        <f t="shared" si="34"/>
        <v>9.7588025494934616E-3</v>
      </c>
      <c r="BI59" s="463">
        <f t="shared" si="35"/>
        <v>3.0360719042868536E-2</v>
      </c>
      <c r="BJ59" s="463">
        <f t="shared" si="36"/>
        <v>4.3749999999999995E-3</v>
      </c>
      <c r="BK59" s="463">
        <f t="shared" si="37"/>
        <v>2.8449792000000005E-2</v>
      </c>
      <c r="BL59">
        <f t="shared" si="38"/>
        <v>5.7999999999999996E-3</v>
      </c>
      <c r="BM59">
        <f t="shared" si="91"/>
        <v>1.3124999999999999E-5</v>
      </c>
      <c r="BN59">
        <f t="shared" si="92"/>
        <v>8.0219311732745074E-2</v>
      </c>
      <c r="BO59" s="147">
        <f t="shared" si="58"/>
        <v>80.219311732745069</v>
      </c>
      <c r="BP59" s="153">
        <f t="shared" si="93"/>
        <v>4.6475642434820004E-2</v>
      </c>
      <c r="BQ59" s="153">
        <f t="shared" si="94"/>
        <v>4.627331333063972E-2</v>
      </c>
      <c r="BR59" s="463"/>
      <c r="BT59" s="147">
        <f t="shared" si="59"/>
        <v>92.748955765459712</v>
      </c>
      <c r="BU59" s="463">
        <f t="shared" si="43"/>
        <v>2.788229299855275E-2</v>
      </c>
      <c r="BV59" s="463">
        <f t="shared" si="60"/>
        <v>3.3831992715732985E-2</v>
      </c>
      <c r="BW59" s="463">
        <f t="shared" si="95"/>
        <v>1.6783582022669972E-3</v>
      </c>
      <c r="BX59" s="463">
        <f t="shared" si="45"/>
        <v>0</v>
      </c>
      <c r="BY59" s="463">
        <f t="shared" si="96"/>
        <v>7.1361665558864293E-2</v>
      </c>
      <c r="BZ59" s="463">
        <f t="shared" si="61"/>
        <v>6.3392643916552735E-2</v>
      </c>
      <c r="CA59" s="549">
        <f t="shared" si="97"/>
        <v>3.2400000000000012E-2</v>
      </c>
      <c r="CB59" s="147">
        <f t="shared" si="62"/>
        <v>103.76166555886431</v>
      </c>
      <c r="CC59" s="153">
        <f t="shared" si="63"/>
        <v>0.27672993305706906</v>
      </c>
      <c r="CD59" s="5">
        <f t="shared" si="64"/>
        <v>1.9440000000000002</v>
      </c>
      <c r="CE59" s="153">
        <f t="shared" si="65"/>
        <v>0.87538784931127522</v>
      </c>
      <c r="CF59" s="5">
        <f t="shared" si="66"/>
        <v>87.538784931127523</v>
      </c>
      <c r="CG59">
        <f t="shared" si="102"/>
        <v>54</v>
      </c>
      <c r="CI59" s="59">
        <f t="shared" si="98"/>
        <v>-50</v>
      </c>
      <c r="CJ59">
        <f t="shared" si="99"/>
        <v>-50</v>
      </c>
    </row>
    <row r="60" spans="5:88" x14ac:dyDescent="0.25">
      <c r="E60" s="150">
        <v>55</v>
      </c>
      <c r="F60" s="191">
        <f t="shared" si="103"/>
        <v>5.5000000000000007E-2</v>
      </c>
      <c r="G60" s="191">
        <f t="shared" si="100"/>
        <v>5.5000000000000007E-2</v>
      </c>
      <c r="H60" s="191">
        <f t="shared" si="70"/>
        <v>1.1000000000000001</v>
      </c>
      <c r="I60" s="191">
        <f t="shared" si="104"/>
        <v>0.88000000000000012</v>
      </c>
      <c r="J60" s="472">
        <f t="shared" si="1"/>
        <v>20</v>
      </c>
      <c r="K60" s="386">
        <f t="shared" si="2"/>
        <v>20.32</v>
      </c>
      <c r="L60" s="386">
        <f t="shared" si="3"/>
        <v>40.32</v>
      </c>
      <c r="M60" s="386"/>
      <c r="N60" s="191">
        <f t="shared" si="4"/>
        <v>0.50396825396825395</v>
      </c>
      <c r="O60" s="152">
        <f t="shared" si="101"/>
        <v>1.8898809523809523</v>
      </c>
      <c r="P60" s="152">
        <f t="shared" si="71"/>
        <v>2.7214285714285715</v>
      </c>
      <c r="Q60" s="191">
        <f t="shared" si="6"/>
        <v>9.4494047619047616E-2</v>
      </c>
      <c r="R60" s="191">
        <f t="shared" si="72"/>
        <v>0.11811755952380952</v>
      </c>
      <c r="S60" s="386">
        <f t="shared" si="73"/>
        <v>20</v>
      </c>
      <c r="T60" s="191">
        <f t="shared" si="74"/>
        <v>0.43653543307086617</v>
      </c>
      <c r="U60" s="191">
        <f t="shared" si="10"/>
        <v>1.3096062992125985</v>
      </c>
      <c r="V60" s="191">
        <f t="shared" si="11"/>
        <v>1.288982577965156</v>
      </c>
      <c r="W60" s="175">
        <f t="shared" si="12"/>
        <v>350</v>
      </c>
      <c r="X60" s="386">
        <f t="shared" si="52"/>
        <v>350</v>
      </c>
      <c r="Z60" s="191">
        <f t="shared" si="13"/>
        <v>0.47996976568405147</v>
      </c>
      <c r="AA60" s="153">
        <f t="shared" si="14"/>
        <v>1.4172335600907031</v>
      </c>
      <c r="AB60" s="153">
        <f t="shared" si="75"/>
        <v>0.11904012045735404</v>
      </c>
      <c r="AC60" s="153"/>
      <c r="AD60" s="153">
        <f t="shared" si="16"/>
        <v>0.44291338582677164</v>
      </c>
      <c r="AE60" s="317">
        <f t="shared" si="76"/>
        <v>1655.7037037037044</v>
      </c>
      <c r="AF60" s="463">
        <f t="shared" si="77"/>
        <v>1.1626476377952754E-2</v>
      </c>
      <c r="AH60" s="153">
        <f t="shared" si="78"/>
        <v>0.43424811867344754</v>
      </c>
      <c r="AI60" s="153">
        <f t="shared" si="79"/>
        <v>0.43424811867344754</v>
      </c>
      <c r="AJ60" s="153">
        <f t="shared" si="80"/>
        <v>1.4105541619803315</v>
      </c>
      <c r="AL60" s="317">
        <f t="shared" si="81"/>
        <v>55.000000000000007</v>
      </c>
      <c r="AM60" s="147">
        <f t="shared" si="82"/>
        <v>350</v>
      </c>
      <c r="AO60">
        <f t="shared" si="53"/>
        <v>55.000000000000007</v>
      </c>
      <c r="AP60">
        <f t="shared" si="24"/>
        <v>350</v>
      </c>
      <c r="AR60" s="5">
        <f t="shared" si="54"/>
        <v>2.8571428571428572</v>
      </c>
      <c r="AS60" s="5">
        <f t="shared" si="25"/>
        <v>1.3027443560203427</v>
      </c>
      <c r="AT60" s="5">
        <f t="shared" si="55"/>
        <v>1.5543985011225145</v>
      </c>
      <c r="AU60" s="153">
        <f t="shared" si="56"/>
        <v>0.45596052460711994</v>
      </c>
      <c r="AW60" s="5">
        <f t="shared" si="83"/>
        <v>0.68947680000000022</v>
      </c>
      <c r="AX60" s="5">
        <f t="shared" si="84"/>
        <v>4.3363346400000014</v>
      </c>
      <c r="AY60" s="5">
        <f t="shared" si="85"/>
        <v>0.6949164380928764</v>
      </c>
      <c r="AZ60" s="5">
        <f t="shared" si="86"/>
        <v>1.6388161638043279</v>
      </c>
      <c r="BA60" s="5">
        <f t="shared" si="87"/>
        <v>0.17098383512347662</v>
      </c>
      <c r="BB60" s="147">
        <f t="shared" si="88"/>
        <v>17.428383512347658</v>
      </c>
      <c r="BC60" s="5"/>
      <c r="BD60" s="153">
        <f t="shared" si="57"/>
        <v>0.16929375603502789</v>
      </c>
      <c r="BE60" s="153">
        <f t="shared" si="89"/>
        <v>0.18492367891834546</v>
      </c>
      <c r="BF60" s="153">
        <f t="shared" si="90"/>
        <v>0.18419848802062647</v>
      </c>
      <c r="BG60" s="153"/>
      <c r="BH60" s="463">
        <f t="shared" si="34"/>
        <v>1.0031131541356639E-2</v>
      </c>
      <c r="BI60" s="463">
        <f t="shared" si="35"/>
        <v>3.0640547253598459E-2</v>
      </c>
      <c r="BJ60" s="463">
        <f t="shared" si="36"/>
        <v>4.3749999999999995E-3</v>
      </c>
      <c r="BK60" s="463">
        <f t="shared" si="37"/>
        <v>2.8449792000000005E-2</v>
      </c>
      <c r="BL60">
        <f t="shared" si="38"/>
        <v>5.7999999999999996E-3</v>
      </c>
      <c r="BM60">
        <f t="shared" si="91"/>
        <v>1.3124999999999999E-5</v>
      </c>
      <c r="BN60">
        <f t="shared" si="92"/>
        <v>8.0813363381799785E-2</v>
      </c>
      <c r="BO60" s="147">
        <f t="shared" si="58"/>
        <v>80.813363381799789</v>
      </c>
      <c r="BP60" s="153">
        <f t="shared" si="93"/>
        <v>4.7136330006867233E-2</v>
      </c>
      <c r="BQ60" s="153">
        <f t="shared" si="94"/>
        <v>4.6931819403660847E-2</v>
      </c>
      <c r="BR60" s="463"/>
      <c r="BT60" s="147">
        <f t="shared" si="59"/>
        <v>94.068149410528079</v>
      </c>
      <c r="BU60" s="463">
        <f t="shared" si="43"/>
        <v>2.866037583244754E-2</v>
      </c>
      <c r="BV60" s="463">
        <f t="shared" si="60"/>
        <v>3.4196767024695325E-2</v>
      </c>
      <c r="BW60" s="463">
        <f t="shared" si="95"/>
        <v>1.6964541494542435E-3</v>
      </c>
      <c r="BX60" s="463">
        <f t="shared" si="45"/>
        <v>0</v>
      </c>
      <c r="BY60" s="463">
        <f t="shared" si="96"/>
        <v>7.2675345042282749E-2</v>
      </c>
      <c r="BZ60" s="463">
        <f t="shared" si="61"/>
        <v>6.4553597006597102E-2</v>
      </c>
      <c r="CA60" s="549">
        <f t="shared" si="97"/>
        <v>3.3000000000000008E-2</v>
      </c>
      <c r="CB60" s="147">
        <f t="shared" si="62"/>
        <v>105.67534504228277</v>
      </c>
      <c r="CC60" s="153">
        <f t="shared" si="63"/>
        <v>0.28055685783461065</v>
      </c>
      <c r="CD60" s="5">
        <f t="shared" si="64"/>
        <v>1.9800000000000002</v>
      </c>
      <c r="CE60" s="153">
        <f t="shared" si="65"/>
        <v>0.8758903776906739</v>
      </c>
      <c r="CF60" s="5">
        <f t="shared" si="66"/>
        <v>87.589037769067389</v>
      </c>
      <c r="CG60">
        <f t="shared" si="102"/>
        <v>55.000000000000007</v>
      </c>
      <c r="CI60" s="59">
        <f t="shared" si="98"/>
        <v>-50</v>
      </c>
      <c r="CJ60">
        <f t="shared" si="99"/>
        <v>-50</v>
      </c>
    </row>
    <row r="61" spans="5:88" x14ac:dyDescent="0.25">
      <c r="E61" s="150">
        <v>56</v>
      </c>
      <c r="F61" s="191">
        <f t="shared" si="103"/>
        <v>5.6000000000000008E-2</v>
      </c>
      <c r="G61" s="191">
        <f t="shared" si="100"/>
        <v>5.6000000000000008E-2</v>
      </c>
      <c r="H61" s="191">
        <f t="shared" si="70"/>
        <v>1.1200000000000001</v>
      </c>
      <c r="I61" s="191">
        <f t="shared" si="104"/>
        <v>0.89600000000000013</v>
      </c>
      <c r="J61" s="472">
        <f t="shared" si="1"/>
        <v>20</v>
      </c>
      <c r="K61" s="386">
        <f t="shared" si="2"/>
        <v>20.32</v>
      </c>
      <c r="L61" s="386">
        <f t="shared" si="3"/>
        <v>40.32</v>
      </c>
      <c r="M61" s="386"/>
      <c r="N61" s="191">
        <f t="shared" si="4"/>
        <v>0.50396825396825395</v>
      </c>
      <c r="O61" s="152">
        <f t="shared" si="101"/>
        <v>1.8898809523809523</v>
      </c>
      <c r="P61" s="152">
        <f t="shared" si="71"/>
        <v>2.7214285714285715</v>
      </c>
      <c r="Q61" s="191">
        <f t="shared" si="6"/>
        <v>9.4494047619047616E-2</v>
      </c>
      <c r="R61" s="191">
        <f t="shared" si="72"/>
        <v>0.11811755952380952</v>
      </c>
      <c r="S61" s="386">
        <f t="shared" si="73"/>
        <v>20</v>
      </c>
      <c r="T61" s="191">
        <f t="shared" si="74"/>
        <v>0.44447244094488192</v>
      </c>
      <c r="U61" s="191">
        <f t="shared" si="10"/>
        <v>1.333417322834646</v>
      </c>
      <c r="V61" s="191">
        <f t="shared" si="11"/>
        <v>1.3124186248372498</v>
      </c>
      <c r="W61" s="175">
        <f t="shared" si="12"/>
        <v>350</v>
      </c>
      <c r="X61" s="386">
        <f t="shared" si="52"/>
        <v>350</v>
      </c>
      <c r="Z61" s="191">
        <f t="shared" si="13"/>
        <v>0.47996976568405147</v>
      </c>
      <c r="AA61" s="153">
        <f t="shared" si="14"/>
        <v>1.4172335600907031</v>
      </c>
      <c r="AB61" s="153">
        <f t="shared" si="75"/>
        <v>0.11904012045735404</v>
      </c>
      <c r="AC61" s="153"/>
      <c r="AD61" s="153">
        <f t="shared" si="16"/>
        <v>0.44291338582677164</v>
      </c>
      <c r="AE61" s="317">
        <f t="shared" si="76"/>
        <v>1685.8074074074079</v>
      </c>
      <c r="AF61" s="463">
        <f t="shared" si="77"/>
        <v>1.1626476377952754E-2</v>
      </c>
      <c r="AH61" s="153">
        <f t="shared" si="78"/>
        <v>0.4381780460041329</v>
      </c>
      <c r="AI61" s="153">
        <f t="shared" si="79"/>
        <v>0.4381780460041329</v>
      </c>
      <c r="AJ61" s="153">
        <f t="shared" si="80"/>
        <v>1.4134652192623207</v>
      </c>
      <c r="AL61" s="317">
        <f t="shared" si="81"/>
        <v>56.000000000000007</v>
      </c>
      <c r="AM61" s="147">
        <f t="shared" si="82"/>
        <v>350</v>
      </c>
      <c r="AO61">
        <f t="shared" si="53"/>
        <v>56.000000000000007</v>
      </c>
      <c r="AP61">
        <f t="shared" si="24"/>
        <v>350</v>
      </c>
      <c r="AR61" s="5">
        <f t="shared" si="54"/>
        <v>2.8571428571428572</v>
      </c>
      <c r="AS61" s="5">
        <f t="shared" si="25"/>
        <v>1.3145341380123987</v>
      </c>
      <c r="AT61" s="5">
        <f t="shared" si="55"/>
        <v>1.5426087191304585</v>
      </c>
      <c r="AU61" s="153">
        <f t="shared" si="56"/>
        <v>0.46008694830433955</v>
      </c>
      <c r="AW61" s="5">
        <f t="shared" si="83"/>
        <v>0.68947680000000022</v>
      </c>
      <c r="AX61" s="5">
        <f t="shared" si="84"/>
        <v>4.4923984896000002</v>
      </c>
      <c r="AY61" s="5">
        <f t="shared" si="85"/>
        <v>0.6949164380928764</v>
      </c>
      <c r="AZ61" s="5">
        <f t="shared" si="86"/>
        <v>1.6969148726249164</v>
      </c>
      <c r="BA61" s="5">
        <f t="shared" si="87"/>
        <v>0.17277217654261134</v>
      </c>
      <c r="BB61" s="147">
        <f t="shared" si="88"/>
        <v>17.613217654261135</v>
      </c>
      <c r="BC61" s="5"/>
      <c r="BD61" s="153">
        <f t="shared" si="57"/>
        <v>0.1715970998923867</v>
      </c>
      <c r="BE61" s="153">
        <f t="shared" si="89"/>
        <v>0.18588823337834559</v>
      </c>
      <c r="BF61" s="153">
        <f t="shared" si="90"/>
        <v>0.1851592599141168</v>
      </c>
      <c r="BG61" s="153"/>
      <c r="BH61" s="463">
        <f t="shared" si="34"/>
        <v>1.0305947642017208E-2</v>
      </c>
      <c r="BI61" s="463">
        <f t="shared" si="35"/>
        <v>3.0917842926051618E-2</v>
      </c>
      <c r="BJ61" s="463">
        <f t="shared" si="36"/>
        <v>4.3749999999999995E-3</v>
      </c>
      <c r="BK61" s="463">
        <f t="shared" si="37"/>
        <v>2.8449792000000005E-2</v>
      </c>
      <c r="BL61">
        <f t="shared" si="38"/>
        <v>5.7999999999999996E-3</v>
      </c>
      <c r="BM61">
        <f t="shared" si="91"/>
        <v>1.3124999999999999E-5</v>
      </c>
      <c r="BN61">
        <f t="shared" si="92"/>
        <v>8.1407803150493008E-2</v>
      </c>
      <c r="BO61" s="147">
        <f t="shared" si="58"/>
        <v>81.40780315049301</v>
      </c>
      <c r="BP61" s="153">
        <f t="shared" si="93"/>
        <v>4.7791588575711023E-2</v>
      </c>
      <c r="BQ61" s="153">
        <f t="shared" si="94"/>
        <v>4.7584938970404812E-2</v>
      </c>
      <c r="BR61" s="463"/>
      <c r="BT61" s="147">
        <f t="shared" si="59"/>
        <v>95.376527546115838</v>
      </c>
      <c r="BU61" s="463">
        <f t="shared" si="43"/>
        <v>2.9445564691477737E-2</v>
      </c>
      <c r="BV61" s="463">
        <f t="shared" si="60"/>
        <v>3.4554435308522279E-2</v>
      </c>
      <c r="BW61" s="463">
        <f t="shared" si="95"/>
        <v>1.7141975765971732E-3</v>
      </c>
      <c r="BX61" s="463">
        <f t="shared" si="45"/>
        <v>0</v>
      </c>
      <c r="BY61" s="463">
        <f t="shared" si="96"/>
        <v>7.3988870827873032E-2</v>
      </c>
      <c r="BZ61" s="463">
        <f t="shared" si="61"/>
        <v>6.5714197576597189E-2</v>
      </c>
      <c r="CA61" s="549">
        <f t="shared" si="97"/>
        <v>3.3600000000000005E-2</v>
      </c>
      <c r="CB61" s="147">
        <f t="shared" si="62"/>
        <v>107.58887082787304</v>
      </c>
      <c r="CC61" s="153">
        <f t="shared" si="63"/>
        <v>0.28437320152448192</v>
      </c>
      <c r="CD61" s="5">
        <f t="shared" si="64"/>
        <v>2.016</v>
      </c>
      <c r="CE61" s="153">
        <f t="shared" si="65"/>
        <v>0.87637953644390187</v>
      </c>
      <c r="CF61" s="5">
        <f t="shared" si="66"/>
        <v>87.637953644390194</v>
      </c>
      <c r="CG61">
        <f t="shared" si="102"/>
        <v>56.000000000000007</v>
      </c>
      <c r="CI61" s="59">
        <f t="shared" si="98"/>
        <v>-50</v>
      </c>
      <c r="CJ61">
        <f t="shared" si="99"/>
        <v>-50</v>
      </c>
    </row>
    <row r="62" spans="5:88" x14ac:dyDescent="0.25">
      <c r="E62" s="150">
        <v>57</v>
      </c>
      <c r="F62" s="191">
        <f t="shared" si="103"/>
        <v>5.6999999999999995E-2</v>
      </c>
      <c r="G62" s="191">
        <f t="shared" si="100"/>
        <v>5.6999999999999995E-2</v>
      </c>
      <c r="H62" s="191">
        <f t="shared" si="70"/>
        <v>1.1399999999999999</v>
      </c>
      <c r="I62" s="191">
        <f t="shared" si="104"/>
        <v>0.91199999999999992</v>
      </c>
      <c r="J62" s="472">
        <f t="shared" si="1"/>
        <v>20</v>
      </c>
      <c r="K62" s="386">
        <f t="shared" si="2"/>
        <v>20.32</v>
      </c>
      <c r="L62" s="386">
        <f t="shared" si="3"/>
        <v>40.32</v>
      </c>
      <c r="M62" s="386"/>
      <c r="N62" s="191">
        <f t="shared" si="4"/>
        <v>0.50396825396825395</v>
      </c>
      <c r="O62" s="152">
        <f t="shared" si="101"/>
        <v>1.8898809523809523</v>
      </c>
      <c r="P62" s="152">
        <f t="shared" si="71"/>
        <v>2.7214285714285715</v>
      </c>
      <c r="Q62" s="191">
        <f t="shared" si="6"/>
        <v>9.4494047619047616E-2</v>
      </c>
      <c r="R62" s="191">
        <f t="shared" si="72"/>
        <v>0.11811755952380952</v>
      </c>
      <c r="S62" s="386">
        <f t="shared" si="73"/>
        <v>20</v>
      </c>
      <c r="T62" s="191">
        <f t="shared" si="74"/>
        <v>0.45240944881889755</v>
      </c>
      <c r="U62" s="191">
        <f t="shared" si="10"/>
        <v>1.3572283464566925</v>
      </c>
      <c r="V62" s="191">
        <f t="shared" si="11"/>
        <v>1.3358546717093431</v>
      </c>
      <c r="W62" s="175">
        <f t="shared" si="12"/>
        <v>350</v>
      </c>
      <c r="X62" s="386">
        <f t="shared" si="52"/>
        <v>350</v>
      </c>
      <c r="Z62" s="191">
        <f t="shared" si="13"/>
        <v>0.47996976568405147</v>
      </c>
      <c r="AA62" s="153">
        <f t="shared" si="14"/>
        <v>1.4172335600907031</v>
      </c>
      <c r="AB62" s="153">
        <f t="shared" si="75"/>
        <v>0.11904012045735404</v>
      </c>
      <c r="AC62" s="153"/>
      <c r="AD62" s="153">
        <f t="shared" si="16"/>
        <v>0.44291338582677164</v>
      </c>
      <c r="AE62" s="317">
        <f t="shared" si="76"/>
        <v>1715.9111111111113</v>
      </c>
      <c r="AF62" s="463">
        <f t="shared" si="77"/>
        <v>1.1626476377952754E-2</v>
      </c>
      <c r="AH62" s="153">
        <f t="shared" si="78"/>
        <v>0.44207303856780433</v>
      </c>
      <c r="AI62" s="153">
        <f t="shared" si="79"/>
        <v>0.44207303856780433</v>
      </c>
      <c r="AJ62" s="153">
        <f t="shared" si="80"/>
        <v>1.4163503989391142</v>
      </c>
      <c r="AL62" s="317">
        <f t="shared" si="81"/>
        <v>56.999999999999993</v>
      </c>
      <c r="AM62" s="147">
        <f t="shared" si="82"/>
        <v>350</v>
      </c>
      <c r="AO62">
        <f t="shared" si="53"/>
        <v>56.999999999999993</v>
      </c>
      <c r="AP62">
        <f t="shared" si="24"/>
        <v>350</v>
      </c>
      <c r="AR62" s="5">
        <f t="shared" si="54"/>
        <v>2.8571428571428572</v>
      </c>
      <c r="AS62" s="5">
        <f t="shared" si="25"/>
        <v>1.3262191157034131</v>
      </c>
      <c r="AT62" s="5">
        <f t="shared" si="55"/>
        <v>1.5309237414394441</v>
      </c>
      <c r="AU62" s="153">
        <f t="shared" si="56"/>
        <v>0.46417669049619459</v>
      </c>
      <c r="AW62" s="5">
        <f t="shared" si="83"/>
        <v>0.68947680000000022</v>
      </c>
      <c r="AX62" s="5">
        <f t="shared" si="84"/>
        <v>4.6512202463999994</v>
      </c>
      <c r="AY62" s="5">
        <f t="shared" si="85"/>
        <v>0.6949164380928764</v>
      </c>
      <c r="AZ62" s="5">
        <f t="shared" si="86"/>
        <v>1.7560243689918211</v>
      </c>
      <c r="BA62" s="5">
        <f t="shared" si="87"/>
        <v>0.17452530652409656</v>
      </c>
      <c r="BB62" s="147">
        <f t="shared" si="88"/>
        <v>17.794530652409655</v>
      </c>
      <c r="BC62" s="5"/>
      <c r="BD62" s="153">
        <f t="shared" si="57"/>
        <v>0.17389018327104558</v>
      </c>
      <c r="BE62" s="153">
        <f t="shared" si="89"/>
        <v>0.18682896270337562</v>
      </c>
      <c r="BF62" s="153">
        <f t="shared" si="90"/>
        <v>0.18609630010453887</v>
      </c>
      <c r="BG62" s="153"/>
      <c r="BH62" s="463">
        <f t="shared" si="34"/>
        <v>1.0583228543313236E-2</v>
      </c>
      <c r="BI62" s="463">
        <f t="shared" si="35"/>
        <v>3.1192673601344274E-2</v>
      </c>
      <c r="BJ62" s="463">
        <f t="shared" si="36"/>
        <v>4.3749999999999995E-3</v>
      </c>
      <c r="BK62" s="463">
        <f t="shared" si="37"/>
        <v>2.8449792000000005E-2</v>
      </c>
      <c r="BL62">
        <f t="shared" si="38"/>
        <v>5.7999999999999996E-3</v>
      </c>
      <c r="BM62">
        <f t="shared" si="91"/>
        <v>1.3124999999999999E-5</v>
      </c>
      <c r="BN62">
        <f t="shared" si="92"/>
        <v>8.2002673883677005E-2</v>
      </c>
      <c r="BO62" s="147">
        <f t="shared" si="58"/>
        <v>82.002673883677005</v>
      </c>
      <c r="BP62" s="153">
        <f t="shared" si="93"/>
        <v>4.8441466836881962E-2</v>
      </c>
      <c r="BQ62" s="153">
        <f t="shared" si="94"/>
        <v>4.8232720345225327E-2</v>
      </c>
      <c r="BR62" s="463"/>
      <c r="BT62" s="147">
        <f t="shared" si="59"/>
        <v>96.674187182107289</v>
      </c>
      <c r="BU62" s="463">
        <f t="shared" si="43"/>
        <v>3.0237795838037821E-2</v>
      </c>
      <c r="BV62" s="463">
        <f t="shared" si="60"/>
        <v>3.4905061304819317E-2</v>
      </c>
      <c r="BW62" s="463">
        <f t="shared" si="95"/>
        <v>1.7315916456299299E-3</v>
      </c>
      <c r="BX62" s="463">
        <f t="shared" si="45"/>
        <v>0</v>
      </c>
      <c r="BY62" s="463">
        <f t="shared" si="96"/>
        <v>7.5302246340429618E-2</v>
      </c>
      <c r="BZ62" s="463">
        <f t="shared" si="61"/>
        <v>6.687444878848707E-2</v>
      </c>
      <c r="CA62" s="549">
        <f t="shared" si="97"/>
        <v>3.4200000000000001E-2</v>
      </c>
      <c r="CB62" s="147">
        <f t="shared" si="62"/>
        <v>109.50224634042962</v>
      </c>
      <c r="CC62" s="153">
        <f t="shared" si="63"/>
        <v>0.28817910740621389</v>
      </c>
      <c r="CD62" s="5">
        <f t="shared" si="64"/>
        <v>2.0519999999999996</v>
      </c>
      <c r="CE62" s="153">
        <f t="shared" si="65"/>
        <v>0.87685596094154372</v>
      </c>
      <c r="CF62" s="5">
        <f t="shared" si="66"/>
        <v>87.685596094154377</v>
      </c>
      <c r="CG62">
        <f t="shared" si="102"/>
        <v>56.999999999999993</v>
      </c>
      <c r="CI62" s="59">
        <f t="shared" si="98"/>
        <v>-50</v>
      </c>
      <c r="CJ62">
        <f t="shared" si="99"/>
        <v>-50</v>
      </c>
    </row>
    <row r="63" spans="5:88" x14ac:dyDescent="0.25">
      <c r="E63" s="150">
        <v>58</v>
      </c>
      <c r="F63" s="191">
        <f t="shared" si="103"/>
        <v>5.7999999999999996E-2</v>
      </c>
      <c r="G63" s="191">
        <f t="shared" si="100"/>
        <v>5.7999999999999996E-2</v>
      </c>
      <c r="H63" s="191">
        <f t="shared" si="70"/>
        <v>1.1599999999999999</v>
      </c>
      <c r="I63" s="191">
        <f t="shared" si="104"/>
        <v>0.92799999999999994</v>
      </c>
      <c r="J63" s="472">
        <f t="shared" si="1"/>
        <v>20</v>
      </c>
      <c r="K63" s="386">
        <f t="shared" si="2"/>
        <v>20.32</v>
      </c>
      <c r="L63" s="386">
        <f t="shared" si="3"/>
        <v>40.32</v>
      </c>
      <c r="M63" s="386"/>
      <c r="N63" s="191">
        <f t="shared" si="4"/>
        <v>0.50396825396825395</v>
      </c>
      <c r="O63" s="152">
        <f t="shared" si="101"/>
        <v>1.8898809523809523</v>
      </c>
      <c r="P63" s="152">
        <f t="shared" si="71"/>
        <v>2.7214285714285715</v>
      </c>
      <c r="Q63" s="191">
        <f t="shared" si="6"/>
        <v>9.4494047619047616E-2</v>
      </c>
      <c r="R63" s="191">
        <f t="shared" si="72"/>
        <v>0.11811755952380952</v>
      </c>
      <c r="S63" s="386">
        <f t="shared" si="73"/>
        <v>20</v>
      </c>
      <c r="T63" s="191">
        <f t="shared" si="74"/>
        <v>0.46034645669291341</v>
      </c>
      <c r="U63" s="191">
        <f t="shared" si="10"/>
        <v>1.3810393700787402</v>
      </c>
      <c r="V63" s="191">
        <f t="shared" si="11"/>
        <v>1.3592907185814374</v>
      </c>
      <c r="W63" s="175">
        <f t="shared" si="12"/>
        <v>350</v>
      </c>
      <c r="X63" s="386">
        <f t="shared" si="52"/>
        <v>350</v>
      </c>
      <c r="Z63" s="191">
        <f t="shared" si="13"/>
        <v>0.47996976568405147</v>
      </c>
      <c r="AA63" s="153">
        <f t="shared" si="14"/>
        <v>1.4172335600907031</v>
      </c>
      <c r="AB63" s="153">
        <f t="shared" si="75"/>
        <v>0.11904012045735404</v>
      </c>
      <c r="AC63" s="153"/>
      <c r="AD63" s="153">
        <f t="shared" si="16"/>
        <v>0.44291338582677164</v>
      </c>
      <c r="AE63" s="317">
        <f t="shared" si="76"/>
        <v>1746.0148148148151</v>
      </c>
      <c r="AF63" s="463">
        <f t="shared" si="77"/>
        <v>1.1626476377952754E-2</v>
      </c>
      <c r="AH63" s="153">
        <f t="shared" si="78"/>
        <v>0.4459340117743239</v>
      </c>
      <c r="AI63" s="153">
        <f t="shared" si="79"/>
        <v>0.4459340117743239</v>
      </c>
      <c r="AJ63" s="153">
        <f t="shared" si="80"/>
        <v>1.4192103790920918</v>
      </c>
      <c r="AL63" s="317">
        <f t="shared" si="81"/>
        <v>57.999999999999993</v>
      </c>
      <c r="AM63" s="147">
        <f t="shared" si="82"/>
        <v>350</v>
      </c>
      <c r="AO63">
        <f t="shared" si="53"/>
        <v>57.999999999999993</v>
      </c>
      <c r="AP63">
        <f t="shared" si="24"/>
        <v>350</v>
      </c>
      <c r="AR63" s="5">
        <f t="shared" si="54"/>
        <v>2.8571428571428572</v>
      </c>
      <c r="AS63" s="5">
        <f t="shared" si="25"/>
        <v>1.3378020353229718</v>
      </c>
      <c r="AT63" s="5">
        <f t="shared" si="55"/>
        <v>1.5193408218198854</v>
      </c>
      <c r="AU63" s="153">
        <f t="shared" si="56"/>
        <v>0.46823071236304015</v>
      </c>
      <c r="AW63" s="5">
        <f t="shared" si="83"/>
        <v>0.68947680000000022</v>
      </c>
      <c r="AX63" s="5">
        <f t="shared" si="84"/>
        <v>4.8127999103999999</v>
      </c>
      <c r="AY63" s="5">
        <f t="shared" si="85"/>
        <v>0.6949164380928764</v>
      </c>
      <c r="AZ63" s="5">
        <f t="shared" si="86"/>
        <v>1.8161446529050438</v>
      </c>
      <c r="BA63" s="5">
        <f t="shared" si="87"/>
        <v>0.1762435353311067</v>
      </c>
      <c r="BB63" s="147">
        <f t="shared" si="88"/>
        <v>17.97235353311067</v>
      </c>
      <c r="BC63" s="5"/>
      <c r="BD63" s="153">
        <f t="shared" si="57"/>
        <v>0.1761732307119698</v>
      </c>
      <c r="BE63" s="153">
        <f t="shared" si="89"/>
        <v>0.18774639028812601</v>
      </c>
      <c r="BF63" s="153">
        <f t="shared" si="90"/>
        <v>0.18701012993405494</v>
      </c>
      <c r="BG63" s="153"/>
      <c r="BH63" s="463">
        <f t="shared" si="34"/>
        <v>1.0862952526822529E-2</v>
      </c>
      <c r="BI63" s="463">
        <f t="shared" si="35"/>
        <v>3.146510387079629E-2</v>
      </c>
      <c r="BJ63" s="463">
        <f t="shared" si="36"/>
        <v>4.3749999999999995E-3</v>
      </c>
      <c r="BK63" s="463">
        <f t="shared" si="37"/>
        <v>2.8449792000000005E-2</v>
      </c>
      <c r="BL63">
        <f t="shared" si="38"/>
        <v>5.7999999999999996E-3</v>
      </c>
      <c r="BM63">
        <f t="shared" si="91"/>
        <v>1.3124999999999999E-5</v>
      </c>
      <c r="BN63">
        <f t="shared" si="92"/>
        <v>8.2598016150302087E-2</v>
      </c>
      <c r="BO63" s="147">
        <f t="shared" si="58"/>
        <v>82.598016150302087</v>
      </c>
      <c r="BP63" s="153">
        <f t="shared" si="93"/>
        <v>4.9086012198593106E-2</v>
      </c>
      <c r="BQ63" s="153">
        <f t="shared" si="94"/>
        <v>4.8875210565235416E-2</v>
      </c>
      <c r="BR63" s="463"/>
      <c r="BT63" s="147">
        <f t="shared" si="59"/>
        <v>97.961222763828516</v>
      </c>
      <c r="BU63" s="463">
        <f t="shared" si="43"/>
        <v>3.103700721949294E-2</v>
      </c>
      <c r="BV63" s="463">
        <f t="shared" si="60"/>
        <v>3.5248707066221338E-2</v>
      </c>
      <c r="BW63" s="463">
        <f t="shared" si="95"/>
        <v>1.7486394348976055E-3</v>
      </c>
      <c r="BX63" s="463">
        <f t="shared" si="45"/>
        <v>0</v>
      </c>
      <c r="BY63" s="463">
        <f t="shared" si="96"/>
        <v>7.6615474912740192E-2</v>
      </c>
      <c r="BZ63" s="463">
        <f t="shared" si="61"/>
        <v>6.8034353720611881E-2</v>
      </c>
      <c r="CA63" s="549">
        <f t="shared" si="97"/>
        <v>3.4800000000000005E-2</v>
      </c>
      <c r="CB63" s="147">
        <f t="shared" si="62"/>
        <v>111.41547491274021</v>
      </c>
      <c r="CC63" s="153">
        <f t="shared" si="63"/>
        <v>0.29197471382687079</v>
      </c>
      <c r="CD63" s="5">
        <f t="shared" si="64"/>
        <v>2.0880000000000001</v>
      </c>
      <c r="CE63" s="153">
        <f t="shared" si="65"/>
        <v>0.87732024540824172</v>
      </c>
      <c r="CF63" s="5">
        <f t="shared" si="66"/>
        <v>87.73202454082417</v>
      </c>
      <c r="CG63">
        <f t="shared" si="102"/>
        <v>57.999999999999993</v>
      </c>
      <c r="CI63" s="59">
        <f t="shared" si="98"/>
        <v>-50</v>
      </c>
      <c r="CJ63">
        <f t="shared" si="99"/>
        <v>-50</v>
      </c>
    </row>
    <row r="64" spans="5:88" x14ac:dyDescent="0.25">
      <c r="E64" s="150">
        <v>59</v>
      </c>
      <c r="F64" s="191">
        <f t="shared" si="103"/>
        <v>5.8999999999999997E-2</v>
      </c>
      <c r="G64" s="191">
        <f t="shared" si="100"/>
        <v>5.8999999999999997E-2</v>
      </c>
      <c r="H64" s="191">
        <f t="shared" si="70"/>
        <v>1.18</v>
      </c>
      <c r="I64" s="191">
        <f t="shared" si="104"/>
        <v>0.94399999999999995</v>
      </c>
      <c r="J64" s="472">
        <f t="shared" si="1"/>
        <v>20</v>
      </c>
      <c r="K64" s="386">
        <f t="shared" si="2"/>
        <v>20.32</v>
      </c>
      <c r="L64" s="386">
        <f t="shared" si="3"/>
        <v>40.32</v>
      </c>
      <c r="M64" s="386"/>
      <c r="N64" s="191">
        <f t="shared" si="4"/>
        <v>0.50396825396825395</v>
      </c>
      <c r="O64" s="152">
        <f t="shared" si="101"/>
        <v>1.8898809523809523</v>
      </c>
      <c r="P64" s="152">
        <f t="shared" si="71"/>
        <v>2.7214285714285715</v>
      </c>
      <c r="Q64" s="191">
        <f t="shared" si="6"/>
        <v>9.4494047619047616E-2</v>
      </c>
      <c r="R64" s="191">
        <f t="shared" si="72"/>
        <v>0.11811755952380952</v>
      </c>
      <c r="S64" s="386">
        <f t="shared" si="73"/>
        <v>20</v>
      </c>
      <c r="T64" s="191">
        <f t="shared" si="74"/>
        <v>0.4682834645669291</v>
      </c>
      <c r="U64" s="191">
        <f t="shared" si="10"/>
        <v>1.4048503937007872</v>
      </c>
      <c r="V64" s="191">
        <f t="shared" si="11"/>
        <v>1.3827267654535307</v>
      </c>
      <c r="W64" s="175">
        <f t="shared" si="12"/>
        <v>350</v>
      </c>
      <c r="X64" s="386">
        <f t="shared" si="52"/>
        <v>350</v>
      </c>
      <c r="Z64" s="191">
        <f t="shared" si="13"/>
        <v>0.47996976568405147</v>
      </c>
      <c r="AA64" s="153">
        <f t="shared" si="14"/>
        <v>1.4172335600907031</v>
      </c>
      <c r="AB64" s="153">
        <f t="shared" si="75"/>
        <v>0.11904012045735404</v>
      </c>
      <c r="AC64" s="153"/>
      <c r="AD64" s="153">
        <f t="shared" si="16"/>
        <v>0.44291338582677164</v>
      </c>
      <c r="AE64" s="317">
        <f t="shared" si="76"/>
        <v>1776.1185185185186</v>
      </c>
      <c r="AF64" s="463">
        <f t="shared" si="77"/>
        <v>1.1626476377952754E-2</v>
      </c>
      <c r="AH64" s="153">
        <f t="shared" si="78"/>
        <v>0.44976184174039741</v>
      </c>
      <c r="AI64" s="153">
        <f t="shared" si="79"/>
        <v>0.44976184174039741</v>
      </c>
      <c r="AJ64" s="153">
        <f t="shared" si="80"/>
        <v>1.4220458086965906</v>
      </c>
      <c r="AL64" s="317">
        <f t="shared" si="81"/>
        <v>59</v>
      </c>
      <c r="AM64" s="147">
        <f t="shared" si="82"/>
        <v>350</v>
      </c>
      <c r="AO64">
        <f t="shared" si="53"/>
        <v>59</v>
      </c>
      <c r="AP64">
        <f t="shared" si="24"/>
        <v>350</v>
      </c>
      <c r="AR64" s="5">
        <f t="shared" si="54"/>
        <v>2.8571428571428572</v>
      </c>
      <c r="AS64" s="5">
        <f t="shared" si="25"/>
        <v>1.3492855252211924</v>
      </c>
      <c r="AT64" s="5">
        <f t="shared" si="55"/>
        <v>1.5078573319216648</v>
      </c>
      <c r="AU64" s="153">
        <f t="shared" si="56"/>
        <v>0.47224993382741731</v>
      </c>
      <c r="AW64" s="5">
        <f t="shared" si="83"/>
        <v>0.68947680000000022</v>
      </c>
      <c r="AX64" s="5">
        <f t="shared" si="84"/>
        <v>4.977137481599998</v>
      </c>
      <c r="AY64" s="5">
        <f t="shared" si="85"/>
        <v>0.6949164380928764</v>
      </c>
      <c r="AZ64" s="5">
        <f t="shared" si="86"/>
        <v>1.8772757243645826</v>
      </c>
      <c r="BA64" s="5">
        <f t="shared" si="87"/>
        <v>0.17792716516675638</v>
      </c>
      <c r="BB64" s="147">
        <f t="shared" si="88"/>
        <v>18.146716516675639</v>
      </c>
      <c r="BC64" s="5"/>
      <c r="BD64" s="153">
        <f t="shared" si="57"/>
        <v>0.17844645806297232</v>
      </c>
      <c r="BE64" s="153">
        <f t="shared" si="89"/>
        <v>0.18864101630703564</v>
      </c>
      <c r="BF64" s="153">
        <f t="shared" si="90"/>
        <v>0.18790124761563551</v>
      </c>
      <c r="BG64" s="153"/>
      <c r="BH64" s="463">
        <f t="shared" si="34"/>
        <v>1.1145098438327049E-2</v>
      </c>
      <c r="BI64" s="463">
        <f t="shared" si="35"/>
        <v>3.1735195553202443E-2</v>
      </c>
      <c r="BJ64" s="463">
        <f t="shared" si="36"/>
        <v>4.3749999999999995E-3</v>
      </c>
      <c r="BK64" s="463">
        <f t="shared" si="37"/>
        <v>2.8449792000000005E-2</v>
      </c>
      <c r="BL64">
        <f t="shared" si="38"/>
        <v>5.7999999999999996E-3</v>
      </c>
      <c r="BM64">
        <f t="shared" si="91"/>
        <v>1.3124999999999999E-5</v>
      </c>
      <c r="BN64">
        <f t="shared" si="92"/>
        <v>8.319386839152472E-2</v>
      </c>
      <c r="BO64" s="147">
        <f t="shared" si="58"/>
        <v>83.193868391524717</v>
      </c>
      <c r="BP64" s="153">
        <f t="shared" si="93"/>
        <v>4.9725270837480393E-2</v>
      </c>
      <c r="BQ64" s="153">
        <f t="shared" si="94"/>
        <v>4.9512455445611447E-2</v>
      </c>
      <c r="BR64" s="463"/>
      <c r="BT64" s="147">
        <f t="shared" si="59"/>
        <v>99.237726283091845</v>
      </c>
      <c r="BU64" s="463">
        <f t="shared" si="43"/>
        <v>3.1843138395220141E-2</v>
      </c>
      <c r="BV64" s="463">
        <f t="shared" si="60"/>
        <v>3.5585433033351287E-2</v>
      </c>
      <c r="BW64" s="463">
        <f t="shared" si="95"/>
        <v>1.7653439427756186E-3</v>
      </c>
      <c r="BX64" s="463">
        <f t="shared" si="45"/>
        <v>0</v>
      </c>
      <c r="BY64" s="463">
        <f t="shared" si="96"/>
        <v>7.7928559789596091E-2</v>
      </c>
      <c r="BZ64" s="463">
        <f t="shared" si="61"/>
        <v>6.9193915371347045E-2</v>
      </c>
      <c r="CA64" s="549">
        <f t="shared" si="97"/>
        <v>3.5400000000000008E-2</v>
      </c>
      <c r="CB64" s="147">
        <f t="shared" si="62"/>
        <v>113.32855978959611</v>
      </c>
      <c r="CC64" s="153">
        <f t="shared" si="63"/>
        <v>0.29576015446421267</v>
      </c>
      <c r="CD64" s="5">
        <f t="shared" si="64"/>
        <v>2.1239999999999997</v>
      </c>
      <c r="CE64" s="153">
        <f t="shared" si="65"/>
        <v>0.87777294624900526</v>
      </c>
      <c r="CF64" s="5">
        <f t="shared" si="66"/>
        <v>87.77729462490052</v>
      </c>
      <c r="CG64">
        <f t="shared" si="102"/>
        <v>59</v>
      </c>
      <c r="CI64" s="59">
        <f t="shared" si="98"/>
        <v>-50</v>
      </c>
      <c r="CJ64">
        <f t="shared" si="99"/>
        <v>-50</v>
      </c>
    </row>
    <row r="65" spans="5:88" x14ac:dyDescent="0.25">
      <c r="E65" s="150">
        <v>60</v>
      </c>
      <c r="F65" s="191">
        <f t="shared" si="103"/>
        <v>0.06</v>
      </c>
      <c r="G65" s="191">
        <f t="shared" si="100"/>
        <v>0.06</v>
      </c>
      <c r="H65" s="191">
        <f t="shared" si="70"/>
        <v>1.2</v>
      </c>
      <c r="I65" s="191">
        <f t="shared" si="104"/>
        <v>0.96</v>
      </c>
      <c r="J65" s="472">
        <f t="shared" si="1"/>
        <v>20</v>
      </c>
      <c r="K65" s="386">
        <f t="shared" si="2"/>
        <v>20.32</v>
      </c>
      <c r="L65" s="386">
        <f t="shared" si="3"/>
        <v>40.32</v>
      </c>
      <c r="M65" s="386"/>
      <c r="N65" s="191">
        <f t="shared" si="4"/>
        <v>0.50396825396825395</v>
      </c>
      <c r="O65" s="152">
        <f t="shared" si="101"/>
        <v>1.8898809523809523</v>
      </c>
      <c r="P65" s="152">
        <f t="shared" si="71"/>
        <v>2.7214285714285715</v>
      </c>
      <c r="Q65" s="191">
        <f t="shared" si="6"/>
        <v>9.4494047619047616E-2</v>
      </c>
      <c r="R65" s="191">
        <f t="shared" si="72"/>
        <v>0.11811755952380952</v>
      </c>
      <c r="S65" s="386">
        <f t="shared" si="73"/>
        <v>20</v>
      </c>
      <c r="T65" s="191">
        <f t="shared" si="74"/>
        <v>0.47622047244094495</v>
      </c>
      <c r="U65" s="191">
        <f t="shared" si="10"/>
        <v>1.4286614173228349</v>
      </c>
      <c r="V65" s="191">
        <f t="shared" si="11"/>
        <v>1.4061628123256249</v>
      </c>
      <c r="W65" s="175">
        <f t="shared" si="12"/>
        <v>350</v>
      </c>
      <c r="X65" s="386">
        <f t="shared" si="52"/>
        <v>350</v>
      </c>
      <c r="Z65" s="191">
        <f t="shared" si="13"/>
        <v>0.47996976568405147</v>
      </c>
      <c r="AA65" s="153">
        <f t="shared" si="14"/>
        <v>1.4172335600907031</v>
      </c>
      <c r="AB65" s="153">
        <f t="shared" si="75"/>
        <v>0.11904012045735404</v>
      </c>
      <c r="AC65" s="153"/>
      <c r="AD65" s="153">
        <f t="shared" si="16"/>
        <v>0.44291338582677164</v>
      </c>
      <c r="AE65" s="317">
        <f t="shared" si="76"/>
        <v>1806.2222222222224</v>
      </c>
      <c r="AF65" s="463">
        <f t="shared" si="77"/>
        <v>1.1626476377952754E-2</v>
      </c>
      <c r="AH65" s="153">
        <f t="shared" si="78"/>
        <v>0.45355736761107268</v>
      </c>
      <c r="AI65" s="153">
        <f t="shared" si="79"/>
        <v>0.45355736761107268</v>
      </c>
      <c r="AJ65" s="153">
        <f t="shared" si="80"/>
        <v>1.4248573093415353</v>
      </c>
      <c r="AL65" s="317">
        <f t="shared" si="81"/>
        <v>60</v>
      </c>
      <c r="AM65" s="147">
        <f t="shared" si="82"/>
        <v>350</v>
      </c>
      <c r="AO65">
        <f t="shared" si="53"/>
        <v>60</v>
      </c>
      <c r="AP65">
        <f t="shared" si="24"/>
        <v>350</v>
      </c>
      <c r="AR65" s="5">
        <f t="shared" si="54"/>
        <v>2.8571428571428572</v>
      </c>
      <c r="AS65" s="5">
        <f t="shared" si="25"/>
        <v>1.360672102833218</v>
      </c>
      <c r="AT65" s="5">
        <f t="shared" si="55"/>
        <v>1.4964707543096392</v>
      </c>
      <c r="AU65" s="153">
        <f t="shared" si="56"/>
        <v>0.47623523599162632</v>
      </c>
      <c r="AW65" s="5">
        <f t="shared" si="83"/>
        <v>0.68947680000000022</v>
      </c>
      <c r="AX65" s="5">
        <f t="shared" si="84"/>
        <v>5.1442329600000001</v>
      </c>
      <c r="AY65" s="5">
        <f t="shared" si="85"/>
        <v>0.6949164380928764</v>
      </c>
      <c r="AZ65" s="5">
        <f t="shared" si="86"/>
        <v>1.9394175833704397</v>
      </c>
      <c r="BA65" s="5">
        <f t="shared" si="87"/>
        <v>0.17957649051715668</v>
      </c>
      <c r="BB65" s="147">
        <f t="shared" si="88"/>
        <v>18.317649051715673</v>
      </c>
      <c r="BC65" s="5"/>
      <c r="BD65" s="153">
        <f t="shared" si="57"/>
        <v>0.18071007295664854</v>
      </c>
      <c r="BE65" s="153">
        <f t="shared" si="89"/>
        <v>0.18951331906605229</v>
      </c>
      <c r="BF65" s="153">
        <f t="shared" si="90"/>
        <v>0.18877012957951878</v>
      </c>
      <c r="BG65" s="153"/>
      <c r="BH65" s="463">
        <f t="shared" si="34"/>
        <v>1.1429645663799032E-2</v>
      </c>
      <c r="BI65" s="463">
        <f t="shared" si="35"/>
        <v>3.2003007858637286E-2</v>
      </c>
      <c r="BJ65" s="463">
        <f t="shared" si="36"/>
        <v>4.3749999999999995E-3</v>
      </c>
      <c r="BK65" s="463">
        <f t="shared" si="37"/>
        <v>2.8449792000000005E-2</v>
      </c>
      <c r="BL65">
        <f t="shared" si="38"/>
        <v>5.7999999999999996E-3</v>
      </c>
      <c r="BM65">
        <f t="shared" si="91"/>
        <v>1.3124999999999999E-5</v>
      </c>
      <c r="BN65">
        <f t="shared" si="92"/>
        <v>8.3790267057087378E-2</v>
      </c>
      <c r="BO65" s="147">
        <f t="shared" si="58"/>
        <v>83.790267057087377</v>
      </c>
      <c r="BP65" s="153">
        <f t="shared" si="93"/>
        <v>5.0359287751021553E-2</v>
      </c>
      <c r="BQ65" s="153">
        <f t="shared" si="94"/>
        <v>5.0144499631601787E-2</v>
      </c>
      <c r="BR65" s="463"/>
      <c r="BT65" s="147">
        <f t="shared" si="59"/>
        <v>100.50378738262333</v>
      </c>
      <c r="BU65" s="463">
        <f t="shared" si="43"/>
        <v>3.2656130467997237E-2</v>
      </c>
      <c r="BV65" s="463">
        <f t="shared" si="60"/>
        <v>3.5915298103431338E-2</v>
      </c>
      <c r="BW65" s="463">
        <f t="shared" si="95"/>
        <v>1.7817080910734154E-3</v>
      </c>
      <c r="BX65" s="463">
        <f t="shared" si="45"/>
        <v>0</v>
      </c>
      <c r="BY65" s="463">
        <f t="shared" si="96"/>
        <v>7.9241504131563056E-2</v>
      </c>
      <c r="BZ65" s="463">
        <f t="shared" si="61"/>
        <v>7.0353136662501994E-2</v>
      </c>
      <c r="CA65" s="549">
        <f t="shared" si="97"/>
        <v>3.6000000000000004E-2</v>
      </c>
      <c r="CB65" s="147">
        <f t="shared" si="62"/>
        <v>115.24150413156306</v>
      </c>
      <c r="CC65" s="153">
        <f t="shared" si="63"/>
        <v>0.29953555857127379</v>
      </c>
      <c r="CD65" s="5">
        <f t="shared" si="64"/>
        <v>2.16</v>
      </c>
      <c r="CE65" s="153">
        <f t="shared" si="65"/>
        <v>0.87821458505553307</v>
      </c>
      <c r="CF65" s="5">
        <f t="shared" si="66"/>
        <v>87.821458505553309</v>
      </c>
      <c r="CG65">
        <f t="shared" si="102"/>
        <v>60</v>
      </c>
      <c r="CI65" s="59">
        <f t="shared" si="98"/>
        <v>-50</v>
      </c>
      <c r="CJ65">
        <f t="shared" si="99"/>
        <v>-50</v>
      </c>
    </row>
    <row r="66" spans="5:88" x14ac:dyDescent="0.25">
      <c r="E66" s="150">
        <v>61</v>
      </c>
      <c r="F66" s="191">
        <f t="shared" si="103"/>
        <v>6.0999999999999999E-2</v>
      </c>
      <c r="G66" s="191">
        <f t="shared" si="100"/>
        <v>6.0999999999999999E-2</v>
      </c>
      <c r="H66" s="191">
        <f t="shared" si="70"/>
        <v>1.22</v>
      </c>
      <c r="I66" s="191">
        <f t="shared" si="104"/>
        <v>0.97599999999999998</v>
      </c>
      <c r="J66" s="472">
        <f t="shared" si="1"/>
        <v>20</v>
      </c>
      <c r="K66" s="386">
        <f t="shared" si="2"/>
        <v>20.32</v>
      </c>
      <c r="L66" s="386">
        <f t="shared" si="3"/>
        <v>40.32</v>
      </c>
      <c r="M66" s="386"/>
      <c r="N66" s="191">
        <f t="shared" si="4"/>
        <v>0.50396825396825395</v>
      </c>
      <c r="O66" s="152">
        <f t="shared" si="101"/>
        <v>1.8898809523809523</v>
      </c>
      <c r="P66" s="152">
        <f t="shared" si="71"/>
        <v>2.7214285714285715</v>
      </c>
      <c r="Q66" s="191">
        <f t="shared" si="6"/>
        <v>9.4494047619047616E-2</v>
      </c>
      <c r="R66" s="191">
        <f t="shared" si="72"/>
        <v>0.11811755952380952</v>
      </c>
      <c r="S66" s="386">
        <f t="shared" si="73"/>
        <v>20</v>
      </c>
      <c r="T66" s="191">
        <f t="shared" si="74"/>
        <v>0.48415748031496059</v>
      </c>
      <c r="U66" s="191">
        <f t="shared" si="10"/>
        <v>1.4524724409448817</v>
      </c>
      <c r="V66" s="191">
        <f t="shared" si="11"/>
        <v>1.4295988591977182</v>
      </c>
      <c r="W66" s="175">
        <f t="shared" si="12"/>
        <v>350</v>
      </c>
      <c r="X66" s="386">
        <f t="shared" si="52"/>
        <v>346.97267897241881</v>
      </c>
      <c r="Z66" s="191">
        <f t="shared" si="13"/>
        <v>0.47996976568405147</v>
      </c>
      <c r="AA66" s="153">
        <f t="shared" si="14"/>
        <v>1.4172335600907031</v>
      </c>
      <c r="AB66" s="153">
        <f t="shared" si="75"/>
        <v>0.11904012045735404</v>
      </c>
      <c r="AC66" s="153"/>
      <c r="AD66" s="153">
        <f t="shared" si="16"/>
        <v>0.44291338582677164</v>
      </c>
      <c r="AE66" s="317">
        <f t="shared" si="76"/>
        <v>1836.3259259259262</v>
      </c>
      <c r="AF66" s="463">
        <f t="shared" si="77"/>
        <v>1.1626476377952754E-2</v>
      </c>
      <c r="AH66" s="153">
        <f t="shared" si="78"/>
        <v>0.45732139370781366</v>
      </c>
      <c r="AI66" s="153">
        <f t="shared" si="79"/>
        <v>0.45732139370781366</v>
      </c>
      <c r="AJ66" s="153">
        <f t="shared" si="80"/>
        <v>1.4276454768206026</v>
      </c>
      <c r="AL66" s="317">
        <f t="shared" si="81"/>
        <v>61</v>
      </c>
      <c r="AM66" s="147">
        <f t="shared" si="82"/>
        <v>346.97267897241881</v>
      </c>
      <c r="AO66">
        <f t="shared" si="53"/>
        <v>61</v>
      </c>
      <c r="AP66">
        <f t="shared" si="24"/>
        <v>346.97267897241881</v>
      </c>
      <c r="AR66" s="5">
        <f t="shared" si="54"/>
        <v>2.8820713001425999</v>
      </c>
      <c r="AS66" s="5">
        <f t="shared" si="25"/>
        <v>1.3719641811234411</v>
      </c>
      <c r="AT66" s="5">
        <f t="shared" si="55"/>
        <v>1.5101071190191588</v>
      </c>
      <c r="AU66" s="153">
        <f t="shared" si="56"/>
        <v>0.47603408737860115</v>
      </c>
      <c r="AW66" s="5">
        <f t="shared" si="83"/>
        <v>0.68947680000000022</v>
      </c>
      <c r="AX66" s="5">
        <f t="shared" si="84"/>
        <v>5.3140863455999998</v>
      </c>
      <c r="AY66" s="5">
        <f t="shared" si="85"/>
        <v>0.6949164380928764</v>
      </c>
      <c r="AZ66" s="5">
        <f t="shared" si="86"/>
        <v>2.0025702299226125</v>
      </c>
      <c r="BA66" s="5">
        <f t="shared" si="87"/>
        <v>0.18423306852033733</v>
      </c>
      <c r="BB66" s="147">
        <f t="shared" si="88"/>
        <v>18.789306852033729</v>
      </c>
      <c r="BC66" s="5"/>
      <c r="BD66" s="153">
        <f t="shared" si="57"/>
        <v>0.18217128307516267</v>
      </c>
      <c r="BE66" s="153">
        <f t="shared" si="89"/>
        <v>0.1911227598613903</v>
      </c>
      <c r="BF66" s="153">
        <f t="shared" si="90"/>
        <v>0.19037325884232603</v>
      </c>
      <c r="BG66" s="153"/>
      <c r="BH66" s="463">
        <f t="shared" si="34"/>
        <v>1.1615231732037866E-2</v>
      </c>
      <c r="BI66" s="463">
        <f t="shared" si="35"/>
        <v>3.1989490671841994E-2</v>
      </c>
      <c r="BJ66" s="463">
        <f t="shared" si="36"/>
        <v>4.3371584871552344E-3</v>
      </c>
      <c r="BK66" s="463">
        <f t="shared" si="37"/>
        <v>2.8203715846994541E-2</v>
      </c>
      <c r="BL66">
        <f t="shared" si="38"/>
        <v>5.7999999999999996E-3</v>
      </c>
      <c r="BM66">
        <f t="shared" si="91"/>
        <v>1.3011475461465705E-5</v>
      </c>
      <c r="BN66">
        <f t="shared" si="92"/>
        <v>8.370604741529597E-2</v>
      </c>
      <c r="BO66" s="147">
        <f t="shared" si="58"/>
        <v>83.70604741529597</v>
      </c>
      <c r="BP66" s="153">
        <f t="shared" si="93"/>
        <v>5.1209322733494489E-2</v>
      </c>
      <c r="BQ66" s="153">
        <f t="shared" si="94"/>
        <v>5.0990870949236919E-2</v>
      </c>
      <c r="BR66" s="463"/>
      <c r="BT66" s="147">
        <f t="shared" si="59"/>
        <v>102.20019368273141</v>
      </c>
      <c r="BU66" s="463">
        <f t="shared" si="43"/>
        <v>3.3186376377251046E-2</v>
      </c>
      <c r="BV66" s="463">
        <f t="shared" si="60"/>
        <v>3.6527909337034661E-2</v>
      </c>
      <c r="BW66" s="463">
        <f t="shared" si="95"/>
        <v>1.8120988841123634E-3</v>
      </c>
      <c r="BX66" s="463">
        <f t="shared" si="45"/>
        <v>0</v>
      </c>
      <c r="BY66" s="463">
        <f t="shared" si="96"/>
        <v>8.0570584559688574E-2</v>
      </c>
      <c r="BZ66" s="463">
        <f t="shared" si="61"/>
        <v>7.1526384598398066E-2</v>
      </c>
      <c r="CA66" s="549">
        <f t="shared" si="97"/>
        <v>3.6283428715401508E-2</v>
      </c>
      <c r="CB66" s="147">
        <f t="shared" si="62"/>
        <v>116.85401327509008</v>
      </c>
      <c r="CC66" s="153">
        <f t="shared" si="63"/>
        <v>0.30276025437311749</v>
      </c>
      <c r="CD66" s="5">
        <f t="shared" si="64"/>
        <v>2.1959999999999997</v>
      </c>
      <c r="CE66" s="153">
        <f t="shared" si="65"/>
        <v>0.87883581314243642</v>
      </c>
      <c r="CF66" s="5">
        <f t="shared" si="66"/>
        <v>87.883581314243642</v>
      </c>
      <c r="CG66">
        <f t="shared" si="102"/>
        <v>61</v>
      </c>
      <c r="CI66" s="59">
        <f t="shared" si="98"/>
        <v>-50</v>
      </c>
      <c r="CJ66">
        <f t="shared" si="99"/>
        <v>-50</v>
      </c>
    </row>
    <row r="67" spans="5:88" x14ac:dyDescent="0.25">
      <c r="E67" s="150">
        <v>62</v>
      </c>
      <c r="F67" s="191">
        <f t="shared" si="103"/>
        <v>6.2E-2</v>
      </c>
      <c r="G67" s="191">
        <f t="shared" si="100"/>
        <v>6.2E-2</v>
      </c>
      <c r="H67" s="191">
        <f t="shared" si="70"/>
        <v>1.24</v>
      </c>
      <c r="I67" s="191">
        <f t="shared" si="104"/>
        <v>0.99199999999999999</v>
      </c>
      <c r="J67" s="472">
        <f t="shared" si="1"/>
        <v>20</v>
      </c>
      <c r="K67" s="386">
        <f t="shared" si="2"/>
        <v>20.32</v>
      </c>
      <c r="L67" s="386">
        <f t="shared" si="3"/>
        <v>40.32</v>
      </c>
      <c r="M67" s="386"/>
      <c r="N67" s="191">
        <f t="shared" si="4"/>
        <v>0.50396825396825395</v>
      </c>
      <c r="O67" s="152">
        <f t="shared" si="101"/>
        <v>1.8898809523809523</v>
      </c>
      <c r="P67" s="152">
        <f t="shared" si="71"/>
        <v>2.7214285714285715</v>
      </c>
      <c r="Q67" s="191">
        <f t="shared" si="6"/>
        <v>9.4494047619047616E-2</v>
      </c>
      <c r="R67" s="191">
        <f t="shared" si="72"/>
        <v>0.11811755952380952</v>
      </c>
      <c r="S67" s="386">
        <f t="shared" si="73"/>
        <v>20</v>
      </c>
      <c r="T67" s="191">
        <f t="shared" si="74"/>
        <v>0.49209448818897644</v>
      </c>
      <c r="U67" s="191">
        <f t="shared" si="10"/>
        <v>1.4762834645669294</v>
      </c>
      <c r="V67" s="191">
        <f t="shared" si="11"/>
        <v>1.4530349060698124</v>
      </c>
      <c r="W67" s="175">
        <f t="shared" si="12"/>
        <v>350</v>
      </c>
      <c r="X67" s="386">
        <f t="shared" si="52"/>
        <v>341.37634544060546</v>
      </c>
      <c r="Z67" s="191">
        <f t="shared" si="13"/>
        <v>0.47996976568405147</v>
      </c>
      <c r="AA67" s="153">
        <f t="shared" si="14"/>
        <v>1.4172335600907031</v>
      </c>
      <c r="AB67" s="153">
        <f t="shared" si="75"/>
        <v>0.11904012045735404</v>
      </c>
      <c r="AC67" s="153"/>
      <c r="AD67" s="153">
        <f t="shared" si="16"/>
        <v>0.44291338582677164</v>
      </c>
      <c r="AE67" s="317">
        <f t="shared" si="76"/>
        <v>1866.42962962963</v>
      </c>
      <c r="AF67" s="463">
        <f t="shared" si="77"/>
        <v>1.1626476377952754E-2</v>
      </c>
      <c r="AH67" s="153">
        <f t="shared" si="78"/>
        <v>0.46105469151872708</v>
      </c>
      <c r="AI67" s="153">
        <f t="shared" si="79"/>
        <v>0.46105469151872708</v>
      </c>
      <c r="AJ67" s="153">
        <f t="shared" si="80"/>
        <v>1.4304108826064645</v>
      </c>
      <c r="AL67" s="317">
        <f t="shared" si="81"/>
        <v>62</v>
      </c>
      <c r="AM67" s="147">
        <f t="shared" si="82"/>
        <v>341.37634544060546</v>
      </c>
      <c r="AO67">
        <f t="shared" si="53"/>
        <v>62</v>
      </c>
      <c r="AP67">
        <f t="shared" si="24"/>
        <v>341.37634544060546</v>
      </c>
      <c r="AR67" s="5">
        <f t="shared" si="54"/>
        <v>2.9293183706367421</v>
      </c>
      <c r="AS67" s="5">
        <f t="shared" si="25"/>
        <v>1.3831640745561813</v>
      </c>
      <c r="AT67" s="5">
        <f t="shared" si="55"/>
        <v>1.5461542960805608</v>
      </c>
      <c r="AU67" s="153">
        <f t="shared" si="56"/>
        <v>0.47217949691672634</v>
      </c>
      <c r="AW67" s="5">
        <f t="shared" si="83"/>
        <v>0.68947680000000022</v>
      </c>
      <c r="AX67" s="5">
        <f t="shared" si="84"/>
        <v>5.4866976383999999</v>
      </c>
      <c r="AY67" s="5">
        <f t="shared" si="85"/>
        <v>0.6949164380928764</v>
      </c>
      <c r="AZ67" s="5">
        <f t="shared" si="86"/>
        <v>2.0667336640211023</v>
      </c>
      <c r="BA67" s="5">
        <f t="shared" si="87"/>
        <v>0.19172313271398952</v>
      </c>
      <c r="BB67" s="147">
        <f t="shared" si="88"/>
        <v>19.544313271398952</v>
      </c>
      <c r="BC67" s="5"/>
      <c r="BD67" s="153">
        <f t="shared" si="57"/>
        <v>0.18291334032060735</v>
      </c>
      <c r="BE67" s="153">
        <f t="shared" si="89"/>
        <v>0.19339041545511126</v>
      </c>
      <c r="BF67" s="153">
        <f t="shared" si="90"/>
        <v>0.19263202166901283</v>
      </c>
      <c r="BG67" s="153"/>
      <c r="BH67" s="463">
        <f t="shared" si="34"/>
        <v>1.1710051523534812E-2</v>
      </c>
      <c r="BI67" s="463">
        <f t="shared" si="35"/>
        <v>3.173046219280401E-2</v>
      </c>
      <c r="BJ67" s="463">
        <f t="shared" si="36"/>
        <v>4.2672043180075683E-3</v>
      </c>
      <c r="BK67" s="463">
        <f t="shared" si="37"/>
        <v>2.7748817204301071E-2</v>
      </c>
      <c r="BL67">
        <f t="shared" si="38"/>
        <v>5.7999999999999996E-3</v>
      </c>
      <c r="BM67">
        <f t="shared" si="91"/>
        <v>1.2801612954022704E-5</v>
      </c>
      <c r="BN67">
        <f t="shared" si="92"/>
        <v>8.3029579588117755E-2</v>
      </c>
      <c r="BO67" s="147">
        <f t="shared" si="58"/>
        <v>83.029579588117755</v>
      </c>
      <c r="BP67" s="153">
        <f t="shared" si="93"/>
        <v>5.2257487531484015E-2</v>
      </c>
      <c r="BQ67" s="153">
        <f t="shared" si="94"/>
        <v>5.2033821170030352E-2</v>
      </c>
      <c r="BR67" s="463"/>
      <c r="BT67" s="147">
        <f t="shared" si="59"/>
        <v>104.29130870151437</v>
      </c>
      <c r="BU67" s="463">
        <f t="shared" si="43"/>
        <v>3.3457290067242323E-2</v>
      </c>
      <c r="BV67" s="463">
        <f t="shared" si="60"/>
        <v>3.7399852789900538E-2</v>
      </c>
      <c r="BW67" s="463">
        <f t="shared" si="95"/>
        <v>1.8553547886145515E-3</v>
      </c>
      <c r="BX67" s="463">
        <f t="shared" si="45"/>
        <v>0</v>
      </c>
      <c r="BY67" s="463">
        <f t="shared" si="96"/>
        <v>8.1914493959181156E-2</v>
      </c>
      <c r="BZ67" s="463">
        <f t="shared" si="61"/>
        <v>7.2712497645757421E-2</v>
      </c>
      <c r="CA67" s="549">
        <f t="shared" si="97"/>
        <v>3.6283428715401501E-2</v>
      </c>
      <c r="CB67" s="147">
        <f t="shared" si="62"/>
        <v>118.19792267458266</v>
      </c>
      <c r="CC67" s="153">
        <f t="shared" si="63"/>
        <v>0.30551881096421479</v>
      </c>
      <c r="CD67" s="5">
        <f t="shared" si="64"/>
        <v>2.2320000000000002</v>
      </c>
      <c r="CE67" s="153">
        <f t="shared" si="65"/>
        <v>0.87959939069451765</v>
      </c>
      <c r="CF67" s="5">
        <f t="shared" si="66"/>
        <v>87.959939069451764</v>
      </c>
      <c r="CG67">
        <f t="shared" si="102"/>
        <v>62</v>
      </c>
      <c r="CI67" s="59">
        <f t="shared" si="98"/>
        <v>-50</v>
      </c>
      <c r="CJ67">
        <f t="shared" si="99"/>
        <v>-50</v>
      </c>
    </row>
    <row r="68" spans="5:88" x14ac:dyDescent="0.25">
      <c r="E68" s="150">
        <v>63</v>
      </c>
      <c r="F68" s="191">
        <f t="shared" si="103"/>
        <v>6.3E-2</v>
      </c>
      <c r="G68" s="191">
        <f t="shared" si="100"/>
        <v>6.3E-2</v>
      </c>
      <c r="H68" s="191">
        <f t="shared" si="70"/>
        <v>1.26</v>
      </c>
      <c r="I68" s="191">
        <f t="shared" si="104"/>
        <v>1.008</v>
      </c>
      <c r="J68" s="472">
        <f t="shared" si="1"/>
        <v>20</v>
      </c>
      <c r="K68" s="386">
        <f t="shared" si="2"/>
        <v>20.32</v>
      </c>
      <c r="L68" s="386">
        <f t="shared" si="3"/>
        <v>40.32</v>
      </c>
      <c r="M68" s="386"/>
      <c r="N68" s="191">
        <f t="shared" si="4"/>
        <v>0.50396825396825395</v>
      </c>
      <c r="O68" s="152">
        <f t="shared" si="101"/>
        <v>1.8898809523809523</v>
      </c>
      <c r="P68" s="152">
        <f t="shared" si="71"/>
        <v>2.7214285714285715</v>
      </c>
      <c r="Q68" s="191">
        <f t="shared" si="6"/>
        <v>9.4494047619047616E-2</v>
      </c>
      <c r="R68" s="191">
        <f t="shared" si="72"/>
        <v>0.11811755952380952</v>
      </c>
      <c r="S68" s="386">
        <f t="shared" si="73"/>
        <v>20</v>
      </c>
      <c r="T68" s="191">
        <f t="shared" si="74"/>
        <v>0.50003149606299213</v>
      </c>
      <c r="U68" s="191">
        <f t="shared" si="10"/>
        <v>1.5000944881889764</v>
      </c>
      <c r="V68" s="191">
        <f t="shared" si="11"/>
        <v>1.4764709529419058</v>
      </c>
      <c r="W68" s="175">
        <f t="shared" si="12"/>
        <v>350</v>
      </c>
      <c r="X68" s="386">
        <f t="shared" si="52"/>
        <v>335.95767329075471</v>
      </c>
      <c r="Z68" s="191">
        <f t="shared" si="13"/>
        <v>0.47996976568405147</v>
      </c>
      <c r="AA68" s="153">
        <f t="shared" si="14"/>
        <v>1.4172335600907031</v>
      </c>
      <c r="AB68" s="153">
        <f t="shared" si="75"/>
        <v>0.11904012045735404</v>
      </c>
      <c r="AC68" s="153"/>
      <c r="AD68" s="153">
        <f t="shared" si="16"/>
        <v>0.44291338582677164</v>
      </c>
      <c r="AE68" s="317">
        <f t="shared" si="76"/>
        <v>1896.5333333333338</v>
      </c>
      <c r="AF68" s="463">
        <f t="shared" si="77"/>
        <v>1.1626476377952754E-2</v>
      </c>
      <c r="AH68" s="153">
        <f t="shared" si="78"/>
        <v>0.46475800154489</v>
      </c>
      <c r="AI68" s="153">
        <f t="shared" si="79"/>
        <v>0.46475800154489</v>
      </c>
      <c r="AJ68" s="153">
        <f t="shared" si="80"/>
        <v>1.4331540752184369</v>
      </c>
      <c r="AL68" s="317">
        <f t="shared" si="81"/>
        <v>63</v>
      </c>
      <c r="AM68" s="147">
        <f t="shared" si="82"/>
        <v>335.95767329075471</v>
      </c>
      <c r="AO68">
        <f t="shared" si="53"/>
        <v>63</v>
      </c>
      <c r="AP68">
        <f t="shared" si="24"/>
        <v>335.95767329075471</v>
      </c>
      <c r="AR68" s="5">
        <f t="shared" si="54"/>
        <v>2.976565441130882</v>
      </c>
      <c r="AS68" s="5">
        <f t="shared" si="25"/>
        <v>1.39427400463467</v>
      </c>
      <c r="AT68" s="5">
        <f t="shared" si="55"/>
        <v>1.582291436496212</v>
      </c>
      <c r="AU68" s="153">
        <f t="shared" si="56"/>
        <v>0.46841705052684668</v>
      </c>
      <c r="AW68" s="5">
        <f t="shared" si="83"/>
        <v>0.68947680000000022</v>
      </c>
      <c r="AX68" s="5">
        <f t="shared" si="84"/>
        <v>5.6620668384000004</v>
      </c>
      <c r="AY68" s="5">
        <f t="shared" si="85"/>
        <v>0.6949164380928764</v>
      </c>
      <c r="AZ68" s="5">
        <f t="shared" si="86"/>
        <v>2.1319078856659095</v>
      </c>
      <c r="BA68" s="5">
        <f t="shared" si="87"/>
        <v>0.19936872099852265</v>
      </c>
      <c r="BB68" s="147">
        <f t="shared" si="88"/>
        <v>20.314872099852266</v>
      </c>
      <c r="BC68" s="5"/>
      <c r="BD68" s="153">
        <f t="shared" si="57"/>
        <v>0.18364647461340758</v>
      </c>
      <c r="BE68" s="153">
        <f t="shared" si="89"/>
        <v>0.19563734909793434</v>
      </c>
      <c r="BF68" s="153">
        <f t="shared" si="90"/>
        <v>0.19487014380735423</v>
      </c>
      <c r="BG68" s="153"/>
      <c r="BH68" s="463">
        <f t="shared" si="34"/>
        <v>1.1804109673276534E-2</v>
      </c>
      <c r="BI68" s="463">
        <f t="shared" si="35"/>
        <v>3.1477625795404099E-2</v>
      </c>
      <c r="BJ68" s="463">
        <f t="shared" si="36"/>
        <v>4.1994709161344334E-3</v>
      </c>
      <c r="BK68" s="463">
        <f t="shared" si="37"/>
        <v>2.7308359788359798E-2</v>
      </c>
      <c r="BL68">
        <f t="shared" si="38"/>
        <v>5.7999999999999996E-3</v>
      </c>
      <c r="BM68">
        <f t="shared" si="91"/>
        <v>1.2598412748403302E-5</v>
      </c>
      <c r="BN68">
        <f t="shared" si="92"/>
        <v>8.237512072682654E-2</v>
      </c>
      <c r="BO68" s="147">
        <f t="shared" si="58"/>
        <v>82.375120726826538</v>
      </c>
      <c r="BP68" s="153">
        <f t="shared" si="93"/>
        <v>5.330731488461922E-2</v>
      </c>
      <c r="BQ68" s="153">
        <f t="shared" si="94"/>
        <v>5.3078420931889178E-2</v>
      </c>
      <c r="BR68" s="463"/>
      <c r="BT68" s="147">
        <f t="shared" si="59"/>
        <v>106.3857358165084</v>
      </c>
      <c r="BU68" s="463">
        <f t="shared" si="43"/>
        <v>3.3726027637932955E-2</v>
      </c>
      <c r="BV68" s="463">
        <f t="shared" si="60"/>
        <v>3.8273972362067032E-2</v>
      </c>
      <c r="BW68" s="463">
        <f t="shared" si="95"/>
        <v>1.8987186473749459E-3</v>
      </c>
      <c r="BX68" s="463">
        <f t="shared" si="45"/>
        <v>0</v>
      </c>
      <c r="BY68" s="463">
        <f t="shared" si="96"/>
        <v>8.3258782271138157E-2</v>
      </c>
      <c r="BZ68" s="463">
        <f t="shared" si="61"/>
        <v>7.3898718647374934E-2</v>
      </c>
      <c r="CA68" s="549">
        <f t="shared" si="97"/>
        <v>3.6283428715401508E-2</v>
      </c>
      <c r="CB68" s="147">
        <f t="shared" si="62"/>
        <v>119.54221098653967</v>
      </c>
      <c r="CC68" s="153">
        <f t="shared" si="63"/>
        <v>0.30830306752987463</v>
      </c>
      <c r="CD68" s="5">
        <f t="shared" si="64"/>
        <v>2.2679999999999998</v>
      </c>
      <c r="CE68" s="153">
        <f t="shared" si="65"/>
        <v>0.88033121125556413</v>
      </c>
      <c r="CF68" s="5">
        <f t="shared" si="66"/>
        <v>88.03312112555642</v>
      </c>
      <c r="CG68">
        <f t="shared" si="102"/>
        <v>63</v>
      </c>
      <c r="CI68" s="59">
        <f t="shared" si="98"/>
        <v>-50</v>
      </c>
      <c r="CJ68">
        <f t="shared" si="99"/>
        <v>-50</v>
      </c>
    </row>
    <row r="69" spans="5:88" x14ac:dyDescent="0.25">
      <c r="E69" s="150">
        <v>64</v>
      </c>
      <c r="F69" s="191">
        <f t="shared" si="103"/>
        <v>6.4000000000000001E-2</v>
      </c>
      <c r="G69" s="191">
        <f t="shared" si="100"/>
        <v>6.4000000000000001E-2</v>
      </c>
      <c r="H69" s="191">
        <f t="shared" ref="H69:H105" si="105">F69*Vout</f>
        <v>1.28</v>
      </c>
      <c r="I69" s="191">
        <f t="shared" si="104"/>
        <v>1.024</v>
      </c>
      <c r="J69" s="472">
        <f t="shared" ref="J69:J105" si="106">Vin</f>
        <v>20</v>
      </c>
      <c r="K69" s="386">
        <f t="shared" ref="K69:K105" si="107">(S69+Vfwd1)*Nps</f>
        <v>20.32</v>
      </c>
      <c r="L69" s="386">
        <f t="shared" ref="L69:L105" si="108">(Vout+Vfwd1)*Nps+J69</f>
        <v>40.32</v>
      </c>
      <c r="M69" s="386"/>
      <c r="N69" s="191">
        <f t="shared" ref="N69:N105" si="109">(Vout+Vfwd1)*Nps/((Vout+Vfwd1)*Nps+J69)</f>
        <v>0.50396825396825395</v>
      </c>
      <c r="O69" s="152">
        <f t="shared" si="101"/>
        <v>1.8898809523809523</v>
      </c>
      <c r="P69" s="152">
        <f t="shared" ref="P69:P105" si="110">N69*J69*Isw_max*0.5*Efficiency*(Pout2/Pout_total)</f>
        <v>2.7214285714285715</v>
      </c>
      <c r="Q69" s="191">
        <f t="shared" ref="Q69:Q105" si="111">O69/Vout</f>
        <v>9.4494047619047616E-2</v>
      </c>
      <c r="R69" s="191">
        <f t="shared" ref="R69:R105" si="112">O69/Vout2</f>
        <v>0.11811755952380952</v>
      </c>
      <c r="S69" s="386">
        <f t="shared" ref="S69:S105" si="113">MIN(Vout,O69/F69)</f>
        <v>20</v>
      </c>
      <c r="T69" s="191">
        <f t="shared" ref="T69:T105" si="114">MIN(2*(Vout*F69+Vout2*G69)/(Efficiency*J69*N69), Isw_max)</f>
        <v>0.50796850393700799</v>
      </c>
      <c r="U69" s="191">
        <f t="shared" ref="U69:U105" si="115">L*T69/J69*1000000</f>
        <v>1.5239055118110241</v>
      </c>
      <c r="V69" s="191">
        <f t="shared" ref="V69:V105" si="116">L*T69/K69*1000000</f>
        <v>1.499906999814</v>
      </c>
      <c r="W69" s="175">
        <f t="shared" ref="W69:W105" si="117">IF(1/((350000*L)*(1/J69+1/K69))&gt;Isw_min, 350, 0.001/((Isw_min*L)*(1/J69+1/K69)))</f>
        <v>350</v>
      </c>
      <c r="X69" s="386">
        <f t="shared" si="52"/>
        <v>330.70833464558655</v>
      </c>
      <c r="Z69" s="191">
        <f t="shared" ref="Z69:Z105" si="118">1/((W69*1000*L)*(1/J69+1/K69))</f>
        <v>0.47996976568405147</v>
      </c>
      <c r="AA69" s="153">
        <f t="shared" ref="AA69:AA105" si="119">L*Z69/K69*1000000</f>
        <v>1.4172335600907031</v>
      </c>
      <c r="AB69" s="153">
        <f t="shared" ref="AB69:AB100" si="120">0.5*AA69*Z69*Nps*W69/1000*(Pout/Pout_total)</f>
        <v>0.11904012045735404</v>
      </c>
      <c r="AC69" s="153"/>
      <c r="AD69" s="153">
        <f t="shared" ref="AD69:AD105" si="121">L*Isw_min/K69*1000000</f>
        <v>0.44291338582677164</v>
      </c>
      <c r="AE69" s="317">
        <f t="shared" ref="AE69:AE100" si="122">MAX(10, F69/(0.5*AD69/1000000*Isw_min*Nps)/1000*Pout_total/Pout)</f>
        <v>1926.6370370370373</v>
      </c>
      <c r="AF69" s="463">
        <f t="shared" ref="AF69:AF105" si="123">0.5*AD69/1000000*Isw_min*Nps*W69*1000*(Pout/Pout_total)</f>
        <v>1.1626476377952754E-2</v>
      </c>
      <c r="AH69" s="153">
        <f t="shared" ref="AH69:AH105" si="124">SQRT((H69+I69)/(0.5*L*Fsw_DCM))</f>
        <v>0.46843203501529596</v>
      </c>
      <c r="AI69" s="153">
        <f t="shared" ref="AI69:AI100" si="125">MAX(IF(F69&gt;AB69,T69,AH69),Isw_min)</f>
        <v>0.46843203501529596</v>
      </c>
      <c r="AJ69" s="153">
        <f t="shared" ref="AJ69:AJ100" si="126">IF(F69&gt;AF69, (AI69-Isw_min)/1.08*0.8+1.2, AE69*0.2/350+1)</f>
        <v>1.4358755814928117</v>
      </c>
      <c r="AL69" s="317">
        <f t="shared" ref="AL69:AL105" si="127">F69*1000</f>
        <v>64</v>
      </c>
      <c r="AM69" s="147">
        <f t="shared" ref="AM69:AM105" si="128">IF(F69&gt;AF69, X69, AE69)</f>
        <v>330.70833464558655</v>
      </c>
      <c r="AO69">
        <f t="shared" si="53"/>
        <v>64</v>
      </c>
      <c r="AP69">
        <f t="shared" ref="AP69:AP105" si="129">IF(H69&gt;O69, "",AM69)</f>
        <v>330.70833464558655</v>
      </c>
      <c r="AR69" s="5">
        <f t="shared" si="54"/>
        <v>3.0238125116250241</v>
      </c>
      <c r="AS69" s="5">
        <f t="shared" ref="AS69:AS105" si="130">L*AI69/J69*1000000</f>
        <v>1.4052961050458879</v>
      </c>
      <c r="AT69" s="5">
        <f t="shared" si="55"/>
        <v>1.6185164065791362</v>
      </c>
      <c r="AU69" s="153">
        <f t="shared" si="56"/>
        <v>0.46474313458365479</v>
      </c>
      <c r="AW69" s="5">
        <f t="shared" ref="AW69:AW105" si="131">L*Iout^2/(2*Vripple1_spec*Vout*Npri_sec1^2)*1000000000*((1+N69)/(1-N69))^2</f>
        <v>0.68947680000000022</v>
      </c>
      <c r="AX69" s="5">
        <f t="shared" ref="AX69:AX105" si="132">L*F69^2/(2*Cout*Vout*Nps^2)*1000000000*((1+N69)/(1-N69))^2+F69*RCoutEsr</f>
        <v>5.8401939455999994</v>
      </c>
      <c r="AY69" s="5">
        <f t="shared" ref="AY69:AY105" si="133">L*Iout2^2/(2*Vripple2_spec*Vout2*Npri_sec2^2)*1000000000*((1+N69)/(1-N69))^2</f>
        <v>0.6949164380928764</v>
      </c>
      <c r="AZ69" s="5">
        <f t="shared" ref="AZ69:AZ105" si="134">L*G69^2/(2*Cout2*Vout2*Npri_sec2^2)*1000000000*((1+N69)/(1-N69))^2+G69*CoutEsr2</f>
        <v>2.1980928948570333</v>
      </c>
      <c r="BA69" s="5">
        <f t="shared" ref="BA69:BA105" si="135">(H69+I69)/Efficiency/J69*AT69/Vinripple1</f>
        <v>0.20717010004212943</v>
      </c>
      <c r="BB69" s="147">
        <f t="shared" ref="BB69:BB105" si="136">((CD69/J69/Efficiency)*AT69/Cin+(CD69/J69/Efficiency)*RCinEsr)*1000</f>
        <v>21.101010004212942</v>
      </c>
      <c r="BC69" s="5"/>
      <c r="BD69" s="153">
        <f t="shared" si="57"/>
        <v>0.18437093236455659</v>
      </c>
      <c r="BE69" s="153">
        <f t="shared" ref="BE69:BE105" si="137">AI69*Npri_sec1*SQRT((1-AU69)/3)*(Pout/Pout_total)</f>
        <v>0.19786413632056024</v>
      </c>
      <c r="BF69" s="153">
        <f t="shared" ref="BF69:BF105" si="138">AI69*Npri_sec2*SQRT((1-AU69)/3)*(Pout2/Pout_total)</f>
        <v>0.19708819853106785</v>
      </c>
      <c r="BG69" s="153"/>
      <c r="BH69" s="463">
        <f t="shared" ref="BH69:BH105" si="139">Rdson*BD69^2</f>
        <v>1.1897424245341565E-2</v>
      </c>
      <c r="BI69" s="463">
        <f t="shared" ref="BI69:BI105" si="140">0.5*L69*AI69*AM69*1000*Trise</f>
        <v>3.1230738644021611E-2</v>
      </c>
      <c r="BJ69" s="463">
        <f t="shared" ref="BJ69:BJ105" si="141">Qg*Vdd*AM69*1000</f>
        <v>4.133854183069832E-3</v>
      </c>
      <c r="BK69" s="463">
        <f t="shared" ref="BK69:BK105" si="142">0.5*(Coss+Csw)*L69^2*AM69*1000</f>
        <v>2.6881666666666665E-2</v>
      </c>
      <c r="BL69">
        <f t="shared" ref="BL69:BL105" si="143">J69*IQ</f>
        <v>5.7999999999999996E-3</v>
      </c>
      <c r="BM69">
        <f t="shared" ref="BM69:BM105" si="144">(J69-Vdd)*Qg*AM69</f>
        <v>1.2401562549209495E-5</v>
      </c>
      <c r="BN69">
        <f t="shared" ref="BN69:BN100" si="145">(BI69+BJ69+BK69+BL69+BM69+BH69*(1+RdsonTC*(Ta-25)))/(1-BH69*RdsonTC*ThetaJA)</f>
        <v>8.1741666645147454E-2</v>
      </c>
      <c r="BO69" s="147">
        <f t="shared" si="58"/>
        <v>81.741666645147447</v>
      </c>
      <c r="BP69" s="153">
        <f t="shared" ref="BP69:BP105" si="146">(Vfwd2*F69+BE69^2*Rdiode)*(1+Diode_TC/1000*(Ta-25))</f>
        <v>5.4358765361597276E-2</v>
      </c>
      <c r="BQ69" s="153">
        <f t="shared" ref="BQ69:BQ105" si="147">(Vfwd2*G69+BF69^2*Rdiode)*(1+Diode_TC/1000*(Ta-25))</f>
        <v>5.4124631112169315E-2</v>
      </c>
      <c r="BR69" s="463"/>
      <c r="BT69" s="147">
        <f t="shared" si="59"/>
        <v>108.48339647376659</v>
      </c>
      <c r="BU69" s="463">
        <f t="shared" ref="BU69:BU105" si="148">Rdcr_pri*BD69^2</f>
        <v>3.39926407009759E-2</v>
      </c>
      <c r="BV69" s="463">
        <f t="shared" ref="BV69:BV105" si="149">Rdcr_sec*BE69^2</f>
        <v>3.9150216441881248E-2</v>
      </c>
      <c r="BW69" s="463">
        <f t="shared" ref="BW69:BW105" si="150">Rdcr_sec2*BF69^2</f>
        <v>1.9421879000110808E-3</v>
      </c>
      <c r="BX69" s="463">
        <f t="shared" ref="BX69:BX105" si="151">AI69^2.5*AM69^2.5*k_core</f>
        <v>0</v>
      </c>
      <c r="BY69" s="463">
        <f t="shared" ref="BY69:BY100" si="152">(BX69+(BU69+BV69+BW69)*(1+Ltc*(Ta-25)))/(1-(BU69+BV69+BW69)*Ltc*ThetaCa)</f>
        <v>8.4603446736733173E-2</v>
      </c>
      <c r="BZ69" s="463">
        <f t="shared" si="61"/>
        <v>7.5085045042868226E-2</v>
      </c>
      <c r="CA69" s="549">
        <f t="shared" ref="CA69:CA105" si="153">0.5*Lleak*0.000000001*AI69^2*AM69*1000</f>
        <v>3.6283428715401508E-2</v>
      </c>
      <c r="CB69" s="147">
        <f t="shared" si="62"/>
        <v>120.88687545213469</v>
      </c>
      <c r="CC69" s="153">
        <f t="shared" si="63"/>
        <v>0.31111193857104874</v>
      </c>
      <c r="CD69" s="5">
        <f t="shared" si="64"/>
        <v>2.3040000000000003</v>
      </c>
      <c r="CE69" s="153">
        <f t="shared" si="65"/>
        <v>0.8810330319010945</v>
      </c>
      <c r="CF69" s="5">
        <f t="shared" si="66"/>
        <v>88.103303190109443</v>
      </c>
      <c r="CG69">
        <f t="shared" si="102"/>
        <v>64</v>
      </c>
      <c r="CI69" s="59">
        <f t="shared" ref="CI69:CI105" si="154">IF(ABS(F69-Ioutmax_Vinnom)&lt;Iout/200, AM69, -50)</f>
        <v>-50</v>
      </c>
      <c r="CJ69">
        <f t="shared" ref="CJ69:CJ105" si="155">IF(ABS(F69-Ioutmax_Vinnom)&lt;Iout/200, (O69+P69)*CE69, -50)</f>
        <v>-50</v>
      </c>
    </row>
    <row r="70" spans="5:88" x14ac:dyDescent="0.25">
      <c r="E70" s="150">
        <v>65</v>
      </c>
      <c r="F70" s="191">
        <f t="shared" si="103"/>
        <v>6.5000000000000002E-2</v>
      </c>
      <c r="G70" s="191">
        <f t="shared" ref="G70:G105" si="156">IF(PLOT_TYPE=1, E70/100*Iout2, min_I*EXP(Q70*rr/100))</f>
        <v>6.5000000000000002E-2</v>
      </c>
      <c r="H70" s="191">
        <f t="shared" si="105"/>
        <v>1.3</v>
      </c>
      <c r="I70" s="191">
        <f t="shared" si="104"/>
        <v>1.04</v>
      </c>
      <c r="J70" s="472">
        <f t="shared" si="106"/>
        <v>20</v>
      </c>
      <c r="K70" s="386">
        <f t="shared" si="107"/>
        <v>20.32</v>
      </c>
      <c r="L70" s="386">
        <f t="shared" si="108"/>
        <v>40.32</v>
      </c>
      <c r="M70" s="386"/>
      <c r="N70" s="191">
        <f t="shared" si="109"/>
        <v>0.50396825396825395</v>
      </c>
      <c r="O70" s="152">
        <f t="shared" ref="O70:O101" si="157">N70*J70*Isw_max*0.5*Efficiency*Pout/(Pout+Pout2)</f>
        <v>1.8898809523809523</v>
      </c>
      <c r="P70" s="152">
        <f t="shared" si="110"/>
        <v>2.7214285714285715</v>
      </c>
      <c r="Q70" s="191">
        <f t="shared" si="111"/>
        <v>9.4494047619047616E-2</v>
      </c>
      <c r="R70" s="191">
        <f t="shared" si="112"/>
        <v>0.11811755952380952</v>
      </c>
      <c r="S70" s="386">
        <f t="shared" si="113"/>
        <v>20</v>
      </c>
      <c r="T70" s="191">
        <f t="shared" si="114"/>
        <v>0.51590551181102362</v>
      </c>
      <c r="U70" s="191">
        <f t="shared" si="115"/>
        <v>1.5477165354330711</v>
      </c>
      <c r="V70" s="191">
        <f t="shared" si="116"/>
        <v>1.5233430466860935</v>
      </c>
      <c r="W70" s="175">
        <f t="shared" si="117"/>
        <v>350</v>
      </c>
      <c r="X70" s="386">
        <f t="shared" ref="X70:X105" si="158">MIN(1/(U70+V70)*1000, 350)</f>
        <v>325.62051411257761</v>
      </c>
      <c r="Z70" s="191">
        <f t="shared" si="118"/>
        <v>0.47996976568405147</v>
      </c>
      <c r="AA70" s="153">
        <f t="shared" si="119"/>
        <v>1.4172335600907031</v>
      </c>
      <c r="AB70" s="153">
        <f t="shared" si="120"/>
        <v>0.11904012045735404</v>
      </c>
      <c r="AC70" s="153"/>
      <c r="AD70" s="153">
        <f t="shared" si="121"/>
        <v>0.44291338582677164</v>
      </c>
      <c r="AE70" s="317">
        <f t="shared" si="122"/>
        <v>1956.7407407407411</v>
      </c>
      <c r="AF70" s="463">
        <f t="shared" si="123"/>
        <v>1.1626476377952754E-2</v>
      </c>
      <c r="AH70" s="153">
        <f t="shared" si="124"/>
        <v>0.47207747548166584</v>
      </c>
      <c r="AI70" s="153">
        <f t="shared" si="125"/>
        <v>0.47207747548166584</v>
      </c>
      <c r="AJ70" s="153">
        <f t="shared" si="126"/>
        <v>1.4385759077641969</v>
      </c>
      <c r="AL70" s="317">
        <f t="shared" si="127"/>
        <v>65</v>
      </c>
      <c r="AM70" s="147">
        <f t="shared" si="128"/>
        <v>325.62051411257761</v>
      </c>
      <c r="AO70">
        <f t="shared" ref="AO70:AO105" si="159">IF(H70&gt;O70, "",AL70)</f>
        <v>65</v>
      </c>
      <c r="AP70">
        <f t="shared" si="129"/>
        <v>325.62051411257761</v>
      </c>
      <c r="AR70" s="5">
        <f t="shared" ref="AR70:AR133" si="160">1/AM70*1000</f>
        <v>3.071059582119164</v>
      </c>
      <c r="AS70" s="5">
        <f t="shared" si="130"/>
        <v>1.4162324264449975</v>
      </c>
      <c r="AT70" s="5">
        <f t="shared" ref="AT70:AT105" si="161">AR70-AS70</f>
        <v>1.6548271556741665</v>
      </c>
      <c r="AU70" s="153">
        <f t="shared" ref="AU70:AU105" si="162">AS70/AR70</f>
        <v>0.46115433080192336</v>
      </c>
      <c r="AW70" s="5">
        <f t="shared" si="131"/>
        <v>0.68947680000000022</v>
      </c>
      <c r="AX70" s="5">
        <f t="shared" si="132"/>
        <v>6.0210789600000014</v>
      </c>
      <c r="AY70" s="5">
        <f t="shared" si="133"/>
        <v>0.6949164380928764</v>
      </c>
      <c r="AZ70" s="5">
        <f t="shared" si="134"/>
        <v>2.2652886915944741</v>
      </c>
      <c r="BA70" s="5">
        <f t="shared" si="135"/>
        <v>0.21512753023764161</v>
      </c>
      <c r="BB70" s="147">
        <f t="shared" si="136"/>
        <v>21.902753023764163</v>
      </c>
      <c r="BC70" s="5"/>
      <c r="BD70" s="153">
        <f t="shared" ref="BD70:BD105" si="163">AI70*SQRT(AU70/3)</f>
        <v>0.18508694945773849</v>
      </c>
      <c r="BE70" s="153">
        <f t="shared" si="137"/>
        <v>0.20007132584691598</v>
      </c>
      <c r="BF70" s="153">
        <f t="shared" si="138"/>
        <v>0.1992867324122222</v>
      </c>
      <c r="BG70" s="153"/>
      <c r="BH70" s="463">
        <f t="shared" si="139"/>
        <v>1.1990012600850003E-2</v>
      </c>
      <c r="BI70" s="463">
        <f t="shared" si="140"/>
        <v>3.0989571029889255E-2</v>
      </c>
      <c r="BJ70" s="463">
        <f t="shared" si="141"/>
        <v>4.0702564264072207E-3</v>
      </c>
      <c r="BK70" s="463">
        <f t="shared" si="142"/>
        <v>2.6468102564102571E-2</v>
      </c>
      <c r="BL70">
        <f t="shared" si="143"/>
        <v>5.7999999999999996E-3</v>
      </c>
      <c r="BM70">
        <f t="shared" si="144"/>
        <v>1.221076927922166E-5</v>
      </c>
      <c r="BN70">
        <f t="shared" si="145"/>
        <v>8.1128273596332137E-2</v>
      </c>
      <c r="BO70" s="147">
        <f t="shared" ref="BO70:BO105" si="164">BN70*1000</f>
        <v>81.128273596332136</v>
      </c>
      <c r="BP70" s="153">
        <f t="shared" si="146"/>
        <v>5.541180106557312E-2</v>
      </c>
      <c r="BQ70" s="153">
        <f t="shared" si="147"/>
        <v>5.5172414110673064E-2</v>
      </c>
      <c r="BR70" s="463"/>
      <c r="BT70" s="147">
        <f t="shared" ref="BT70:BT105" si="165">SUM(BP70:BS70)*1000</f>
        <v>110.58421517624619</v>
      </c>
      <c r="BU70" s="463">
        <f t="shared" si="148"/>
        <v>3.4257178859571441E-2</v>
      </c>
      <c r="BV70" s="463">
        <f t="shared" si="149"/>
        <v>4.0028535426142826E-2</v>
      </c>
      <c r="BW70" s="463">
        <f t="shared" si="150"/>
        <v>1.9857600857770327E-3</v>
      </c>
      <c r="BX70" s="463">
        <f t="shared" si="151"/>
        <v>0</v>
      </c>
      <c r="BY70" s="463">
        <f t="shared" si="152"/>
        <v>8.5948484707964012E-2</v>
      </c>
      <c r="BZ70" s="463">
        <f t="shared" ref="BZ70:BZ133" si="166">SUM(BU70:BX70)</f>
        <v>7.6271474371491288E-2</v>
      </c>
      <c r="CA70" s="549">
        <f t="shared" si="153"/>
        <v>3.6283428715401501E-2</v>
      </c>
      <c r="CB70" s="147">
        <f t="shared" ref="CB70:CB105" si="167">(BY70+CA70)*1000</f>
        <v>122.23191342336551</v>
      </c>
      <c r="CC70" s="153">
        <f t="shared" ref="CC70:CC133" si="168">SUM(BN70,BP70:BS70,BY70, CA70)</f>
        <v>0.31394440219594383</v>
      </c>
      <c r="CD70" s="5">
        <f t="shared" ref="CD70:CD105" si="169">MIN(H70+I70,O70+P70)</f>
        <v>2.34</v>
      </c>
      <c r="CE70" s="153">
        <f t="shared" ref="CE70:CE105" si="170">CD70/(CD70+CC70)</f>
        <v>0.88170648867543044</v>
      </c>
      <c r="CF70" s="5">
        <f t="shared" ref="CF70:CF105" si="171">CE70*100</f>
        <v>88.170648867543051</v>
      </c>
      <c r="CG70">
        <f t="shared" ref="CG70:CG105" si="172">F70/Iout*100</f>
        <v>65</v>
      </c>
      <c r="CI70" s="59">
        <f t="shared" si="154"/>
        <v>-50</v>
      </c>
      <c r="CJ70">
        <f t="shared" si="155"/>
        <v>-50</v>
      </c>
    </row>
    <row r="71" spans="5:88" x14ac:dyDescent="0.25">
      <c r="E71" s="150">
        <v>66</v>
      </c>
      <c r="F71" s="191">
        <f t="shared" si="103"/>
        <v>6.6000000000000003E-2</v>
      </c>
      <c r="G71" s="191">
        <f t="shared" si="156"/>
        <v>6.6000000000000003E-2</v>
      </c>
      <c r="H71" s="191">
        <f t="shared" si="105"/>
        <v>1.32</v>
      </c>
      <c r="I71" s="191">
        <f t="shared" si="104"/>
        <v>1.056</v>
      </c>
      <c r="J71" s="472">
        <f t="shared" si="106"/>
        <v>20</v>
      </c>
      <c r="K71" s="386">
        <f t="shared" si="107"/>
        <v>20.32</v>
      </c>
      <c r="L71" s="386">
        <f t="shared" si="108"/>
        <v>40.32</v>
      </c>
      <c r="M71" s="386"/>
      <c r="N71" s="191">
        <f t="shared" si="109"/>
        <v>0.50396825396825395</v>
      </c>
      <c r="O71" s="152">
        <f t="shared" si="157"/>
        <v>1.8898809523809523</v>
      </c>
      <c r="P71" s="152">
        <f t="shared" si="110"/>
        <v>2.7214285714285715</v>
      </c>
      <c r="Q71" s="191">
        <f t="shared" si="111"/>
        <v>9.4494047619047616E-2</v>
      </c>
      <c r="R71" s="191">
        <f t="shared" si="112"/>
        <v>0.11811755952380952</v>
      </c>
      <c r="S71" s="386">
        <f t="shared" si="113"/>
        <v>20</v>
      </c>
      <c r="T71" s="191">
        <f t="shared" si="114"/>
        <v>0.52384251968503948</v>
      </c>
      <c r="U71" s="191">
        <f t="shared" si="115"/>
        <v>1.5715275590551183</v>
      </c>
      <c r="V71" s="191">
        <f t="shared" si="116"/>
        <v>1.5467790935581873</v>
      </c>
      <c r="W71" s="175">
        <f t="shared" si="117"/>
        <v>350</v>
      </c>
      <c r="X71" s="386">
        <f t="shared" si="158"/>
        <v>320.68686995935667</v>
      </c>
      <c r="Z71" s="191">
        <f t="shared" si="118"/>
        <v>0.47996976568405147</v>
      </c>
      <c r="AA71" s="153">
        <f t="shared" si="119"/>
        <v>1.4172335600907031</v>
      </c>
      <c r="AB71" s="153">
        <f t="shared" si="120"/>
        <v>0.11904012045735404</v>
      </c>
      <c r="AC71" s="153"/>
      <c r="AD71" s="153">
        <f t="shared" si="121"/>
        <v>0.44291338582677164</v>
      </c>
      <c r="AE71" s="317">
        <f t="shared" si="122"/>
        <v>1986.8444444444447</v>
      </c>
      <c r="AF71" s="463">
        <f t="shared" si="123"/>
        <v>1.1626476377952754E-2</v>
      </c>
      <c r="AH71" s="153">
        <f t="shared" si="124"/>
        <v>0.47569498030325513</v>
      </c>
      <c r="AI71" s="153">
        <f t="shared" si="125"/>
        <v>0.47569498030325513</v>
      </c>
      <c r="AJ71" s="153">
        <f t="shared" si="126"/>
        <v>1.4412555409653742</v>
      </c>
      <c r="AL71" s="317">
        <f t="shared" si="127"/>
        <v>66</v>
      </c>
      <c r="AM71" s="147">
        <f t="shared" si="128"/>
        <v>320.68686995935667</v>
      </c>
      <c r="AO71">
        <f t="shared" si="159"/>
        <v>66</v>
      </c>
      <c r="AP71">
        <f t="shared" si="129"/>
        <v>320.68686995935667</v>
      </c>
      <c r="AR71" s="5">
        <f t="shared" si="160"/>
        <v>3.1183066526133056</v>
      </c>
      <c r="AS71" s="5">
        <f t="shared" si="130"/>
        <v>1.4270849409097655</v>
      </c>
      <c r="AT71" s="5">
        <f t="shared" si="161"/>
        <v>1.6912217117035402</v>
      </c>
      <c r="AU71" s="153">
        <f t="shared" si="162"/>
        <v>0.4576474028664862</v>
      </c>
      <c r="AW71" s="5">
        <f t="shared" si="131"/>
        <v>0.68947680000000022</v>
      </c>
      <c r="AX71" s="5">
        <f t="shared" si="132"/>
        <v>6.2047218816000012</v>
      </c>
      <c r="AY71" s="5">
        <f t="shared" si="133"/>
        <v>0.6949164380928764</v>
      </c>
      <c r="AZ71" s="5">
        <f t="shared" si="134"/>
        <v>2.3334952758782324</v>
      </c>
      <c r="BA71" s="5">
        <f t="shared" si="135"/>
        <v>0.22324126594486732</v>
      </c>
      <c r="BB71" s="147">
        <f t="shared" si="136"/>
        <v>22.720126594486732</v>
      </c>
      <c r="BC71" s="5"/>
      <c r="BD71" s="153">
        <f t="shared" si="163"/>
        <v>0.18579475185326136</v>
      </c>
      <c r="BE71" s="153">
        <f t="shared" si="137"/>
        <v>0.20225944134293578</v>
      </c>
      <c r="BF71" s="153">
        <f t="shared" si="138"/>
        <v>0.20146626706315957</v>
      </c>
      <c r="BG71" s="153"/>
      <c r="BH71" s="463">
        <f t="shared" si="139"/>
        <v>1.2081891435675236E-2</v>
      </c>
      <c r="BI71" s="463">
        <f t="shared" si="140"/>
        <v>3.0753905472627865E-2</v>
      </c>
      <c r="BJ71" s="463">
        <f t="shared" si="141"/>
        <v>4.0085858744919574E-3</v>
      </c>
      <c r="BK71" s="463">
        <f t="shared" si="142"/>
        <v>2.6067070707070709E-2</v>
      </c>
      <c r="BL71">
        <f t="shared" si="143"/>
        <v>5.7999999999999996E-3</v>
      </c>
      <c r="BM71">
        <f t="shared" si="144"/>
        <v>1.2025757623475875E-5</v>
      </c>
      <c r="BN71">
        <f t="shared" si="145"/>
        <v>8.0534053772951641E-2</v>
      </c>
      <c r="BO71" s="147">
        <f t="shared" si="164"/>
        <v>80.534053772951637</v>
      </c>
      <c r="BP71" s="153">
        <f t="shared" si="146"/>
        <v>5.6466385551840359E-2</v>
      </c>
      <c r="BQ71" s="153">
        <f t="shared" si="147"/>
        <v>5.6221733767974354E-2</v>
      </c>
      <c r="BR71" s="463"/>
      <c r="BT71" s="147">
        <f t="shared" si="165"/>
        <v>112.6881193198147</v>
      </c>
      <c r="BU71" s="463">
        <f t="shared" si="148"/>
        <v>3.4519689816214963E-2</v>
      </c>
      <c r="BV71" s="463">
        <f t="shared" si="149"/>
        <v>4.0908881612356479E-2</v>
      </c>
      <c r="BW71" s="463">
        <f t="shared" si="150"/>
        <v>2.0294328382182165E-3</v>
      </c>
      <c r="BX71" s="463">
        <f t="shared" si="151"/>
        <v>0</v>
      </c>
      <c r="BY71" s="463">
        <f t="shared" si="152"/>
        <v>8.7293893641697484E-2</v>
      </c>
      <c r="BZ71" s="463">
        <f t="shared" si="166"/>
        <v>7.7458004266789657E-2</v>
      </c>
      <c r="CA71" s="549">
        <f t="shared" si="153"/>
        <v>3.6283428715401501E-2</v>
      </c>
      <c r="CB71" s="147">
        <f t="shared" si="167"/>
        <v>123.57732235709898</v>
      </c>
      <c r="CC71" s="153">
        <f t="shared" si="168"/>
        <v>0.31679949544986535</v>
      </c>
      <c r="CD71" s="5">
        <f t="shared" si="169"/>
        <v>2.3760000000000003</v>
      </c>
      <c r="CE71" s="153">
        <f t="shared" si="170"/>
        <v>0.88235310650303733</v>
      </c>
      <c r="CF71" s="5">
        <f t="shared" si="171"/>
        <v>88.235310650303731</v>
      </c>
      <c r="CG71">
        <f t="shared" si="172"/>
        <v>66</v>
      </c>
      <c r="CI71" s="59">
        <f t="shared" si="154"/>
        <v>-50</v>
      </c>
      <c r="CJ71">
        <f t="shared" si="155"/>
        <v>-50</v>
      </c>
    </row>
    <row r="72" spans="5:88" x14ac:dyDescent="0.25">
      <c r="E72" s="150">
        <v>67</v>
      </c>
      <c r="F72" s="191">
        <f t="shared" ref="F72:F103" si="173">IF(PLOT_TYPE=1, E72/100*Iout_max, min_I*EXP(O72*rr/100))</f>
        <v>6.7000000000000004E-2</v>
      </c>
      <c r="G72" s="191">
        <f t="shared" si="156"/>
        <v>6.7000000000000004E-2</v>
      </c>
      <c r="H72" s="191">
        <f t="shared" si="105"/>
        <v>1.34</v>
      </c>
      <c r="I72" s="191">
        <f t="shared" ref="I72:I105" si="174">Vout2*G72</f>
        <v>1.0720000000000001</v>
      </c>
      <c r="J72" s="472">
        <f t="shared" si="106"/>
        <v>20</v>
      </c>
      <c r="K72" s="386">
        <f t="shared" si="107"/>
        <v>20.32</v>
      </c>
      <c r="L72" s="386">
        <f t="shared" si="108"/>
        <v>40.32</v>
      </c>
      <c r="M72" s="386"/>
      <c r="N72" s="191">
        <f t="shared" si="109"/>
        <v>0.50396825396825395</v>
      </c>
      <c r="O72" s="152">
        <f t="shared" si="157"/>
        <v>1.8898809523809523</v>
      </c>
      <c r="P72" s="152">
        <f t="shared" si="110"/>
        <v>2.7214285714285715</v>
      </c>
      <c r="Q72" s="191">
        <f t="shared" si="111"/>
        <v>9.4494047619047616E-2</v>
      </c>
      <c r="R72" s="191">
        <f t="shared" si="112"/>
        <v>0.11811755952380952</v>
      </c>
      <c r="S72" s="386">
        <f t="shared" si="113"/>
        <v>20</v>
      </c>
      <c r="T72" s="191">
        <f t="shared" si="114"/>
        <v>0.53177952755905511</v>
      </c>
      <c r="U72" s="191">
        <f t="shared" si="115"/>
        <v>1.5953385826771653</v>
      </c>
      <c r="V72" s="191">
        <f t="shared" si="116"/>
        <v>1.5702151404302807</v>
      </c>
      <c r="W72" s="175">
        <f t="shared" si="117"/>
        <v>350</v>
      </c>
      <c r="X72" s="386">
        <f t="shared" si="158"/>
        <v>315.90049876593349</v>
      </c>
      <c r="Z72" s="191">
        <f t="shared" si="118"/>
        <v>0.47996976568405147</v>
      </c>
      <c r="AA72" s="153">
        <f t="shared" si="119"/>
        <v>1.4172335600907031</v>
      </c>
      <c r="AB72" s="153">
        <f t="shared" si="120"/>
        <v>0.11904012045735404</v>
      </c>
      <c r="AC72" s="153"/>
      <c r="AD72" s="153">
        <f t="shared" si="121"/>
        <v>0.44291338582677164</v>
      </c>
      <c r="AE72" s="317">
        <f t="shared" si="122"/>
        <v>2016.9481481481484</v>
      </c>
      <c r="AF72" s="463">
        <f t="shared" si="123"/>
        <v>1.1626476377952754E-2</v>
      </c>
      <c r="AH72" s="153">
        <f t="shared" si="124"/>
        <v>0.47928518203078813</v>
      </c>
      <c r="AI72" s="153">
        <f t="shared" si="125"/>
        <v>0.47928518203078813</v>
      </c>
      <c r="AJ72" s="153">
        <f t="shared" si="126"/>
        <v>1.4439149496524357</v>
      </c>
      <c r="AL72" s="317">
        <f t="shared" si="127"/>
        <v>67</v>
      </c>
      <c r="AM72" s="147">
        <f t="shared" si="128"/>
        <v>315.90049876593349</v>
      </c>
      <c r="AO72">
        <f t="shared" si="159"/>
        <v>67</v>
      </c>
      <c r="AP72">
        <f t="shared" si="129"/>
        <v>315.90049876593349</v>
      </c>
      <c r="AR72" s="5">
        <f t="shared" si="160"/>
        <v>3.165553723107446</v>
      </c>
      <c r="AS72" s="5">
        <f t="shared" si="130"/>
        <v>1.4378555460923643</v>
      </c>
      <c r="AT72" s="5">
        <f t="shared" si="161"/>
        <v>1.7276981770150817</v>
      </c>
      <c r="AU72" s="153">
        <f t="shared" si="162"/>
        <v>0.45421928416394158</v>
      </c>
      <c r="AW72" s="5">
        <f t="shared" si="131"/>
        <v>0.68947680000000022</v>
      </c>
      <c r="AX72" s="5">
        <f t="shared" si="132"/>
        <v>6.3911227104000004</v>
      </c>
      <c r="AY72" s="5">
        <f t="shared" si="133"/>
        <v>0.6949164380928764</v>
      </c>
      <c r="AZ72" s="5">
        <f t="shared" si="134"/>
        <v>2.4027126477083063</v>
      </c>
      <c r="BA72" s="5">
        <f t="shared" si="135"/>
        <v>0.23151155572002091</v>
      </c>
      <c r="BB72" s="147">
        <f t="shared" si="136"/>
        <v>23.553155572002098</v>
      </c>
      <c r="BC72" s="5"/>
      <c r="BD72" s="153">
        <f t="shared" si="163"/>
        <v>0.18649455614876448</v>
      </c>
      <c r="BE72" s="153">
        <f t="shared" si="137"/>
        <v>0.20442898301929671</v>
      </c>
      <c r="BF72" s="153">
        <f t="shared" si="138"/>
        <v>0.20362730073294652</v>
      </c>
      <c r="BG72" s="153"/>
      <c r="BH72" s="463">
        <f t="shared" si="139"/>
        <v>1.2173076815593632E-2</v>
      </c>
      <c r="BI72" s="463">
        <f t="shared" si="140"/>
        <v>3.0523535895816876E-2</v>
      </c>
      <c r="BJ72" s="463">
        <f t="shared" si="141"/>
        <v>3.9487562345741686E-3</v>
      </c>
      <c r="BK72" s="463">
        <f t="shared" si="142"/>
        <v>2.5678009950248763E-2</v>
      </c>
      <c r="BL72">
        <f t="shared" si="143"/>
        <v>5.7999999999999996E-3</v>
      </c>
      <c r="BM72">
        <f t="shared" si="144"/>
        <v>1.1846268703722506E-5</v>
      </c>
      <c r="BN72">
        <f t="shared" si="145"/>
        <v>7.9958171204181305E-2</v>
      </c>
      <c r="BO72" s="147">
        <f t="shared" si="164"/>
        <v>79.958171204181312</v>
      </c>
      <c r="BP72" s="153">
        <f t="shared" si="146"/>
        <v>5.7522483751104192E-2</v>
      </c>
      <c r="BQ72" s="153">
        <f t="shared" si="147"/>
        <v>5.7272555289292391E-2</v>
      </c>
      <c r="BR72" s="463"/>
      <c r="BT72" s="147">
        <f t="shared" si="165"/>
        <v>114.79503904039659</v>
      </c>
      <c r="BU72" s="463">
        <f t="shared" si="148"/>
        <v>3.4780219473124666E-2</v>
      </c>
      <c r="BV72" s="463">
        <f t="shared" si="149"/>
        <v>4.1791209098303903E-2</v>
      </c>
      <c r="BW72" s="463">
        <f t="shared" si="150"/>
        <v>2.0732038801892921E-3</v>
      </c>
      <c r="BX72" s="463">
        <f t="shared" si="151"/>
        <v>0</v>
      </c>
      <c r="BY72" s="463">
        <f t="shared" si="152"/>
        <v>8.8639671094118355E-2</v>
      </c>
      <c r="BZ72" s="463">
        <f t="shared" si="166"/>
        <v>7.864463245161786E-2</v>
      </c>
      <c r="CA72" s="549">
        <f t="shared" si="153"/>
        <v>3.6283428715401508E-2</v>
      </c>
      <c r="CB72" s="147">
        <f t="shared" si="167"/>
        <v>124.92309980951987</v>
      </c>
      <c r="CC72" s="153">
        <f t="shared" si="168"/>
        <v>0.31967631005409775</v>
      </c>
      <c r="CD72" s="5">
        <f t="shared" si="169"/>
        <v>2.4119999999999999</v>
      </c>
      <c r="CE72" s="153">
        <f t="shared" si="170"/>
        <v>0.88297430816473021</v>
      </c>
      <c r="CF72" s="5">
        <f t="shared" si="171"/>
        <v>88.297430816473025</v>
      </c>
      <c r="CG72">
        <f t="shared" si="172"/>
        <v>67</v>
      </c>
      <c r="CI72" s="59">
        <f t="shared" si="154"/>
        <v>-50</v>
      </c>
      <c r="CJ72">
        <f t="shared" si="155"/>
        <v>-50</v>
      </c>
    </row>
    <row r="73" spans="5:88" x14ac:dyDescent="0.25">
      <c r="E73" s="150">
        <v>68</v>
      </c>
      <c r="F73" s="191">
        <f t="shared" si="173"/>
        <v>6.8000000000000005E-2</v>
      </c>
      <c r="G73" s="191">
        <f t="shared" si="156"/>
        <v>6.8000000000000005E-2</v>
      </c>
      <c r="H73" s="191">
        <f t="shared" si="105"/>
        <v>1.36</v>
      </c>
      <c r="I73" s="191">
        <f t="shared" si="174"/>
        <v>1.0880000000000001</v>
      </c>
      <c r="J73" s="472">
        <f t="shared" si="106"/>
        <v>20</v>
      </c>
      <c r="K73" s="386">
        <f t="shared" si="107"/>
        <v>20.32</v>
      </c>
      <c r="L73" s="386">
        <f t="shared" si="108"/>
        <v>40.32</v>
      </c>
      <c r="M73" s="386"/>
      <c r="N73" s="191">
        <f t="shared" si="109"/>
        <v>0.50396825396825395</v>
      </c>
      <c r="O73" s="152">
        <f t="shared" si="157"/>
        <v>1.8898809523809523</v>
      </c>
      <c r="P73" s="152">
        <f t="shared" si="110"/>
        <v>2.7214285714285715</v>
      </c>
      <c r="Q73" s="191">
        <f t="shared" si="111"/>
        <v>9.4494047619047616E-2</v>
      </c>
      <c r="R73" s="191">
        <f t="shared" si="112"/>
        <v>0.11811755952380952</v>
      </c>
      <c r="S73" s="386">
        <f t="shared" si="113"/>
        <v>20</v>
      </c>
      <c r="T73" s="191">
        <f t="shared" si="114"/>
        <v>0.53971653543307097</v>
      </c>
      <c r="U73" s="191">
        <f t="shared" si="115"/>
        <v>1.6191496062992132</v>
      </c>
      <c r="V73" s="191">
        <f t="shared" si="116"/>
        <v>1.5936511873023751</v>
      </c>
      <c r="W73" s="175">
        <f t="shared" si="117"/>
        <v>350</v>
      </c>
      <c r="X73" s="386">
        <f t="shared" si="158"/>
        <v>311.25490319584611</v>
      </c>
      <c r="Z73" s="191">
        <f t="shared" si="118"/>
        <v>0.47996976568405147</v>
      </c>
      <c r="AA73" s="153">
        <f t="shared" si="119"/>
        <v>1.4172335600907031</v>
      </c>
      <c r="AB73" s="153">
        <f t="shared" si="120"/>
        <v>0.11904012045735404</v>
      </c>
      <c r="AC73" s="153"/>
      <c r="AD73" s="153">
        <f t="shared" si="121"/>
        <v>0.44291338582677164</v>
      </c>
      <c r="AE73" s="317">
        <f t="shared" si="122"/>
        <v>2047.0518518518525</v>
      </c>
      <c r="AF73" s="463">
        <f t="shared" si="123"/>
        <v>1.1626476377952754E-2</v>
      </c>
      <c r="AH73" s="153">
        <f t="shared" si="124"/>
        <v>0.48284868969777395</v>
      </c>
      <c r="AI73" s="153">
        <f t="shared" si="125"/>
        <v>0.48284868969777395</v>
      </c>
      <c r="AJ73" s="153">
        <f t="shared" si="126"/>
        <v>1.4465545849613139</v>
      </c>
      <c r="AL73" s="317">
        <f t="shared" si="127"/>
        <v>68</v>
      </c>
      <c r="AM73" s="147">
        <f t="shared" si="128"/>
        <v>311.25490319584611</v>
      </c>
      <c r="AO73">
        <f t="shared" si="159"/>
        <v>68</v>
      </c>
      <c r="AP73">
        <f t="shared" si="129"/>
        <v>311.25490319584611</v>
      </c>
      <c r="AR73" s="5">
        <f t="shared" si="160"/>
        <v>3.2128007936015885</v>
      </c>
      <c r="AS73" s="5">
        <f t="shared" si="130"/>
        <v>1.4485460690933221</v>
      </c>
      <c r="AT73" s="5">
        <f t="shared" si="161"/>
        <v>1.7642547245082665</v>
      </c>
      <c r="AU73" s="153">
        <f t="shared" si="162"/>
        <v>0.45086706651036534</v>
      </c>
      <c r="AW73" s="5">
        <f t="shared" si="131"/>
        <v>0.68947680000000022</v>
      </c>
      <c r="AX73" s="5">
        <f t="shared" si="132"/>
        <v>6.5802814463999999</v>
      </c>
      <c r="AY73" s="5">
        <f t="shared" si="133"/>
        <v>0.6949164380928764</v>
      </c>
      <c r="AZ73" s="5">
        <f t="shared" si="134"/>
        <v>2.4729408070846981</v>
      </c>
      <c r="BA73" s="5">
        <f t="shared" si="135"/>
        <v>0.23993864253312425</v>
      </c>
      <c r="BB73" s="147">
        <f t="shared" si="136"/>
        <v>24.401864253312421</v>
      </c>
      <c r="BC73" s="5"/>
      <c r="BD73" s="153">
        <f t="shared" si="163"/>
        <v>0.18718657010039047</v>
      </c>
      <c r="BE73" s="153">
        <f t="shared" si="137"/>
        <v>0.20658042910289767</v>
      </c>
      <c r="BF73" s="153">
        <f t="shared" si="138"/>
        <v>0.20577030977308242</v>
      </c>
      <c r="BG73" s="153"/>
      <c r="BH73" s="463">
        <f t="shared" si="139"/>
        <v>1.2263584209081939E-2</v>
      </c>
      <c r="BI73" s="463">
        <f t="shared" si="140"/>
        <v>3.0298266869496545E-2</v>
      </c>
      <c r="BJ73" s="463">
        <f t="shared" si="141"/>
        <v>3.8906862899480759E-3</v>
      </c>
      <c r="BK73" s="463">
        <f t="shared" si="142"/>
        <v>2.5300392156862739E-2</v>
      </c>
      <c r="BL73">
        <f t="shared" si="143"/>
        <v>5.7999999999999996E-3</v>
      </c>
      <c r="BM73">
        <f t="shared" si="144"/>
        <v>1.1672058869844229E-5</v>
      </c>
      <c r="BN73">
        <f t="shared" si="145"/>
        <v>7.9399838010115922E-2</v>
      </c>
      <c r="BO73" s="147">
        <f t="shared" si="164"/>
        <v>79.399838010115928</v>
      </c>
      <c r="BP73" s="153">
        <f t="shared" si="146"/>
        <v>5.8580061897889724E-2</v>
      </c>
      <c r="BQ73" s="153">
        <f t="shared" si="147"/>
        <v>5.8324845173460267E-2</v>
      </c>
      <c r="BR73" s="463"/>
      <c r="BT73" s="147">
        <f t="shared" si="165"/>
        <v>116.90490707134998</v>
      </c>
      <c r="BU73" s="463">
        <f t="shared" si="148"/>
        <v>3.5038812025948399E-2</v>
      </c>
      <c r="BV73" s="463">
        <f t="shared" si="149"/>
        <v>4.267547368833733E-2</v>
      </c>
      <c r="BW73" s="463">
        <f t="shared" si="150"/>
        <v>2.1170710192055151E-3</v>
      </c>
      <c r="BX73" s="463">
        <f t="shared" si="151"/>
        <v>0</v>
      </c>
      <c r="BY73" s="463">
        <f t="shared" si="152"/>
        <v>8.9985814715551088E-2</v>
      </c>
      <c r="BZ73" s="463">
        <f t="shared" si="166"/>
        <v>7.9831356733491246E-2</v>
      </c>
      <c r="CA73" s="549">
        <f t="shared" si="153"/>
        <v>3.6283428715401501E-2</v>
      </c>
      <c r="CB73" s="147">
        <f t="shared" si="167"/>
        <v>126.26924343095259</v>
      </c>
      <c r="CC73" s="153">
        <f t="shared" si="168"/>
        <v>0.32257398851241853</v>
      </c>
      <c r="CD73" s="5">
        <f t="shared" si="169"/>
        <v>2.4480000000000004</v>
      </c>
      <c r="CE73" s="153">
        <f t="shared" si="170"/>
        <v>0.88357142243812969</v>
      </c>
      <c r="CF73" s="5">
        <f t="shared" si="171"/>
        <v>88.357142243812973</v>
      </c>
      <c r="CG73">
        <f t="shared" si="172"/>
        <v>68</v>
      </c>
      <c r="CI73" s="59">
        <f t="shared" si="154"/>
        <v>-50</v>
      </c>
      <c r="CJ73">
        <f t="shared" si="155"/>
        <v>-50</v>
      </c>
    </row>
    <row r="74" spans="5:88" x14ac:dyDescent="0.25">
      <c r="E74" s="150">
        <v>69</v>
      </c>
      <c r="F74" s="191">
        <f t="shared" si="173"/>
        <v>6.8999999999999992E-2</v>
      </c>
      <c r="G74" s="191">
        <f t="shared" si="156"/>
        <v>6.8999999999999992E-2</v>
      </c>
      <c r="H74" s="191">
        <f t="shared" si="105"/>
        <v>1.38</v>
      </c>
      <c r="I74" s="191">
        <f t="shared" si="174"/>
        <v>1.1039999999999999</v>
      </c>
      <c r="J74" s="472">
        <f t="shared" si="106"/>
        <v>20</v>
      </c>
      <c r="K74" s="386">
        <f t="shared" si="107"/>
        <v>20.32</v>
      </c>
      <c r="L74" s="386">
        <f t="shared" si="108"/>
        <v>40.32</v>
      </c>
      <c r="M74" s="386"/>
      <c r="N74" s="191">
        <f t="shared" si="109"/>
        <v>0.50396825396825395</v>
      </c>
      <c r="O74" s="152">
        <f t="shared" si="157"/>
        <v>1.8898809523809523</v>
      </c>
      <c r="P74" s="152">
        <f t="shared" si="110"/>
        <v>2.7214285714285715</v>
      </c>
      <c r="Q74" s="191">
        <f t="shared" si="111"/>
        <v>9.4494047619047616E-2</v>
      </c>
      <c r="R74" s="191">
        <f t="shared" si="112"/>
        <v>0.11811755952380952</v>
      </c>
      <c r="S74" s="386">
        <f t="shared" si="113"/>
        <v>20</v>
      </c>
      <c r="T74" s="191">
        <f t="shared" si="114"/>
        <v>0.5476535433070866</v>
      </c>
      <c r="U74" s="191">
        <f t="shared" si="115"/>
        <v>1.64296062992126</v>
      </c>
      <c r="V74" s="191">
        <f t="shared" si="116"/>
        <v>1.6170872341744684</v>
      </c>
      <c r="W74" s="175">
        <f t="shared" si="117"/>
        <v>350</v>
      </c>
      <c r="X74" s="386">
        <f t="shared" si="158"/>
        <v>306.74396256981947</v>
      </c>
      <c r="Z74" s="191">
        <f t="shared" si="118"/>
        <v>0.47996976568405147</v>
      </c>
      <c r="AA74" s="153">
        <f t="shared" si="119"/>
        <v>1.4172335600907031</v>
      </c>
      <c r="AB74" s="153">
        <f t="shared" si="120"/>
        <v>0.11904012045735404</v>
      </c>
      <c r="AC74" s="153"/>
      <c r="AD74" s="153">
        <f t="shared" si="121"/>
        <v>0.44291338582677164</v>
      </c>
      <c r="AE74" s="317">
        <f t="shared" si="122"/>
        <v>2077.1555555555556</v>
      </c>
      <c r="AF74" s="463">
        <f t="shared" si="123"/>
        <v>1.1626476377952754E-2</v>
      </c>
      <c r="AH74" s="153">
        <f t="shared" si="124"/>
        <v>0.48638609002666655</v>
      </c>
      <c r="AI74" s="153">
        <f t="shared" si="125"/>
        <v>0.48638609002666655</v>
      </c>
      <c r="AJ74" s="153">
        <f t="shared" si="126"/>
        <v>1.4491748815012344</v>
      </c>
      <c r="AL74" s="317">
        <f t="shared" si="127"/>
        <v>68.999999999999986</v>
      </c>
      <c r="AM74" s="147">
        <f t="shared" si="128"/>
        <v>306.74396256981947</v>
      </c>
      <c r="AO74">
        <f t="shared" si="159"/>
        <v>68.999999999999986</v>
      </c>
      <c r="AP74">
        <f t="shared" si="129"/>
        <v>306.74396256981947</v>
      </c>
      <c r="AR74" s="5">
        <f t="shared" si="160"/>
        <v>3.2600478640957284</v>
      </c>
      <c r="AS74" s="5">
        <f t="shared" si="130"/>
        <v>1.4591582700799997</v>
      </c>
      <c r="AT74" s="5">
        <f t="shared" si="161"/>
        <v>1.8008895940157288</v>
      </c>
      <c r="AU74" s="153">
        <f t="shared" si="162"/>
        <v>0.44758798978086195</v>
      </c>
      <c r="AW74" s="5">
        <f t="shared" si="131"/>
        <v>0.68947680000000022</v>
      </c>
      <c r="AX74" s="5">
        <f t="shared" si="132"/>
        <v>6.772198089599998</v>
      </c>
      <c r="AY74" s="5">
        <f t="shared" si="133"/>
        <v>0.6949164380928764</v>
      </c>
      <c r="AZ74" s="5">
        <f t="shared" si="134"/>
        <v>2.5441797540074056</v>
      </c>
      <c r="BA74" s="5">
        <f t="shared" si="135"/>
        <v>0.24852276397417056</v>
      </c>
      <c r="BB74" s="147">
        <f t="shared" si="136"/>
        <v>25.266276397417059</v>
      </c>
      <c r="BC74" s="5"/>
      <c r="BD74" s="153">
        <f t="shared" si="163"/>
        <v>0.18787099310774621</v>
      </c>
      <c r="BE74" s="153">
        <f t="shared" si="137"/>
        <v>0.20871423719011606</v>
      </c>
      <c r="BF74" s="153">
        <f t="shared" si="138"/>
        <v>0.20789574998544899</v>
      </c>
      <c r="BG74" s="153"/>
      <c r="BH74" s="463">
        <f t="shared" si="139"/>
        <v>1.2353428517951789E-2</v>
      </c>
      <c r="BI74" s="463">
        <f t="shared" si="140"/>
        <v>3.0077912913273927E-2</v>
      </c>
      <c r="BJ74" s="463">
        <f t="shared" si="141"/>
        <v>3.8342995321227428E-3</v>
      </c>
      <c r="BK74" s="463">
        <f t="shared" si="142"/>
        <v>2.4933719806763292E-2</v>
      </c>
      <c r="BL74">
        <f t="shared" si="143"/>
        <v>5.7999999999999996E-3</v>
      </c>
      <c r="BM74">
        <f t="shared" si="144"/>
        <v>1.150289859636823E-5</v>
      </c>
      <c r="BN74">
        <f t="shared" si="145"/>
        <v>7.8858310977303087E-2</v>
      </c>
      <c r="BO74" s="147">
        <f t="shared" si="164"/>
        <v>78.858310977303091</v>
      </c>
      <c r="BP74" s="153">
        <f t="shared" si="146"/>
        <v>5.9639087463670949E-2</v>
      </c>
      <c r="BQ74" s="153">
        <f t="shared" si="147"/>
        <v>5.9378571146577415E-2</v>
      </c>
      <c r="BR74" s="463"/>
      <c r="BT74" s="147">
        <f t="shared" si="165"/>
        <v>119.01765861024836</v>
      </c>
      <c r="BU74" s="463">
        <f t="shared" si="148"/>
        <v>3.5295510051290828E-2</v>
      </c>
      <c r="BV74" s="463">
        <f t="shared" si="149"/>
        <v>4.3561632805852027E-2</v>
      </c>
      <c r="BW74" s="463">
        <f t="shared" si="150"/>
        <v>2.1610321431006158E-3</v>
      </c>
      <c r="BX74" s="463">
        <f t="shared" si="151"/>
        <v>0</v>
      </c>
      <c r="BY74" s="463">
        <f t="shared" si="152"/>
        <v>9.1332322245622641E-2</v>
      </c>
      <c r="BZ74" s="463">
        <f t="shared" si="166"/>
        <v>8.101817500024347E-2</v>
      </c>
      <c r="CA74" s="549">
        <f t="shared" si="153"/>
        <v>3.6283428715401508E-2</v>
      </c>
      <c r="CB74" s="147">
        <f t="shared" si="167"/>
        <v>127.61575096102415</v>
      </c>
      <c r="CC74" s="153">
        <f t="shared" si="168"/>
        <v>0.32549172054857561</v>
      </c>
      <c r="CD74" s="5">
        <f t="shared" si="169"/>
        <v>2.484</v>
      </c>
      <c r="CE74" s="153">
        <f t="shared" si="170"/>
        <v>0.8841456914900534</v>
      </c>
      <c r="CF74" s="5">
        <f t="shared" si="171"/>
        <v>88.414569149005345</v>
      </c>
      <c r="CG74">
        <f t="shared" si="172"/>
        <v>68.999999999999986</v>
      </c>
      <c r="CI74" s="59">
        <f t="shared" si="154"/>
        <v>-50</v>
      </c>
      <c r="CJ74">
        <f t="shared" si="155"/>
        <v>-50</v>
      </c>
    </row>
    <row r="75" spans="5:88" x14ac:dyDescent="0.25">
      <c r="E75" s="150">
        <v>70</v>
      </c>
      <c r="F75" s="191">
        <f t="shared" si="173"/>
        <v>6.9999999999999993E-2</v>
      </c>
      <c r="G75" s="191">
        <f t="shared" si="156"/>
        <v>6.9999999999999993E-2</v>
      </c>
      <c r="H75" s="191">
        <f t="shared" si="105"/>
        <v>1.4</v>
      </c>
      <c r="I75" s="191">
        <f t="shared" si="174"/>
        <v>1.1199999999999999</v>
      </c>
      <c r="J75" s="472">
        <f t="shared" si="106"/>
        <v>20</v>
      </c>
      <c r="K75" s="386">
        <f t="shared" si="107"/>
        <v>20.32</v>
      </c>
      <c r="L75" s="386">
        <f t="shared" si="108"/>
        <v>40.32</v>
      </c>
      <c r="M75" s="386"/>
      <c r="N75" s="191">
        <f t="shared" si="109"/>
        <v>0.50396825396825395</v>
      </c>
      <c r="O75" s="152">
        <f t="shared" si="157"/>
        <v>1.8898809523809523</v>
      </c>
      <c r="P75" s="152">
        <f t="shared" si="110"/>
        <v>2.7214285714285715</v>
      </c>
      <c r="Q75" s="191">
        <f t="shared" si="111"/>
        <v>9.4494047619047616E-2</v>
      </c>
      <c r="R75" s="191">
        <f t="shared" si="112"/>
        <v>0.11811755952380952</v>
      </c>
      <c r="S75" s="386">
        <f t="shared" si="113"/>
        <v>20</v>
      </c>
      <c r="T75" s="191">
        <f t="shared" si="114"/>
        <v>0.55559055118110223</v>
      </c>
      <c r="U75" s="191">
        <f t="shared" si="115"/>
        <v>1.6667716535433066</v>
      </c>
      <c r="V75" s="191">
        <f t="shared" si="116"/>
        <v>1.6405232810465618</v>
      </c>
      <c r="W75" s="175">
        <f t="shared" si="117"/>
        <v>350</v>
      </c>
      <c r="X75" s="386">
        <f t="shared" si="158"/>
        <v>302.36190596167927</v>
      </c>
      <c r="Z75" s="191">
        <f t="shared" si="118"/>
        <v>0.47996976568405147</v>
      </c>
      <c r="AA75" s="153">
        <f t="shared" si="119"/>
        <v>1.4172335600907031</v>
      </c>
      <c r="AB75" s="153">
        <f t="shared" si="120"/>
        <v>0.11904012045735404</v>
      </c>
      <c r="AC75" s="153"/>
      <c r="AD75" s="153">
        <f t="shared" si="121"/>
        <v>0.44291338582677164</v>
      </c>
      <c r="AE75" s="317">
        <f t="shared" si="122"/>
        <v>2107.2592592592591</v>
      </c>
      <c r="AF75" s="463">
        <f t="shared" si="123"/>
        <v>1.1626476377952754E-2</v>
      </c>
      <c r="AH75" s="153">
        <f t="shared" si="124"/>
        <v>0.4898979485566356</v>
      </c>
      <c r="AI75" s="153">
        <f t="shared" si="125"/>
        <v>0.4898979485566356</v>
      </c>
      <c r="AJ75" s="153">
        <f t="shared" si="126"/>
        <v>1.4517762581901004</v>
      </c>
      <c r="AL75" s="317">
        <f t="shared" si="127"/>
        <v>69.999999999999986</v>
      </c>
      <c r="AM75" s="147">
        <f t="shared" si="128"/>
        <v>302.36190596167927</v>
      </c>
      <c r="AO75">
        <f t="shared" si="159"/>
        <v>69.999999999999986</v>
      </c>
      <c r="AP75">
        <f t="shared" si="129"/>
        <v>302.36190596167927</v>
      </c>
      <c r="AR75" s="5">
        <f t="shared" si="160"/>
        <v>3.3072949345898683</v>
      </c>
      <c r="AS75" s="5">
        <f t="shared" si="130"/>
        <v>1.4696938456699069</v>
      </c>
      <c r="AT75" s="5">
        <f t="shared" si="161"/>
        <v>1.8376010889199614</v>
      </c>
      <c r="AU75" s="153">
        <f t="shared" si="162"/>
        <v>0.44437943235690319</v>
      </c>
      <c r="AW75" s="5">
        <f t="shared" si="131"/>
        <v>0.68947680000000022</v>
      </c>
      <c r="AX75" s="5">
        <f t="shared" si="132"/>
        <v>6.9668726399999992</v>
      </c>
      <c r="AY75" s="5">
        <f t="shared" si="133"/>
        <v>0.6949164380928764</v>
      </c>
      <c r="AZ75" s="5">
        <f t="shared" si="134"/>
        <v>2.616429488476431</v>
      </c>
      <c r="BA75" s="5">
        <f t="shared" si="135"/>
        <v>0.25726415244879453</v>
      </c>
      <c r="BB75" s="147">
        <f t="shared" si="136"/>
        <v>26.146415244879453</v>
      </c>
      <c r="BC75" s="5"/>
      <c r="BD75" s="153">
        <f t="shared" si="163"/>
        <v>0.18854801666565535</v>
      </c>
      <c r="BE75" s="153">
        <f t="shared" si="137"/>
        <v>0.21083084549336642</v>
      </c>
      <c r="BF75" s="153">
        <f t="shared" si="138"/>
        <v>0.21000405786398069</v>
      </c>
      <c r="BG75" s="153"/>
      <c r="BH75" s="463">
        <f t="shared" si="139"/>
        <v>1.2442624105993286E-2</v>
      </c>
      <c r="BI75" s="463">
        <f t="shared" si="140"/>
        <v>2.9862297854383889E-2</v>
      </c>
      <c r="BJ75" s="463">
        <f t="shared" si="141"/>
        <v>3.7795238245209905E-3</v>
      </c>
      <c r="BK75" s="463">
        <f t="shared" si="142"/>
        <v>2.457752380952382E-2</v>
      </c>
      <c r="BL75">
        <f t="shared" si="143"/>
        <v>5.7999999999999996E-3</v>
      </c>
      <c r="BM75">
        <f t="shared" si="144"/>
        <v>1.1338571473562972E-5</v>
      </c>
      <c r="BN75">
        <f t="shared" si="145"/>
        <v>7.8332888423733482E-2</v>
      </c>
      <c r="BO75" s="147">
        <f t="shared" si="164"/>
        <v>78.332888423733479</v>
      </c>
      <c r="BP75" s="153">
        <f t="shared" si="146"/>
        <v>6.0699529094346082E-2</v>
      </c>
      <c r="BQ75" s="153">
        <f t="shared" si="147"/>
        <v>6.0433702099974354E-2</v>
      </c>
      <c r="BR75" s="463"/>
      <c r="BT75" s="147">
        <f t="shared" si="165"/>
        <v>121.13323119432043</v>
      </c>
      <c r="BU75" s="463">
        <f t="shared" si="148"/>
        <v>3.5550354588552248E-2</v>
      </c>
      <c r="BV75" s="463">
        <f t="shared" si="149"/>
        <v>4.4449645411447747E-2</v>
      </c>
      <c r="BW75" s="463">
        <f t="shared" si="150"/>
        <v>2.2050852159669078E-3</v>
      </c>
      <c r="BX75" s="463">
        <f t="shared" si="151"/>
        <v>0</v>
      </c>
      <c r="BY75" s="463">
        <f t="shared" si="152"/>
        <v>9.2679191508740766E-2</v>
      </c>
      <c r="BZ75" s="463">
        <f t="shared" si="166"/>
        <v>8.2205085215966894E-2</v>
      </c>
      <c r="CA75" s="549">
        <f t="shared" si="153"/>
        <v>3.6283428715401515E-2</v>
      </c>
      <c r="CB75" s="147">
        <f t="shared" si="167"/>
        <v>128.96262022414228</v>
      </c>
      <c r="CC75" s="153">
        <f t="shared" si="168"/>
        <v>0.32842873984219623</v>
      </c>
      <c r="CD75" s="5">
        <f t="shared" si="169"/>
        <v>2.5199999999999996</v>
      </c>
      <c r="CE75" s="153">
        <f t="shared" si="170"/>
        <v>0.88469827759833963</v>
      </c>
      <c r="CF75" s="5">
        <f t="shared" si="171"/>
        <v>88.469827759833962</v>
      </c>
      <c r="CG75">
        <f t="shared" si="172"/>
        <v>69.999999999999986</v>
      </c>
      <c r="CI75" s="59">
        <f t="shared" si="154"/>
        <v>-50</v>
      </c>
      <c r="CJ75">
        <f t="shared" si="155"/>
        <v>-50</v>
      </c>
    </row>
    <row r="76" spans="5:88" x14ac:dyDescent="0.25">
      <c r="E76" s="150">
        <v>71</v>
      </c>
      <c r="F76" s="191">
        <f t="shared" si="173"/>
        <v>7.0999999999999994E-2</v>
      </c>
      <c r="G76" s="191">
        <f t="shared" si="156"/>
        <v>7.0999999999999994E-2</v>
      </c>
      <c r="H76" s="191">
        <f t="shared" si="105"/>
        <v>1.42</v>
      </c>
      <c r="I76" s="191">
        <f t="shared" si="174"/>
        <v>1.1359999999999999</v>
      </c>
      <c r="J76" s="472">
        <f t="shared" si="106"/>
        <v>20</v>
      </c>
      <c r="K76" s="386">
        <f t="shared" si="107"/>
        <v>20.32</v>
      </c>
      <c r="L76" s="386">
        <f t="shared" si="108"/>
        <v>40.32</v>
      </c>
      <c r="M76" s="386"/>
      <c r="N76" s="191">
        <f t="shared" si="109"/>
        <v>0.50396825396825395</v>
      </c>
      <c r="O76" s="152">
        <f t="shared" si="157"/>
        <v>1.8898809523809523</v>
      </c>
      <c r="P76" s="152">
        <f t="shared" si="110"/>
        <v>2.7214285714285715</v>
      </c>
      <c r="Q76" s="191">
        <f t="shared" si="111"/>
        <v>9.4494047619047616E-2</v>
      </c>
      <c r="R76" s="191">
        <f t="shared" si="112"/>
        <v>0.11811755952380952</v>
      </c>
      <c r="S76" s="386">
        <f t="shared" si="113"/>
        <v>20</v>
      </c>
      <c r="T76" s="191">
        <f t="shared" si="114"/>
        <v>0.56352755905511809</v>
      </c>
      <c r="U76" s="191">
        <f t="shared" si="115"/>
        <v>1.690582677165354</v>
      </c>
      <c r="V76" s="191">
        <f t="shared" si="116"/>
        <v>1.6639593279186558</v>
      </c>
      <c r="W76" s="175">
        <f t="shared" si="117"/>
        <v>350</v>
      </c>
      <c r="X76" s="386">
        <f t="shared" si="158"/>
        <v>298.10328756785276</v>
      </c>
      <c r="Z76" s="191">
        <f t="shared" si="118"/>
        <v>0.47996976568405147</v>
      </c>
      <c r="AA76" s="153">
        <f t="shared" si="119"/>
        <v>1.4172335600907031</v>
      </c>
      <c r="AB76" s="153">
        <f t="shared" si="120"/>
        <v>0.11904012045735404</v>
      </c>
      <c r="AC76" s="153"/>
      <c r="AD76" s="153">
        <f t="shared" si="121"/>
        <v>0.44291338582677164</v>
      </c>
      <c r="AE76" s="317">
        <f t="shared" si="122"/>
        <v>2137.3629629629631</v>
      </c>
      <c r="AF76" s="463">
        <f t="shared" si="123"/>
        <v>1.1626476377952754E-2</v>
      </c>
      <c r="AH76" s="153">
        <f t="shared" si="124"/>
        <v>0.49338481069908446</v>
      </c>
      <c r="AI76" s="153">
        <f t="shared" si="125"/>
        <v>0.49338481069908446</v>
      </c>
      <c r="AJ76" s="153">
        <f t="shared" si="126"/>
        <v>1.4543591190363587</v>
      </c>
      <c r="AL76" s="317">
        <f t="shared" si="127"/>
        <v>71</v>
      </c>
      <c r="AM76" s="147">
        <f t="shared" si="128"/>
        <v>298.10328756785276</v>
      </c>
      <c r="AO76">
        <f t="shared" si="159"/>
        <v>71</v>
      </c>
      <c r="AP76">
        <f t="shared" si="129"/>
        <v>298.10328756785276</v>
      </c>
      <c r="AR76" s="5">
        <f t="shared" si="160"/>
        <v>3.35454200508401</v>
      </c>
      <c r="AS76" s="5">
        <f t="shared" si="130"/>
        <v>1.4801544320972535</v>
      </c>
      <c r="AT76" s="5">
        <f t="shared" si="161"/>
        <v>1.8743875729867565</v>
      </c>
      <c r="AU76" s="153">
        <f t="shared" si="162"/>
        <v>0.44123890231631935</v>
      </c>
      <c r="AW76" s="5">
        <f t="shared" si="131"/>
        <v>0.68947680000000022</v>
      </c>
      <c r="AX76" s="5">
        <f t="shared" si="132"/>
        <v>7.1643050975999989</v>
      </c>
      <c r="AY76" s="5">
        <f t="shared" si="133"/>
        <v>0.6949164380928764</v>
      </c>
      <c r="AZ76" s="5">
        <f t="shared" si="134"/>
        <v>2.6896900104917734</v>
      </c>
      <c r="BA76" s="5">
        <f t="shared" si="135"/>
        <v>0.26616303536411939</v>
      </c>
      <c r="BB76" s="147">
        <f t="shared" si="136"/>
        <v>27.042303536411939</v>
      </c>
      <c r="BC76" s="5"/>
      <c r="BD76" s="153">
        <f t="shared" si="163"/>
        <v>0.18921782478541549</v>
      </c>
      <c r="BE76" s="153">
        <f t="shared" si="137"/>
        <v>0.21293067399116769</v>
      </c>
      <c r="BF76" s="153">
        <f t="shared" si="138"/>
        <v>0.21209565174022194</v>
      </c>
      <c r="BG76" s="153"/>
      <c r="BH76" s="463">
        <f t="shared" si="139"/>
        <v>1.2531184825783467E-2</v>
      </c>
      <c r="BI76" s="463">
        <f t="shared" si="140"/>
        <v>2.9651254235656659E-2</v>
      </c>
      <c r="BJ76" s="463">
        <f t="shared" si="141"/>
        <v>3.7262910945981592E-3</v>
      </c>
      <c r="BK76" s="463">
        <f t="shared" si="142"/>
        <v>2.4231361502347424E-2</v>
      </c>
      <c r="BL76">
        <f t="shared" si="143"/>
        <v>5.7999999999999996E-3</v>
      </c>
      <c r="BM76">
        <f t="shared" si="144"/>
        <v>1.1178873283794478E-5</v>
      </c>
      <c r="BN76">
        <f t="shared" si="145"/>
        <v>7.7822907325076102E-2</v>
      </c>
      <c r="BO76" s="147">
        <f t="shared" si="164"/>
        <v>77.822907325076102</v>
      </c>
      <c r="BP76" s="153">
        <f t="shared" si="146"/>
        <v>6.1761356551718362E-2</v>
      </c>
      <c r="BQ76" s="153">
        <f t="shared" si="147"/>
        <v>6.1490208032151675E-2</v>
      </c>
      <c r="BR76" s="463"/>
      <c r="BT76" s="147">
        <f t="shared" si="165"/>
        <v>123.25156458387005</v>
      </c>
      <c r="BU76" s="463">
        <f t="shared" si="148"/>
        <v>3.5803385216524194E-2</v>
      </c>
      <c r="BV76" s="463">
        <f t="shared" si="149"/>
        <v>4.533947192633294E-2</v>
      </c>
      <c r="BW76" s="463">
        <f t="shared" si="150"/>
        <v>2.2492282743554757E-3</v>
      </c>
      <c r="BX76" s="463">
        <f t="shared" si="151"/>
        <v>0</v>
      </c>
      <c r="BY76" s="463">
        <f t="shared" si="152"/>
        <v>9.4026420409861644E-2</v>
      </c>
      <c r="BZ76" s="463">
        <f t="shared" si="166"/>
        <v>8.3392085417212602E-2</v>
      </c>
      <c r="CA76" s="549">
        <f t="shared" si="153"/>
        <v>3.6283428715401515E-2</v>
      </c>
      <c r="CB76" s="147">
        <f t="shared" si="167"/>
        <v>130.30984912526316</v>
      </c>
      <c r="CC76" s="153">
        <f t="shared" si="168"/>
        <v>0.33138432103420928</v>
      </c>
      <c r="CD76" s="5">
        <f t="shared" si="169"/>
        <v>2.556</v>
      </c>
      <c r="CE76" s="153">
        <f t="shared" si="170"/>
        <v>0.88523026927170079</v>
      </c>
      <c r="CF76" s="5">
        <f t="shared" si="171"/>
        <v>88.523026927170079</v>
      </c>
      <c r="CG76">
        <f t="shared" si="172"/>
        <v>70.999999999999986</v>
      </c>
      <c r="CI76" s="59">
        <f t="shared" si="154"/>
        <v>-50</v>
      </c>
      <c r="CJ76">
        <f t="shared" si="155"/>
        <v>-50</v>
      </c>
    </row>
    <row r="77" spans="5:88" x14ac:dyDescent="0.25">
      <c r="E77" s="150">
        <v>72</v>
      </c>
      <c r="F77" s="191">
        <f t="shared" si="173"/>
        <v>7.1999999999999995E-2</v>
      </c>
      <c r="G77" s="191">
        <f t="shared" si="156"/>
        <v>7.1999999999999995E-2</v>
      </c>
      <c r="H77" s="191">
        <f t="shared" si="105"/>
        <v>1.44</v>
      </c>
      <c r="I77" s="191">
        <f t="shared" si="174"/>
        <v>1.1519999999999999</v>
      </c>
      <c r="J77" s="472">
        <f t="shared" si="106"/>
        <v>20</v>
      </c>
      <c r="K77" s="386">
        <f t="shared" si="107"/>
        <v>20.32</v>
      </c>
      <c r="L77" s="386">
        <f t="shared" si="108"/>
        <v>40.32</v>
      </c>
      <c r="M77" s="386"/>
      <c r="N77" s="191">
        <f t="shared" si="109"/>
        <v>0.50396825396825395</v>
      </c>
      <c r="O77" s="152">
        <f t="shared" si="157"/>
        <v>1.8898809523809523</v>
      </c>
      <c r="P77" s="152">
        <f t="shared" si="110"/>
        <v>2.7214285714285715</v>
      </c>
      <c r="Q77" s="191">
        <f t="shared" si="111"/>
        <v>9.4494047619047616E-2</v>
      </c>
      <c r="R77" s="191">
        <f t="shared" si="112"/>
        <v>0.11811755952380952</v>
      </c>
      <c r="S77" s="386">
        <f t="shared" si="113"/>
        <v>20</v>
      </c>
      <c r="T77" s="191">
        <f t="shared" si="114"/>
        <v>0.57146456692913383</v>
      </c>
      <c r="U77" s="191">
        <f t="shared" si="115"/>
        <v>1.7143937007874017</v>
      </c>
      <c r="V77" s="191">
        <f t="shared" si="116"/>
        <v>1.6873953747907495</v>
      </c>
      <c r="W77" s="175">
        <f t="shared" si="117"/>
        <v>350</v>
      </c>
      <c r="X77" s="386">
        <f t="shared" si="158"/>
        <v>293.9629641294103</v>
      </c>
      <c r="Z77" s="191">
        <f t="shared" si="118"/>
        <v>0.47996976568405147</v>
      </c>
      <c r="AA77" s="153">
        <f t="shared" si="119"/>
        <v>1.4172335600907031</v>
      </c>
      <c r="AB77" s="153">
        <f t="shared" si="120"/>
        <v>0.11904012045735404</v>
      </c>
      <c r="AC77" s="153"/>
      <c r="AD77" s="153">
        <f t="shared" si="121"/>
        <v>0.44291338582677164</v>
      </c>
      <c r="AE77" s="317">
        <f t="shared" si="122"/>
        <v>2167.4666666666672</v>
      </c>
      <c r="AF77" s="463">
        <f t="shared" si="123"/>
        <v>1.1626476377952754E-2</v>
      </c>
      <c r="AH77" s="153">
        <f t="shared" si="124"/>
        <v>0.49684720272649502</v>
      </c>
      <c r="AI77" s="153">
        <f t="shared" si="125"/>
        <v>0.49684720272649502</v>
      </c>
      <c r="AJ77" s="153">
        <f t="shared" si="126"/>
        <v>1.4569238538714777</v>
      </c>
      <c r="AL77" s="317">
        <f t="shared" si="127"/>
        <v>72</v>
      </c>
      <c r="AM77" s="147">
        <f t="shared" si="128"/>
        <v>293.9629641294103</v>
      </c>
      <c r="AO77">
        <f t="shared" si="159"/>
        <v>72</v>
      </c>
      <c r="AP77">
        <f t="shared" si="129"/>
        <v>293.9629641294103</v>
      </c>
      <c r="AR77" s="5">
        <f t="shared" si="160"/>
        <v>3.4017890755781517</v>
      </c>
      <c r="AS77" s="5">
        <f t="shared" si="130"/>
        <v>1.4905416081794851</v>
      </c>
      <c r="AT77" s="5">
        <f t="shared" si="161"/>
        <v>1.9112474673986666</v>
      </c>
      <c r="AU77" s="153">
        <f t="shared" si="162"/>
        <v>0.4381640292986595</v>
      </c>
      <c r="AW77" s="5">
        <f t="shared" si="131"/>
        <v>0.68947680000000022</v>
      </c>
      <c r="AX77" s="5">
        <f t="shared" si="132"/>
        <v>7.3644954623999981</v>
      </c>
      <c r="AY77" s="5">
        <f t="shared" si="133"/>
        <v>0.6949164380928764</v>
      </c>
      <c r="AZ77" s="5">
        <f t="shared" si="134"/>
        <v>2.7639613200534323</v>
      </c>
      <c r="BA77" s="5">
        <f t="shared" si="135"/>
        <v>0.27521963530540794</v>
      </c>
      <c r="BB77" s="147">
        <f t="shared" si="136"/>
        <v>27.953963530540793</v>
      </c>
      <c r="BC77" s="5"/>
      <c r="BD77" s="153">
        <f t="shared" si="163"/>
        <v>0.18988059438801755</v>
      </c>
      <c r="BE77" s="153">
        <f t="shared" si="137"/>
        <v>0.21501412549078594</v>
      </c>
      <c r="BF77" s="153">
        <f t="shared" si="138"/>
        <v>0.21417093284180244</v>
      </c>
      <c r="BG77" s="153"/>
      <c r="BH77" s="463">
        <f t="shared" si="139"/>
        <v>1.2619124043801394E-2</v>
      </c>
      <c r="BI77" s="463">
        <f t="shared" si="140"/>
        <v>2.9444622768869916E-2</v>
      </c>
      <c r="BJ77" s="463">
        <f t="shared" si="141"/>
        <v>3.6745370516176284E-3</v>
      </c>
      <c r="BK77" s="463">
        <f t="shared" si="142"/>
        <v>2.3894814814814813E-2</v>
      </c>
      <c r="BL77">
        <f t="shared" si="143"/>
        <v>5.7999999999999996E-3</v>
      </c>
      <c r="BM77">
        <f t="shared" si="144"/>
        <v>1.1023611154852885E-5</v>
      </c>
      <c r="BN77">
        <f t="shared" si="145"/>
        <v>7.7327740677047632E-2</v>
      </c>
      <c r="BO77" s="147">
        <f t="shared" si="164"/>
        <v>77.327740677047629</v>
      </c>
      <c r="BP77" s="153">
        <f t="shared" si="146"/>
        <v>6.2824540658673531E-2</v>
      </c>
      <c r="BQ77" s="153">
        <f t="shared" si="147"/>
        <v>6.2548059994386479E-2</v>
      </c>
      <c r="BR77" s="463"/>
      <c r="BT77" s="147">
        <f t="shared" si="165"/>
        <v>125.37260065305999</v>
      </c>
      <c r="BU77" s="463">
        <f t="shared" si="148"/>
        <v>3.6054640125146843E-2</v>
      </c>
      <c r="BV77" s="463">
        <f t="shared" si="149"/>
        <v>4.6231074160567445E-2</v>
      </c>
      <c r="BW77" s="463">
        <f t="shared" si="150"/>
        <v>2.2934594237163926E-3</v>
      </c>
      <c r="BX77" s="463">
        <f t="shared" si="151"/>
        <v>0</v>
      </c>
      <c r="BY77" s="463">
        <f t="shared" si="152"/>
        <v>9.5374006930525682E-2</v>
      </c>
      <c r="BZ77" s="463">
        <f t="shared" si="166"/>
        <v>8.4579173709430688E-2</v>
      </c>
      <c r="CA77" s="549">
        <f t="shared" si="153"/>
        <v>3.6283428715401495E-2</v>
      </c>
      <c r="CB77" s="147">
        <f t="shared" si="167"/>
        <v>131.65743564592719</v>
      </c>
      <c r="CC77" s="153">
        <f t="shared" si="168"/>
        <v>0.33435777697603486</v>
      </c>
      <c r="CD77" s="5">
        <f t="shared" si="169"/>
        <v>2.5919999999999996</v>
      </c>
      <c r="CE77" s="153">
        <f t="shared" si="170"/>
        <v>0.88574268682842161</v>
      </c>
      <c r="CF77" s="5">
        <f t="shared" si="171"/>
        <v>88.57426868284216</v>
      </c>
      <c r="CG77">
        <f t="shared" si="172"/>
        <v>71.999999999999986</v>
      </c>
      <c r="CI77" s="59">
        <f t="shared" si="154"/>
        <v>-50</v>
      </c>
      <c r="CJ77">
        <f t="shared" si="155"/>
        <v>-50</v>
      </c>
    </row>
    <row r="78" spans="5:88" x14ac:dyDescent="0.25">
      <c r="E78" s="150">
        <v>73</v>
      </c>
      <c r="F78" s="191">
        <f t="shared" si="173"/>
        <v>7.2999999999999995E-2</v>
      </c>
      <c r="G78" s="191">
        <f t="shared" si="156"/>
        <v>7.2999999999999995E-2</v>
      </c>
      <c r="H78" s="191">
        <f t="shared" si="105"/>
        <v>1.46</v>
      </c>
      <c r="I78" s="191">
        <f t="shared" si="174"/>
        <v>1.1679999999999999</v>
      </c>
      <c r="J78" s="472">
        <f t="shared" si="106"/>
        <v>20</v>
      </c>
      <c r="K78" s="386">
        <f t="shared" si="107"/>
        <v>20.32</v>
      </c>
      <c r="L78" s="386">
        <f t="shared" si="108"/>
        <v>40.32</v>
      </c>
      <c r="M78" s="386"/>
      <c r="N78" s="191">
        <f t="shared" si="109"/>
        <v>0.50396825396825395</v>
      </c>
      <c r="O78" s="152">
        <f t="shared" si="157"/>
        <v>1.8898809523809523</v>
      </c>
      <c r="P78" s="152">
        <f t="shared" si="110"/>
        <v>2.7214285714285715</v>
      </c>
      <c r="Q78" s="191">
        <f t="shared" si="111"/>
        <v>9.4494047619047616E-2</v>
      </c>
      <c r="R78" s="191">
        <f t="shared" si="112"/>
        <v>0.11811755952380952</v>
      </c>
      <c r="S78" s="386">
        <f t="shared" si="113"/>
        <v>20</v>
      </c>
      <c r="T78" s="191">
        <f t="shared" si="114"/>
        <v>0.57940157480314969</v>
      </c>
      <c r="U78" s="191">
        <f t="shared" si="115"/>
        <v>1.7382047244094492</v>
      </c>
      <c r="V78" s="191">
        <f t="shared" si="116"/>
        <v>1.7108314216628437</v>
      </c>
      <c r="W78" s="175">
        <f t="shared" si="117"/>
        <v>350</v>
      </c>
      <c r="X78" s="386">
        <f t="shared" si="158"/>
        <v>289.93607420982931</v>
      </c>
      <c r="Z78" s="191">
        <f t="shared" si="118"/>
        <v>0.47996976568405147</v>
      </c>
      <c r="AA78" s="153">
        <f t="shared" si="119"/>
        <v>1.4172335600907031</v>
      </c>
      <c r="AB78" s="153">
        <f t="shared" si="120"/>
        <v>0.11904012045735404</v>
      </c>
      <c r="AC78" s="153"/>
      <c r="AD78" s="153">
        <f t="shared" si="121"/>
        <v>0.44291338582677164</v>
      </c>
      <c r="AE78" s="317">
        <f t="shared" si="122"/>
        <v>2197.5703703703707</v>
      </c>
      <c r="AF78" s="463">
        <f t="shared" si="123"/>
        <v>1.1626476377952754E-2</v>
      </c>
      <c r="AH78" s="153">
        <f t="shared" si="124"/>
        <v>0.50028563269967519</v>
      </c>
      <c r="AI78" s="153">
        <f t="shared" si="125"/>
        <v>0.50028563269967519</v>
      </c>
      <c r="AJ78" s="153">
        <f t="shared" si="126"/>
        <v>1.4594708390367963</v>
      </c>
      <c r="AL78" s="317">
        <f t="shared" si="127"/>
        <v>73</v>
      </c>
      <c r="AM78" s="147">
        <f t="shared" si="128"/>
        <v>289.93607420982931</v>
      </c>
      <c r="AO78">
        <f t="shared" si="159"/>
        <v>73</v>
      </c>
      <c r="AP78">
        <f t="shared" si="129"/>
        <v>289.93607420982931</v>
      </c>
      <c r="AR78" s="5">
        <f t="shared" si="160"/>
        <v>3.4490361460722925</v>
      </c>
      <c r="AS78" s="5">
        <f t="shared" si="130"/>
        <v>1.5008568980990256</v>
      </c>
      <c r="AT78" s="5">
        <f t="shared" si="161"/>
        <v>1.9481792479732669</v>
      </c>
      <c r="AU78" s="153">
        <f t="shared" si="162"/>
        <v>0.43515255698557337</v>
      </c>
      <c r="AW78" s="5">
        <f t="shared" si="131"/>
        <v>0.68947680000000022</v>
      </c>
      <c r="AX78" s="5">
        <f t="shared" si="132"/>
        <v>7.5674437343999985</v>
      </c>
      <c r="AY78" s="5">
        <f t="shared" si="133"/>
        <v>0.6949164380928764</v>
      </c>
      <c r="AZ78" s="5">
        <f t="shared" si="134"/>
        <v>2.8392434171614083</v>
      </c>
      <c r="BA78" s="5">
        <f t="shared" si="135"/>
        <v>0.28443417020409695</v>
      </c>
      <c r="BB78" s="147">
        <f t="shared" si="136"/>
        <v>28.8814170204097</v>
      </c>
      <c r="BC78" s="5"/>
      <c r="BD78" s="153">
        <f t="shared" si="163"/>
        <v>0.19053649567155476</v>
      </c>
      <c r="BE78" s="153">
        <f t="shared" si="137"/>
        <v>0.21708158661152038</v>
      </c>
      <c r="BF78" s="153">
        <f t="shared" si="138"/>
        <v>0.21623028627186738</v>
      </c>
      <c r="BG78" s="153"/>
      <c r="BH78" s="463">
        <f t="shared" si="139"/>
        <v>1.2706454663978742E-2</v>
      </c>
      <c r="BI78" s="463">
        <f t="shared" si="140"/>
        <v>2.9242251829430528E-2</v>
      </c>
      <c r="BJ78" s="463">
        <f t="shared" si="141"/>
        <v>3.6242009276228663E-3</v>
      </c>
      <c r="BK78" s="463">
        <f t="shared" si="142"/>
        <v>2.3567488584474886E-2</v>
      </c>
      <c r="BL78">
        <f t="shared" si="143"/>
        <v>5.7999999999999996E-3</v>
      </c>
      <c r="BM78">
        <f t="shared" si="144"/>
        <v>1.0872602782868599E-5</v>
      </c>
      <c r="BN78">
        <f t="shared" si="145"/>
        <v>7.6846795071533178E-2</v>
      </c>
      <c r="BO78" s="147">
        <f t="shared" si="164"/>
        <v>76.84679507153318</v>
      </c>
      <c r="BP78" s="153">
        <f t="shared" si="146"/>
        <v>6.3889053247772123E-2</v>
      </c>
      <c r="BQ78" s="153">
        <f t="shared" si="147"/>
        <v>6.3607230039727292E-2</v>
      </c>
      <c r="BR78" s="463"/>
      <c r="BT78" s="147">
        <f t="shared" si="165"/>
        <v>127.49628328749939</v>
      </c>
      <c r="BU78" s="463">
        <f t="shared" si="148"/>
        <v>3.6304156182796407E-2</v>
      </c>
      <c r="BV78" s="463">
        <f t="shared" si="149"/>
        <v>4.7124415245775028E-2</v>
      </c>
      <c r="BW78" s="463">
        <f t="shared" si="150"/>
        <v>2.3377768350606861E-3</v>
      </c>
      <c r="BX78" s="463">
        <f t="shared" si="151"/>
        <v>0</v>
      </c>
      <c r="BY78" s="463">
        <f t="shared" si="152"/>
        <v>9.672194912514033E-2</v>
      </c>
      <c r="BZ78" s="463">
        <f t="shared" si="166"/>
        <v>8.5766348263632122E-2</v>
      </c>
      <c r="CA78" s="549">
        <f t="shared" si="153"/>
        <v>3.6283428715401515E-2</v>
      </c>
      <c r="CB78" s="147">
        <f t="shared" si="167"/>
        <v>133.00537784054183</v>
      </c>
      <c r="CC78" s="153">
        <f t="shared" si="168"/>
        <v>0.33734845619957443</v>
      </c>
      <c r="CD78" s="5">
        <f t="shared" si="169"/>
        <v>2.6280000000000001</v>
      </c>
      <c r="CE78" s="153">
        <f t="shared" si="170"/>
        <v>0.88623648748790751</v>
      </c>
      <c r="CF78" s="5">
        <f t="shared" si="171"/>
        <v>88.623648748790757</v>
      </c>
      <c r="CG78">
        <f t="shared" si="172"/>
        <v>72.999999999999986</v>
      </c>
      <c r="CI78" s="59">
        <f t="shared" si="154"/>
        <v>-50</v>
      </c>
      <c r="CJ78">
        <f t="shared" si="155"/>
        <v>-50</v>
      </c>
    </row>
    <row r="79" spans="5:88" x14ac:dyDescent="0.25">
      <c r="E79" s="150">
        <v>74</v>
      </c>
      <c r="F79" s="191">
        <f t="shared" si="173"/>
        <v>7.3999999999999996E-2</v>
      </c>
      <c r="G79" s="191">
        <f t="shared" si="156"/>
        <v>7.3999999999999996E-2</v>
      </c>
      <c r="H79" s="191">
        <f t="shared" si="105"/>
        <v>1.48</v>
      </c>
      <c r="I79" s="191">
        <f t="shared" si="174"/>
        <v>1.1839999999999999</v>
      </c>
      <c r="J79" s="472">
        <f t="shared" si="106"/>
        <v>20</v>
      </c>
      <c r="K79" s="386">
        <f t="shared" si="107"/>
        <v>20.32</v>
      </c>
      <c r="L79" s="386">
        <f t="shared" si="108"/>
        <v>40.32</v>
      </c>
      <c r="M79" s="386"/>
      <c r="N79" s="191">
        <f t="shared" si="109"/>
        <v>0.50396825396825395</v>
      </c>
      <c r="O79" s="152">
        <f t="shared" si="157"/>
        <v>1.8898809523809523</v>
      </c>
      <c r="P79" s="152">
        <f t="shared" si="110"/>
        <v>2.7214285714285715</v>
      </c>
      <c r="Q79" s="191">
        <f t="shared" si="111"/>
        <v>9.4494047619047616E-2</v>
      </c>
      <c r="R79" s="191">
        <f t="shared" si="112"/>
        <v>0.11811755952380952</v>
      </c>
      <c r="S79" s="386">
        <f t="shared" si="113"/>
        <v>20</v>
      </c>
      <c r="T79" s="191">
        <f t="shared" si="114"/>
        <v>0.58733858267716532</v>
      </c>
      <c r="U79" s="191">
        <f t="shared" si="115"/>
        <v>1.7620157480314957</v>
      </c>
      <c r="V79" s="191">
        <f t="shared" si="116"/>
        <v>1.7342674685349369</v>
      </c>
      <c r="W79" s="175">
        <f t="shared" si="117"/>
        <v>350</v>
      </c>
      <c r="X79" s="386">
        <f t="shared" si="158"/>
        <v>286.01801915293981</v>
      </c>
      <c r="Z79" s="191">
        <f t="shared" si="118"/>
        <v>0.47996976568405147</v>
      </c>
      <c r="AA79" s="153">
        <f t="shared" si="119"/>
        <v>1.4172335600907031</v>
      </c>
      <c r="AB79" s="153">
        <f t="shared" si="120"/>
        <v>0.11904012045735404</v>
      </c>
      <c r="AC79" s="153"/>
      <c r="AD79" s="153">
        <f t="shared" si="121"/>
        <v>0.44291338582677164</v>
      </c>
      <c r="AE79" s="317">
        <f t="shared" si="122"/>
        <v>2227.6740740740743</v>
      </c>
      <c r="AF79" s="463">
        <f t="shared" si="123"/>
        <v>1.1626476377952754E-2</v>
      </c>
      <c r="AH79" s="153">
        <f t="shared" si="124"/>
        <v>0.50370059133803458</v>
      </c>
      <c r="AI79" s="153">
        <f t="shared" si="125"/>
        <v>0.50370059133803458</v>
      </c>
      <c r="AJ79" s="153">
        <f t="shared" si="126"/>
        <v>1.4620004380281737</v>
      </c>
      <c r="AL79" s="317">
        <f t="shared" si="127"/>
        <v>74</v>
      </c>
      <c r="AM79" s="147">
        <f t="shared" si="128"/>
        <v>286.01801915293981</v>
      </c>
      <c r="AO79">
        <f t="shared" si="159"/>
        <v>74</v>
      </c>
      <c r="AP79">
        <f t="shared" si="129"/>
        <v>286.01801915293981</v>
      </c>
      <c r="AR79" s="5">
        <f t="shared" si="160"/>
        <v>3.4962832165664328</v>
      </c>
      <c r="AS79" s="5">
        <f t="shared" si="130"/>
        <v>1.5111017740141039</v>
      </c>
      <c r="AT79" s="5">
        <f t="shared" si="161"/>
        <v>1.9851814425523289</v>
      </c>
      <c r="AU79" s="153">
        <f t="shared" si="162"/>
        <v>0.43220233614200732</v>
      </c>
      <c r="AW79" s="5">
        <f t="shared" si="131"/>
        <v>0.68947680000000022</v>
      </c>
      <c r="AX79" s="5">
        <f t="shared" si="132"/>
        <v>7.7731499135999993</v>
      </c>
      <c r="AY79" s="5">
        <f t="shared" si="133"/>
        <v>0.6949164380928764</v>
      </c>
      <c r="AZ79" s="5">
        <f t="shared" si="134"/>
        <v>2.9155363018157012</v>
      </c>
      <c r="BA79" s="5">
        <f t="shared" si="135"/>
        <v>0.2938068534977446</v>
      </c>
      <c r="BB79" s="147">
        <f t="shared" si="136"/>
        <v>29.824685349774466</v>
      </c>
      <c r="BC79" s="5"/>
      <c r="BD79" s="153">
        <f t="shared" si="163"/>
        <v>0.19118569245484435</v>
      </c>
      <c r="BE79" s="153">
        <f t="shared" si="137"/>
        <v>0.21913342869582961</v>
      </c>
      <c r="BF79" s="153">
        <f t="shared" si="138"/>
        <v>0.21827408191663028</v>
      </c>
      <c r="BG79" s="153"/>
      <c r="BH79" s="463">
        <f t="shared" si="139"/>
        <v>1.2793189149803414E-2</v>
      </c>
      <c r="BI79" s="463">
        <f t="shared" si="140"/>
        <v>2.9043996988742889E-2</v>
      </c>
      <c r="BJ79" s="463">
        <f t="shared" si="141"/>
        <v>3.5752252394117478E-3</v>
      </c>
      <c r="BK79" s="463">
        <f t="shared" si="142"/>
        <v>2.3249009009009013E-2</v>
      </c>
      <c r="BL79">
        <f t="shared" si="143"/>
        <v>5.7999999999999996E-3</v>
      </c>
      <c r="BM79">
        <f t="shared" si="144"/>
        <v>1.0725675718235243E-5</v>
      </c>
      <c r="BN79">
        <f t="shared" si="145"/>
        <v>7.637950846647068E-2</v>
      </c>
      <c r="BO79" s="147">
        <f t="shared" si="164"/>
        <v>76.379508466470682</v>
      </c>
      <c r="BP79" s="153">
        <f t="shared" si="146"/>
        <v>6.4954867113000553E-2</v>
      </c>
      <c r="BQ79" s="153">
        <f t="shared" si="147"/>
        <v>6.4667691175122541E-2</v>
      </c>
      <c r="BR79" s="463"/>
      <c r="BT79" s="147">
        <f t="shared" si="165"/>
        <v>129.62255828812309</v>
      </c>
      <c r="BU79" s="463">
        <f t="shared" si="148"/>
        <v>3.6551968999438328E-2</v>
      </c>
      <c r="BV79" s="463">
        <f t="shared" si="149"/>
        <v>4.801945957199024E-2</v>
      </c>
      <c r="BW79" s="463">
        <f t="shared" si="150"/>
        <v>2.3821787418273916E-3</v>
      </c>
      <c r="BX79" s="463">
        <f t="shared" si="151"/>
        <v>0</v>
      </c>
      <c r="BY79" s="463">
        <f t="shared" si="152"/>
        <v>9.8070245117491586E-2</v>
      </c>
      <c r="BZ79" s="463">
        <f t="shared" si="166"/>
        <v>8.6953607313255965E-2</v>
      </c>
      <c r="CA79" s="549">
        <f t="shared" si="153"/>
        <v>3.6283428715401515E-2</v>
      </c>
      <c r="CB79" s="147">
        <f t="shared" si="167"/>
        <v>134.35367383289309</v>
      </c>
      <c r="CC79" s="153">
        <f t="shared" si="168"/>
        <v>0.34035574058748685</v>
      </c>
      <c r="CD79" s="5">
        <f t="shared" si="169"/>
        <v>2.6639999999999997</v>
      </c>
      <c r="CE79" s="153">
        <f t="shared" si="170"/>
        <v>0.88671257002310511</v>
      </c>
      <c r="CF79" s="5">
        <f t="shared" si="171"/>
        <v>88.671257002310512</v>
      </c>
      <c r="CG79">
        <f t="shared" si="172"/>
        <v>73.999999999999986</v>
      </c>
      <c r="CI79" s="59">
        <f t="shared" si="154"/>
        <v>-50</v>
      </c>
      <c r="CJ79">
        <f t="shared" si="155"/>
        <v>-50</v>
      </c>
    </row>
    <row r="80" spans="5:88" x14ac:dyDescent="0.25">
      <c r="E80" s="150">
        <v>75</v>
      </c>
      <c r="F80" s="191">
        <f t="shared" si="173"/>
        <v>7.5000000000000011E-2</v>
      </c>
      <c r="G80" s="191">
        <f t="shared" si="156"/>
        <v>7.5000000000000011E-2</v>
      </c>
      <c r="H80" s="191">
        <f t="shared" si="105"/>
        <v>1.5000000000000002</v>
      </c>
      <c r="I80" s="191">
        <f t="shared" si="174"/>
        <v>1.2000000000000002</v>
      </c>
      <c r="J80" s="472">
        <f t="shared" si="106"/>
        <v>20</v>
      </c>
      <c r="K80" s="386">
        <f t="shared" si="107"/>
        <v>20.32</v>
      </c>
      <c r="L80" s="386">
        <f t="shared" si="108"/>
        <v>40.32</v>
      </c>
      <c r="M80" s="386"/>
      <c r="N80" s="191">
        <f t="shared" si="109"/>
        <v>0.50396825396825395</v>
      </c>
      <c r="O80" s="152">
        <f t="shared" si="157"/>
        <v>1.8898809523809523</v>
      </c>
      <c r="P80" s="152">
        <f t="shared" si="110"/>
        <v>2.7214285714285715</v>
      </c>
      <c r="Q80" s="191">
        <f t="shared" si="111"/>
        <v>9.4494047619047616E-2</v>
      </c>
      <c r="R80" s="191">
        <f t="shared" si="112"/>
        <v>0.11811755952380952</v>
      </c>
      <c r="S80" s="386">
        <f t="shared" si="113"/>
        <v>20</v>
      </c>
      <c r="T80" s="191">
        <f t="shared" si="114"/>
        <v>0.59527559055118118</v>
      </c>
      <c r="U80" s="191">
        <f t="shared" si="115"/>
        <v>1.7858267716535436</v>
      </c>
      <c r="V80" s="191">
        <f t="shared" si="116"/>
        <v>1.7577035154070311</v>
      </c>
      <c r="W80" s="175">
        <f t="shared" si="117"/>
        <v>350</v>
      </c>
      <c r="X80" s="386">
        <f t="shared" si="158"/>
        <v>282.20444556423388</v>
      </c>
      <c r="Z80" s="191">
        <f t="shared" si="118"/>
        <v>0.47996976568405147</v>
      </c>
      <c r="AA80" s="153">
        <f t="shared" si="119"/>
        <v>1.4172335600907031</v>
      </c>
      <c r="AB80" s="153">
        <f t="shared" si="120"/>
        <v>0.11904012045735404</v>
      </c>
      <c r="AC80" s="153"/>
      <c r="AD80" s="153">
        <f t="shared" si="121"/>
        <v>0.44291338582677164</v>
      </c>
      <c r="AE80" s="317">
        <f t="shared" si="122"/>
        <v>2257.7777777777783</v>
      </c>
      <c r="AF80" s="463">
        <f t="shared" si="123"/>
        <v>1.1626476377952754E-2</v>
      </c>
      <c r="AH80" s="153">
        <f t="shared" si="124"/>
        <v>0.50709255283710997</v>
      </c>
      <c r="AI80" s="153">
        <f t="shared" si="125"/>
        <v>0.50709255283710997</v>
      </c>
      <c r="AJ80" s="153">
        <f t="shared" si="126"/>
        <v>1.4645130021015629</v>
      </c>
      <c r="AL80" s="317">
        <f t="shared" si="127"/>
        <v>75.000000000000014</v>
      </c>
      <c r="AM80" s="147">
        <f t="shared" si="128"/>
        <v>282.20444556423388</v>
      </c>
      <c r="AO80">
        <f t="shared" si="159"/>
        <v>75.000000000000014</v>
      </c>
      <c r="AP80">
        <f t="shared" si="129"/>
        <v>282.20444556423388</v>
      </c>
      <c r="AR80" s="5">
        <f t="shared" si="160"/>
        <v>3.5435302870605745</v>
      </c>
      <c r="AS80" s="5">
        <f t="shared" si="130"/>
        <v>1.5212776585113299</v>
      </c>
      <c r="AT80" s="5">
        <f t="shared" si="161"/>
        <v>2.0222526285492446</v>
      </c>
      <c r="AU80" s="153">
        <f t="shared" si="162"/>
        <v>0.42931131816944579</v>
      </c>
      <c r="AW80" s="5">
        <f t="shared" si="131"/>
        <v>0.68947680000000022</v>
      </c>
      <c r="AX80" s="5">
        <f t="shared" si="132"/>
        <v>7.9816140000000013</v>
      </c>
      <c r="AY80" s="5">
        <f t="shared" si="133"/>
        <v>0.6949164380928764</v>
      </c>
      <c r="AZ80" s="5">
        <f t="shared" si="134"/>
        <v>2.9928399740163125</v>
      </c>
      <c r="BA80" s="5">
        <f t="shared" si="135"/>
        <v>0.30333789428238667</v>
      </c>
      <c r="BB80" s="147">
        <f t="shared" si="136"/>
        <v>30.783789428238666</v>
      </c>
      <c r="BC80" s="5"/>
      <c r="BD80" s="153">
        <f t="shared" si="163"/>
        <v>0.19182834249910127</v>
      </c>
      <c r="BE80" s="153">
        <f t="shared" si="137"/>
        <v>0.22117000865472972</v>
      </c>
      <c r="BF80" s="153">
        <f t="shared" si="138"/>
        <v>0.22030267528745628</v>
      </c>
      <c r="BG80" s="153"/>
      <c r="BH80" s="463">
        <f t="shared" si="139"/>
        <v>1.2879339545083374E-2</v>
      </c>
      <c r="BI80" s="463">
        <f t="shared" si="140"/>
        <v>2.8849720580986758E-2</v>
      </c>
      <c r="BJ80" s="463">
        <f t="shared" si="141"/>
        <v>3.527555569552923E-3</v>
      </c>
      <c r="BK80" s="463">
        <f t="shared" si="142"/>
        <v>2.2939022222222223E-2</v>
      </c>
      <c r="BL80">
        <f t="shared" si="143"/>
        <v>5.7999999999999996E-3</v>
      </c>
      <c r="BM80">
        <f t="shared" si="144"/>
        <v>1.058266670865877E-5</v>
      </c>
      <c r="BN80">
        <f t="shared" si="145"/>
        <v>7.5925348131624049E-2</v>
      </c>
      <c r="BO80" s="147">
        <f t="shared" si="164"/>
        <v>75.925348131624048</v>
      </c>
      <c r="BP80" s="153">
        <f t="shared" si="146"/>
        <v>6.6021955964446585E-2</v>
      </c>
      <c r="BQ80" s="153">
        <f t="shared" si="147"/>
        <v>6.5729417316451155E-2</v>
      </c>
      <c r="BR80" s="463"/>
      <c r="BT80" s="147">
        <f t="shared" si="165"/>
        <v>131.75137328089775</v>
      </c>
      <c r="BU80" s="463">
        <f t="shared" si="148"/>
        <v>3.6798112985952501E-2</v>
      </c>
      <c r="BV80" s="463">
        <f t="shared" si="149"/>
        <v>4.8916172728333221E-2</v>
      </c>
      <c r="BW80" s="463">
        <f t="shared" si="150"/>
        <v>2.4266634369405201E-3</v>
      </c>
      <c r="BX80" s="463">
        <f t="shared" si="151"/>
        <v>0</v>
      </c>
      <c r="BY80" s="463">
        <f t="shared" si="152"/>
        <v>9.9418893097467403E-2</v>
      </c>
      <c r="BZ80" s="463">
        <f t="shared" si="166"/>
        <v>8.8140949151226236E-2</v>
      </c>
      <c r="CA80" s="549">
        <f t="shared" si="153"/>
        <v>3.6283428715401508E-2</v>
      </c>
      <c r="CB80" s="147">
        <f t="shared" si="167"/>
        <v>135.70232181286889</v>
      </c>
      <c r="CC80" s="153">
        <f t="shared" si="168"/>
        <v>0.34337904322539076</v>
      </c>
      <c r="CD80" s="5">
        <f t="shared" si="169"/>
        <v>2.7</v>
      </c>
      <c r="CE80" s="153">
        <f t="shared" si="170"/>
        <v>0.88717177901656452</v>
      </c>
      <c r="CF80" s="5">
        <f t="shared" si="171"/>
        <v>88.717177901656456</v>
      </c>
      <c r="CG80">
        <f t="shared" si="172"/>
        <v>75.000000000000014</v>
      </c>
      <c r="CI80" s="59">
        <f t="shared" si="154"/>
        <v>-50</v>
      </c>
      <c r="CJ80">
        <f t="shared" si="155"/>
        <v>-50</v>
      </c>
    </row>
    <row r="81" spans="5:88" x14ac:dyDescent="0.25">
      <c r="E81" s="150">
        <v>76</v>
      </c>
      <c r="F81" s="191">
        <f t="shared" si="173"/>
        <v>7.6000000000000012E-2</v>
      </c>
      <c r="G81" s="191">
        <f t="shared" si="156"/>
        <v>7.6000000000000012E-2</v>
      </c>
      <c r="H81" s="191">
        <f t="shared" si="105"/>
        <v>1.5200000000000002</v>
      </c>
      <c r="I81" s="191">
        <f t="shared" si="174"/>
        <v>1.2160000000000002</v>
      </c>
      <c r="J81" s="472">
        <f t="shared" si="106"/>
        <v>20</v>
      </c>
      <c r="K81" s="386">
        <f t="shared" si="107"/>
        <v>20.32</v>
      </c>
      <c r="L81" s="386">
        <f t="shared" si="108"/>
        <v>40.32</v>
      </c>
      <c r="M81" s="386"/>
      <c r="N81" s="191">
        <f t="shared" si="109"/>
        <v>0.50396825396825395</v>
      </c>
      <c r="O81" s="152">
        <f t="shared" si="157"/>
        <v>1.8898809523809523</v>
      </c>
      <c r="P81" s="152">
        <f t="shared" si="110"/>
        <v>2.7214285714285715</v>
      </c>
      <c r="Q81" s="191">
        <f t="shared" si="111"/>
        <v>9.4494047619047616E-2</v>
      </c>
      <c r="R81" s="191">
        <f t="shared" si="112"/>
        <v>0.11811755952380952</v>
      </c>
      <c r="S81" s="386">
        <f t="shared" si="113"/>
        <v>20</v>
      </c>
      <c r="T81" s="191">
        <f t="shared" si="114"/>
        <v>0.60321259842519703</v>
      </c>
      <c r="U81" s="191">
        <f t="shared" si="115"/>
        <v>1.8096377952755913</v>
      </c>
      <c r="V81" s="191">
        <f t="shared" si="116"/>
        <v>1.7811395622791253</v>
      </c>
      <c r="W81" s="175">
        <f t="shared" si="117"/>
        <v>350</v>
      </c>
      <c r="X81" s="386">
        <f t="shared" si="158"/>
        <v>278.49122917523073</v>
      </c>
      <c r="Z81" s="191">
        <f t="shared" si="118"/>
        <v>0.47996976568405147</v>
      </c>
      <c r="AA81" s="153">
        <f t="shared" si="119"/>
        <v>1.4172335600907031</v>
      </c>
      <c r="AB81" s="153">
        <f t="shared" si="120"/>
        <v>0.11904012045735404</v>
      </c>
      <c r="AC81" s="153"/>
      <c r="AD81" s="153">
        <f t="shared" si="121"/>
        <v>0.44291338582677164</v>
      </c>
      <c r="AE81" s="317">
        <f t="shared" si="122"/>
        <v>2287.8814814814823</v>
      </c>
      <c r="AF81" s="463">
        <f t="shared" si="123"/>
        <v>1.1626476377952754E-2</v>
      </c>
      <c r="AH81" s="153">
        <f t="shared" si="124"/>
        <v>0.51046197563719531</v>
      </c>
      <c r="AI81" s="153">
        <f t="shared" si="125"/>
        <v>0.51046197563719531</v>
      </c>
      <c r="AJ81" s="153">
        <f t="shared" si="126"/>
        <v>1.4670088708423668</v>
      </c>
      <c r="AL81" s="317">
        <f t="shared" si="127"/>
        <v>76.000000000000014</v>
      </c>
      <c r="AM81" s="147">
        <f t="shared" si="128"/>
        <v>278.49122917523073</v>
      </c>
      <c r="AO81">
        <f t="shared" si="159"/>
        <v>76.000000000000014</v>
      </c>
      <c r="AP81">
        <f t="shared" si="129"/>
        <v>278.49122917523073</v>
      </c>
      <c r="AR81" s="5">
        <f t="shared" si="160"/>
        <v>3.5907773575547166</v>
      </c>
      <c r="AS81" s="5">
        <f t="shared" si="130"/>
        <v>1.5313859269115859</v>
      </c>
      <c r="AT81" s="5">
        <f t="shared" si="161"/>
        <v>2.0593914306431307</v>
      </c>
      <c r="AU81" s="153">
        <f t="shared" si="162"/>
        <v>0.4264775491272576</v>
      </c>
      <c r="AW81" s="5">
        <f t="shared" si="131"/>
        <v>0.68947680000000022</v>
      </c>
      <c r="AX81" s="5">
        <f t="shared" si="132"/>
        <v>8.1928359936000028</v>
      </c>
      <c r="AY81" s="5">
        <f t="shared" si="133"/>
        <v>0.6949164380928764</v>
      </c>
      <c r="AZ81" s="5">
        <f t="shared" si="134"/>
        <v>3.0711544337632395</v>
      </c>
      <c r="BA81" s="5">
        <f t="shared" si="135"/>
        <v>0.31302749745775593</v>
      </c>
      <c r="BB81" s="147">
        <f t="shared" si="136"/>
        <v>31.758749745775589</v>
      </c>
      <c r="BC81" s="5"/>
      <c r="BD81" s="153">
        <f t="shared" si="163"/>
        <v>0.19246459780933836</v>
      </c>
      <c r="BE81" s="153">
        <f t="shared" si="137"/>
        <v>0.2231916697532246</v>
      </c>
      <c r="BF81" s="153">
        <f t="shared" si="138"/>
        <v>0.22231640830321198</v>
      </c>
      <c r="BG81" s="153"/>
      <c r="BH81" s="463">
        <f t="shared" si="139"/>
        <v>1.296491749346863E-2</v>
      </c>
      <c r="BI81" s="463">
        <f t="shared" si="140"/>
        <v>2.8659291301351718E-2</v>
      </c>
      <c r="BJ81" s="463">
        <f t="shared" si="141"/>
        <v>3.481140364690384E-3</v>
      </c>
      <c r="BK81" s="463">
        <f t="shared" si="142"/>
        <v>2.2637192982456134E-2</v>
      </c>
      <c r="BL81">
        <f t="shared" si="143"/>
        <v>5.7999999999999996E-3</v>
      </c>
      <c r="BM81">
        <f t="shared" si="144"/>
        <v>1.0443421094071152E-5</v>
      </c>
      <c r="BN81">
        <f t="shared" si="145"/>
        <v>7.5483808754232301E-2</v>
      </c>
      <c r="BO81" s="147">
        <f t="shared" si="164"/>
        <v>75.4838087542323</v>
      </c>
      <c r="BP81" s="153">
        <f t="shared" si="146"/>
        <v>6.7090294385685617E-2</v>
      </c>
      <c r="BQ81" s="153">
        <f t="shared" si="147"/>
        <v>6.6792383246242121E-2</v>
      </c>
      <c r="BR81" s="463"/>
      <c r="BT81" s="147">
        <f t="shared" si="165"/>
        <v>133.88267763192775</v>
      </c>
      <c r="BU81" s="463">
        <f t="shared" si="148"/>
        <v>3.7042621409910374E-2</v>
      </c>
      <c r="BV81" s="463">
        <f t="shared" si="149"/>
        <v>4.9814521447232474E-2</v>
      </c>
      <c r="BW81" s="463">
        <f t="shared" si="150"/>
        <v>2.4712292700420232E-3</v>
      </c>
      <c r="BX81" s="463">
        <f t="shared" si="151"/>
        <v>0</v>
      </c>
      <c r="BY81" s="463">
        <f t="shared" si="152"/>
        <v>0.10076789131797698</v>
      </c>
      <c r="BZ81" s="463">
        <f t="shared" si="166"/>
        <v>8.9328372127184877E-2</v>
      </c>
      <c r="CA81" s="549">
        <f t="shared" si="153"/>
        <v>3.6283428715401495E-2</v>
      </c>
      <c r="CB81" s="147">
        <f t="shared" si="167"/>
        <v>137.05132003337846</v>
      </c>
      <c r="CC81" s="153">
        <f t="shared" si="168"/>
        <v>0.34641780641953845</v>
      </c>
      <c r="CD81" s="5">
        <f t="shared" si="169"/>
        <v>2.7360000000000007</v>
      </c>
      <c r="CE81" s="153">
        <f t="shared" si="170"/>
        <v>0.88761490875828775</v>
      </c>
      <c r="CF81" s="5">
        <f t="shared" si="171"/>
        <v>88.76149087582877</v>
      </c>
      <c r="CG81">
        <f t="shared" si="172"/>
        <v>76.000000000000014</v>
      </c>
      <c r="CI81" s="59">
        <f t="shared" si="154"/>
        <v>-50</v>
      </c>
      <c r="CJ81">
        <f t="shared" si="155"/>
        <v>-50</v>
      </c>
    </row>
    <row r="82" spans="5:88" x14ac:dyDescent="0.25">
      <c r="E82" s="150">
        <v>77</v>
      </c>
      <c r="F82" s="191">
        <f t="shared" si="173"/>
        <v>7.7000000000000013E-2</v>
      </c>
      <c r="G82" s="191">
        <f t="shared" si="156"/>
        <v>7.7000000000000013E-2</v>
      </c>
      <c r="H82" s="191">
        <f t="shared" si="105"/>
        <v>1.5400000000000003</v>
      </c>
      <c r="I82" s="191">
        <f t="shared" si="174"/>
        <v>1.2320000000000002</v>
      </c>
      <c r="J82" s="472">
        <f t="shared" si="106"/>
        <v>20</v>
      </c>
      <c r="K82" s="386">
        <f t="shared" si="107"/>
        <v>20.32</v>
      </c>
      <c r="L82" s="386">
        <f t="shared" si="108"/>
        <v>40.32</v>
      </c>
      <c r="M82" s="386"/>
      <c r="N82" s="191">
        <f t="shared" si="109"/>
        <v>0.50396825396825395</v>
      </c>
      <c r="O82" s="152">
        <f t="shared" si="157"/>
        <v>1.8898809523809523</v>
      </c>
      <c r="P82" s="152">
        <f t="shared" si="110"/>
        <v>2.7214285714285715</v>
      </c>
      <c r="Q82" s="191">
        <f t="shared" si="111"/>
        <v>9.4494047619047616E-2</v>
      </c>
      <c r="R82" s="191">
        <f t="shared" si="112"/>
        <v>0.11811755952380952</v>
      </c>
      <c r="S82" s="386">
        <f t="shared" si="113"/>
        <v>20</v>
      </c>
      <c r="T82" s="191">
        <f t="shared" si="114"/>
        <v>0.61114960629921267</v>
      </c>
      <c r="U82" s="191">
        <f t="shared" si="115"/>
        <v>1.8334488188976381</v>
      </c>
      <c r="V82" s="191">
        <f t="shared" si="116"/>
        <v>1.8045756091512184</v>
      </c>
      <c r="W82" s="175">
        <f t="shared" si="117"/>
        <v>350</v>
      </c>
      <c r="X82" s="386">
        <f t="shared" si="158"/>
        <v>274.87445996516288</v>
      </c>
      <c r="Z82" s="191">
        <f t="shared" si="118"/>
        <v>0.47996976568405147</v>
      </c>
      <c r="AA82" s="153">
        <f t="shared" si="119"/>
        <v>1.4172335600907031</v>
      </c>
      <c r="AB82" s="153">
        <f t="shared" si="120"/>
        <v>0.11904012045735404</v>
      </c>
      <c r="AC82" s="153"/>
      <c r="AD82" s="153">
        <f t="shared" si="121"/>
        <v>0.44291338582677164</v>
      </c>
      <c r="AE82" s="317">
        <f t="shared" si="122"/>
        <v>2317.9851851851863</v>
      </c>
      <c r="AF82" s="463">
        <f t="shared" si="123"/>
        <v>1.1626476377952754E-2</v>
      </c>
      <c r="AH82" s="153">
        <f t="shared" si="124"/>
        <v>0.51380930314660522</v>
      </c>
      <c r="AI82" s="153">
        <f t="shared" si="125"/>
        <v>0.51380930314660522</v>
      </c>
      <c r="AJ82" s="153">
        <f t="shared" si="126"/>
        <v>1.4694883727011889</v>
      </c>
      <c r="AL82" s="317">
        <f t="shared" si="127"/>
        <v>77.000000000000014</v>
      </c>
      <c r="AM82" s="147">
        <f t="shared" si="128"/>
        <v>274.87445996516288</v>
      </c>
      <c r="AO82">
        <f t="shared" si="159"/>
        <v>77.000000000000014</v>
      </c>
      <c r="AP82">
        <f t="shared" si="129"/>
        <v>274.87445996516288</v>
      </c>
      <c r="AR82" s="5">
        <f t="shared" si="160"/>
        <v>3.6380244280488565</v>
      </c>
      <c r="AS82" s="5">
        <f t="shared" si="130"/>
        <v>1.5414279094398158</v>
      </c>
      <c r="AT82" s="5">
        <f t="shared" si="161"/>
        <v>2.0965965186090409</v>
      </c>
      <c r="AU82" s="153">
        <f t="shared" si="162"/>
        <v>0.42369916418249937</v>
      </c>
      <c r="AW82" s="5">
        <f t="shared" si="131"/>
        <v>0.68947680000000022</v>
      </c>
      <c r="AX82" s="5">
        <f t="shared" si="132"/>
        <v>8.4068158944000029</v>
      </c>
      <c r="AY82" s="5">
        <f t="shared" si="133"/>
        <v>0.6949164380928764</v>
      </c>
      <c r="AZ82" s="5">
        <f t="shared" si="134"/>
        <v>3.150479681056483</v>
      </c>
      <c r="BA82" s="5">
        <f t="shared" si="135"/>
        <v>0.32287586386579231</v>
      </c>
      <c r="BB82" s="147">
        <f t="shared" si="136"/>
        <v>32.749586386579232</v>
      </c>
      <c r="BC82" s="5"/>
      <c r="BD82" s="153">
        <f t="shared" si="163"/>
        <v>0.19309460491701977</v>
      </c>
      <c r="BE82" s="153">
        <f t="shared" si="137"/>
        <v>0.22519874234093776</v>
      </c>
      <c r="BF82" s="153">
        <f t="shared" si="138"/>
        <v>0.22431561001803213</v>
      </c>
      <c r="BG82" s="153"/>
      <c r="BH82" s="463">
        <f t="shared" si="139"/>
        <v>1.3049934256820984E-2</v>
      </c>
      <c r="BI82" s="463">
        <f t="shared" si="140"/>
        <v>2.8472583833063957E-2</v>
      </c>
      <c r="BJ82" s="463">
        <f t="shared" si="141"/>
        <v>3.4359307495645361E-3</v>
      </c>
      <c r="BK82" s="463">
        <f t="shared" si="142"/>
        <v>2.2343203463203464E-2</v>
      </c>
      <c r="BL82">
        <f t="shared" si="143"/>
        <v>5.7999999999999996E-3</v>
      </c>
      <c r="BM82">
        <f t="shared" si="144"/>
        <v>1.0307792248693608E-5</v>
      </c>
      <c r="BN82">
        <f t="shared" si="145"/>
        <v>7.5054410690170228E-2</v>
      </c>
      <c r="BO82" s="147">
        <f t="shared" si="164"/>
        <v>75.054410690170229</v>
      </c>
      <c r="BP82" s="153">
        <f t="shared" si="146"/>
        <v>6.8159857793682221E-2</v>
      </c>
      <c r="BQ82" s="153">
        <f t="shared" si="147"/>
        <v>6.7856564573890096E-2</v>
      </c>
      <c r="BR82" s="463"/>
      <c r="BT82" s="147">
        <f t="shared" si="165"/>
        <v>136.01642236757232</v>
      </c>
      <c r="BU82" s="463">
        <f t="shared" si="148"/>
        <v>3.7285526448059957E-2</v>
      </c>
      <c r="BV82" s="463">
        <f t="shared" si="149"/>
        <v>5.0714473551940073E-2</v>
      </c>
      <c r="BW82" s="463">
        <f t="shared" si="150"/>
        <v>2.5158746448880939E-3</v>
      </c>
      <c r="BX82" s="463">
        <f t="shared" si="151"/>
        <v>0</v>
      </c>
      <c r="BY82" s="463">
        <f t="shared" si="152"/>
        <v>0.10211723809205248</v>
      </c>
      <c r="BZ82" s="463">
        <f t="shared" si="166"/>
        <v>9.0515874644888111E-2</v>
      </c>
      <c r="CA82" s="549">
        <f t="shared" si="153"/>
        <v>3.6283428715401515E-2</v>
      </c>
      <c r="CB82" s="147">
        <f t="shared" si="167"/>
        <v>138.400666807454</v>
      </c>
      <c r="CC82" s="153">
        <f t="shared" si="168"/>
        <v>0.34947149986519654</v>
      </c>
      <c r="CD82" s="5">
        <f t="shared" si="169"/>
        <v>2.7720000000000002</v>
      </c>
      <c r="CE82" s="153">
        <f t="shared" si="170"/>
        <v>0.88804270681943154</v>
      </c>
      <c r="CF82" s="5">
        <f t="shared" si="171"/>
        <v>88.804270681943152</v>
      </c>
      <c r="CG82">
        <f t="shared" si="172"/>
        <v>77.000000000000014</v>
      </c>
      <c r="CI82" s="59">
        <f t="shared" si="154"/>
        <v>-50</v>
      </c>
      <c r="CJ82">
        <f t="shared" si="155"/>
        <v>-50</v>
      </c>
    </row>
    <row r="83" spans="5:88" x14ac:dyDescent="0.25">
      <c r="E83" s="150">
        <v>78</v>
      </c>
      <c r="F83" s="191">
        <f t="shared" si="173"/>
        <v>7.8000000000000014E-2</v>
      </c>
      <c r="G83" s="191">
        <f t="shared" si="156"/>
        <v>7.8000000000000014E-2</v>
      </c>
      <c r="H83" s="191">
        <f t="shared" si="105"/>
        <v>1.5600000000000003</v>
      </c>
      <c r="I83" s="191">
        <f t="shared" si="174"/>
        <v>1.2480000000000002</v>
      </c>
      <c r="J83" s="472">
        <f t="shared" si="106"/>
        <v>20</v>
      </c>
      <c r="K83" s="386">
        <f t="shared" si="107"/>
        <v>20.32</v>
      </c>
      <c r="L83" s="386">
        <f t="shared" si="108"/>
        <v>40.32</v>
      </c>
      <c r="M83" s="386"/>
      <c r="N83" s="191">
        <f t="shared" si="109"/>
        <v>0.50396825396825395</v>
      </c>
      <c r="O83" s="152">
        <f t="shared" si="157"/>
        <v>1.8898809523809523</v>
      </c>
      <c r="P83" s="152">
        <f t="shared" si="110"/>
        <v>2.7214285714285715</v>
      </c>
      <c r="Q83" s="191">
        <f t="shared" si="111"/>
        <v>9.4494047619047616E-2</v>
      </c>
      <c r="R83" s="191">
        <f t="shared" si="112"/>
        <v>0.11811755952380952</v>
      </c>
      <c r="S83" s="386">
        <f t="shared" si="113"/>
        <v>20</v>
      </c>
      <c r="T83" s="191">
        <f t="shared" si="114"/>
        <v>0.61908661417322852</v>
      </c>
      <c r="U83" s="191">
        <f t="shared" si="115"/>
        <v>1.8572598425196853</v>
      </c>
      <c r="V83" s="191">
        <f t="shared" si="116"/>
        <v>1.8280116560233126</v>
      </c>
      <c r="W83" s="175">
        <f t="shared" si="117"/>
        <v>350</v>
      </c>
      <c r="X83" s="386">
        <f t="shared" si="158"/>
        <v>271.3504284271479</v>
      </c>
      <c r="Z83" s="191">
        <f t="shared" si="118"/>
        <v>0.47996976568405147</v>
      </c>
      <c r="AA83" s="153">
        <f t="shared" si="119"/>
        <v>1.4172335600907031</v>
      </c>
      <c r="AB83" s="153">
        <f t="shared" si="120"/>
        <v>0.11904012045735404</v>
      </c>
      <c r="AC83" s="153"/>
      <c r="AD83" s="153">
        <f t="shared" si="121"/>
        <v>0.44291338582677164</v>
      </c>
      <c r="AE83" s="317">
        <f t="shared" si="122"/>
        <v>2348.0888888888894</v>
      </c>
      <c r="AF83" s="463">
        <f t="shared" si="123"/>
        <v>1.1626476377952754E-2</v>
      </c>
      <c r="AH83" s="153">
        <f t="shared" si="124"/>
        <v>0.51713496442280082</v>
      </c>
      <c r="AI83" s="153">
        <f t="shared" si="125"/>
        <v>0.51713496442280082</v>
      </c>
      <c r="AJ83" s="153">
        <f t="shared" si="126"/>
        <v>1.471951825498371</v>
      </c>
      <c r="AL83" s="317">
        <f t="shared" si="127"/>
        <v>78.000000000000014</v>
      </c>
      <c r="AM83" s="147">
        <f t="shared" si="128"/>
        <v>271.3504284271479</v>
      </c>
      <c r="AO83">
        <f t="shared" si="159"/>
        <v>78.000000000000014</v>
      </c>
      <c r="AP83">
        <f t="shared" si="129"/>
        <v>271.3504284271479</v>
      </c>
      <c r="AR83" s="5">
        <f t="shared" si="160"/>
        <v>3.6852714985429986</v>
      </c>
      <c r="AS83" s="5">
        <f t="shared" si="130"/>
        <v>1.5514048932684026</v>
      </c>
      <c r="AT83" s="5">
        <f t="shared" si="161"/>
        <v>2.133866605274596</v>
      </c>
      <c r="AU83" s="153">
        <f t="shared" si="162"/>
        <v>0.42097438245235469</v>
      </c>
      <c r="AW83" s="5">
        <f t="shared" si="131"/>
        <v>0.68947680000000022</v>
      </c>
      <c r="AX83" s="5">
        <f t="shared" si="132"/>
        <v>8.6235537024000006</v>
      </c>
      <c r="AY83" s="5">
        <f t="shared" si="133"/>
        <v>0.6949164380928764</v>
      </c>
      <c r="AZ83" s="5">
        <f t="shared" si="134"/>
        <v>3.2308157158960435</v>
      </c>
      <c r="BA83" s="5">
        <f t="shared" si="135"/>
        <v>0.33288319042283704</v>
      </c>
      <c r="BB83" s="147">
        <f t="shared" si="136"/>
        <v>33.756319042283707</v>
      </c>
      <c r="BC83" s="5"/>
      <c r="BD83" s="153">
        <f t="shared" si="163"/>
        <v>0.19371850514535971</v>
      </c>
      <c r="BE83" s="153">
        <f t="shared" si="137"/>
        <v>0.22719154453259127</v>
      </c>
      <c r="BF83" s="153">
        <f t="shared" si="138"/>
        <v>0.2263005972991301</v>
      </c>
      <c r="BG83" s="153"/>
      <c r="BH83" s="463">
        <f t="shared" si="139"/>
        <v>1.3134400732513462E-2</v>
      </c>
      <c r="BI83" s="463">
        <f t="shared" si="140"/>
        <v>2.828947850079824E-2</v>
      </c>
      <c r="BJ83" s="463">
        <f t="shared" si="141"/>
        <v>3.3918803553393486E-3</v>
      </c>
      <c r="BK83" s="463">
        <f t="shared" si="142"/>
        <v>2.2056752136752133E-2</v>
      </c>
      <c r="BL83">
        <f t="shared" si="143"/>
        <v>5.7999999999999996E-3</v>
      </c>
      <c r="BM83">
        <f t="shared" si="144"/>
        <v>1.0175641066018046E-5</v>
      </c>
      <c r="BN83">
        <f t="shared" si="145"/>
        <v>7.463669834771415E-2</v>
      </c>
      <c r="BO83" s="147">
        <f t="shared" si="164"/>
        <v>74.636698347714145</v>
      </c>
      <c r="BP83" s="153">
        <f t="shared" si="146"/>
        <v>6.9230622401027772E-2</v>
      </c>
      <c r="BQ83" s="153">
        <f t="shared" si="147"/>
        <v>6.8921937698188496E-2</v>
      </c>
      <c r="BR83" s="463"/>
      <c r="BT83" s="147">
        <f t="shared" si="165"/>
        <v>138.15256009921629</v>
      </c>
      <c r="BU83" s="463">
        <f t="shared" si="148"/>
        <v>3.7526859235752753E-2</v>
      </c>
      <c r="BV83" s="463">
        <f t="shared" si="149"/>
        <v>5.1615997907104402E-2</v>
      </c>
      <c r="BW83" s="463">
        <f t="shared" si="150"/>
        <v>2.5605980168971528E-3</v>
      </c>
      <c r="BX83" s="463">
        <f t="shared" si="151"/>
        <v>0</v>
      </c>
      <c r="BY83" s="463">
        <f t="shared" si="152"/>
        <v>0.10346693179011944</v>
      </c>
      <c r="BZ83" s="463">
        <f t="shared" si="166"/>
        <v>9.170345515975431E-2</v>
      </c>
      <c r="CA83" s="549">
        <f t="shared" si="153"/>
        <v>3.6283428715401501E-2</v>
      </c>
      <c r="CB83" s="147">
        <f t="shared" si="167"/>
        <v>139.75036050552094</v>
      </c>
      <c r="CC83" s="153">
        <f t="shared" si="168"/>
        <v>0.35253961895245139</v>
      </c>
      <c r="CD83" s="5">
        <f t="shared" si="169"/>
        <v>2.8080000000000007</v>
      </c>
      <c r="CE83" s="153">
        <f t="shared" si="170"/>
        <v>0.88845587733233378</v>
      </c>
      <c r="CF83" s="5">
        <f t="shared" si="171"/>
        <v>88.845587733233373</v>
      </c>
      <c r="CG83">
        <f t="shared" si="172"/>
        <v>78.000000000000014</v>
      </c>
      <c r="CI83" s="59">
        <f t="shared" si="154"/>
        <v>-50</v>
      </c>
      <c r="CJ83">
        <f t="shared" si="155"/>
        <v>-50</v>
      </c>
    </row>
    <row r="84" spans="5:88" x14ac:dyDescent="0.25">
      <c r="E84" s="150">
        <v>79</v>
      </c>
      <c r="F84" s="191">
        <f t="shared" si="173"/>
        <v>7.9000000000000015E-2</v>
      </c>
      <c r="G84" s="191">
        <f t="shared" si="156"/>
        <v>7.9000000000000015E-2</v>
      </c>
      <c r="H84" s="191">
        <f t="shared" si="105"/>
        <v>1.5800000000000003</v>
      </c>
      <c r="I84" s="191">
        <f t="shared" si="174"/>
        <v>1.2640000000000002</v>
      </c>
      <c r="J84" s="472">
        <f t="shared" si="106"/>
        <v>20</v>
      </c>
      <c r="K84" s="386">
        <f t="shared" si="107"/>
        <v>20.32</v>
      </c>
      <c r="L84" s="386">
        <f t="shared" si="108"/>
        <v>40.32</v>
      </c>
      <c r="M84" s="386"/>
      <c r="N84" s="191">
        <f t="shared" si="109"/>
        <v>0.50396825396825395</v>
      </c>
      <c r="O84" s="152">
        <f t="shared" si="157"/>
        <v>1.8898809523809523</v>
      </c>
      <c r="P84" s="152">
        <f t="shared" si="110"/>
        <v>2.7214285714285715</v>
      </c>
      <c r="Q84" s="191">
        <f t="shared" si="111"/>
        <v>9.4494047619047616E-2</v>
      </c>
      <c r="R84" s="191">
        <f t="shared" si="112"/>
        <v>0.11811755952380952</v>
      </c>
      <c r="S84" s="386">
        <f t="shared" si="113"/>
        <v>20</v>
      </c>
      <c r="T84" s="191">
        <f t="shared" si="114"/>
        <v>0.62702362204724416</v>
      </c>
      <c r="U84" s="191">
        <f t="shared" si="115"/>
        <v>1.8810708661417326</v>
      </c>
      <c r="V84" s="191">
        <f t="shared" si="116"/>
        <v>1.8514477028954062</v>
      </c>
      <c r="W84" s="175">
        <f t="shared" si="117"/>
        <v>350</v>
      </c>
      <c r="X84" s="386">
        <f t="shared" si="158"/>
        <v>267.91561287743718</v>
      </c>
      <c r="Z84" s="191">
        <f t="shared" si="118"/>
        <v>0.47996976568405147</v>
      </c>
      <c r="AA84" s="153">
        <f t="shared" si="119"/>
        <v>1.4172335600907031</v>
      </c>
      <c r="AB84" s="153">
        <f t="shared" si="120"/>
        <v>0.11904012045735404</v>
      </c>
      <c r="AC84" s="153"/>
      <c r="AD84" s="153">
        <f t="shared" si="121"/>
        <v>0.44291338582677164</v>
      </c>
      <c r="AE84" s="317">
        <f t="shared" si="122"/>
        <v>2378.1925925925934</v>
      </c>
      <c r="AF84" s="463">
        <f t="shared" si="123"/>
        <v>1.1626476377952754E-2</v>
      </c>
      <c r="AH84" s="153">
        <f t="shared" si="124"/>
        <v>0.52043937481434177</v>
      </c>
      <c r="AI84" s="153">
        <f t="shared" si="125"/>
        <v>0.52043937481434177</v>
      </c>
      <c r="AJ84" s="153">
        <f t="shared" si="126"/>
        <v>1.4743995368995124</v>
      </c>
      <c r="AL84" s="317">
        <f t="shared" si="127"/>
        <v>79.000000000000014</v>
      </c>
      <c r="AM84" s="147">
        <f t="shared" si="128"/>
        <v>267.91561287743718</v>
      </c>
      <c r="AO84">
        <f t="shared" si="159"/>
        <v>79.000000000000014</v>
      </c>
      <c r="AP84">
        <f t="shared" si="129"/>
        <v>267.91561287743718</v>
      </c>
      <c r="AR84" s="5">
        <f t="shared" si="160"/>
        <v>3.7325185690371394</v>
      </c>
      <c r="AS84" s="5">
        <f t="shared" si="130"/>
        <v>1.5613181244430252</v>
      </c>
      <c r="AT84" s="5">
        <f t="shared" si="161"/>
        <v>2.1712004445941142</v>
      </c>
      <c r="AU84" s="153">
        <f t="shared" si="162"/>
        <v>0.41830150220680384</v>
      </c>
      <c r="AW84" s="5">
        <f t="shared" si="131"/>
        <v>0.68947680000000022</v>
      </c>
      <c r="AX84" s="5">
        <f t="shared" si="132"/>
        <v>8.8430494176000032</v>
      </c>
      <c r="AY84" s="5">
        <f t="shared" si="133"/>
        <v>0.6949164380928764</v>
      </c>
      <c r="AZ84" s="5">
        <f t="shared" si="134"/>
        <v>3.3121625382819215</v>
      </c>
      <c r="BA84" s="5">
        <f t="shared" si="135"/>
        <v>0.34304967024587008</v>
      </c>
      <c r="BB84" s="147">
        <f t="shared" si="136"/>
        <v>34.778967024587011</v>
      </c>
      <c r="BC84" s="5"/>
      <c r="BD84" s="153">
        <f t="shared" si="163"/>
        <v>0.19433643485854263</v>
      </c>
      <c r="BE84" s="153">
        <f t="shared" si="137"/>
        <v>0.22917038284251681</v>
      </c>
      <c r="BF84" s="153">
        <f t="shared" si="138"/>
        <v>0.22827167545882068</v>
      </c>
      <c r="BG84" s="153"/>
      <c r="BH84" s="463">
        <f t="shared" si="139"/>
        <v>1.3218327469735005E-2</v>
      </c>
      <c r="BI84" s="463">
        <f t="shared" si="140"/>
        <v>2.8109860948297219E-2</v>
      </c>
      <c r="BJ84" s="463">
        <f t="shared" si="141"/>
        <v>3.348945160967965E-3</v>
      </c>
      <c r="BK84" s="463">
        <f t="shared" si="142"/>
        <v>2.177755274261603E-2</v>
      </c>
      <c r="BL84">
        <f t="shared" si="143"/>
        <v>5.7999999999999996E-3</v>
      </c>
      <c r="BM84">
        <f t="shared" si="144"/>
        <v>1.0046835482903894E-5</v>
      </c>
      <c r="BN84">
        <f t="shared" si="145"/>
        <v>7.4230238692302164E-2</v>
      </c>
      <c r="BO84" s="147">
        <f t="shared" si="164"/>
        <v>74.230238692302166</v>
      </c>
      <c r="BP84" s="153">
        <f t="shared" si="146"/>
        <v>7.0302565180349913E-2</v>
      </c>
      <c r="BQ84" s="153">
        <f t="shared" si="147"/>
        <v>6.9988479772017761E-2</v>
      </c>
      <c r="BR84" s="463"/>
      <c r="BT84" s="147">
        <f t="shared" si="165"/>
        <v>140.29104495236766</v>
      </c>
      <c r="BU84" s="463">
        <f t="shared" si="148"/>
        <v>3.7766649913528585E-2</v>
      </c>
      <c r="BV84" s="463">
        <f t="shared" si="149"/>
        <v>5.2519064372185724E-2</v>
      </c>
      <c r="BW84" s="463">
        <f t="shared" si="150"/>
        <v>2.6053978908388582E-3</v>
      </c>
      <c r="BX84" s="463">
        <f t="shared" si="151"/>
        <v>0</v>
      </c>
      <c r="BY84" s="463">
        <f t="shared" si="152"/>
        <v>0.10481697083742481</v>
      </c>
      <c r="BZ84" s="463">
        <f t="shared" si="166"/>
        <v>9.2891112176553159E-2</v>
      </c>
      <c r="CA84" s="549">
        <f t="shared" si="153"/>
        <v>3.6283428715401508E-2</v>
      </c>
      <c r="CB84" s="147">
        <f t="shared" si="167"/>
        <v>141.10039955282633</v>
      </c>
      <c r="CC84" s="153">
        <f t="shared" si="168"/>
        <v>0.35562168319749615</v>
      </c>
      <c r="CD84" s="5">
        <f t="shared" si="169"/>
        <v>2.8440000000000003</v>
      </c>
      <c r="CE84" s="153">
        <f t="shared" si="170"/>
        <v>0.88885508400414681</v>
      </c>
      <c r="CF84" s="5">
        <f t="shared" si="171"/>
        <v>88.885508400414679</v>
      </c>
      <c r="CG84">
        <f t="shared" si="172"/>
        <v>79.000000000000014</v>
      </c>
      <c r="CI84" s="59">
        <f t="shared" si="154"/>
        <v>-50</v>
      </c>
      <c r="CJ84">
        <f t="shared" si="155"/>
        <v>-50</v>
      </c>
    </row>
    <row r="85" spans="5:88" x14ac:dyDescent="0.25">
      <c r="E85" s="150">
        <v>80</v>
      </c>
      <c r="F85" s="191">
        <f t="shared" si="173"/>
        <v>8.0000000000000016E-2</v>
      </c>
      <c r="G85" s="191">
        <f t="shared" si="156"/>
        <v>8.0000000000000016E-2</v>
      </c>
      <c r="H85" s="191">
        <f t="shared" si="105"/>
        <v>1.6000000000000003</v>
      </c>
      <c r="I85" s="191">
        <f t="shared" si="174"/>
        <v>1.2800000000000002</v>
      </c>
      <c r="J85" s="472">
        <f t="shared" si="106"/>
        <v>20</v>
      </c>
      <c r="K85" s="386">
        <f t="shared" si="107"/>
        <v>20.32</v>
      </c>
      <c r="L85" s="386">
        <f t="shared" si="108"/>
        <v>40.32</v>
      </c>
      <c r="M85" s="386"/>
      <c r="N85" s="191">
        <f t="shared" si="109"/>
        <v>0.50396825396825395</v>
      </c>
      <c r="O85" s="152">
        <f t="shared" si="157"/>
        <v>1.8898809523809523</v>
      </c>
      <c r="P85" s="152">
        <f t="shared" si="110"/>
        <v>2.7214285714285715</v>
      </c>
      <c r="Q85" s="191">
        <f t="shared" si="111"/>
        <v>9.4494047619047616E-2</v>
      </c>
      <c r="R85" s="191">
        <f t="shared" si="112"/>
        <v>0.11811755952380952</v>
      </c>
      <c r="S85" s="386">
        <f t="shared" si="113"/>
        <v>20</v>
      </c>
      <c r="T85" s="191">
        <f t="shared" si="114"/>
        <v>0.63496062992126001</v>
      </c>
      <c r="U85" s="191">
        <f t="shared" si="115"/>
        <v>1.9048818897637803</v>
      </c>
      <c r="V85" s="191">
        <f t="shared" si="116"/>
        <v>1.8748837497674999</v>
      </c>
      <c r="W85" s="175">
        <f t="shared" si="117"/>
        <v>350</v>
      </c>
      <c r="X85" s="386">
        <f t="shared" si="158"/>
        <v>264.56666771646923</v>
      </c>
      <c r="Z85" s="191">
        <f t="shared" si="118"/>
        <v>0.47996976568405147</v>
      </c>
      <c r="AA85" s="153">
        <f t="shared" si="119"/>
        <v>1.4172335600907031</v>
      </c>
      <c r="AB85" s="153">
        <f t="shared" si="120"/>
        <v>0.11904012045735404</v>
      </c>
      <c r="AC85" s="153"/>
      <c r="AD85" s="153">
        <f t="shared" si="121"/>
        <v>0.44291338582677164</v>
      </c>
      <c r="AE85" s="317">
        <f t="shared" si="122"/>
        <v>2408.296296296297</v>
      </c>
      <c r="AF85" s="463">
        <f t="shared" si="123"/>
        <v>1.1626476377952754E-2</v>
      </c>
      <c r="AH85" s="153">
        <f t="shared" si="124"/>
        <v>0.5237229365663818</v>
      </c>
      <c r="AI85" s="153">
        <f t="shared" si="125"/>
        <v>0.5237229365663818</v>
      </c>
      <c r="AJ85" s="153">
        <f t="shared" si="126"/>
        <v>1.4768318048639864</v>
      </c>
      <c r="AL85" s="317">
        <f t="shared" si="127"/>
        <v>80.000000000000014</v>
      </c>
      <c r="AM85" s="147">
        <f t="shared" si="128"/>
        <v>264.56666771646923</v>
      </c>
      <c r="AO85">
        <f t="shared" si="159"/>
        <v>80.000000000000014</v>
      </c>
      <c r="AP85">
        <f t="shared" si="129"/>
        <v>264.56666771646923</v>
      </c>
      <c r="AR85" s="5">
        <f t="shared" si="160"/>
        <v>3.7797656395312798</v>
      </c>
      <c r="AS85" s="5">
        <f t="shared" si="130"/>
        <v>1.5711688096991454</v>
      </c>
      <c r="AT85" s="5">
        <f t="shared" si="161"/>
        <v>2.2085968298321346</v>
      </c>
      <c r="AU85" s="153">
        <f t="shared" si="162"/>
        <v>0.41567889640215433</v>
      </c>
      <c r="AW85" s="5">
        <f t="shared" si="131"/>
        <v>0.68947680000000022</v>
      </c>
      <c r="AX85" s="5">
        <f t="shared" si="132"/>
        <v>9.0653030400000052</v>
      </c>
      <c r="AY85" s="5">
        <f t="shared" si="133"/>
        <v>0.6949164380928764</v>
      </c>
      <c r="AZ85" s="5">
        <f t="shared" si="134"/>
        <v>3.3945201482141165</v>
      </c>
      <c r="BA85" s="5">
        <f t="shared" si="135"/>
        <v>0.35337549277314162</v>
      </c>
      <c r="BB85" s="147">
        <f t="shared" si="136"/>
        <v>35.817549277314171</v>
      </c>
      <c r="BC85" s="5"/>
      <c r="BD85" s="153">
        <f t="shared" si="163"/>
        <v>0.19494852569602605</v>
      </c>
      <c r="BE85" s="153">
        <f t="shared" si="137"/>
        <v>0.23113555277697403</v>
      </c>
      <c r="BF85" s="153">
        <f t="shared" si="138"/>
        <v>0.23022913884451535</v>
      </c>
      <c r="BG85" s="153"/>
      <c r="BH85" s="463">
        <f t="shared" si="139"/>
        <v>1.3301724684868945E-2</v>
      </c>
      <c r="BI85" s="463">
        <f t="shared" si="140"/>
        <v>2.793362183822477E-2</v>
      </c>
      <c r="BJ85" s="463">
        <f t="shared" si="141"/>
        <v>3.307083346455865E-3</v>
      </c>
      <c r="BK85" s="463">
        <f t="shared" si="142"/>
        <v>2.1505333333333331E-2</v>
      </c>
      <c r="BL85">
        <f t="shared" si="143"/>
        <v>5.7999999999999996E-3</v>
      </c>
      <c r="BM85">
        <f t="shared" si="144"/>
        <v>9.9212500393675953E-6</v>
      </c>
      <c r="BN85">
        <f t="shared" si="145"/>
        <v>7.3834619861825351E-2</v>
      </c>
      <c r="BO85" s="147">
        <f t="shared" si="164"/>
        <v>73.834619861825345</v>
      </c>
      <c r="BP85" s="153">
        <f t="shared" si="146"/>
        <v>7.1375663830743272E-2</v>
      </c>
      <c r="BQ85" s="153">
        <f t="shared" si="147"/>
        <v>7.1056168669038564E-2</v>
      </c>
      <c r="BR85" s="463"/>
      <c r="BT85" s="147">
        <f t="shared" si="165"/>
        <v>142.43183249978185</v>
      </c>
      <c r="BU85" s="463">
        <f t="shared" si="148"/>
        <v>3.800492767105413E-2</v>
      </c>
      <c r="BV85" s="463">
        <f t="shared" si="149"/>
        <v>5.3423643757517347E-2</v>
      </c>
      <c r="BW85" s="463">
        <f t="shared" si="150"/>
        <v>2.6502728186543565E-3</v>
      </c>
      <c r="BX85" s="463">
        <f t="shared" si="151"/>
        <v>0</v>
      </c>
      <c r="BY85" s="463">
        <f t="shared" si="152"/>
        <v>0.10616735371161093</v>
      </c>
      <c r="BZ85" s="463">
        <f t="shared" si="166"/>
        <v>9.4078844247225832E-2</v>
      </c>
      <c r="CA85" s="549">
        <f t="shared" si="153"/>
        <v>3.6283428715401508E-2</v>
      </c>
      <c r="CB85" s="147">
        <f t="shared" si="167"/>
        <v>142.45078242701243</v>
      </c>
      <c r="CC85" s="153">
        <f t="shared" si="168"/>
        <v>0.35871723478861967</v>
      </c>
      <c r="CD85" s="5">
        <f t="shared" si="169"/>
        <v>2.8800000000000008</v>
      </c>
      <c r="CE85" s="153">
        <f t="shared" si="170"/>
        <v>0.88924095288854943</v>
      </c>
      <c r="CF85" s="5">
        <f t="shared" si="171"/>
        <v>88.924095288854943</v>
      </c>
      <c r="CG85">
        <f t="shared" si="172"/>
        <v>80.000000000000014</v>
      </c>
      <c r="CI85" s="59">
        <f t="shared" si="154"/>
        <v>-50</v>
      </c>
      <c r="CJ85">
        <f t="shared" si="155"/>
        <v>-50</v>
      </c>
    </row>
    <row r="86" spans="5:88" x14ac:dyDescent="0.25">
      <c r="E86" s="150">
        <v>81</v>
      </c>
      <c r="F86" s="191">
        <f t="shared" si="173"/>
        <v>8.1000000000000016E-2</v>
      </c>
      <c r="G86" s="191">
        <f t="shared" si="156"/>
        <v>8.1000000000000016E-2</v>
      </c>
      <c r="H86" s="191">
        <f t="shared" si="105"/>
        <v>1.6200000000000003</v>
      </c>
      <c r="I86" s="191">
        <f t="shared" si="174"/>
        <v>1.2960000000000003</v>
      </c>
      <c r="J86" s="472">
        <f t="shared" si="106"/>
        <v>20</v>
      </c>
      <c r="K86" s="386">
        <f t="shared" si="107"/>
        <v>20.32</v>
      </c>
      <c r="L86" s="386">
        <f t="shared" si="108"/>
        <v>40.32</v>
      </c>
      <c r="M86" s="386"/>
      <c r="N86" s="191">
        <f t="shared" si="109"/>
        <v>0.50396825396825395</v>
      </c>
      <c r="O86" s="152">
        <f t="shared" si="157"/>
        <v>1.8898809523809523</v>
      </c>
      <c r="P86" s="152">
        <f t="shared" si="110"/>
        <v>2.7214285714285715</v>
      </c>
      <c r="Q86" s="191">
        <f t="shared" si="111"/>
        <v>9.4494047619047616E-2</v>
      </c>
      <c r="R86" s="191">
        <f t="shared" si="112"/>
        <v>0.11811755952380952</v>
      </c>
      <c r="S86" s="386">
        <f t="shared" si="113"/>
        <v>20</v>
      </c>
      <c r="T86" s="191">
        <f t="shared" si="114"/>
        <v>0.64289763779527564</v>
      </c>
      <c r="U86" s="191">
        <f t="shared" si="115"/>
        <v>1.9286929133858268</v>
      </c>
      <c r="V86" s="191">
        <f t="shared" si="116"/>
        <v>1.8983197966395935</v>
      </c>
      <c r="W86" s="175">
        <f t="shared" si="117"/>
        <v>350</v>
      </c>
      <c r="X86" s="386">
        <f t="shared" si="158"/>
        <v>261.30041255947583</v>
      </c>
      <c r="Z86" s="191">
        <f t="shared" si="118"/>
        <v>0.47996976568405147</v>
      </c>
      <c r="AA86" s="153">
        <f t="shared" si="119"/>
        <v>1.4172335600907031</v>
      </c>
      <c r="AB86" s="153">
        <f t="shared" si="120"/>
        <v>0.11904012045735404</v>
      </c>
      <c r="AC86" s="153"/>
      <c r="AD86" s="153">
        <f t="shared" si="121"/>
        <v>0.44291338582677164</v>
      </c>
      <c r="AE86" s="317">
        <f t="shared" si="122"/>
        <v>2438.400000000001</v>
      </c>
      <c r="AF86" s="463">
        <f t="shared" si="123"/>
        <v>1.1626476377952754E-2</v>
      </c>
      <c r="AH86" s="153">
        <f t="shared" si="124"/>
        <v>0.52698603939220789</v>
      </c>
      <c r="AI86" s="153">
        <f t="shared" si="125"/>
        <v>0.52698603939220789</v>
      </c>
      <c r="AJ86" s="153">
        <f t="shared" si="126"/>
        <v>1.4792489180683022</v>
      </c>
      <c r="AL86" s="317">
        <f t="shared" si="127"/>
        <v>81.000000000000014</v>
      </c>
      <c r="AM86" s="147">
        <f t="shared" si="128"/>
        <v>261.30041255947583</v>
      </c>
      <c r="AO86">
        <f t="shared" si="159"/>
        <v>81.000000000000014</v>
      </c>
      <c r="AP86">
        <f t="shared" si="129"/>
        <v>261.30041255947583</v>
      </c>
      <c r="AR86" s="5">
        <f t="shared" si="160"/>
        <v>3.8270127100254201</v>
      </c>
      <c r="AS86" s="5">
        <f t="shared" si="130"/>
        <v>1.5809581181766237</v>
      </c>
      <c r="AT86" s="5">
        <f t="shared" si="161"/>
        <v>2.2460545918487966</v>
      </c>
      <c r="AU86" s="153">
        <f t="shared" si="162"/>
        <v>0.41310500851880433</v>
      </c>
      <c r="AW86" s="5">
        <f t="shared" si="131"/>
        <v>0.68947680000000022</v>
      </c>
      <c r="AX86" s="5">
        <f t="shared" si="132"/>
        <v>9.2903145696000031</v>
      </c>
      <c r="AY86" s="5">
        <f t="shared" si="133"/>
        <v>0.6949164380928764</v>
      </c>
      <c r="AZ86" s="5">
        <f t="shared" si="134"/>
        <v>3.4778885456926272</v>
      </c>
      <c r="BA86" s="5">
        <f t="shared" si="135"/>
        <v>0.36386084387950507</v>
      </c>
      <c r="BB86" s="147">
        <f t="shared" si="136"/>
        <v>36.872084387950501</v>
      </c>
      <c r="BC86" s="5"/>
      <c r="BD86" s="153">
        <f t="shared" si="163"/>
        <v>0.19555490479299639</v>
      </c>
      <c r="BE86" s="153">
        <f t="shared" si="137"/>
        <v>0.23308733938768678</v>
      </c>
      <c r="BF86" s="153">
        <f t="shared" si="138"/>
        <v>0.23217327139008803</v>
      </c>
      <c r="BG86" s="153"/>
      <c r="BH86" s="463">
        <f t="shared" si="139"/>
        <v>1.3384602276009258E-2</v>
      </c>
      <c r="BI86" s="463">
        <f t="shared" si="140"/>
        <v>2.7760656572463651E-2</v>
      </c>
      <c r="BJ86" s="463">
        <f t="shared" si="141"/>
        <v>3.2662551569934478E-3</v>
      </c>
      <c r="BK86" s="463">
        <f t="shared" si="142"/>
        <v>2.1239835390946503E-2</v>
      </c>
      <c r="BL86">
        <f t="shared" si="143"/>
        <v>5.7999999999999996E-3</v>
      </c>
      <c r="BM86">
        <f t="shared" si="144"/>
        <v>9.7987654709803436E-6</v>
      </c>
      <c r="BN86">
        <f t="shared" si="145"/>
        <v>7.344944988301208E-2</v>
      </c>
      <c r="BO86" s="147">
        <f t="shared" si="164"/>
        <v>73.449449883012079</v>
      </c>
      <c r="BP86" s="153">
        <f t="shared" si="146"/>
        <v>7.2449896746082654E-2</v>
      </c>
      <c r="BQ86" s="153">
        <f t="shared" si="147"/>
        <v>7.2124982952253266E-2</v>
      </c>
      <c r="BR86" s="463"/>
      <c r="BT86" s="147">
        <f t="shared" si="165"/>
        <v>144.57487969833593</v>
      </c>
      <c r="BU86" s="463">
        <f t="shared" si="148"/>
        <v>3.8241720788597881E-2</v>
      </c>
      <c r="BV86" s="463">
        <f t="shared" si="149"/>
        <v>5.432970778283068E-2</v>
      </c>
      <c r="BW86" s="463">
        <f t="shared" si="150"/>
        <v>2.6952213973987734E-3</v>
      </c>
      <c r="BX86" s="463">
        <f t="shared" si="151"/>
        <v>0</v>
      </c>
      <c r="BY86" s="463">
        <f t="shared" si="152"/>
        <v>0.10751807894042568</v>
      </c>
      <c r="BZ86" s="463">
        <f t="shared" si="166"/>
        <v>9.5266649968827333E-2</v>
      </c>
      <c r="CA86" s="549">
        <f t="shared" si="153"/>
        <v>3.6283428715401501E-2</v>
      </c>
      <c r="CB86" s="147">
        <f t="shared" si="167"/>
        <v>143.80150765582718</v>
      </c>
      <c r="CC86" s="153">
        <f t="shared" si="168"/>
        <v>0.36182583723717521</v>
      </c>
      <c r="CD86" s="5">
        <f t="shared" si="169"/>
        <v>2.9160000000000004</v>
      </c>
      <c r="CE86" s="153">
        <f t="shared" si="170"/>
        <v>0.88961407493750422</v>
      </c>
      <c r="CF86" s="5">
        <f t="shared" si="171"/>
        <v>88.961407493750428</v>
      </c>
      <c r="CG86">
        <f t="shared" si="172"/>
        <v>81.000000000000014</v>
      </c>
      <c r="CI86" s="59">
        <f t="shared" si="154"/>
        <v>-50</v>
      </c>
      <c r="CJ86">
        <f t="shared" si="155"/>
        <v>-50</v>
      </c>
    </row>
    <row r="87" spans="5:88" x14ac:dyDescent="0.25">
      <c r="E87" s="150">
        <v>82</v>
      </c>
      <c r="F87" s="191">
        <f t="shared" si="173"/>
        <v>8.2000000000000003E-2</v>
      </c>
      <c r="G87" s="191">
        <f t="shared" si="156"/>
        <v>8.2000000000000003E-2</v>
      </c>
      <c r="H87" s="191">
        <f t="shared" si="105"/>
        <v>1.6400000000000001</v>
      </c>
      <c r="I87" s="191">
        <f t="shared" si="174"/>
        <v>1.3120000000000001</v>
      </c>
      <c r="J87" s="472">
        <f t="shared" si="106"/>
        <v>20</v>
      </c>
      <c r="K87" s="386">
        <f t="shared" si="107"/>
        <v>20.32</v>
      </c>
      <c r="L87" s="386">
        <f t="shared" si="108"/>
        <v>40.32</v>
      </c>
      <c r="M87" s="386"/>
      <c r="N87" s="191">
        <f t="shared" si="109"/>
        <v>0.50396825396825395</v>
      </c>
      <c r="O87" s="152">
        <f t="shared" si="157"/>
        <v>1.8898809523809523</v>
      </c>
      <c r="P87" s="152">
        <f t="shared" si="110"/>
        <v>2.7214285714285715</v>
      </c>
      <c r="Q87" s="191">
        <f t="shared" si="111"/>
        <v>9.4494047619047616E-2</v>
      </c>
      <c r="R87" s="191">
        <f t="shared" si="112"/>
        <v>0.11811755952380952</v>
      </c>
      <c r="S87" s="386">
        <f t="shared" si="113"/>
        <v>20</v>
      </c>
      <c r="T87" s="191">
        <f t="shared" si="114"/>
        <v>0.65083464566929139</v>
      </c>
      <c r="U87" s="191">
        <f t="shared" si="115"/>
        <v>1.9525039370078741</v>
      </c>
      <c r="V87" s="191">
        <f t="shared" si="116"/>
        <v>1.921755843511687</v>
      </c>
      <c r="W87" s="175">
        <f t="shared" si="117"/>
        <v>350</v>
      </c>
      <c r="X87" s="386">
        <f t="shared" si="158"/>
        <v>258.11382216240906</v>
      </c>
      <c r="Z87" s="191">
        <f t="shared" si="118"/>
        <v>0.47996976568405147</v>
      </c>
      <c r="AA87" s="153">
        <f t="shared" si="119"/>
        <v>1.4172335600907031</v>
      </c>
      <c r="AB87" s="153">
        <f t="shared" si="120"/>
        <v>0.11904012045735404</v>
      </c>
      <c r="AC87" s="153"/>
      <c r="AD87" s="153">
        <f t="shared" si="121"/>
        <v>0.44291338582677164</v>
      </c>
      <c r="AE87" s="317">
        <f t="shared" si="122"/>
        <v>2468.5037037037041</v>
      </c>
      <c r="AF87" s="463">
        <f t="shared" si="123"/>
        <v>1.1626476377952754E-2</v>
      </c>
      <c r="AH87" s="153">
        <f t="shared" si="124"/>
        <v>0.53022906101312206</v>
      </c>
      <c r="AI87" s="153">
        <f t="shared" si="125"/>
        <v>0.53022906101312206</v>
      </c>
      <c r="AJ87" s="153">
        <f t="shared" si="126"/>
        <v>1.4816511563060164</v>
      </c>
      <c r="AL87" s="317">
        <f t="shared" si="127"/>
        <v>82</v>
      </c>
      <c r="AM87" s="147">
        <f t="shared" si="128"/>
        <v>258.11382216240906</v>
      </c>
      <c r="AO87">
        <f t="shared" si="159"/>
        <v>82</v>
      </c>
      <c r="AP87">
        <f t="shared" si="129"/>
        <v>258.11382216240906</v>
      </c>
      <c r="AR87" s="5">
        <f t="shared" si="160"/>
        <v>3.8742597805195613</v>
      </c>
      <c r="AS87" s="5">
        <f t="shared" si="130"/>
        <v>1.5906871830393661</v>
      </c>
      <c r="AT87" s="5">
        <f t="shared" si="161"/>
        <v>2.2835725974801955</v>
      </c>
      <c r="AU87" s="153">
        <f t="shared" si="162"/>
        <v>0.41057834867904636</v>
      </c>
      <c r="AW87" s="5">
        <f t="shared" si="131"/>
        <v>0.68947680000000022</v>
      </c>
      <c r="AX87" s="5">
        <f t="shared" si="132"/>
        <v>9.5180840064000005</v>
      </c>
      <c r="AY87" s="5">
        <f t="shared" si="133"/>
        <v>0.6949164380928764</v>
      </c>
      <c r="AZ87" s="5">
        <f t="shared" si="134"/>
        <v>3.5622677307174548</v>
      </c>
      <c r="BA87" s="5">
        <f t="shared" si="135"/>
        <v>0.37450590598675199</v>
      </c>
      <c r="BB87" s="147">
        <f t="shared" si="136"/>
        <v>37.94259059867521</v>
      </c>
      <c r="BC87" s="5"/>
      <c r="BD87" s="153">
        <f t="shared" si="163"/>
        <v>0.19615569498795538</v>
      </c>
      <c r="BE87" s="153">
        <f t="shared" si="137"/>
        <v>0.23502601778968626</v>
      </c>
      <c r="BF87" s="153">
        <f t="shared" si="138"/>
        <v>0.23410434713168754</v>
      </c>
      <c r="BG87" s="153"/>
      <c r="BH87" s="463">
        <f t="shared" si="139"/>
        <v>1.3466969836672723E-2</v>
      </c>
      <c r="BI87" s="463">
        <f t="shared" si="140"/>
        <v>2.7590865031231915E-2</v>
      </c>
      <c r="BJ87" s="463">
        <f t="shared" si="141"/>
        <v>3.2264227770301135E-3</v>
      </c>
      <c r="BK87" s="463">
        <f t="shared" si="142"/>
        <v>2.0980813008130084E-2</v>
      </c>
      <c r="BL87">
        <f t="shared" si="143"/>
        <v>5.7999999999999996E-3</v>
      </c>
      <c r="BM87">
        <f t="shared" si="144"/>
        <v>9.6792683310903388E-6</v>
      </c>
      <c r="BN87">
        <f t="shared" si="145"/>
        <v>7.3074355480377579E-2</v>
      </c>
      <c r="BO87" s="147">
        <f t="shared" si="164"/>
        <v>73.074355480377577</v>
      </c>
      <c r="BP87" s="153">
        <f t="shared" si="146"/>
        <v>7.3525242985091541E-2</v>
      </c>
      <c r="BQ87" s="153">
        <f t="shared" si="147"/>
        <v>7.3194901844308616E-2</v>
      </c>
      <c r="BR87" s="463"/>
      <c r="BT87" s="147">
        <f t="shared" si="165"/>
        <v>146.72014482940017</v>
      </c>
      <c r="BU87" s="463">
        <f t="shared" si="148"/>
        <v>3.847705667620778E-2</v>
      </c>
      <c r="BV87" s="463">
        <f t="shared" si="149"/>
        <v>5.5237229038077922E-2</v>
      </c>
      <c r="BW87" s="463">
        <f t="shared" si="150"/>
        <v>2.7402422672976831E-3</v>
      </c>
      <c r="BX87" s="463">
        <f t="shared" si="151"/>
        <v>0</v>
      </c>
      <c r="BY87" s="463">
        <f t="shared" si="152"/>
        <v>0.10886914509956032</v>
      </c>
      <c r="BZ87" s="463">
        <f t="shared" si="166"/>
        <v>9.6454527981583382E-2</v>
      </c>
      <c r="CA87" s="549">
        <f t="shared" si="153"/>
        <v>3.6283428715401508E-2</v>
      </c>
      <c r="CB87" s="147">
        <f t="shared" si="167"/>
        <v>145.15257381496184</v>
      </c>
      <c r="CC87" s="153">
        <f t="shared" si="168"/>
        <v>0.36494707412473953</v>
      </c>
      <c r="CD87" s="5">
        <f t="shared" si="169"/>
        <v>2.952</v>
      </c>
      <c r="CE87" s="153">
        <f t="shared" si="170"/>
        <v>0.88997500835281185</v>
      </c>
      <c r="CF87" s="5">
        <f t="shared" si="171"/>
        <v>88.997500835281187</v>
      </c>
      <c r="CG87">
        <f t="shared" si="172"/>
        <v>82</v>
      </c>
      <c r="CI87" s="59">
        <f t="shared" si="154"/>
        <v>-50</v>
      </c>
      <c r="CJ87">
        <f t="shared" si="155"/>
        <v>-50</v>
      </c>
    </row>
    <row r="88" spans="5:88" x14ac:dyDescent="0.25">
      <c r="E88" s="150">
        <v>83</v>
      </c>
      <c r="F88" s="191">
        <f t="shared" si="173"/>
        <v>8.3000000000000004E-2</v>
      </c>
      <c r="G88" s="191">
        <f t="shared" si="156"/>
        <v>8.3000000000000004E-2</v>
      </c>
      <c r="H88" s="191">
        <f t="shared" si="105"/>
        <v>1.6600000000000001</v>
      </c>
      <c r="I88" s="191">
        <f t="shared" si="174"/>
        <v>1.3280000000000001</v>
      </c>
      <c r="J88" s="472">
        <f t="shared" si="106"/>
        <v>20</v>
      </c>
      <c r="K88" s="386">
        <f t="shared" si="107"/>
        <v>20.32</v>
      </c>
      <c r="L88" s="386">
        <f t="shared" si="108"/>
        <v>40.32</v>
      </c>
      <c r="M88" s="386"/>
      <c r="N88" s="191">
        <f t="shared" si="109"/>
        <v>0.50396825396825395</v>
      </c>
      <c r="O88" s="152">
        <f t="shared" si="157"/>
        <v>1.8898809523809523</v>
      </c>
      <c r="P88" s="152">
        <f t="shared" si="110"/>
        <v>2.7214285714285715</v>
      </c>
      <c r="Q88" s="191">
        <f t="shared" si="111"/>
        <v>9.4494047619047616E-2</v>
      </c>
      <c r="R88" s="191">
        <f t="shared" si="112"/>
        <v>0.11811755952380952</v>
      </c>
      <c r="S88" s="386">
        <f t="shared" si="113"/>
        <v>20</v>
      </c>
      <c r="T88" s="191">
        <f t="shared" si="114"/>
        <v>0.65877165354330725</v>
      </c>
      <c r="U88" s="191">
        <f t="shared" si="115"/>
        <v>1.976314960629922</v>
      </c>
      <c r="V88" s="191">
        <f t="shared" si="116"/>
        <v>1.9451918903837813</v>
      </c>
      <c r="W88" s="175">
        <f t="shared" si="117"/>
        <v>350</v>
      </c>
      <c r="X88" s="386">
        <f t="shared" si="158"/>
        <v>255.00401707611491</v>
      </c>
      <c r="Z88" s="191">
        <f t="shared" si="118"/>
        <v>0.47996976568405147</v>
      </c>
      <c r="AA88" s="153">
        <f t="shared" si="119"/>
        <v>1.4172335600907031</v>
      </c>
      <c r="AB88" s="153">
        <f t="shared" si="120"/>
        <v>0.11904012045735404</v>
      </c>
      <c r="AC88" s="153"/>
      <c r="AD88" s="153">
        <f t="shared" si="121"/>
        <v>0.44291338582677164</v>
      </c>
      <c r="AE88" s="317">
        <f t="shared" si="122"/>
        <v>2498.6074074074081</v>
      </c>
      <c r="AF88" s="463">
        <f t="shared" si="123"/>
        <v>1.1626476377952754E-2</v>
      </c>
      <c r="AH88" s="153">
        <f t="shared" si="124"/>
        <v>0.53345236766878124</v>
      </c>
      <c r="AI88" s="153">
        <f t="shared" si="125"/>
        <v>0.53345236766878124</v>
      </c>
      <c r="AJ88" s="153">
        <f t="shared" si="126"/>
        <v>1.4840387908657637</v>
      </c>
      <c r="AL88" s="317">
        <f t="shared" si="127"/>
        <v>83</v>
      </c>
      <c r="AM88" s="147">
        <f t="shared" si="128"/>
        <v>255.00401707611491</v>
      </c>
      <c r="AO88">
        <f t="shared" si="159"/>
        <v>83</v>
      </c>
      <c r="AP88">
        <f t="shared" si="129"/>
        <v>255.00401707611491</v>
      </c>
      <c r="AR88" s="5">
        <f t="shared" si="160"/>
        <v>3.921506851013703</v>
      </c>
      <c r="AS88" s="5">
        <f t="shared" si="130"/>
        <v>1.6003571030063437</v>
      </c>
      <c r="AT88" s="5">
        <f t="shared" si="161"/>
        <v>2.3211497480073593</v>
      </c>
      <c r="AU88" s="153">
        <f t="shared" si="162"/>
        <v>0.40809749002291151</v>
      </c>
      <c r="AW88" s="5">
        <f t="shared" si="131"/>
        <v>0.68947680000000022</v>
      </c>
      <c r="AX88" s="5">
        <f t="shared" si="132"/>
        <v>9.7486113504000027</v>
      </c>
      <c r="AY88" s="5">
        <f t="shared" si="133"/>
        <v>0.6949164380928764</v>
      </c>
      <c r="AZ88" s="5">
        <f t="shared" si="134"/>
        <v>3.6476577032886</v>
      </c>
      <c r="BA88" s="5">
        <f t="shared" si="135"/>
        <v>0.38531085816922167</v>
      </c>
      <c r="BB88" s="147">
        <f t="shared" si="136"/>
        <v>39.029085816922176</v>
      </c>
      <c r="BC88" s="5"/>
      <c r="BD88" s="153">
        <f t="shared" si="163"/>
        <v>0.19675101501833414</v>
      </c>
      <c r="BE88" s="153">
        <f t="shared" si="137"/>
        <v>0.23695185364625893</v>
      </c>
      <c r="BF88" s="153">
        <f t="shared" si="138"/>
        <v>0.23602263069078344</v>
      </c>
      <c r="BG88" s="153"/>
      <c r="BH88" s="463">
        <f t="shared" si="139"/>
        <v>1.354883666876066E-2</v>
      </c>
      <c r="BI88" s="463">
        <f t="shared" si="140"/>
        <v>2.7424151329539653E-2</v>
      </c>
      <c r="BJ88" s="463">
        <f t="shared" si="141"/>
        <v>3.1875502134514361E-3</v>
      </c>
      <c r="BK88" s="463">
        <f t="shared" si="142"/>
        <v>2.0728032128514054E-2</v>
      </c>
      <c r="BL88">
        <f t="shared" si="143"/>
        <v>5.7999999999999996E-3</v>
      </c>
      <c r="BM88">
        <f t="shared" si="144"/>
        <v>9.5626506403543084E-6</v>
      </c>
      <c r="BN88">
        <f t="shared" si="145"/>
        <v>7.270898097002533E-2</v>
      </c>
      <c r="BO88" s="147">
        <f t="shared" si="164"/>
        <v>72.708980970025337</v>
      </c>
      <c r="BP88" s="153">
        <f t="shared" si="146"/>
        <v>7.4601682243048167E-2</v>
      </c>
      <c r="BQ88" s="153">
        <f t="shared" si="147"/>
        <v>7.4265905199423235E-2</v>
      </c>
      <c r="BR88" s="463"/>
      <c r="BT88" s="147">
        <f t="shared" si="165"/>
        <v>148.8675874424714</v>
      </c>
      <c r="BU88" s="463">
        <f t="shared" si="148"/>
        <v>3.8710961910744746E-2</v>
      </c>
      <c r="BV88" s="463">
        <f t="shared" si="149"/>
        <v>5.614618094639811E-2</v>
      </c>
      <c r="BW88" s="463">
        <f t="shared" si="150"/>
        <v>2.7853341099098976E-3</v>
      </c>
      <c r="BX88" s="463">
        <f t="shared" si="151"/>
        <v>0</v>
      </c>
      <c r="BY88" s="463">
        <f t="shared" si="152"/>
        <v>0.11022055081060474</v>
      </c>
      <c r="BZ88" s="463">
        <f t="shared" si="166"/>
        <v>9.7642476967052763E-2</v>
      </c>
      <c r="CA88" s="549">
        <f t="shared" si="153"/>
        <v>3.6283428715401495E-2</v>
      </c>
      <c r="CB88" s="147">
        <f t="shared" si="167"/>
        <v>146.50397952600625</v>
      </c>
      <c r="CC88" s="153">
        <f t="shared" si="168"/>
        <v>0.36808054793850298</v>
      </c>
      <c r="CD88" s="5">
        <f t="shared" si="169"/>
        <v>2.9880000000000004</v>
      </c>
      <c r="CE88" s="153">
        <f t="shared" si="170"/>
        <v>0.89032428075524017</v>
      </c>
      <c r="CF88" s="5">
        <f t="shared" si="171"/>
        <v>89.032428075524024</v>
      </c>
      <c r="CG88">
        <f t="shared" si="172"/>
        <v>83</v>
      </c>
      <c r="CI88" s="59">
        <f t="shared" si="154"/>
        <v>-50</v>
      </c>
      <c r="CJ88">
        <f t="shared" si="155"/>
        <v>-50</v>
      </c>
    </row>
    <row r="89" spans="5:88" x14ac:dyDescent="0.25">
      <c r="E89" s="150">
        <v>84</v>
      </c>
      <c r="F89" s="191">
        <f t="shared" si="173"/>
        <v>8.4000000000000005E-2</v>
      </c>
      <c r="G89" s="191">
        <f t="shared" si="156"/>
        <v>8.4000000000000005E-2</v>
      </c>
      <c r="H89" s="191">
        <f t="shared" si="105"/>
        <v>1.6800000000000002</v>
      </c>
      <c r="I89" s="191">
        <f t="shared" si="174"/>
        <v>1.3440000000000001</v>
      </c>
      <c r="J89" s="472">
        <f t="shared" si="106"/>
        <v>20</v>
      </c>
      <c r="K89" s="386">
        <f t="shared" si="107"/>
        <v>20.32</v>
      </c>
      <c r="L89" s="386">
        <f t="shared" si="108"/>
        <v>40.32</v>
      </c>
      <c r="M89" s="386"/>
      <c r="N89" s="191">
        <f t="shared" si="109"/>
        <v>0.50396825396825395</v>
      </c>
      <c r="O89" s="152">
        <f t="shared" si="157"/>
        <v>1.8898809523809523</v>
      </c>
      <c r="P89" s="152">
        <f t="shared" si="110"/>
        <v>2.7214285714285715</v>
      </c>
      <c r="Q89" s="191">
        <f t="shared" si="111"/>
        <v>9.4494047619047616E-2</v>
      </c>
      <c r="R89" s="191">
        <f t="shared" si="112"/>
        <v>0.11811755952380952</v>
      </c>
      <c r="S89" s="386">
        <f t="shared" si="113"/>
        <v>20</v>
      </c>
      <c r="T89" s="191">
        <f t="shared" si="114"/>
        <v>0.66670866141732288</v>
      </c>
      <c r="U89" s="191">
        <f t="shared" si="115"/>
        <v>2.0001259842519685</v>
      </c>
      <c r="V89" s="191">
        <f t="shared" si="116"/>
        <v>1.9686279372558748</v>
      </c>
      <c r="W89" s="175">
        <f t="shared" si="117"/>
        <v>350</v>
      </c>
      <c r="X89" s="386">
        <f t="shared" si="158"/>
        <v>251.96825496806596</v>
      </c>
      <c r="Z89" s="191">
        <f t="shared" si="118"/>
        <v>0.47996976568405147</v>
      </c>
      <c r="AA89" s="153">
        <f t="shared" si="119"/>
        <v>1.4172335600907031</v>
      </c>
      <c r="AB89" s="153">
        <f t="shared" si="120"/>
        <v>0.11904012045735404</v>
      </c>
      <c r="AC89" s="153"/>
      <c r="AD89" s="153">
        <f t="shared" si="121"/>
        <v>0.44291338582677164</v>
      </c>
      <c r="AE89" s="317">
        <f t="shared" si="122"/>
        <v>2528.7111111111117</v>
      </c>
      <c r="AF89" s="463">
        <f t="shared" si="123"/>
        <v>1.1626476377952754E-2</v>
      </c>
      <c r="AH89" s="153">
        <f t="shared" si="124"/>
        <v>0.53665631459994956</v>
      </c>
      <c r="AI89" s="153">
        <f t="shared" si="125"/>
        <v>0.53665631459994956</v>
      </c>
      <c r="AJ89" s="153">
        <f t="shared" si="126"/>
        <v>1.4864120848888516</v>
      </c>
      <c r="AL89" s="317">
        <f t="shared" si="127"/>
        <v>84</v>
      </c>
      <c r="AM89" s="147">
        <f t="shared" si="128"/>
        <v>251.96825496806596</v>
      </c>
      <c r="AO89">
        <f t="shared" si="159"/>
        <v>84</v>
      </c>
      <c r="AP89">
        <f t="shared" si="129"/>
        <v>251.96825496806596</v>
      </c>
      <c r="AR89" s="5">
        <f t="shared" si="160"/>
        <v>3.9687539215078433</v>
      </c>
      <c r="AS89" s="5">
        <f t="shared" si="130"/>
        <v>1.609968943799849</v>
      </c>
      <c r="AT89" s="5">
        <f t="shared" si="161"/>
        <v>2.3587849777079946</v>
      </c>
      <c r="AU89" s="153">
        <f t="shared" si="162"/>
        <v>0.40566106532202822</v>
      </c>
      <c r="AW89" s="5">
        <f t="shared" si="131"/>
        <v>0.68947680000000022</v>
      </c>
      <c r="AX89" s="5">
        <f t="shared" si="132"/>
        <v>9.9818966016000026</v>
      </c>
      <c r="AY89" s="5">
        <f t="shared" si="133"/>
        <v>0.6949164380928764</v>
      </c>
      <c r="AZ89" s="5">
        <f t="shared" si="134"/>
        <v>3.7340584634060616</v>
      </c>
      <c r="BA89" s="5">
        <f t="shared" si="135"/>
        <v>0.39627587625494304</v>
      </c>
      <c r="BB89" s="147">
        <f t="shared" si="136"/>
        <v>40.131587625494305</v>
      </c>
      <c r="BC89" s="5"/>
      <c r="BD89" s="153">
        <f t="shared" si="163"/>
        <v>0.19734097970496325</v>
      </c>
      <c r="BE89" s="153">
        <f t="shared" si="137"/>
        <v>0.23886510362354166</v>
      </c>
      <c r="BF89" s="153">
        <f t="shared" si="138"/>
        <v>0.23792837772697872</v>
      </c>
      <c r="BG89" s="153"/>
      <c r="BH89" s="463">
        <f t="shared" si="139"/>
        <v>1.363021179482015E-2</v>
      </c>
      <c r="BI89" s="463">
        <f t="shared" si="140"/>
        <v>2.7260423589640294E-2</v>
      </c>
      <c r="BJ89" s="463">
        <f t="shared" si="141"/>
        <v>3.1496031871008244E-3</v>
      </c>
      <c r="BK89" s="463">
        <f t="shared" si="142"/>
        <v>2.0481269841269842E-2</v>
      </c>
      <c r="BL89">
        <f t="shared" si="143"/>
        <v>5.7999999999999996E-3</v>
      </c>
      <c r="BM89">
        <f t="shared" si="144"/>
        <v>9.4488095613024724E-6</v>
      </c>
      <c r="BN89">
        <f t="shared" si="145"/>
        <v>7.2352987231314045E-2</v>
      </c>
      <c r="BO89" s="147">
        <f t="shared" si="164"/>
        <v>72.352987231314046</v>
      </c>
      <c r="BP89" s="153">
        <f t="shared" si="146"/>
        <v>7.5679194825021168E-2</v>
      </c>
      <c r="BQ89" s="153">
        <f t="shared" si="147"/>
        <v>7.5337973476832992E-2</v>
      </c>
      <c r="BR89" s="463"/>
      <c r="BT89" s="147">
        <f t="shared" si="165"/>
        <v>151.01716830185416</v>
      </c>
      <c r="BU89" s="463">
        <f t="shared" si="148"/>
        <v>3.8943462270914719E-2</v>
      </c>
      <c r="BV89" s="463">
        <f t="shared" si="149"/>
        <v>5.7056537729085297E-2</v>
      </c>
      <c r="BW89" s="463">
        <f t="shared" si="150"/>
        <v>2.8304956463895935E-3</v>
      </c>
      <c r="BX89" s="463">
        <f t="shared" si="151"/>
        <v>0</v>
      </c>
      <c r="BY89" s="463">
        <f t="shared" si="152"/>
        <v>0.11157229473911411</v>
      </c>
      <c r="BZ89" s="463">
        <f t="shared" si="166"/>
        <v>9.8830495646389613E-2</v>
      </c>
      <c r="CA89" s="549">
        <f t="shared" si="153"/>
        <v>3.6283428715401508E-2</v>
      </c>
      <c r="CB89" s="147">
        <f t="shared" si="167"/>
        <v>147.85572345451561</v>
      </c>
      <c r="CC89" s="153">
        <f t="shared" si="168"/>
        <v>0.37122587898768383</v>
      </c>
      <c r="CD89" s="5">
        <f t="shared" si="169"/>
        <v>3.024</v>
      </c>
      <c r="CE89" s="153">
        <f t="shared" si="170"/>
        <v>0.89066239118724899</v>
      </c>
      <c r="CF89" s="5">
        <f t="shared" si="171"/>
        <v>89.066239118724894</v>
      </c>
      <c r="CG89">
        <f t="shared" si="172"/>
        <v>84</v>
      </c>
      <c r="CI89" s="59">
        <f t="shared" si="154"/>
        <v>-50</v>
      </c>
      <c r="CJ89">
        <f t="shared" si="155"/>
        <v>-50</v>
      </c>
    </row>
    <row r="90" spans="5:88" x14ac:dyDescent="0.25">
      <c r="E90" s="150">
        <v>85</v>
      </c>
      <c r="F90" s="191">
        <f t="shared" si="173"/>
        <v>8.5000000000000006E-2</v>
      </c>
      <c r="G90" s="191">
        <f t="shared" si="156"/>
        <v>8.5000000000000006E-2</v>
      </c>
      <c r="H90" s="191">
        <f t="shared" si="105"/>
        <v>1.7000000000000002</v>
      </c>
      <c r="I90" s="191">
        <f t="shared" si="174"/>
        <v>1.36</v>
      </c>
      <c r="J90" s="472">
        <f t="shared" si="106"/>
        <v>20</v>
      </c>
      <c r="K90" s="386">
        <f t="shared" si="107"/>
        <v>20.32</v>
      </c>
      <c r="L90" s="386">
        <f t="shared" si="108"/>
        <v>40.32</v>
      </c>
      <c r="M90" s="386"/>
      <c r="N90" s="191">
        <f t="shared" si="109"/>
        <v>0.50396825396825395</v>
      </c>
      <c r="O90" s="152">
        <f t="shared" si="157"/>
        <v>1.8898809523809523</v>
      </c>
      <c r="P90" s="152">
        <f t="shared" si="110"/>
        <v>2.7214285714285715</v>
      </c>
      <c r="Q90" s="191">
        <f t="shared" si="111"/>
        <v>9.4494047619047616E-2</v>
      </c>
      <c r="R90" s="191">
        <f t="shared" si="112"/>
        <v>0.11811755952380952</v>
      </c>
      <c r="S90" s="386">
        <f t="shared" si="113"/>
        <v>20</v>
      </c>
      <c r="T90" s="191">
        <f t="shared" si="114"/>
        <v>0.67464566929133873</v>
      </c>
      <c r="U90" s="191">
        <f t="shared" si="115"/>
        <v>2.0239370078740162</v>
      </c>
      <c r="V90" s="191">
        <f t="shared" si="116"/>
        <v>1.9920639841279686</v>
      </c>
      <c r="W90" s="175">
        <f t="shared" si="117"/>
        <v>350</v>
      </c>
      <c r="X90" s="386">
        <f t="shared" si="158"/>
        <v>249.00392255667694</v>
      </c>
      <c r="Z90" s="191">
        <f t="shared" si="118"/>
        <v>0.47996976568405147</v>
      </c>
      <c r="AA90" s="153">
        <f t="shared" si="119"/>
        <v>1.4172335600907031</v>
      </c>
      <c r="AB90" s="153">
        <f t="shared" si="120"/>
        <v>0.11904012045735404</v>
      </c>
      <c r="AC90" s="153"/>
      <c r="AD90" s="153">
        <f t="shared" si="121"/>
        <v>0.44291338582677164</v>
      </c>
      <c r="AE90" s="317">
        <f t="shared" si="122"/>
        <v>2558.8148148148152</v>
      </c>
      <c r="AF90" s="463">
        <f t="shared" si="123"/>
        <v>1.1626476377952754E-2</v>
      </c>
      <c r="AH90" s="153">
        <f t="shared" si="124"/>
        <v>0.5398412465054625</v>
      </c>
      <c r="AI90" s="153">
        <f t="shared" si="125"/>
        <v>0.5398412465054625</v>
      </c>
      <c r="AJ90" s="153">
        <f t="shared" si="126"/>
        <v>1.48877129370775</v>
      </c>
      <c r="AL90" s="317">
        <f t="shared" si="127"/>
        <v>85</v>
      </c>
      <c r="AM90" s="147">
        <f t="shared" si="128"/>
        <v>249.00392255667694</v>
      </c>
      <c r="AO90">
        <f t="shared" si="159"/>
        <v>85</v>
      </c>
      <c r="AP90">
        <f t="shared" si="129"/>
        <v>249.00392255667694</v>
      </c>
      <c r="AR90" s="5">
        <f t="shared" si="160"/>
        <v>4.0160009920019846</v>
      </c>
      <c r="AS90" s="5">
        <f t="shared" si="130"/>
        <v>1.6195237395163877</v>
      </c>
      <c r="AT90" s="5">
        <f t="shared" si="161"/>
        <v>2.3964772524855968</v>
      </c>
      <c r="AU90" s="153">
        <f t="shared" si="162"/>
        <v>0.40326776381323848</v>
      </c>
      <c r="AW90" s="5">
        <f t="shared" si="131"/>
        <v>0.68947680000000022</v>
      </c>
      <c r="AX90" s="5">
        <f t="shared" si="132"/>
        <v>10.217939760000002</v>
      </c>
      <c r="AY90" s="5">
        <f t="shared" si="133"/>
        <v>0.6949164380928764</v>
      </c>
      <c r="AZ90" s="5">
        <f t="shared" si="134"/>
        <v>3.8214700110698407</v>
      </c>
      <c r="BA90" s="5">
        <f t="shared" si="135"/>
        <v>0.40740113292255148</v>
      </c>
      <c r="BB90" s="147">
        <f t="shared" si="136"/>
        <v>41.250113292255143</v>
      </c>
      <c r="BC90" s="5"/>
      <c r="BD90" s="153">
        <f t="shared" si="163"/>
        <v>0.19792570012615568</v>
      </c>
      <c r="BE90" s="153">
        <f t="shared" si="137"/>
        <v>0.24076601581707555</v>
      </c>
      <c r="BF90" s="153">
        <f t="shared" si="138"/>
        <v>0.23982183536289098</v>
      </c>
      <c r="BG90" s="153"/>
      <c r="BH90" s="463">
        <f t="shared" si="139"/>
        <v>1.3711103969650114E-2</v>
      </c>
      <c r="BI90" s="463">
        <f t="shared" si="140"/>
        <v>2.7099593728249619E-2</v>
      </c>
      <c r="BJ90" s="463">
        <f t="shared" si="141"/>
        <v>3.112549031958462E-3</v>
      </c>
      <c r="BK90" s="463">
        <f t="shared" si="142"/>
        <v>2.0240313725490195E-2</v>
      </c>
      <c r="BL90">
        <f t="shared" si="143"/>
        <v>5.7999999999999996E-3</v>
      </c>
      <c r="BM90">
        <f t="shared" si="144"/>
        <v>9.3376470958753853E-6</v>
      </c>
      <c r="BN90">
        <f t="shared" si="145"/>
        <v>7.2006050750054312E-2</v>
      </c>
      <c r="BO90" s="147">
        <f t="shared" si="164"/>
        <v>72.006050750054314</v>
      </c>
      <c r="BP90" s="153">
        <f t="shared" si="146"/>
        <v>7.67577616205352E-2</v>
      </c>
      <c r="BQ90" s="153">
        <f t="shared" si="147"/>
        <v>7.641108771565476E-2</v>
      </c>
      <c r="BR90" s="463"/>
      <c r="BT90" s="147">
        <f t="shared" si="165"/>
        <v>153.16884933618996</v>
      </c>
      <c r="BU90" s="463">
        <f t="shared" si="148"/>
        <v>3.9174582770428901E-2</v>
      </c>
      <c r="BV90" s="463">
        <f t="shared" si="149"/>
        <v>5.7968274372428269E-2</v>
      </c>
      <c r="BW90" s="463">
        <f t="shared" si="150"/>
        <v>2.8757256358412798E-3</v>
      </c>
      <c r="BX90" s="463">
        <f t="shared" si="151"/>
        <v>0</v>
      </c>
      <c r="BY90" s="463">
        <f t="shared" si="152"/>
        <v>0.112924375592779</v>
      </c>
      <c r="BZ90" s="463">
        <f t="shared" si="166"/>
        <v>0.10001858277869845</v>
      </c>
      <c r="CA90" s="549">
        <f t="shared" si="153"/>
        <v>3.6283428715401515E-2</v>
      </c>
      <c r="CB90" s="147">
        <f t="shared" si="167"/>
        <v>149.2078043081805</v>
      </c>
      <c r="CC90" s="153">
        <f t="shared" si="168"/>
        <v>0.37438270439442478</v>
      </c>
      <c r="CD90" s="5">
        <f t="shared" si="169"/>
        <v>3.0600000000000005</v>
      </c>
      <c r="CE90" s="153">
        <f t="shared" si="170"/>
        <v>0.89098981196376636</v>
      </c>
      <c r="CF90" s="5">
        <f t="shared" si="171"/>
        <v>89.098981196376641</v>
      </c>
      <c r="CG90">
        <f t="shared" si="172"/>
        <v>85</v>
      </c>
      <c r="CI90" s="59">
        <f t="shared" si="154"/>
        <v>-50</v>
      </c>
      <c r="CJ90">
        <f t="shared" si="155"/>
        <v>-50</v>
      </c>
    </row>
    <row r="91" spans="5:88" x14ac:dyDescent="0.25">
      <c r="E91" s="150">
        <v>86</v>
      </c>
      <c r="F91" s="191">
        <f t="shared" si="173"/>
        <v>8.6000000000000007E-2</v>
      </c>
      <c r="G91" s="191">
        <f t="shared" si="156"/>
        <v>8.6000000000000007E-2</v>
      </c>
      <c r="H91" s="191">
        <f t="shared" si="105"/>
        <v>1.7200000000000002</v>
      </c>
      <c r="I91" s="191">
        <f t="shared" si="174"/>
        <v>1.3760000000000001</v>
      </c>
      <c r="J91" s="472">
        <f t="shared" si="106"/>
        <v>20</v>
      </c>
      <c r="K91" s="386">
        <f t="shared" si="107"/>
        <v>20.32</v>
      </c>
      <c r="L91" s="386">
        <f t="shared" si="108"/>
        <v>40.32</v>
      </c>
      <c r="M91" s="386"/>
      <c r="N91" s="191">
        <f t="shared" si="109"/>
        <v>0.50396825396825395</v>
      </c>
      <c r="O91" s="152">
        <f t="shared" si="157"/>
        <v>1.8898809523809523</v>
      </c>
      <c r="P91" s="152">
        <f t="shared" si="110"/>
        <v>2.7214285714285715</v>
      </c>
      <c r="Q91" s="191">
        <f t="shared" si="111"/>
        <v>9.4494047619047616E-2</v>
      </c>
      <c r="R91" s="191">
        <f t="shared" si="112"/>
        <v>0.11811755952380952</v>
      </c>
      <c r="S91" s="386">
        <f t="shared" si="113"/>
        <v>20</v>
      </c>
      <c r="T91" s="191">
        <f t="shared" si="114"/>
        <v>0.68258267716535437</v>
      </c>
      <c r="U91" s="191">
        <f t="shared" si="115"/>
        <v>2.0477480314960634</v>
      </c>
      <c r="V91" s="191">
        <f t="shared" si="116"/>
        <v>2.0155000310000624</v>
      </c>
      <c r="W91" s="175">
        <f t="shared" si="117"/>
        <v>350</v>
      </c>
      <c r="X91" s="386">
        <f t="shared" si="158"/>
        <v>246.10852810834353</v>
      </c>
      <c r="Z91" s="191">
        <f t="shared" si="118"/>
        <v>0.47996976568405147</v>
      </c>
      <c r="AA91" s="153">
        <f t="shared" si="119"/>
        <v>1.4172335600907031</v>
      </c>
      <c r="AB91" s="153">
        <f t="shared" si="120"/>
        <v>0.11904012045735404</v>
      </c>
      <c r="AC91" s="153"/>
      <c r="AD91" s="153">
        <f t="shared" si="121"/>
        <v>0.44291338582677164</v>
      </c>
      <c r="AE91" s="317">
        <f t="shared" si="122"/>
        <v>2588.9185185185192</v>
      </c>
      <c r="AF91" s="463">
        <f t="shared" si="123"/>
        <v>1.1626476377952754E-2</v>
      </c>
      <c r="AH91" s="153">
        <f t="shared" si="124"/>
        <v>0.54300749797506742</v>
      </c>
      <c r="AI91" s="153">
        <f t="shared" si="125"/>
        <v>0.54300749797506742</v>
      </c>
      <c r="AJ91" s="153">
        <f t="shared" si="126"/>
        <v>1.4911166651667165</v>
      </c>
      <c r="AL91" s="317">
        <f t="shared" si="127"/>
        <v>86</v>
      </c>
      <c r="AM91" s="147">
        <f t="shared" si="128"/>
        <v>246.10852810834353</v>
      </c>
      <c r="AO91">
        <f t="shared" si="159"/>
        <v>86</v>
      </c>
      <c r="AP91">
        <f t="shared" si="129"/>
        <v>246.10852810834353</v>
      </c>
      <c r="AR91" s="5">
        <f t="shared" si="160"/>
        <v>4.0632480624961245</v>
      </c>
      <c r="AS91" s="5">
        <f t="shared" si="130"/>
        <v>1.6290224939252025</v>
      </c>
      <c r="AT91" s="5">
        <f t="shared" si="161"/>
        <v>2.434225568570922</v>
      </c>
      <c r="AU91" s="153">
        <f t="shared" si="162"/>
        <v>0.40091632823531465</v>
      </c>
      <c r="AW91" s="5">
        <f t="shared" si="131"/>
        <v>0.68947680000000022</v>
      </c>
      <c r="AX91" s="5">
        <f t="shared" si="132"/>
        <v>10.456740825600004</v>
      </c>
      <c r="AY91" s="5">
        <f t="shared" si="133"/>
        <v>0.6949164380928764</v>
      </c>
      <c r="AZ91" s="5">
        <f t="shared" si="134"/>
        <v>3.9098923462799369</v>
      </c>
      <c r="BA91" s="5">
        <f t="shared" si="135"/>
        <v>0.41868679779419854</v>
      </c>
      <c r="BB91" s="147">
        <f t="shared" si="136"/>
        <v>42.384679779419855</v>
      </c>
      <c r="BC91" s="5"/>
      <c r="BD91" s="153">
        <f t="shared" si="163"/>
        <v>0.19850528378210433</v>
      </c>
      <c r="BE91" s="153">
        <f t="shared" si="137"/>
        <v>0.24265483015242145</v>
      </c>
      <c r="BF91" s="153">
        <f t="shared" si="138"/>
        <v>0.24170324258319625</v>
      </c>
      <c r="BG91" s="153"/>
      <c r="BH91" s="463">
        <f t="shared" si="139"/>
        <v>1.3791521691294821E-2</v>
      </c>
      <c r="BI91" s="463">
        <f t="shared" si="140"/>
        <v>2.6941577257413137E-2</v>
      </c>
      <c r="BJ91" s="463">
        <f t="shared" si="141"/>
        <v>3.0763566013542938E-3</v>
      </c>
      <c r="BK91" s="463">
        <f t="shared" si="142"/>
        <v>2.0004961240310079E-2</v>
      </c>
      <c r="BL91">
        <f t="shared" si="143"/>
        <v>5.7999999999999996E-3</v>
      </c>
      <c r="BM91">
        <f t="shared" si="144"/>
        <v>9.2290698040628825E-6</v>
      </c>
      <c r="BN91">
        <f t="shared" si="145"/>
        <v>7.1667862727483864E-2</v>
      </c>
      <c r="BO91" s="147">
        <f t="shared" si="164"/>
        <v>71.667862727483865</v>
      </c>
      <c r="BP91" s="153">
        <f t="shared" si="146"/>
        <v>7.7837364079573604E-2</v>
      </c>
      <c r="BQ91" s="153">
        <f t="shared" si="147"/>
        <v>7.7485229511076809E-2</v>
      </c>
      <c r="BR91" s="463"/>
      <c r="BT91" s="147">
        <f t="shared" si="165"/>
        <v>155.32259359065043</v>
      </c>
      <c r="BU91" s="463">
        <f t="shared" si="148"/>
        <v>3.9404347689413775E-2</v>
      </c>
      <c r="BV91" s="463">
        <f t="shared" si="149"/>
        <v>5.8881366596300506E-2</v>
      </c>
      <c r="BW91" s="463">
        <f t="shared" si="150"/>
        <v>2.9210228737615706E-3</v>
      </c>
      <c r="BX91" s="463">
        <f t="shared" si="151"/>
        <v>0</v>
      </c>
      <c r="BY91" s="463">
        <f t="shared" si="152"/>
        <v>0.11427679211969183</v>
      </c>
      <c r="BZ91" s="463">
        <f t="shared" si="166"/>
        <v>0.10120673715947585</v>
      </c>
      <c r="CA91" s="549">
        <f t="shared" si="153"/>
        <v>3.6283428715401508E-2</v>
      </c>
      <c r="CB91" s="147">
        <f t="shared" si="167"/>
        <v>150.56022083509336</v>
      </c>
      <c r="CC91" s="153">
        <f t="shared" si="168"/>
        <v>0.3775506771532276</v>
      </c>
      <c r="CD91" s="5">
        <f t="shared" si="169"/>
        <v>3.0960000000000001</v>
      </c>
      <c r="CE91" s="153">
        <f t="shared" si="170"/>
        <v>0.89130699038407246</v>
      </c>
      <c r="CF91" s="5">
        <f t="shared" si="171"/>
        <v>89.130699038407244</v>
      </c>
      <c r="CG91">
        <f t="shared" si="172"/>
        <v>86</v>
      </c>
      <c r="CI91" s="59">
        <f t="shared" si="154"/>
        <v>-50</v>
      </c>
      <c r="CJ91">
        <f t="shared" si="155"/>
        <v>-50</v>
      </c>
    </row>
    <row r="92" spans="5:88" x14ac:dyDescent="0.25">
      <c r="E92" s="150">
        <v>87</v>
      </c>
      <c r="F92" s="191">
        <f t="shared" si="173"/>
        <v>8.7000000000000008E-2</v>
      </c>
      <c r="G92" s="191">
        <f t="shared" si="156"/>
        <v>8.7000000000000008E-2</v>
      </c>
      <c r="H92" s="191">
        <f t="shared" si="105"/>
        <v>1.7400000000000002</v>
      </c>
      <c r="I92" s="191">
        <f t="shared" si="174"/>
        <v>1.3920000000000001</v>
      </c>
      <c r="J92" s="472">
        <f t="shared" si="106"/>
        <v>20</v>
      </c>
      <c r="K92" s="386">
        <f t="shared" si="107"/>
        <v>20.32</v>
      </c>
      <c r="L92" s="386">
        <f t="shared" si="108"/>
        <v>40.32</v>
      </c>
      <c r="M92" s="386"/>
      <c r="N92" s="191">
        <f t="shared" si="109"/>
        <v>0.50396825396825395</v>
      </c>
      <c r="O92" s="152">
        <f t="shared" si="157"/>
        <v>1.8898809523809523</v>
      </c>
      <c r="P92" s="152">
        <f t="shared" si="110"/>
        <v>2.7214285714285715</v>
      </c>
      <c r="Q92" s="191">
        <f t="shared" si="111"/>
        <v>9.4494047619047616E-2</v>
      </c>
      <c r="R92" s="191">
        <f t="shared" si="112"/>
        <v>0.11811755952380952</v>
      </c>
      <c r="S92" s="386">
        <f t="shared" si="113"/>
        <v>20</v>
      </c>
      <c r="T92" s="191">
        <f t="shared" si="114"/>
        <v>0.69051968503937022</v>
      </c>
      <c r="U92" s="191">
        <f t="shared" si="115"/>
        <v>2.0715590551181107</v>
      </c>
      <c r="V92" s="191">
        <f t="shared" si="116"/>
        <v>2.0389360778721564</v>
      </c>
      <c r="W92" s="175">
        <f t="shared" si="117"/>
        <v>350</v>
      </c>
      <c r="X92" s="386">
        <f t="shared" si="158"/>
        <v>243.27969445192574</v>
      </c>
      <c r="Z92" s="191">
        <f t="shared" si="118"/>
        <v>0.47996976568405147</v>
      </c>
      <c r="AA92" s="153">
        <f t="shared" si="119"/>
        <v>1.4172335600907031</v>
      </c>
      <c r="AB92" s="153">
        <f t="shared" si="120"/>
        <v>0.11904012045735404</v>
      </c>
      <c r="AC92" s="153"/>
      <c r="AD92" s="153">
        <f t="shared" si="121"/>
        <v>0.44291338582677164</v>
      </c>
      <c r="AE92" s="317">
        <f t="shared" si="122"/>
        <v>2619.0222222222228</v>
      </c>
      <c r="AF92" s="463">
        <f t="shared" si="123"/>
        <v>1.1626476377952754E-2</v>
      </c>
      <c r="AH92" s="153">
        <f t="shared" si="124"/>
        <v>0.54615539389967971</v>
      </c>
      <c r="AI92" s="153">
        <f t="shared" si="125"/>
        <v>0.54615539389967971</v>
      </c>
      <c r="AJ92" s="153">
        <f t="shared" si="126"/>
        <v>1.4934484399256887</v>
      </c>
      <c r="AL92" s="317">
        <f t="shared" si="127"/>
        <v>87.000000000000014</v>
      </c>
      <c r="AM92" s="147">
        <f t="shared" si="128"/>
        <v>243.27969445192574</v>
      </c>
      <c r="AO92">
        <f t="shared" si="159"/>
        <v>87.000000000000014</v>
      </c>
      <c r="AP92">
        <f t="shared" si="129"/>
        <v>243.27969445192574</v>
      </c>
      <c r="AR92" s="5">
        <f t="shared" si="160"/>
        <v>4.110495132990267</v>
      </c>
      <c r="AS92" s="5">
        <f t="shared" si="130"/>
        <v>1.6384661816990393</v>
      </c>
      <c r="AT92" s="5">
        <f t="shared" si="161"/>
        <v>2.4720289512912279</v>
      </c>
      <c r="AU92" s="153">
        <f t="shared" si="162"/>
        <v>0.39860555205355575</v>
      </c>
      <c r="AW92" s="5">
        <f t="shared" si="131"/>
        <v>0.68947680000000022</v>
      </c>
      <c r="AX92" s="5">
        <f t="shared" si="132"/>
        <v>10.698299798400001</v>
      </c>
      <c r="AY92" s="5">
        <f t="shared" si="133"/>
        <v>0.6949164380928764</v>
      </c>
      <c r="AZ92" s="5">
        <f t="shared" si="134"/>
        <v>3.9993254690363491</v>
      </c>
      <c r="BA92" s="5">
        <f t="shared" si="135"/>
        <v>0.43013303752467369</v>
      </c>
      <c r="BB92" s="147">
        <f t="shared" si="136"/>
        <v>43.535303752467371</v>
      </c>
      <c r="BC92" s="5"/>
      <c r="BD92" s="153">
        <f t="shared" si="163"/>
        <v>0.1990798347502381</v>
      </c>
      <c r="BE92" s="153">
        <f t="shared" si="137"/>
        <v>0.24453177876175791</v>
      </c>
      <c r="BF92" s="153">
        <f t="shared" si="138"/>
        <v>0.24357283060975102</v>
      </c>
      <c r="BG92" s="153"/>
      <c r="BH92" s="463">
        <f t="shared" si="139"/>
        <v>1.3871473211463739E-2</v>
      </c>
      <c r="BI92" s="463">
        <f t="shared" si="140"/>
        <v>2.6786293097998942E-2</v>
      </c>
      <c r="BJ92" s="463">
        <f t="shared" si="141"/>
        <v>3.0409961806490715E-3</v>
      </c>
      <c r="BK92" s="463">
        <f t="shared" si="142"/>
        <v>1.9775019157088118E-2</v>
      </c>
      <c r="BL92">
        <f t="shared" si="143"/>
        <v>5.7999999999999996E-3</v>
      </c>
      <c r="BM92">
        <f t="shared" si="144"/>
        <v>9.1229885419472153E-6</v>
      </c>
      <c r="BN92">
        <f t="shared" si="145"/>
        <v>7.1338128249791938E-2</v>
      </c>
      <c r="BO92" s="147">
        <f t="shared" si="164"/>
        <v>71.338128249791936</v>
      </c>
      <c r="BP92" s="153">
        <f t="shared" si="146"/>
        <v>7.8917984189833437E-2</v>
      </c>
      <c r="BQ92" s="153">
        <f t="shared" si="147"/>
        <v>7.8560380991792314E-2</v>
      </c>
      <c r="BR92" s="463"/>
      <c r="BT92" s="147">
        <f t="shared" si="165"/>
        <v>157.47836518162575</v>
      </c>
      <c r="BU92" s="463">
        <f t="shared" si="148"/>
        <v>3.9632780604182113E-2</v>
      </c>
      <c r="BV92" s="463">
        <f t="shared" si="149"/>
        <v>5.9795790824389315E-2</v>
      </c>
      <c r="BW92" s="463">
        <f t="shared" si="150"/>
        <v>2.9663861905623234E-3</v>
      </c>
      <c r="BX92" s="463">
        <f t="shared" si="151"/>
        <v>0</v>
      </c>
      <c r="BY92" s="463">
        <f t="shared" si="152"/>
        <v>0.11562954310670427</v>
      </c>
      <c r="BZ92" s="463">
        <f t="shared" si="166"/>
        <v>0.10239495761913374</v>
      </c>
      <c r="CA92" s="549">
        <f t="shared" si="153"/>
        <v>3.6283428715401501E-2</v>
      </c>
      <c r="CB92" s="147">
        <f t="shared" si="167"/>
        <v>151.91297182210579</v>
      </c>
      <c r="CC92" s="153">
        <f t="shared" si="168"/>
        <v>0.38072946525352347</v>
      </c>
      <c r="CD92" s="5">
        <f t="shared" si="169"/>
        <v>3.1320000000000006</v>
      </c>
      <c r="CE92" s="153">
        <f t="shared" si="170"/>
        <v>0.89161435031660063</v>
      </c>
      <c r="CF92" s="5">
        <f t="shared" si="171"/>
        <v>89.161435031660062</v>
      </c>
      <c r="CG92">
        <f t="shared" si="172"/>
        <v>87</v>
      </c>
      <c r="CI92" s="59">
        <f t="shared" si="154"/>
        <v>-50</v>
      </c>
      <c r="CJ92">
        <f t="shared" si="155"/>
        <v>-50</v>
      </c>
    </row>
    <row r="93" spans="5:88" x14ac:dyDescent="0.25">
      <c r="E93" s="150">
        <v>88</v>
      </c>
      <c r="F93" s="191">
        <f t="shared" si="173"/>
        <v>8.8000000000000009E-2</v>
      </c>
      <c r="G93" s="191">
        <f t="shared" si="156"/>
        <v>8.8000000000000009E-2</v>
      </c>
      <c r="H93" s="191">
        <f t="shared" si="105"/>
        <v>1.7600000000000002</v>
      </c>
      <c r="I93" s="191">
        <f t="shared" si="174"/>
        <v>1.4080000000000001</v>
      </c>
      <c r="J93" s="472">
        <f t="shared" si="106"/>
        <v>20</v>
      </c>
      <c r="K93" s="386">
        <f t="shared" si="107"/>
        <v>20.32</v>
      </c>
      <c r="L93" s="386">
        <f t="shared" si="108"/>
        <v>40.32</v>
      </c>
      <c r="M93" s="386"/>
      <c r="N93" s="191">
        <f t="shared" si="109"/>
        <v>0.50396825396825395</v>
      </c>
      <c r="O93" s="152">
        <f t="shared" si="157"/>
        <v>1.8898809523809523</v>
      </c>
      <c r="P93" s="152">
        <f t="shared" si="110"/>
        <v>2.7214285714285715</v>
      </c>
      <c r="Q93" s="191">
        <f t="shared" si="111"/>
        <v>9.4494047619047616E-2</v>
      </c>
      <c r="R93" s="191">
        <f t="shared" si="112"/>
        <v>0.11811755952380952</v>
      </c>
      <c r="S93" s="386">
        <f t="shared" si="113"/>
        <v>20</v>
      </c>
      <c r="T93" s="191">
        <f t="shared" si="114"/>
        <v>0.69845669291338586</v>
      </c>
      <c r="U93" s="191">
        <f t="shared" si="115"/>
        <v>2.0953700787401579</v>
      </c>
      <c r="V93" s="191">
        <f t="shared" si="116"/>
        <v>2.0623721247442499</v>
      </c>
      <c r="W93" s="175">
        <f t="shared" si="117"/>
        <v>350</v>
      </c>
      <c r="X93" s="386">
        <f t="shared" si="158"/>
        <v>240.51515246951749</v>
      </c>
      <c r="Z93" s="191">
        <f t="shared" si="118"/>
        <v>0.47996976568405147</v>
      </c>
      <c r="AA93" s="153">
        <f t="shared" si="119"/>
        <v>1.4172335600907031</v>
      </c>
      <c r="AB93" s="153">
        <f t="shared" si="120"/>
        <v>0.11904012045735404</v>
      </c>
      <c r="AC93" s="153"/>
      <c r="AD93" s="153">
        <f t="shared" si="121"/>
        <v>0.44291338582677164</v>
      </c>
      <c r="AE93" s="317">
        <f t="shared" si="122"/>
        <v>2649.1259259259268</v>
      </c>
      <c r="AF93" s="463">
        <f t="shared" si="123"/>
        <v>1.1626476377952754E-2</v>
      </c>
      <c r="AH93" s="153">
        <f t="shared" si="124"/>
        <v>0.54928524986047611</v>
      </c>
      <c r="AI93" s="153">
        <f t="shared" si="125"/>
        <v>0.54928524986047611</v>
      </c>
      <c r="AJ93" s="153">
        <f t="shared" si="126"/>
        <v>1.4957668517485008</v>
      </c>
      <c r="AL93" s="317">
        <f t="shared" si="127"/>
        <v>88.000000000000014</v>
      </c>
      <c r="AM93" s="147">
        <f t="shared" si="128"/>
        <v>240.51515246951749</v>
      </c>
      <c r="AO93">
        <f t="shared" si="159"/>
        <v>88.000000000000014</v>
      </c>
      <c r="AP93">
        <f t="shared" si="129"/>
        <v>240.51515246951749</v>
      </c>
      <c r="AR93" s="5">
        <f t="shared" si="160"/>
        <v>4.1577422034844078</v>
      </c>
      <c r="AS93" s="5">
        <f t="shared" si="130"/>
        <v>1.6478557495814283</v>
      </c>
      <c r="AT93" s="5">
        <f t="shared" si="161"/>
        <v>2.5098864539029795</v>
      </c>
      <c r="AU93" s="153">
        <f t="shared" si="162"/>
        <v>0.39633427685834827</v>
      </c>
      <c r="AW93" s="5">
        <f t="shared" si="131"/>
        <v>0.68947680000000022</v>
      </c>
      <c r="AX93" s="5">
        <f t="shared" si="132"/>
        <v>10.9426166784</v>
      </c>
      <c r="AY93" s="5">
        <f t="shared" si="133"/>
        <v>0.6949164380928764</v>
      </c>
      <c r="AZ93" s="5">
        <f t="shared" si="134"/>
        <v>4.0897693793390788</v>
      </c>
      <c r="BA93" s="5">
        <f t="shared" si="135"/>
        <v>0.44174001588692435</v>
      </c>
      <c r="BB93" s="147">
        <f t="shared" si="136"/>
        <v>44.70200158869244</v>
      </c>
      <c r="BC93" s="5"/>
      <c r="BD93" s="153">
        <f t="shared" si="163"/>
        <v>0.19964945383213087</v>
      </c>
      <c r="BE93" s="153">
        <f t="shared" si="137"/>
        <v>0.2463970863382122</v>
      </c>
      <c r="BF93" s="153">
        <f t="shared" si="138"/>
        <v>0.24543082325453294</v>
      </c>
      <c r="BG93" s="153"/>
      <c r="BH93" s="463">
        <f t="shared" si="139"/>
        <v>1.3950966545413853E-2</v>
      </c>
      <c r="BI93" s="463">
        <f t="shared" si="140"/>
        <v>2.6633663404881006E-2</v>
      </c>
      <c r="BJ93" s="463">
        <f t="shared" si="141"/>
        <v>3.0064394058689683E-3</v>
      </c>
      <c r="BK93" s="463">
        <f t="shared" si="142"/>
        <v>1.9550303030303029E-2</v>
      </c>
      <c r="BL93">
        <f t="shared" si="143"/>
        <v>5.7999999999999996E-3</v>
      </c>
      <c r="BM93">
        <f t="shared" si="144"/>
        <v>9.0193182176069056E-6</v>
      </c>
      <c r="BN93">
        <f t="shared" si="145"/>
        <v>7.1016565513435409E-2</v>
      </c>
      <c r="BO93" s="147">
        <f t="shared" si="164"/>
        <v>71.01656551343541</v>
      </c>
      <c r="BP93" s="153">
        <f t="shared" si="146"/>
        <v>7.999960445515375E-2</v>
      </c>
      <c r="BQ93" s="153">
        <f t="shared" si="147"/>
        <v>7.9636524798595912E-2</v>
      </c>
      <c r="BR93" s="463"/>
      <c r="BT93" s="147">
        <f t="shared" si="165"/>
        <v>159.63612925374966</v>
      </c>
      <c r="BU93" s="463">
        <f t="shared" si="148"/>
        <v>3.9859904415468154E-2</v>
      </c>
      <c r="BV93" s="463">
        <f t="shared" si="149"/>
        <v>6.0711524155960393E-2</v>
      </c>
      <c r="BW93" s="463">
        <f t="shared" si="150"/>
        <v>3.0118144501698895E-3</v>
      </c>
      <c r="BX93" s="463">
        <f t="shared" si="151"/>
        <v>0</v>
      </c>
      <c r="BY93" s="463">
        <f t="shared" si="152"/>
        <v>0.11698262737786921</v>
      </c>
      <c r="BZ93" s="463">
        <f t="shared" si="166"/>
        <v>0.10358324302159844</v>
      </c>
      <c r="CA93" s="549">
        <f t="shared" si="153"/>
        <v>3.6283428715401495E-2</v>
      </c>
      <c r="CB93" s="147">
        <f t="shared" si="167"/>
        <v>153.26605609327072</v>
      </c>
      <c r="CC93" s="153">
        <f t="shared" si="168"/>
        <v>0.38391875086045579</v>
      </c>
      <c r="CD93" s="5">
        <f t="shared" si="169"/>
        <v>3.1680000000000001</v>
      </c>
      <c r="CE93" s="153">
        <f t="shared" si="170"/>
        <v>0.89191229366734492</v>
      </c>
      <c r="CF93" s="5">
        <f t="shared" si="171"/>
        <v>89.19122936673449</v>
      </c>
      <c r="CG93">
        <f t="shared" si="172"/>
        <v>88</v>
      </c>
      <c r="CI93" s="59">
        <f t="shared" si="154"/>
        <v>-50</v>
      </c>
      <c r="CJ93">
        <f t="shared" si="155"/>
        <v>-50</v>
      </c>
    </row>
    <row r="94" spans="5:88" x14ac:dyDescent="0.25">
      <c r="E94" s="150">
        <v>89</v>
      </c>
      <c r="F94" s="191">
        <f t="shared" si="173"/>
        <v>8.900000000000001E-2</v>
      </c>
      <c r="G94" s="191">
        <f t="shared" si="156"/>
        <v>8.900000000000001E-2</v>
      </c>
      <c r="H94" s="191">
        <f t="shared" si="105"/>
        <v>1.7800000000000002</v>
      </c>
      <c r="I94" s="191">
        <f t="shared" si="174"/>
        <v>1.4240000000000002</v>
      </c>
      <c r="J94" s="472">
        <f t="shared" si="106"/>
        <v>20</v>
      </c>
      <c r="K94" s="386">
        <f t="shared" si="107"/>
        <v>20.32</v>
      </c>
      <c r="L94" s="386">
        <f t="shared" si="108"/>
        <v>40.32</v>
      </c>
      <c r="M94" s="386"/>
      <c r="N94" s="191">
        <f t="shared" si="109"/>
        <v>0.50396825396825395</v>
      </c>
      <c r="O94" s="152">
        <f t="shared" si="157"/>
        <v>1.8898809523809523</v>
      </c>
      <c r="P94" s="152">
        <f t="shared" si="110"/>
        <v>2.7214285714285715</v>
      </c>
      <c r="Q94" s="191">
        <f t="shared" si="111"/>
        <v>9.4494047619047616E-2</v>
      </c>
      <c r="R94" s="191">
        <f t="shared" si="112"/>
        <v>0.11811755952380952</v>
      </c>
      <c r="S94" s="386">
        <f t="shared" si="113"/>
        <v>20</v>
      </c>
      <c r="T94" s="191">
        <f t="shared" si="114"/>
        <v>0.70639370078740171</v>
      </c>
      <c r="U94" s="191">
        <f t="shared" si="115"/>
        <v>2.1191811023622051</v>
      </c>
      <c r="V94" s="191">
        <f t="shared" si="116"/>
        <v>2.0858081716163435</v>
      </c>
      <c r="W94" s="175">
        <f t="shared" si="117"/>
        <v>350</v>
      </c>
      <c r="X94" s="386">
        <f t="shared" si="158"/>
        <v>237.81273502603977</v>
      </c>
      <c r="Z94" s="191">
        <f t="shared" si="118"/>
        <v>0.47996976568405147</v>
      </c>
      <c r="AA94" s="153">
        <f t="shared" si="119"/>
        <v>1.4172335600907031</v>
      </c>
      <c r="AB94" s="153">
        <f t="shared" si="120"/>
        <v>0.11904012045735404</v>
      </c>
      <c r="AC94" s="153"/>
      <c r="AD94" s="153">
        <f t="shared" si="121"/>
        <v>0.44291338582677164</v>
      </c>
      <c r="AE94" s="317">
        <f t="shared" si="122"/>
        <v>2679.2296296296299</v>
      </c>
      <c r="AF94" s="463">
        <f t="shared" si="123"/>
        <v>1.1626476377952754E-2</v>
      </c>
      <c r="AH94" s="153">
        <f t="shared" si="124"/>
        <v>0.55239737249814758</v>
      </c>
      <c r="AI94" s="153">
        <f t="shared" si="125"/>
        <v>0.55239737249814758</v>
      </c>
      <c r="AJ94" s="153">
        <f t="shared" si="126"/>
        <v>1.4980721277764055</v>
      </c>
      <c r="AL94" s="317">
        <f t="shared" si="127"/>
        <v>89.000000000000014</v>
      </c>
      <c r="AM94" s="147">
        <f t="shared" si="128"/>
        <v>237.81273502603977</v>
      </c>
      <c r="AO94">
        <f t="shared" si="159"/>
        <v>89.000000000000014</v>
      </c>
      <c r="AP94">
        <f t="shared" si="129"/>
        <v>237.81273502603977</v>
      </c>
      <c r="AR94" s="5">
        <f t="shared" si="160"/>
        <v>4.2049892739785495</v>
      </c>
      <c r="AS94" s="5">
        <f t="shared" si="130"/>
        <v>1.6571921174944426</v>
      </c>
      <c r="AT94" s="5">
        <f t="shared" si="161"/>
        <v>2.5477971564841067</v>
      </c>
      <c r="AU94" s="153">
        <f t="shared" si="162"/>
        <v>0.39410138992494759</v>
      </c>
      <c r="AW94" s="5">
        <f t="shared" si="131"/>
        <v>0.68947680000000022</v>
      </c>
      <c r="AX94" s="5">
        <f t="shared" si="132"/>
        <v>11.189691465600001</v>
      </c>
      <c r="AY94" s="5">
        <f t="shared" si="133"/>
        <v>0.6949164380928764</v>
      </c>
      <c r="AZ94" s="5">
        <f t="shared" si="134"/>
        <v>4.1812240771881255</v>
      </c>
      <c r="BA94" s="5">
        <f t="shared" si="135"/>
        <v>0.45350789385417101</v>
      </c>
      <c r="BB94" s="147">
        <f t="shared" si="136"/>
        <v>45.884789385417108</v>
      </c>
      <c r="BC94" s="5"/>
      <c r="BD94" s="153">
        <f t="shared" si="163"/>
        <v>0.2002142386925147</v>
      </c>
      <c r="BE94" s="153">
        <f t="shared" si="137"/>
        <v>0.24825097046952804</v>
      </c>
      <c r="BF94" s="153">
        <f t="shared" si="138"/>
        <v>0.24727743725200055</v>
      </c>
      <c r="BG94" s="153"/>
      <c r="BH94" s="463">
        <f t="shared" si="139"/>
        <v>1.4030009481328137E-2</v>
      </c>
      <c r="BI94" s="463">
        <f t="shared" si="140"/>
        <v>2.6483613402956487E-2</v>
      </c>
      <c r="BJ94" s="463">
        <f t="shared" si="141"/>
        <v>2.9726591878254968E-3</v>
      </c>
      <c r="BK94" s="463">
        <f t="shared" si="142"/>
        <v>1.9330636704119851E-2</v>
      </c>
      <c r="BL94">
        <f t="shared" si="143"/>
        <v>5.7999999999999996E-3</v>
      </c>
      <c r="BM94">
        <f t="shared" si="144"/>
        <v>8.9179775634764916E-6</v>
      </c>
      <c r="BN94">
        <f t="shared" si="145"/>
        <v>7.070290510191167E-2</v>
      </c>
      <c r="BO94" s="147">
        <f t="shared" si="164"/>
        <v>70.702905101911668</v>
      </c>
      <c r="BP94" s="153">
        <f t="shared" si="146"/>
        <v>8.1082207875043749E-2</v>
      </c>
      <c r="BQ94" s="153">
        <f t="shared" si="147"/>
        <v>8.0713644064072665E-2</v>
      </c>
      <c r="BR94" s="463"/>
      <c r="BT94" s="147">
        <f t="shared" si="165"/>
        <v>161.7958519391164</v>
      </c>
      <c r="BU94" s="463">
        <f t="shared" si="148"/>
        <v>4.0085741375223249E-2</v>
      </c>
      <c r="BV94" s="463">
        <f t="shared" si="149"/>
        <v>6.1628544339062487E-2</v>
      </c>
      <c r="BW94" s="463">
        <f t="shared" si="150"/>
        <v>3.0573065486958536E-3</v>
      </c>
      <c r="BX94" s="463">
        <f t="shared" si="151"/>
        <v>0</v>
      </c>
      <c r="BY94" s="463">
        <f t="shared" si="152"/>
        <v>0.11833604379296261</v>
      </c>
      <c r="BZ94" s="463">
        <f t="shared" si="166"/>
        <v>0.10477159226298158</v>
      </c>
      <c r="CA94" s="549">
        <f t="shared" si="153"/>
        <v>3.6283428715401515E-2</v>
      </c>
      <c r="CB94" s="147">
        <f t="shared" si="167"/>
        <v>154.61947250836414</v>
      </c>
      <c r="CC94" s="153">
        <f t="shared" si="168"/>
        <v>0.38711822954939218</v>
      </c>
      <c r="CD94" s="5">
        <f t="shared" si="169"/>
        <v>3.2040000000000006</v>
      </c>
      <c r="CE94" s="153">
        <f t="shared" si="170"/>
        <v>0.89220120174156259</v>
      </c>
      <c r="CF94" s="5">
        <f t="shared" si="171"/>
        <v>89.220120174156264</v>
      </c>
      <c r="CG94">
        <f t="shared" si="172"/>
        <v>89</v>
      </c>
      <c r="CI94" s="59">
        <f t="shared" si="154"/>
        <v>-50</v>
      </c>
      <c r="CJ94">
        <f t="shared" si="155"/>
        <v>-50</v>
      </c>
    </row>
    <row r="95" spans="5:88" x14ac:dyDescent="0.25">
      <c r="E95" s="150">
        <v>90</v>
      </c>
      <c r="F95" s="191">
        <f t="shared" si="173"/>
        <v>9.0000000000000011E-2</v>
      </c>
      <c r="G95" s="191">
        <f t="shared" si="156"/>
        <v>9.0000000000000011E-2</v>
      </c>
      <c r="H95" s="191">
        <f t="shared" si="105"/>
        <v>1.8000000000000003</v>
      </c>
      <c r="I95" s="191">
        <f t="shared" si="174"/>
        <v>1.4400000000000002</v>
      </c>
      <c r="J95" s="472">
        <f t="shared" si="106"/>
        <v>20</v>
      </c>
      <c r="K95" s="386">
        <f t="shared" si="107"/>
        <v>20.32</v>
      </c>
      <c r="L95" s="386">
        <f t="shared" si="108"/>
        <v>40.32</v>
      </c>
      <c r="M95" s="386"/>
      <c r="N95" s="191">
        <f t="shared" si="109"/>
        <v>0.50396825396825395</v>
      </c>
      <c r="O95" s="152">
        <f t="shared" si="157"/>
        <v>1.8898809523809523</v>
      </c>
      <c r="P95" s="152">
        <f t="shared" si="110"/>
        <v>2.7214285714285715</v>
      </c>
      <c r="Q95" s="191">
        <f t="shared" si="111"/>
        <v>9.4494047619047616E-2</v>
      </c>
      <c r="R95" s="191">
        <f t="shared" si="112"/>
        <v>0.11811755952380952</v>
      </c>
      <c r="S95" s="386">
        <f t="shared" si="113"/>
        <v>20</v>
      </c>
      <c r="T95" s="191">
        <f t="shared" si="114"/>
        <v>0.71433070866141735</v>
      </c>
      <c r="U95" s="191">
        <f t="shared" si="115"/>
        <v>2.1429921259842519</v>
      </c>
      <c r="V95" s="191">
        <f t="shared" si="116"/>
        <v>2.109244218488437</v>
      </c>
      <c r="W95" s="175">
        <f t="shared" si="117"/>
        <v>350</v>
      </c>
      <c r="X95" s="386">
        <f t="shared" si="158"/>
        <v>235.1703713035283</v>
      </c>
      <c r="Z95" s="191">
        <f t="shared" si="118"/>
        <v>0.47996976568405147</v>
      </c>
      <c r="AA95" s="153">
        <f t="shared" si="119"/>
        <v>1.4172335600907031</v>
      </c>
      <c r="AB95" s="153">
        <f t="shared" si="120"/>
        <v>0.11904012045735404</v>
      </c>
      <c r="AC95" s="153"/>
      <c r="AD95" s="153">
        <f t="shared" si="121"/>
        <v>0.44291338582677164</v>
      </c>
      <c r="AE95" s="317">
        <f t="shared" si="122"/>
        <v>2709.3333333333339</v>
      </c>
      <c r="AF95" s="463">
        <f t="shared" si="123"/>
        <v>1.1626476377952754E-2</v>
      </c>
      <c r="AH95" s="153">
        <f t="shared" si="124"/>
        <v>0.5554920598635309</v>
      </c>
      <c r="AI95" s="153">
        <f t="shared" si="125"/>
        <v>0.5554920598635309</v>
      </c>
      <c r="AJ95" s="153">
        <f t="shared" si="126"/>
        <v>1.5003644887878007</v>
      </c>
      <c r="AL95" s="317">
        <f t="shared" si="127"/>
        <v>90.000000000000014</v>
      </c>
      <c r="AM95" s="147">
        <f t="shared" si="128"/>
        <v>235.1703713035283</v>
      </c>
      <c r="AO95">
        <f t="shared" si="159"/>
        <v>90.000000000000014</v>
      </c>
      <c r="AP95">
        <f t="shared" si="129"/>
        <v>235.1703713035283</v>
      </c>
      <c r="AR95" s="5">
        <f t="shared" si="160"/>
        <v>4.2522363444726885</v>
      </c>
      <c r="AS95" s="5">
        <f t="shared" si="130"/>
        <v>1.6664761795905927</v>
      </c>
      <c r="AT95" s="5">
        <f t="shared" si="161"/>
        <v>2.585760164882096</v>
      </c>
      <c r="AU95" s="153">
        <f t="shared" si="162"/>
        <v>0.39190582192280499</v>
      </c>
      <c r="AW95" s="5">
        <f t="shared" si="131"/>
        <v>0.68947680000000022</v>
      </c>
      <c r="AX95" s="5">
        <f t="shared" si="132"/>
        <v>11.439524160000001</v>
      </c>
      <c r="AY95" s="5">
        <f t="shared" si="133"/>
        <v>0.6949164380928764</v>
      </c>
      <c r="AZ95" s="5">
        <f t="shared" si="134"/>
        <v>4.2736895625834892</v>
      </c>
      <c r="BA95" s="5">
        <f t="shared" si="135"/>
        <v>0.46543682967877725</v>
      </c>
      <c r="BB95" s="147">
        <f t="shared" si="136"/>
        <v>47.083682967877721</v>
      </c>
      <c r="BC95" s="5"/>
      <c r="BD95" s="153">
        <f t="shared" si="163"/>
        <v>0.20077428399090344</v>
      </c>
      <c r="BE95" s="153">
        <f t="shared" si="137"/>
        <v>0.25009364195253531</v>
      </c>
      <c r="BF95" s="153">
        <f t="shared" si="138"/>
        <v>0.24911288257232928</v>
      </c>
      <c r="BG95" s="153"/>
      <c r="BH95" s="463">
        <f t="shared" si="139"/>
        <v>1.410860958922098E-2</v>
      </c>
      <c r="BI95" s="463">
        <f t="shared" si="140"/>
        <v>2.6336071233212497E-2</v>
      </c>
      <c r="BJ95" s="463">
        <f t="shared" si="141"/>
        <v>2.9396296412941034E-3</v>
      </c>
      <c r="BK95" s="463">
        <f t="shared" si="142"/>
        <v>1.9115851851851856E-2</v>
      </c>
      <c r="BL95">
        <f t="shared" si="143"/>
        <v>5.7999999999999996E-3</v>
      </c>
      <c r="BM95">
        <f t="shared" si="144"/>
        <v>8.8188889238823103E-6</v>
      </c>
      <c r="BN95">
        <f t="shared" si="145"/>
        <v>7.0396889310034988E-2</v>
      </c>
      <c r="BO95" s="147">
        <f t="shared" si="164"/>
        <v>70.396889310034993</v>
      </c>
      <c r="BP95" s="153">
        <f t="shared" si="146"/>
        <v>8.2165777925243377E-2</v>
      </c>
      <c r="BQ95" s="153">
        <f t="shared" si="147"/>
        <v>8.1791722393310284E-2</v>
      </c>
      <c r="BR95" s="463"/>
      <c r="BT95" s="147">
        <f t="shared" si="165"/>
        <v>163.95750031855366</v>
      </c>
      <c r="BU95" s="463">
        <f t="shared" si="148"/>
        <v>4.0310313112059945E-2</v>
      </c>
      <c r="BV95" s="463">
        <f t="shared" si="149"/>
        <v>6.2546829745082924E-2</v>
      </c>
      <c r="BW95" s="463">
        <f t="shared" si="150"/>
        <v>3.1028614131747559E-3</v>
      </c>
      <c r="BX95" s="463">
        <f t="shared" si="151"/>
        <v>0</v>
      </c>
      <c r="BY95" s="463">
        <f t="shared" si="152"/>
        <v>0.1196897912460796</v>
      </c>
      <c r="BZ95" s="463">
        <f t="shared" si="166"/>
        <v>0.10596000427031763</v>
      </c>
      <c r="CA95" s="549">
        <f t="shared" si="153"/>
        <v>3.6283428715401522E-2</v>
      </c>
      <c r="CB95" s="147">
        <f t="shared" si="167"/>
        <v>155.97321996148111</v>
      </c>
      <c r="CC95" s="153">
        <f t="shared" si="168"/>
        <v>0.39032760959006979</v>
      </c>
      <c r="CD95" s="5">
        <f t="shared" si="169"/>
        <v>3.24</v>
      </c>
      <c r="CE95" s="153">
        <f t="shared" si="170"/>
        <v>0.89248143650755951</v>
      </c>
      <c r="CF95" s="5">
        <f t="shared" si="171"/>
        <v>89.248143650755949</v>
      </c>
      <c r="CG95">
        <f t="shared" si="172"/>
        <v>90</v>
      </c>
      <c r="CI95" s="59">
        <f t="shared" si="154"/>
        <v>-50</v>
      </c>
      <c r="CJ95">
        <f t="shared" si="155"/>
        <v>-50</v>
      </c>
    </row>
    <row r="96" spans="5:88" x14ac:dyDescent="0.25">
      <c r="E96" s="150">
        <v>91</v>
      </c>
      <c r="F96" s="191">
        <f t="shared" si="173"/>
        <v>9.1000000000000011E-2</v>
      </c>
      <c r="G96" s="191">
        <f t="shared" si="156"/>
        <v>9.1000000000000011E-2</v>
      </c>
      <c r="H96" s="191">
        <f t="shared" si="105"/>
        <v>1.8200000000000003</v>
      </c>
      <c r="I96" s="191">
        <f t="shared" si="174"/>
        <v>1.4560000000000002</v>
      </c>
      <c r="J96" s="472">
        <f t="shared" si="106"/>
        <v>20</v>
      </c>
      <c r="K96" s="386">
        <f t="shared" si="107"/>
        <v>20.32</v>
      </c>
      <c r="L96" s="386">
        <f t="shared" si="108"/>
        <v>40.32</v>
      </c>
      <c r="M96" s="386"/>
      <c r="N96" s="191">
        <f t="shared" si="109"/>
        <v>0.50396825396825395</v>
      </c>
      <c r="O96" s="152">
        <f t="shared" si="157"/>
        <v>1.8898809523809523</v>
      </c>
      <c r="P96" s="152">
        <f t="shared" si="110"/>
        <v>2.7214285714285715</v>
      </c>
      <c r="Q96" s="191">
        <f t="shared" si="111"/>
        <v>9.4494047619047616E-2</v>
      </c>
      <c r="R96" s="191">
        <f t="shared" si="112"/>
        <v>0.11811755952380952</v>
      </c>
      <c r="S96" s="386">
        <f t="shared" si="113"/>
        <v>20</v>
      </c>
      <c r="T96" s="191">
        <f t="shared" si="114"/>
        <v>0.7222677165354332</v>
      </c>
      <c r="U96" s="191">
        <f t="shared" si="115"/>
        <v>2.1668031496063</v>
      </c>
      <c r="V96" s="191">
        <f t="shared" si="116"/>
        <v>2.1326802653605315</v>
      </c>
      <c r="W96" s="175">
        <f t="shared" si="117"/>
        <v>350</v>
      </c>
      <c r="X96" s="386">
        <f t="shared" si="158"/>
        <v>232.58608150898394</v>
      </c>
      <c r="Z96" s="191">
        <f t="shared" si="118"/>
        <v>0.47996976568405147</v>
      </c>
      <c r="AA96" s="153">
        <f t="shared" si="119"/>
        <v>1.4172335600907031</v>
      </c>
      <c r="AB96" s="153">
        <f t="shared" si="120"/>
        <v>0.11904012045735404</v>
      </c>
      <c r="AC96" s="153"/>
      <c r="AD96" s="153">
        <f t="shared" si="121"/>
        <v>0.44291338582677164</v>
      </c>
      <c r="AE96" s="317">
        <f t="shared" si="122"/>
        <v>2739.437037037038</v>
      </c>
      <c r="AF96" s="463">
        <f t="shared" si="123"/>
        <v>1.1626476377952754E-2</v>
      </c>
      <c r="AH96" s="153">
        <f t="shared" si="124"/>
        <v>0.55856960175075765</v>
      </c>
      <c r="AI96" s="153">
        <f t="shared" si="125"/>
        <v>0.55856960175075765</v>
      </c>
      <c r="AJ96" s="153">
        <f t="shared" si="126"/>
        <v>1.5026441494450056</v>
      </c>
      <c r="AL96" s="317">
        <f t="shared" si="127"/>
        <v>91.000000000000014</v>
      </c>
      <c r="AM96" s="147">
        <f t="shared" si="128"/>
        <v>232.58608150898394</v>
      </c>
      <c r="AO96">
        <f t="shared" si="159"/>
        <v>91.000000000000014</v>
      </c>
      <c r="AP96">
        <f t="shared" si="129"/>
        <v>232.58608150898394</v>
      </c>
      <c r="AR96" s="5">
        <f t="shared" si="160"/>
        <v>4.2994834149668311</v>
      </c>
      <c r="AS96" s="5">
        <f t="shared" si="130"/>
        <v>1.6757088052522731</v>
      </c>
      <c r="AT96" s="5">
        <f t="shared" si="161"/>
        <v>2.623774609714558</v>
      </c>
      <c r="AU96" s="153">
        <f t="shared" si="162"/>
        <v>0.38974654476372728</v>
      </c>
      <c r="AW96" s="5">
        <f t="shared" si="131"/>
        <v>0.68947680000000022</v>
      </c>
      <c r="AX96" s="5">
        <f t="shared" si="132"/>
        <v>11.692114761600001</v>
      </c>
      <c r="AY96" s="5">
        <f t="shared" si="133"/>
        <v>0.6949164380928764</v>
      </c>
      <c r="AZ96" s="5">
        <f t="shared" si="134"/>
        <v>4.3671658355251699</v>
      </c>
      <c r="BA96" s="5">
        <f t="shared" si="135"/>
        <v>0.47752697896804963</v>
      </c>
      <c r="BB96" s="147">
        <f t="shared" si="136"/>
        <v>48.29869789680496</v>
      </c>
      <c r="BC96" s="5"/>
      <c r="BD96" s="153">
        <f t="shared" si="163"/>
        <v>0.2013296815062986</v>
      </c>
      <c r="BE96" s="153">
        <f t="shared" si="137"/>
        <v>0.25192530508976735</v>
      </c>
      <c r="BF96" s="153">
        <f t="shared" si="138"/>
        <v>0.25093736271686629</v>
      </c>
      <c r="BG96" s="153"/>
      <c r="BH96" s="463">
        <f t="shared" si="139"/>
        <v>1.418677422939967E-2</v>
      </c>
      <c r="BI96" s="463">
        <f t="shared" si="140"/>
        <v>2.6190967808122467E-2</v>
      </c>
      <c r="BJ96" s="463">
        <f t="shared" si="141"/>
        <v>2.9073260188622993E-3</v>
      </c>
      <c r="BK96" s="463">
        <f t="shared" si="142"/>
        <v>1.8905787545787544E-2</v>
      </c>
      <c r="BL96">
        <f t="shared" si="143"/>
        <v>5.7999999999999996E-3</v>
      </c>
      <c r="BM96">
        <f t="shared" si="144"/>
        <v>8.721978056586897E-6</v>
      </c>
      <c r="BN96">
        <f t="shared" si="145"/>
        <v>7.0098271512107097E-2</v>
      </c>
      <c r="BO96" s="147">
        <f t="shared" si="164"/>
        <v>70.09827151210709</v>
      </c>
      <c r="BP96" s="153">
        <f t="shared" si="146"/>
        <v>8.3250298539253309E-2</v>
      </c>
      <c r="BQ96" s="153">
        <f t="shared" si="147"/>
        <v>8.2870743845574246E-2</v>
      </c>
      <c r="BR96" s="463"/>
      <c r="BT96" s="147">
        <f t="shared" si="165"/>
        <v>166.12104238482755</v>
      </c>
      <c r="BU96" s="463">
        <f t="shared" si="148"/>
        <v>4.0533640655427632E-2</v>
      </c>
      <c r="BV96" s="463">
        <f t="shared" si="149"/>
        <v>6.3466359344572357E-2</v>
      </c>
      <c r="BW96" s="463">
        <f t="shared" si="150"/>
        <v>3.148478000364806E-3</v>
      </c>
      <c r="BX96" s="463">
        <f t="shared" si="151"/>
        <v>0</v>
      </c>
      <c r="BY96" s="463">
        <f t="shared" si="152"/>
        <v>0.12104386866430103</v>
      </c>
      <c r="BZ96" s="463">
        <f t="shared" si="166"/>
        <v>0.10714847800036478</v>
      </c>
      <c r="CA96" s="549">
        <f t="shared" si="153"/>
        <v>3.6283428715401501E-2</v>
      </c>
      <c r="CB96" s="147">
        <f t="shared" si="167"/>
        <v>157.32729737970251</v>
      </c>
      <c r="CC96" s="153">
        <f t="shared" si="168"/>
        <v>0.3935466112766372</v>
      </c>
      <c r="CD96" s="5">
        <f t="shared" si="169"/>
        <v>3.2760000000000007</v>
      </c>
      <c r="CE96" s="153">
        <f t="shared" si="170"/>
        <v>0.89275334177054588</v>
      </c>
      <c r="CF96" s="5">
        <f t="shared" si="171"/>
        <v>89.275334177054589</v>
      </c>
      <c r="CG96">
        <f t="shared" si="172"/>
        <v>91</v>
      </c>
      <c r="CI96" s="59">
        <f t="shared" si="154"/>
        <v>-50</v>
      </c>
      <c r="CJ96">
        <f t="shared" si="155"/>
        <v>-50</v>
      </c>
    </row>
    <row r="97" spans="5:88" x14ac:dyDescent="0.25">
      <c r="E97" s="150">
        <v>92</v>
      </c>
      <c r="F97" s="191">
        <f t="shared" si="173"/>
        <v>9.2000000000000012E-2</v>
      </c>
      <c r="G97" s="191">
        <f t="shared" si="156"/>
        <v>9.2000000000000012E-2</v>
      </c>
      <c r="H97" s="191">
        <f t="shared" si="105"/>
        <v>1.8400000000000003</v>
      </c>
      <c r="I97" s="191">
        <f t="shared" si="174"/>
        <v>1.4720000000000002</v>
      </c>
      <c r="J97" s="472">
        <f t="shared" si="106"/>
        <v>20</v>
      </c>
      <c r="K97" s="386">
        <f t="shared" si="107"/>
        <v>20.32</v>
      </c>
      <c r="L97" s="386">
        <f t="shared" si="108"/>
        <v>40.32</v>
      </c>
      <c r="M97" s="386"/>
      <c r="N97" s="191">
        <f t="shared" si="109"/>
        <v>0.50396825396825395</v>
      </c>
      <c r="O97" s="152">
        <f t="shared" si="157"/>
        <v>1.8898809523809523</v>
      </c>
      <c r="P97" s="152">
        <f t="shared" si="110"/>
        <v>2.7214285714285715</v>
      </c>
      <c r="Q97" s="191">
        <f t="shared" si="111"/>
        <v>9.4494047619047616E-2</v>
      </c>
      <c r="R97" s="191">
        <f t="shared" si="112"/>
        <v>0.11811755952380952</v>
      </c>
      <c r="S97" s="386">
        <f t="shared" si="113"/>
        <v>20</v>
      </c>
      <c r="T97" s="191">
        <f t="shared" si="114"/>
        <v>0.73020472440944895</v>
      </c>
      <c r="U97" s="191">
        <f t="shared" si="115"/>
        <v>2.1906141732283468</v>
      </c>
      <c r="V97" s="191">
        <f t="shared" si="116"/>
        <v>2.1561163122326246</v>
      </c>
      <c r="W97" s="175">
        <f t="shared" si="117"/>
        <v>350</v>
      </c>
      <c r="X97" s="386">
        <f t="shared" si="158"/>
        <v>230.05797192736458</v>
      </c>
      <c r="Z97" s="191">
        <f t="shared" si="118"/>
        <v>0.47996976568405147</v>
      </c>
      <c r="AA97" s="153">
        <f t="shared" si="119"/>
        <v>1.4172335600907031</v>
      </c>
      <c r="AB97" s="153">
        <f t="shared" si="120"/>
        <v>0.11904012045735404</v>
      </c>
      <c r="AC97" s="153"/>
      <c r="AD97" s="153">
        <f t="shared" si="121"/>
        <v>0.44291338582677164</v>
      </c>
      <c r="AE97" s="317">
        <f t="shared" si="122"/>
        <v>2769.5407407407415</v>
      </c>
      <c r="AF97" s="463">
        <f t="shared" si="123"/>
        <v>1.1626476377952754E-2</v>
      </c>
      <c r="AH97" s="153">
        <f t="shared" si="124"/>
        <v>0.56163028001397097</v>
      </c>
      <c r="AI97" s="153">
        <f t="shared" si="125"/>
        <v>0.56163028001397097</v>
      </c>
      <c r="AJ97" s="153">
        <f t="shared" si="126"/>
        <v>1.5049113185288674</v>
      </c>
      <c r="AL97" s="317">
        <f t="shared" si="127"/>
        <v>92.000000000000014</v>
      </c>
      <c r="AM97" s="147">
        <f t="shared" si="128"/>
        <v>230.05797192736458</v>
      </c>
      <c r="AO97">
        <f t="shared" si="159"/>
        <v>92.000000000000014</v>
      </c>
      <c r="AP97">
        <f t="shared" si="129"/>
        <v>230.05797192736458</v>
      </c>
      <c r="AR97" s="5">
        <f t="shared" si="160"/>
        <v>4.3467304854609718</v>
      </c>
      <c r="AS97" s="5">
        <f t="shared" si="130"/>
        <v>1.6848908400419131</v>
      </c>
      <c r="AT97" s="5">
        <f t="shared" si="161"/>
        <v>2.6618396454190587</v>
      </c>
      <c r="AU97" s="153">
        <f t="shared" si="162"/>
        <v>0.38762256957903612</v>
      </c>
      <c r="AW97" s="5">
        <f t="shared" si="131"/>
        <v>0.68947680000000022</v>
      </c>
      <c r="AX97" s="5">
        <f t="shared" si="132"/>
        <v>11.947463270400004</v>
      </c>
      <c r="AY97" s="5">
        <f t="shared" si="133"/>
        <v>0.6949164380928764</v>
      </c>
      <c r="AZ97" s="5">
        <f t="shared" si="134"/>
        <v>4.4616528960131676</v>
      </c>
      <c r="BA97" s="5">
        <f t="shared" si="135"/>
        <v>0.48977849475710677</v>
      </c>
      <c r="BB97" s="147">
        <f t="shared" si="136"/>
        <v>49.529849475710684</v>
      </c>
      <c r="BC97" s="5"/>
      <c r="BD97" s="153">
        <f t="shared" si="163"/>
        <v>0.20188052025541195</v>
      </c>
      <c r="BE97" s="153">
        <f t="shared" si="137"/>
        <v>0.25374615796945843</v>
      </c>
      <c r="BF97" s="153">
        <f t="shared" si="138"/>
        <v>0.2527510749970292</v>
      </c>
      <c r="BG97" s="153"/>
      <c r="BH97" s="463">
        <f t="shared" si="139"/>
        <v>1.4264510560508528E-2</v>
      </c>
      <c r="BI97" s="463">
        <f t="shared" si="140"/>
        <v>2.6048236675711229E-2</v>
      </c>
      <c r="BJ97" s="463">
        <f t="shared" si="141"/>
        <v>2.8757246490920571E-3</v>
      </c>
      <c r="BK97" s="463">
        <f t="shared" si="142"/>
        <v>1.8700289855072463E-2</v>
      </c>
      <c r="BL97">
        <f t="shared" si="143"/>
        <v>5.7999999999999996E-3</v>
      </c>
      <c r="BM97">
        <f t="shared" si="144"/>
        <v>8.6271739472761715E-6</v>
      </c>
      <c r="BN97">
        <f t="shared" si="145"/>
        <v>6.9806815570683398E-2</v>
      </c>
      <c r="BO97" s="147">
        <f t="shared" si="164"/>
        <v>69.806815570683398</v>
      </c>
      <c r="BP97" s="153">
        <f t="shared" si="146"/>
        <v>8.4335754090775678E-2</v>
      </c>
      <c r="BQ97" s="153">
        <f t="shared" si="147"/>
        <v>8.3950692916885575E-2</v>
      </c>
      <c r="BR97" s="463"/>
      <c r="BT97" s="147">
        <f t="shared" si="165"/>
        <v>168.28644700766125</v>
      </c>
      <c r="BU97" s="463">
        <f t="shared" si="148"/>
        <v>4.0755744458595797E-2</v>
      </c>
      <c r="BV97" s="463">
        <f t="shared" si="149"/>
        <v>6.4387112684261352E-2</v>
      </c>
      <c r="BW97" s="463">
        <f t="shared" si="150"/>
        <v>3.1941552956076939E-3</v>
      </c>
      <c r="BX97" s="463">
        <f t="shared" si="151"/>
        <v>0</v>
      </c>
      <c r="BY97" s="463">
        <f t="shared" si="152"/>
        <v>0.12239827500642605</v>
      </c>
      <c r="BZ97" s="463">
        <f t="shared" si="166"/>
        <v>0.10833701243846484</v>
      </c>
      <c r="CA97" s="549">
        <f t="shared" si="153"/>
        <v>3.6283428715401501E-2</v>
      </c>
      <c r="CB97" s="147">
        <f t="shared" si="167"/>
        <v>158.68170372182755</v>
      </c>
      <c r="CC97" s="153">
        <f t="shared" si="168"/>
        <v>0.39677496630017223</v>
      </c>
      <c r="CD97" s="5">
        <f t="shared" si="169"/>
        <v>3.3120000000000003</v>
      </c>
      <c r="CE97" s="153">
        <f t="shared" si="170"/>
        <v>0.89301724426381424</v>
      </c>
      <c r="CF97" s="5">
        <f t="shared" si="171"/>
        <v>89.301724426381426</v>
      </c>
      <c r="CG97">
        <f t="shared" si="172"/>
        <v>92</v>
      </c>
      <c r="CI97" s="59">
        <f t="shared" si="154"/>
        <v>-50</v>
      </c>
      <c r="CJ97">
        <f t="shared" si="155"/>
        <v>-50</v>
      </c>
    </row>
    <row r="98" spans="5:88" x14ac:dyDescent="0.25">
      <c r="E98" s="150">
        <v>93</v>
      </c>
      <c r="F98" s="191">
        <f t="shared" si="173"/>
        <v>9.3000000000000013E-2</v>
      </c>
      <c r="G98" s="191">
        <f t="shared" si="156"/>
        <v>9.3000000000000013E-2</v>
      </c>
      <c r="H98" s="191">
        <f t="shared" si="105"/>
        <v>1.8600000000000003</v>
      </c>
      <c r="I98" s="191">
        <f t="shared" si="174"/>
        <v>1.4880000000000002</v>
      </c>
      <c r="J98" s="472">
        <f t="shared" si="106"/>
        <v>20</v>
      </c>
      <c r="K98" s="386">
        <f t="shared" si="107"/>
        <v>20.32</v>
      </c>
      <c r="L98" s="386">
        <f t="shared" si="108"/>
        <v>40.32</v>
      </c>
      <c r="M98" s="386"/>
      <c r="N98" s="191">
        <f t="shared" si="109"/>
        <v>0.50396825396825395</v>
      </c>
      <c r="O98" s="152">
        <f t="shared" si="157"/>
        <v>1.8898809523809523</v>
      </c>
      <c r="P98" s="152">
        <f t="shared" si="110"/>
        <v>2.7214285714285715</v>
      </c>
      <c r="Q98" s="191">
        <f t="shared" si="111"/>
        <v>9.4494047619047616E-2</v>
      </c>
      <c r="R98" s="191">
        <f t="shared" si="112"/>
        <v>0.11811755952380952</v>
      </c>
      <c r="S98" s="386">
        <f t="shared" si="113"/>
        <v>20</v>
      </c>
      <c r="T98" s="191">
        <f t="shared" si="114"/>
        <v>0.7381417322834648</v>
      </c>
      <c r="U98" s="191">
        <f t="shared" si="115"/>
        <v>2.2144251968503941</v>
      </c>
      <c r="V98" s="191">
        <f t="shared" si="116"/>
        <v>2.1795523591047186</v>
      </c>
      <c r="W98" s="175">
        <f t="shared" si="117"/>
        <v>350</v>
      </c>
      <c r="X98" s="386">
        <f t="shared" si="158"/>
        <v>227.58423029373699</v>
      </c>
      <c r="Z98" s="191">
        <f t="shared" si="118"/>
        <v>0.47996976568405147</v>
      </c>
      <c r="AA98" s="153">
        <f t="shared" si="119"/>
        <v>1.4172335600907031</v>
      </c>
      <c r="AB98" s="153">
        <f t="shared" si="120"/>
        <v>0.11904012045735404</v>
      </c>
      <c r="AC98" s="153"/>
      <c r="AD98" s="153">
        <f t="shared" si="121"/>
        <v>0.44291338582677164</v>
      </c>
      <c r="AE98" s="317">
        <f t="shared" si="122"/>
        <v>2799.6444444444455</v>
      </c>
      <c r="AF98" s="463">
        <f t="shared" si="123"/>
        <v>1.1626476377952754E-2</v>
      </c>
      <c r="AH98" s="153">
        <f t="shared" si="124"/>
        <v>0.56467436886859224</v>
      </c>
      <c r="AI98" s="153">
        <f t="shared" si="125"/>
        <v>0.56467436886859224</v>
      </c>
      <c r="AJ98" s="153">
        <f t="shared" si="126"/>
        <v>1.5071661991619201</v>
      </c>
      <c r="AL98" s="317">
        <f t="shared" si="127"/>
        <v>93.000000000000014</v>
      </c>
      <c r="AM98" s="147">
        <f t="shared" si="128"/>
        <v>227.58423029373699</v>
      </c>
      <c r="AO98">
        <f t="shared" si="159"/>
        <v>93.000000000000014</v>
      </c>
      <c r="AP98">
        <f t="shared" si="129"/>
        <v>227.58423029373699</v>
      </c>
      <c r="AR98" s="5">
        <f t="shared" si="160"/>
        <v>4.3939775559551126</v>
      </c>
      <c r="AS98" s="5">
        <f t="shared" si="130"/>
        <v>1.6940231066057767</v>
      </c>
      <c r="AT98" s="5">
        <f t="shared" si="161"/>
        <v>2.6999544493493359</v>
      </c>
      <c r="AU98" s="153">
        <f t="shared" si="162"/>
        <v>0.38553294481668088</v>
      </c>
      <c r="AW98" s="5">
        <f t="shared" si="131"/>
        <v>0.68947680000000022</v>
      </c>
      <c r="AX98" s="5">
        <f t="shared" si="132"/>
        <v>12.205569686400004</v>
      </c>
      <c r="AY98" s="5">
        <f t="shared" si="133"/>
        <v>0.6949164380928764</v>
      </c>
      <c r="AZ98" s="5">
        <f t="shared" si="134"/>
        <v>4.5571507440474814</v>
      </c>
      <c r="BA98" s="5">
        <f t="shared" si="135"/>
        <v>0.50219152757897656</v>
      </c>
      <c r="BB98" s="147">
        <f t="shared" si="136"/>
        <v>50.777152757897667</v>
      </c>
      <c r="BC98" s="5"/>
      <c r="BD98" s="153">
        <f t="shared" si="163"/>
        <v>0.20242688660480801</v>
      </c>
      <c r="BE98" s="153">
        <f t="shared" si="137"/>
        <v>0.25555639273005581</v>
      </c>
      <c r="BF98" s="153">
        <f t="shared" si="138"/>
        <v>0.25455421079778112</v>
      </c>
      <c r="BG98" s="153"/>
      <c r="BH98" s="463">
        <f t="shared" si="139"/>
        <v>1.4341825547180529E-2</v>
      </c>
      <c r="BI98" s="463">
        <f t="shared" si="140"/>
        <v>2.5907813891680953E-2</v>
      </c>
      <c r="BJ98" s="463">
        <f t="shared" si="141"/>
        <v>2.8448028786717122E-3</v>
      </c>
      <c r="BK98" s="463">
        <f t="shared" si="142"/>
        <v>1.8499211469534049E-2</v>
      </c>
      <c r="BL98">
        <f t="shared" si="143"/>
        <v>5.7999999999999996E-3</v>
      </c>
      <c r="BM98">
        <f t="shared" si="144"/>
        <v>8.5344086360151369E-6</v>
      </c>
      <c r="BN98">
        <f t="shared" si="145"/>
        <v>6.9522295282915966E-2</v>
      </c>
      <c r="BO98" s="147">
        <f t="shared" si="164"/>
        <v>69.522295282915962</v>
      </c>
      <c r="BP98" s="153">
        <f t="shared" si="146"/>
        <v>8.5422129377011671E-2</v>
      </c>
      <c r="BQ98" s="153">
        <f t="shared" si="147"/>
        <v>8.5031554523449238E-2</v>
      </c>
      <c r="BR98" s="463"/>
      <c r="BT98" s="147">
        <f t="shared" si="165"/>
        <v>170.4536839004609</v>
      </c>
      <c r="BU98" s="463">
        <f t="shared" si="148"/>
        <v>4.0976644420515802E-2</v>
      </c>
      <c r="BV98" s="463">
        <f t="shared" si="149"/>
        <v>6.5309069865198521E-2</v>
      </c>
      <c r="BW98" s="463">
        <f t="shared" si="150"/>
        <v>3.2398923117440597E-3</v>
      </c>
      <c r="BX98" s="463">
        <f t="shared" si="151"/>
        <v>0</v>
      </c>
      <c r="BY98" s="463">
        <f t="shared" si="152"/>
        <v>0.12375300926176586</v>
      </c>
      <c r="BZ98" s="463">
        <f t="shared" si="166"/>
        <v>0.10952560659745837</v>
      </c>
      <c r="CA98" s="549">
        <f t="shared" si="153"/>
        <v>3.6283428715401515E-2</v>
      </c>
      <c r="CB98" s="147">
        <f t="shared" si="167"/>
        <v>160.03643797716737</v>
      </c>
      <c r="CC98" s="153">
        <f t="shared" si="168"/>
        <v>0.40001241716054425</v>
      </c>
      <c r="CD98" s="5">
        <f t="shared" si="169"/>
        <v>3.3480000000000008</v>
      </c>
      <c r="CE98" s="153">
        <f t="shared" si="170"/>
        <v>0.89327345466384833</v>
      </c>
      <c r="CF98" s="5">
        <f t="shared" si="171"/>
        <v>89.327345466384827</v>
      </c>
      <c r="CG98">
        <f t="shared" si="172"/>
        <v>93</v>
      </c>
      <c r="CI98" s="59">
        <f t="shared" si="154"/>
        <v>-50</v>
      </c>
      <c r="CJ98">
        <f t="shared" si="155"/>
        <v>-50</v>
      </c>
    </row>
    <row r="99" spans="5:88" x14ac:dyDescent="0.25">
      <c r="E99" s="150">
        <v>94</v>
      </c>
      <c r="F99" s="191">
        <f t="shared" si="173"/>
        <v>9.4E-2</v>
      </c>
      <c r="G99" s="191">
        <f t="shared" si="156"/>
        <v>9.4E-2</v>
      </c>
      <c r="H99" s="191">
        <f t="shared" si="105"/>
        <v>1.88</v>
      </c>
      <c r="I99" s="191">
        <f t="shared" si="174"/>
        <v>1.504</v>
      </c>
      <c r="J99" s="472">
        <f t="shared" si="106"/>
        <v>20</v>
      </c>
      <c r="K99" s="386">
        <f t="shared" si="107"/>
        <v>20.32</v>
      </c>
      <c r="L99" s="386">
        <f t="shared" si="108"/>
        <v>40.32</v>
      </c>
      <c r="M99" s="386"/>
      <c r="N99" s="191">
        <f t="shared" si="109"/>
        <v>0.50396825396825395</v>
      </c>
      <c r="O99" s="152">
        <f t="shared" si="157"/>
        <v>1.8898809523809523</v>
      </c>
      <c r="P99" s="152">
        <f t="shared" si="110"/>
        <v>2.7214285714285715</v>
      </c>
      <c r="Q99" s="191">
        <f t="shared" si="111"/>
        <v>9.4494047619047616E-2</v>
      </c>
      <c r="R99" s="191">
        <f t="shared" si="112"/>
        <v>0.11811755952380952</v>
      </c>
      <c r="S99" s="386">
        <f t="shared" si="113"/>
        <v>20</v>
      </c>
      <c r="T99" s="191">
        <f t="shared" si="114"/>
        <v>0.74607874015748032</v>
      </c>
      <c r="U99" s="191">
        <f t="shared" si="115"/>
        <v>2.2382362204724413</v>
      </c>
      <c r="V99" s="191">
        <f t="shared" si="116"/>
        <v>2.2029884059768121</v>
      </c>
      <c r="W99" s="175">
        <f t="shared" si="117"/>
        <v>350</v>
      </c>
      <c r="X99" s="386">
        <f t="shared" si="158"/>
        <v>225.1631214608249</v>
      </c>
      <c r="Z99" s="191">
        <f t="shared" si="118"/>
        <v>0.47996976568405147</v>
      </c>
      <c r="AA99" s="153">
        <f t="shared" si="119"/>
        <v>1.4172335600907031</v>
      </c>
      <c r="AB99" s="153">
        <f t="shared" si="120"/>
        <v>0.11904012045735404</v>
      </c>
      <c r="AC99" s="153"/>
      <c r="AD99" s="153">
        <f t="shared" si="121"/>
        <v>0.44291338582677164</v>
      </c>
      <c r="AE99" s="317">
        <f t="shared" si="122"/>
        <v>2829.7481481481486</v>
      </c>
      <c r="AF99" s="463">
        <f t="shared" si="123"/>
        <v>1.1626476377952754E-2</v>
      </c>
      <c r="AH99" s="153">
        <f t="shared" si="124"/>
        <v>0.56770213517804768</v>
      </c>
      <c r="AI99" s="153">
        <f t="shared" si="125"/>
        <v>0.56770213517804768</v>
      </c>
      <c r="AJ99" s="153">
        <f t="shared" si="126"/>
        <v>1.509408989020776</v>
      </c>
      <c r="AL99" s="317">
        <f t="shared" si="127"/>
        <v>94</v>
      </c>
      <c r="AM99" s="147">
        <f t="shared" si="128"/>
        <v>225.1631214608249</v>
      </c>
      <c r="AO99">
        <f t="shared" si="159"/>
        <v>94</v>
      </c>
      <c r="AP99">
        <f t="shared" si="129"/>
        <v>225.1631214608249</v>
      </c>
      <c r="AR99" s="5">
        <f t="shared" si="160"/>
        <v>4.4412246264492543</v>
      </c>
      <c r="AS99" s="5">
        <f t="shared" si="130"/>
        <v>1.7031064055341432</v>
      </c>
      <c r="AT99" s="5">
        <f t="shared" si="161"/>
        <v>2.7381182209151111</v>
      </c>
      <c r="AU99" s="153">
        <f t="shared" si="162"/>
        <v>0.38347675444999313</v>
      </c>
      <c r="AW99" s="5">
        <f t="shared" si="131"/>
        <v>0.68947680000000022</v>
      </c>
      <c r="AX99" s="5">
        <f t="shared" si="132"/>
        <v>12.466434009599999</v>
      </c>
      <c r="AY99" s="5">
        <f t="shared" si="133"/>
        <v>0.6949164380928764</v>
      </c>
      <c r="AZ99" s="5">
        <f t="shared" si="134"/>
        <v>4.6536593796281114</v>
      </c>
      <c r="BA99" s="5">
        <f t="shared" si="135"/>
        <v>0.51476622553204088</v>
      </c>
      <c r="BB99" s="147">
        <f t="shared" si="136"/>
        <v>52.040622553204081</v>
      </c>
      <c r="BC99" s="5"/>
      <c r="BD99" s="153">
        <f t="shared" si="163"/>
        <v>0.20296886437734196</v>
      </c>
      <c r="BE99" s="153">
        <f t="shared" si="137"/>
        <v>0.25735619581028862</v>
      </c>
      <c r="BF99" s="153">
        <f t="shared" si="138"/>
        <v>0.25634695582671885</v>
      </c>
      <c r="BG99" s="153"/>
      <c r="BH99" s="463">
        <f t="shared" si="139"/>
        <v>1.4418725967319742E-2</v>
      </c>
      <c r="BI99" s="463">
        <f t="shared" si="140"/>
        <v>2.5769637899039542E-2</v>
      </c>
      <c r="BJ99" s="463">
        <f t="shared" si="141"/>
        <v>2.8145390182603112E-3</v>
      </c>
      <c r="BK99" s="463">
        <f t="shared" si="142"/>
        <v>1.8302411347517731E-2</v>
      </c>
      <c r="BL99">
        <f t="shared" si="143"/>
        <v>5.7999999999999996E-3</v>
      </c>
      <c r="BM99">
        <f t="shared" si="144"/>
        <v>8.4436170547809341E-6</v>
      </c>
      <c r="BN99">
        <f t="shared" si="145"/>
        <v>6.9244493861710887E-2</v>
      </c>
      <c r="BO99" s="147">
        <f t="shared" si="164"/>
        <v>69.244493861710893</v>
      </c>
      <c r="BP99" s="153">
        <f t="shared" si="146"/>
        <v>8.6509409602764945E-2</v>
      </c>
      <c r="BQ99" s="153">
        <f t="shared" si="147"/>
        <v>8.6113313985882067E-2</v>
      </c>
      <c r="BR99" s="463"/>
      <c r="BT99" s="147">
        <f t="shared" si="165"/>
        <v>172.62272358864701</v>
      </c>
      <c r="BU99" s="463">
        <f t="shared" si="148"/>
        <v>4.1196359906627837E-2</v>
      </c>
      <c r="BV99" s="463">
        <f t="shared" si="149"/>
        <v>6.6232211521943626E-2</v>
      </c>
      <c r="BW99" s="463">
        <f t="shared" si="150"/>
        <v>3.2856880880812872E-3</v>
      </c>
      <c r="BX99" s="463">
        <f t="shared" si="151"/>
        <v>0</v>
      </c>
      <c r="BY99" s="463">
        <f t="shared" si="152"/>
        <v>0.12510807044899652</v>
      </c>
      <c r="BZ99" s="463">
        <f t="shared" si="166"/>
        <v>0.11071425951665274</v>
      </c>
      <c r="CA99" s="549">
        <f t="shared" si="153"/>
        <v>3.6283428715401508E-2</v>
      </c>
      <c r="CB99" s="147">
        <f t="shared" si="167"/>
        <v>161.39149916439806</v>
      </c>
      <c r="CC99" s="153">
        <f t="shared" si="168"/>
        <v>0.40325871661475593</v>
      </c>
      <c r="CD99" s="5">
        <f t="shared" si="169"/>
        <v>3.3839999999999999</v>
      </c>
      <c r="CE99" s="153">
        <f t="shared" si="170"/>
        <v>0.89352226853537764</v>
      </c>
      <c r="CF99" s="5">
        <f t="shared" si="171"/>
        <v>89.352226853537758</v>
      </c>
      <c r="CG99">
        <f t="shared" si="172"/>
        <v>94</v>
      </c>
      <c r="CI99" s="59">
        <f t="shared" si="154"/>
        <v>-50</v>
      </c>
      <c r="CJ99">
        <f t="shared" si="155"/>
        <v>-50</v>
      </c>
    </row>
    <row r="100" spans="5:88" x14ac:dyDescent="0.25">
      <c r="E100" s="150">
        <v>95</v>
      </c>
      <c r="F100" s="191">
        <f t="shared" si="173"/>
        <v>9.5000000000000001E-2</v>
      </c>
      <c r="G100" s="191">
        <f t="shared" si="156"/>
        <v>9.5000000000000001E-2</v>
      </c>
      <c r="H100" s="191">
        <f t="shared" si="105"/>
        <v>1.9</v>
      </c>
      <c r="I100" s="191">
        <f t="shared" si="174"/>
        <v>1.52</v>
      </c>
      <c r="J100" s="472">
        <f t="shared" si="106"/>
        <v>20</v>
      </c>
      <c r="K100" s="386">
        <f t="shared" si="107"/>
        <v>20.213483709273181</v>
      </c>
      <c r="L100" s="386">
        <f t="shared" si="108"/>
        <v>40.32</v>
      </c>
      <c r="M100" s="386"/>
      <c r="N100" s="191">
        <f t="shared" si="109"/>
        <v>0.50396825396825395</v>
      </c>
      <c r="O100" s="152">
        <f t="shared" si="157"/>
        <v>1.8898809523809523</v>
      </c>
      <c r="P100" s="152">
        <f t="shared" si="110"/>
        <v>2.7214285714285715</v>
      </c>
      <c r="Q100" s="191">
        <f t="shared" si="111"/>
        <v>9.4494047619047616E-2</v>
      </c>
      <c r="R100" s="191">
        <f t="shared" si="112"/>
        <v>0.11811755952380952</v>
      </c>
      <c r="S100" s="386">
        <f t="shared" si="113"/>
        <v>19.89348370927318</v>
      </c>
      <c r="T100" s="191">
        <f t="shared" si="114"/>
        <v>0.75</v>
      </c>
      <c r="U100" s="191">
        <f t="shared" si="115"/>
        <v>2.25</v>
      </c>
      <c r="V100" s="191">
        <f t="shared" si="116"/>
        <v>2.2262367361918769</v>
      </c>
      <c r="W100" s="175">
        <f t="shared" si="117"/>
        <v>350</v>
      </c>
      <c r="X100" s="386">
        <f t="shared" si="158"/>
        <v>223.40194653126011</v>
      </c>
      <c r="Z100" s="191">
        <f t="shared" si="118"/>
        <v>0.4787184568527002</v>
      </c>
      <c r="AA100" s="153">
        <f t="shared" si="119"/>
        <v>1.420987486584756</v>
      </c>
      <c r="AB100" s="153">
        <f t="shared" si="120"/>
        <v>0.119044263937349</v>
      </c>
      <c r="AC100" s="153"/>
      <c r="AD100" s="153">
        <f t="shared" si="121"/>
        <v>0.44524734723837539</v>
      </c>
      <c r="AE100" s="317">
        <f t="shared" si="122"/>
        <v>2844.8606701940034</v>
      </c>
      <c r="AF100" s="463">
        <f t="shared" si="123"/>
        <v>1.1687742865007353E-2</v>
      </c>
      <c r="AH100" s="153">
        <f t="shared" si="124"/>
        <v>0.57071383872680514</v>
      </c>
      <c r="AI100" s="153">
        <f t="shared" si="125"/>
        <v>0.57071383872680514</v>
      </c>
      <c r="AJ100" s="153">
        <f t="shared" si="126"/>
        <v>1.5116398805383742</v>
      </c>
      <c r="AL100" s="317">
        <f t="shared" si="127"/>
        <v>95</v>
      </c>
      <c r="AM100" s="147">
        <f t="shared" si="128"/>
        <v>223.40194653126011</v>
      </c>
      <c r="AO100" t="str">
        <f t="shared" si="159"/>
        <v/>
      </c>
      <c r="AP100" t="str">
        <f t="shared" si="129"/>
        <v/>
      </c>
      <c r="AR100" s="5">
        <f t="shared" si="160"/>
        <v>4.4762367361918773</v>
      </c>
      <c r="AS100" s="5">
        <f t="shared" si="130"/>
        <v>1.7121415161804154</v>
      </c>
      <c r="AT100" s="5">
        <f t="shared" si="161"/>
        <v>2.7640952200114617</v>
      </c>
      <c r="AU100" s="153">
        <f t="shared" si="162"/>
        <v>0.38249574745168774</v>
      </c>
      <c r="AW100" s="5">
        <f t="shared" si="131"/>
        <v>0.68947680000000022</v>
      </c>
      <c r="AX100" s="5">
        <f t="shared" si="132"/>
        <v>12.73005624</v>
      </c>
      <c r="AY100" s="5">
        <f t="shared" si="133"/>
        <v>0.6949164380928764</v>
      </c>
      <c r="AZ100" s="5">
        <f t="shared" si="134"/>
        <v>4.751178802755061</v>
      </c>
      <c r="BA100" s="5">
        <f t="shared" si="135"/>
        <v>0.52517809180217767</v>
      </c>
      <c r="BB100" s="147">
        <f t="shared" si="136"/>
        <v>53.087809180217768</v>
      </c>
      <c r="BC100" s="5"/>
      <c r="BD100" s="153">
        <f t="shared" si="163"/>
        <v>0.20378446879810569</v>
      </c>
      <c r="BE100" s="153">
        <f t="shared" si="137"/>
        <v>0.2589272462451615</v>
      </c>
      <c r="BF100" s="153">
        <f t="shared" si="138"/>
        <v>0.25791184527949418</v>
      </c>
      <c r="BG100" s="153"/>
      <c r="BH100" s="463">
        <f t="shared" si="139"/>
        <v>1.4534838403164137E-2</v>
      </c>
      <c r="BI100" s="463">
        <f t="shared" si="140"/>
        <v>2.5703714228753421E-2</v>
      </c>
      <c r="BJ100" s="463">
        <f t="shared" si="141"/>
        <v>2.7925243316407515E-3</v>
      </c>
      <c r="BK100" s="463">
        <f t="shared" si="142"/>
        <v>1.8159254032027065E-2</v>
      </c>
      <c r="BL100">
        <f t="shared" si="143"/>
        <v>5.7999999999999996E-3</v>
      </c>
      <c r="BM100">
        <f t="shared" si="144"/>
        <v>8.377572994922253E-6</v>
      </c>
      <c r="BN100">
        <f t="shared" si="145"/>
        <v>6.9146339949876998E-2</v>
      </c>
      <c r="BO100" s="147">
        <f t="shared" si="164"/>
        <v>69.146339949877003</v>
      </c>
      <c r="BP100" s="153">
        <f t="shared" si="146"/>
        <v>8.7511095599950309E-2</v>
      </c>
      <c r="BQ100" s="153">
        <f t="shared" si="147"/>
        <v>8.7110149230701941E-2</v>
      </c>
      <c r="BR100" s="463"/>
      <c r="BT100" s="147">
        <f t="shared" si="165"/>
        <v>174.62124483065224</v>
      </c>
      <c r="BU100" s="463">
        <f t="shared" si="148"/>
        <v>4.1528109723326108E-2</v>
      </c>
      <c r="BV100" s="463">
        <f t="shared" si="149"/>
        <v>6.7043318848102496E-2</v>
      </c>
      <c r="BW100" s="463">
        <f t="shared" si="150"/>
        <v>3.325925996773687E-3</v>
      </c>
      <c r="BX100" s="463">
        <f t="shared" si="151"/>
        <v>0</v>
      </c>
      <c r="BY100" s="463">
        <f t="shared" si="152"/>
        <v>0.12645705390022041</v>
      </c>
      <c r="BZ100" s="463">
        <f t="shared" si="166"/>
        <v>0.11189735456820228</v>
      </c>
      <c r="CA100" s="549">
        <f t="shared" si="153"/>
        <v>3.6382602720805221E-2</v>
      </c>
      <c r="CB100" s="147">
        <f t="shared" si="167"/>
        <v>162.83965662102563</v>
      </c>
      <c r="CC100" s="153">
        <f t="shared" si="168"/>
        <v>0.40660724140155485</v>
      </c>
      <c r="CD100" s="5">
        <f t="shared" si="169"/>
        <v>3.42</v>
      </c>
      <c r="CE100" s="153">
        <f t="shared" si="170"/>
        <v>0.89374210214147076</v>
      </c>
      <c r="CF100" s="5">
        <f t="shared" si="171"/>
        <v>89.37421021414707</v>
      </c>
      <c r="CG100">
        <f t="shared" si="172"/>
        <v>95</v>
      </c>
      <c r="CI100" s="59">
        <f t="shared" si="154"/>
        <v>-50</v>
      </c>
      <c r="CJ100">
        <f t="shared" si="155"/>
        <v>-50</v>
      </c>
    </row>
    <row r="101" spans="5:88" x14ac:dyDescent="0.25">
      <c r="E101" s="150">
        <v>96</v>
      </c>
      <c r="F101" s="191">
        <f t="shared" si="173"/>
        <v>9.6000000000000002E-2</v>
      </c>
      <c r="G101" s="191">
        <f t="shared" si="156"/>
        <v>9.6000000000000002E-2</v>
      </c>
      <c r="H101" s="191">
        <f t="shared" si="105"/>
        <v>1.92</v>
      </c>
      <c r="I101" s="191">
        <f t="shared" si="174"/>
        <v>1.536</v>
      </c>
      <c r="J101" s="472">
        <f t="shared" si="106"/>
        <v>20</v>
      </c>
      <c r="K101" s="386">
        <f t="shared" si="107"/>
        <v>20.006259920634921</v>
      </c>
      <c r="L101" s="386">
        <f t="shared" si="108"/>
        <v>40.32</v>
      </c>
      <c r="M101" s="386"/>
      <c r="N101" s="191">
        <f t="shared" si="109"/>
        <v>0.50396825396825395</v>
      </c>
      <c r="O101" s="152">
        <f t="shared" si="157"/>
        <v>1.8898809523809523</v>
      </c>
      <c r="P101" s="152">
        <f t="shared" si="110"/>
        <v>2.7214285714285715</v>
      </c>
      <c r="Q101" s="191">
        <f t="shared" si="111"/>
        <v>9.4494047619047616E-2</v>
      </c>
      <c r="R101" s="191">
        <f t="shared" si="112"/>
        <v>0.11811755952380952</v>
      </c>
      <c r="S101" s="386">
        <f t="shared" si="113"/>
        <v>19.686259920634921</v>
      </c>
      <c r="T101" s="191">
        <f t="shared" si="114"/>
        <v>0.75</v>
      </c>
      <c r="U101" s="191">
        <f t="shared" si="115"/>
        <v>2.25</v>
      </c>
      <c r="V101" s="191">
        <f t="shared" si="116"/>
        <v>2.2492959792842617</v>
      </c>
      <c r="W101" s="175">
        <f t="shared" si="117"/>
        <v>350</v>
      </c>
      <c r="X101" s="386">
        <f t="shared" si="158"/>
        <v>222.2569941173503</v>
      </c>
      <c r="Z101" s="191">
        <f t="shared" si="118"/>
        <v>0.47626498739432205</v>
      </c>
      <c r="AA101" s="153">
        <f t="shared" si="119"/>
        <v>1.4283478949598909</v>
      </c>
      <c r="AB101" s="153">
        <f t="shared" ref="AB101:AB105" si="175">0.5*AA101*Z101*Nps*W101/1000*(Pout/Pout_total)</f>
        <v>0.11904761613286129</v>
      </c>
      <c r="AC101" s="153"/>
      <c r="AD101" s="153">
        <f t="shared" si="121"/>
        <v>0.44985919585685236</v>
      </c>
      <c r="AE101" s="317">
        <f t="shared" ref="AE101:AE105" si="176">MAX(10, F101/(0.5*AD101/1000000*Isw_min*Nps)/1000*Pout_total/Pout)</f>
        <v>2845.3347442680774</v>
      </c>
      <c r="AF101" s="463">
        <f t="shared" si="123"/>
        <v>1.1808803891242375E-2</v>
      </c>
      <c r="AH101" s="153">
        <f t="shared" si="124"/>
        <v>0.57370973248050894</v>
      </c>
      <c r="AI101" s="153">
        <f t="shared" ref="AI101:AI105" si="177">MAX(IF(F101&gt;AB101,T101,AH101),Isw_min)</f>
        <v>0.57370973248050894</v>
      </c>
      <c r="AJ101" s="153">
        <f t="shared" ref="AJ101:AJ105" si="178">IF(F101&gt;AF101, (AI101-Isw_min)/1.08*0.8+1.2, AE101*0.2/350+1)</f>
        <v>1.5138590610966731</v>
      </c>
      <c r="AL101" s="317">
        <f t="shared" si="127"/>
        <v>96</v>
      </c>
      <c r="AM101" s="147">
        <f t="shared" si="128"/>
        <v>222.2569941173503</v>
      </c>
      <c r="AO101" t="str">
        <f t="shared" si="159"/>
        <v/>
      </c>
      <c r="AP101" t="str">
        <f t="shared" si="129"/>
        <v/>
      </c>
      <c r="AR101" s="5">
        <f t="shared" si="160"/>
        <v>4.4992959792842617</v>
      </c>
      <c r="AS101" s="5">
        <f t="shared" si="130"/>
        <v>1.7211291974415268</v>
      </c>
      <c r="AT101" s="5">
        <f t="shared" si="161"/>
        <v>2.7781667818427351</v>
      </c>
      <c r="AU101" s="153">
        <f t="shared" si="162"/>
        <v>0.38253300191096123</v>
      </c>
      <c r="AW101" s="5">
        <f t="shared" si="131"/>
        <v>0.68947680000000022</v>
      </c>
      <c r="AX101" s="5">
        <f t="shared" si="132"/>
        <v>12.996436377599998</v>
      </c>
      <c r="AY101" s="5">
        <f t="shared" si="133"/>
        <v>0.6949164380928764</v>
      </c>
      <c r="AZ101" s="5">
        <f t="shared" si="134"/>
        <v>4.8497090134283241</v>
      </c>
      <c r="BA101" s="5">
        <f t="shared" si="135"/>
        <v>0.53340802211380511</v>
      </c>
      <c r="BB101" s="147">
        <f t="shared" si="136"/>
        <v>53.916802211380514</v>
      </c>
      <c r="BC101" s="5"/>
      <c r="BD101" s="153">
        <f t="shared" si="163"/>
        <v>0.20486418688195016</v>
      </c>
      <c r="BE101" s="153">
        <f t="shared" si="137"/>
        <v>0.26027860197773295</v>
      </c>
      <c r="BF101" s="153">
        <f t="shared" si="138"/>
        <v>0.25925790157782025</v>
      </c>
      <c r="BG101" s="153"/>
      <c r="BH101" s="463">
        <f t="shared" si="139"/>
        <v>1.4689267273380909E-2</v>
      </c>
      <c r="BI101" s="463">
        <f t="shared" si="140"/>
        <v>2.5706217728416594E-2</v>
      </c>
      <c r="BJ101" s="463">
        <f t="shared" si="141"/>
        <v>2.7782124264668787E-3</v>
      </c>
      <c r="BK101" s="463">
        <f t="shared" si="142"/>
        <v>1.8066186437668115E-2</v>
      </c>
      <c r="BL101">
        <f t="shared" si="143"/>
        <v>5.7999999999999996E-3</v>
      </c>
      <c r="BM101">
        <f t="shared" si="144"/>
        <v>8.3346372794006356E-6</v>
      </c>
      <c r="BN101">
        <f t="shared" ref="BN101:BN105" si="179">(BI101+BJ101+BK101+BL101+BM101+BH101*(1+RdsonTC*(Ta-25)))/(1-BH101*RdsonTC*ThetaJA)</f>
        <v>6.9218864461999915E-2</v>
      </c>
      <c r="BO101" s="147">
        <f t="shared" si="164"/>
        <v>69.218864461999914</v>
      </c>
      <c r="BP101" s="153">
        <f t="shared" si="146"/>
        <v>8.8429142294677118E-2</v>
      </c>
      <c r="BQ101" s="153">
        <f t="shared" si="147"/>
        <v>8.8023999881328543E-2</v>
      </c>
      <c r="BR101" s="463"/>
      <c r="BT101" s="147">
        <f t="shared" si="165"/>
        <v>176.45314217600566</v>
      </c>
      <c r="BU101" s="463">
        <f t="shared" si="148"/>
        <v>4.1969335066802602E-2</v>
      </c>
      <c r="BV101" s="463">
        <f t="shared" si="149"/>
        <v>6.7744950647483135E-2</v>
      </c>
      <c r="BW101" s="463">
        <f t="shared" si="150"/>
        <v>3.360732976526737E-3</v>
      </c>
      <c r="BX101" s="463">
        <f t="shared" si="151"/>
        <v>0</v>
      </c>
      <c r="BY101" s="463">
        <f t="shared" ref="BY101:BY164" si="180">(BX101+(BU101+BV101+BW101)*(1+Ltc*(Ta-25)))/(1-(BU101+BV101+BW101)*Ltc*ThetaCa)</f>
        <v>0.12780010083697629</v>
      </c>
      <c r="BZ101" s="463">
        <f t="shared" si="166"/>
        <v>0.11307501869081248</v>
      </c>
      <c r="CA101" s="549">
        <f t="shared" si="153"/>
        <v>3.6577151031883935E-2</v>
      </c>
      <c r="CB101" s="147">
        <f t="shared" si="167"/>
        <v>164.37725186886024</v>
      </c>
      <c r="CC101" s="153">
        <f t="shared" si="168"/>
        <v>0.4100492585068658</v>
      </c>
      <c r="CD101" s="5">
        <f t="shared" si="169"/>
        <v>3.456</v>
      </c>
      <c r="CE101" s="153">
        <f t="shared" si="170"/>
        <v>0.89393584222844746</v>
      </c>
      <c r="CF101" s="5">
        <f t="shared" si="171"/>
        <v>89.393584222844751</v>
      </c>
      <c r="CG101">
        <f t="shared" si="172"/>
        <v>96</v>
      </c>
      <c r="CI101" s="59">
        <f t="shared" si="154"/>
        <v>-50</v>
      </c>
      <c r="CJ101">
        <f t="shared" si="155"/>
        <v>-50</v>
      </c>
    </row>
    <row r="102" spans="5:88" x14ac:dyDescent="0.25">
      <c r="E102" s="150">
        <v>97</v>
      </c>
      <c r="F102" s="191">
        <f t="shared" si="173"/>
        <v>9.7000000000000003E-2</v>
      </c>
      <c r="G102" s="191">
        <f t="shared" si="156"/>
        <v>9.7000000000000003E-2</v>
      </c>
      <c r="H102" s="191">
        <f t="shared" si="105"/>
        <v>1.94</v>
      </c>
      <c r="I102" s="191">
        <f t="shared" si="174"/>
        <v>1.552</v>
      </c>
      <c r="J102" s="472">
        <f t="shared" si="106"/>
        <v>20</v>
      </c>
      <c r="K102" s="386">
        <f t="shared" si="107"/>
        <v>19.803308787432499</v>
      </c>
      <c r="L102" s="386">
        <f t="shared" si="108"/>
        <v>40.32</v>
      </c>
      <c r="M102" s="386"/>
      <c r="N102" s="191">
        <f t="shared" si="109"/>
        <v>0.50396825396825395</v>
      </c>
      <c r="O102" s="152">
        <f t="shared" ref="O102:O105" si="181">N102*J102*Isw_max*0.5*Efficiency*Pout/(Pout+Pout2)</f>
        <v>1.8898809523809523</v>
      </c>
      <c r="P102" s="152">
        <f t="shared" si="110"/>
        <v>2.7214285714285715</v>
      </c>
      <c r="Q102" s="191">
        <f t="shared" si="111"/>
        <v>9.4494047619047616E-2</v>
      </c>
      <c r="R102" s="191">
        <f t="shared" si="112"/>
        <v>0.11811755952380952</v>
      </c>
      <c r="S102" s="386">
        <f t="shared" si="113"/>
        <v>19.483308787432499</v>
      </c>
      <c r="T102" s="191">
        <f t="shared" si="114"/>
        <v>0.75</v>
      </c>
      <c r="U102" s="191">
        <f t="shared" si="115"/>
        <v>2.25</v>
      </c>
      <c r="V102" s="191">
        <f t="shared" si="116"/>
        <v>2.2723475396474013</v>
      </c>
      <c r="W102" s="175">
        <f t="shared" si="117"/>
        <v>350</v>
      </c>
      <c r="X102" s="386">
        <f t="shared" si="158"/>
        <v>221.124093456552</v>
      </c>
      <c r="Z102" s="191">
        <f t="shared" si="118"/>
        <v>0.47383734312118286</v>
      </c>
      <c r="AA102" s="153">
        <f t="shared" si="119"/>
        <v>1.4356308277793084</v>
      </c>
      <c r="AB102" s="153">
        <f t="shared" si="175"/>
        <v>0.11904471199911709</v>
      </c>
      <c r="AC102" s="153"/>
      <c r="AD102" s="153">
        <f t="shared" si="121"/>
        <v>0.45446950792948027</v>
      </c>
      <c r="AE102" s="317">
        <f t="shared" si="176"/>
        <v>2845.8088183421519</v>
      </c>
      <c r="AF102" s="463">
        <f t="shared" si="123"/>
        <v>1.1929824583148856E-2</v>
      </c>
      <c r="AH102" s="153">
        <f t="shared" si="124"/>
        <v>0.57669006283395297</v>
      </c>
      <c r="AI102" s="153">
        <f t="shared" si="177"/>
        <v>0.57669006283395297</v>
      </c>
      <c r="AJ102" s="153">
        <f t="shared" si="178"/>
        <v>1.5160667132103356</v>
      </c>
      <c r="AL102" s="317">
        <f t="shared" si="127"/>
        <v>97</v>
      </c>
      <c r="AM102" s="147">
        <f t="shared" si="128"/>
        <v>221.124093456552</v>
      </c>
      <c r="AO102" t="str">
        <f t="shared" si="159"/>
        <v/>
      </c>
      <c r="AP102" t="str">
        <f t="shared" si="129"/>
        <v/>
      </c>
      <c r="AR102" s="5">
        <f t="shared" si="160"/>
        <v>4.5223475396474013</v>
      </c>
      <c r="AS102" s="5">
        <f t="shared" si="130"/>
        <v>1.7300701885018588</v>
      </c>
      <c r="AT102" s="5">
        <f t="shared" si="161"/>
        <v>2.7922773511455423</v>
      </c>
      <c r="AU102" s="153">
        <f t="shared" si="162"/>
        <v>0.38256020204867958</v>
      </c>
      <c r="AW102" s="5">
        <f t="shared" si="131"/>
        <v>0.68947680000000022</v>
      </c>
      <c r="AX102" s="5">
        <f t="shared" si="132"/>
        <v>13.265574422400002</v>
      </c>
      <c r="AY102" s="5">
        <f t="shared" si="133"/>
        <v>0.6949164380928764</v>
      </c>
      <c r="AZ102" s="5">
        <f t="shared" si="134"/>
        <v>4.9492500116479068</v>
      </c>
      <c r="BA102" s="5">
        <f t="shared" si="135"/>
        <v>0.54170180612223517</v>
      </c>
      <c r="BB102" s="147">
        <f t="shared" si="136"/>
        <v>54.752180612223519</v>
      </c>
      <c r="BC102" s="5"/>
      <c r="BD102" s="153">
        <f t="shared" si="163"/>
        <v>0.20593574476027204</v>
      </c>
      <c r="BE102" s="153">
        <f t="shared" si="137"/>
        <v>0.26162494507820727</v>
      </c>
      <c r="BF102" s="153">
        <f t="shared" si="138"/>
        <v>0.26059896490142997</v>
      </c>
      <c r="BG102" s="153"/>
      <c r="BH102" s="463">
        <f t="shared" si="139"/>
        <v>1.4843335839488768E-2</v>
      </c>
      <c r="BI102" s="463">
        <f t="shared" si="140"/>
        <v>2.5708045577671267E-2</v>
      </c>
      <c r="BJ102" s="463">
        <f t="shared" si="141"/>
        <v>2.7640511682068998E-3</v>
      </c>
      <c r="BK102" s="463">
        <f t="shared" si="142"/>
        <v>1.797409847150705E-2</v>
      </c>
      <c r="BL102">
        <f t="shared" si="143"/>
        <v>5.7999999999999996E-3</v>
      </c>
      <c r="BM102">
        <f t="shared" si="144"/>
        <v>8.2921535046206997E-6</v>
      </c>
      <c r="BN102">
        <f t="shared" si="179"/>
        <v>6.9291434757518713E-2</v>
      </c>
      <c r="BO102" s="147">
        <f t="shared" si="164"/>
        <v>69.291434757518715</v>
      </c>
      <c r="BP102" s="153">
        <f t="shared" si="146"/>
        <v>8.9347975481801692E-2</v>
      </c>
      <c r="BQ102" s="153">
        <f t="shared" si="147"/>
        <v>8.8938630867880314E-2</v>
      </c>
      <c r="BR102" s="463"/>
      <c r="BT102" s="147">
        <f t="shared" si="165"/>
        <v>178.28660634968202</v>
      </c>
      <c r="BU102" s="463">
        <f t="shared" si="148"/>
        <v>4.2409530969967912E-2</v>
      </c>
      <c r="BV102" s="463">
        <f t="shared" si="149"/>
        <v>6.8447611887174978E-2</v>
      </c>
      <c r="BW102" s="463">
        <f t="shared" si="150"/>
        <v>3.3955910253848365E-3</v>
      </c>
      <c r="BX102" s="463">
        <f t="shared" si="151"/>
        <v>0</v>
      </c>
      <c r="BY102" s="463">
        <f t="shared" si="180"/>
        <v>0.1291434614309542</v>
      </c>
      <c r="BZ102" s="463">
        <f t="shared" si="166"/>
        <v>0.11425273388252773</v>
      </c>
      <c r="CA102" s="549">
        <f t="shared" si="153"/>
        <v>3.6769777826203803E-2</v>
      </c>
      <c r="CB102" s="147">
        <f t="shared" si="167"/>
        <v>165.91323925715801</v>
      </c>
      <c r="CC102" s="153">
        <f t="shared" si="168"/>
        <v>0.41349128036435878</v>
      </c>
      <c r="CD102" s="5">
        <f t="shared" si="169"/>
        <v>3.492</v>
      </c>
      <c r="CE102" s="153">
        <f t="shared" si="170"/>
        <v>0.89412566801947058</v>
      </c>
      <c r="CF102" s="5">
        <f t="shared" si="171"/>
        <v>89.412566801947051</v>
      </c>
      <c r="CG102">
        <f t="shared" si="172"/>
        <v>97</v>
      </c>
      <c r="CI102" s="59">
        <f t="shared" si="154"/>
        <v>-50</v>
      </c>
      <c r="CJ102">
        <f t="shared" si="155"/>
        <v>-50</v>
      </c>
    </row>
    <row r="103" spans="5:88" x14ac:dyDescent="0.25">
      <c r="E103" s="150">
        <v>98</v>
      </c>
      <c r="F103" s="191">
        <f t="shared" si="173"/>
        <v>9.8000000000000004E-2</v>
      </c>
      <c r="G103" s="191">
        <f t="shared" si="156"/>
        <v>9.8000000000000004E-2</v>
      </c>
      <c r="H103" s="191">
        <f t="shared" si="105"/>
        <v>1.96</v>
      </c>
      <c r="I103" s="191">
        <f t="shared" si="174"/>
        <v>1.5680000000000001</v>
      </c>
      <c r="J103" s="472">
        <f t="shared" si="106"/>
        <v>20</v>
      </c>
      <c r="K103" s="386">
        <f t="shared" si="107"/>
        <v>19.604499514091351</v>
      </c>
      <c r="L103" s="386">
        <f t="shared" si="108"/>
        <v>40.32</v>
      </c>
      <c r="M103" s="386"/>
      <c r="N103" s="191">
        <f t="shared" si="109"/>
        <v>0.50396825396825395</v>
      </c>
      <c r="O103" s="152">
        <f t="shared" si="181"/>
        <v>1.8898809523809523</v>
      </c>
      <c r="P103" s="152">
        <f t="shared" si="110"/>
        <v>2.7214285714285715</v>
      </c>
      <c r="Q103" s="191">
        <f t="shared" si="111"/>
        <v>9.4494047619047616E-2</v>
      </c>
      <c r="R103" s="191">
        <f t="shared" si="112"/>
        <v>0.11811755952380952</v>
      </c>
      <c r="S103" s="386">
        <f t="shared" si="113"/>
        <v>19.284499514091351</v>
      </c>
      <c r="T103" s="191">
        <f t="shared" si="114"/>
        <v>0.75</v>
      </c>
      <c r="U103" s="191">
        <f t="shared" si="115"/>
        <v>2.25</v>
      </c>
      <c r="V103" s="191">
        <f t="shared" si="116"/>
        <v>2.2953914211201791</v>
      </c>
      <c r="W103" s="175">
        <f t="shared" si="117"/>
        <v>350</v>
      </c>
      <c r="X103" s="386">
        <f t="shared" si="158"/>
        <v>220.00305526021279</v>
      </c>
      <c r="Z103" s="191">
        <f t="shared" si="118"/>
        <v>0.47143511841474173</v>
      </c>
      <c r="AA103" s="153">
        <f t="shared" si="119"/>
        <v>1.4428375018986317</v>
      </c>
      <c r="AB103" s="153">
        <f t="shared" si="175"/>
        <v>0.11903574699814203</v>
      </c>
      <c r="AC103" s="153"/>
      <c r="AD103" s="153">
        <f t="shared" si="121"/>
        <v>0.45907828422403574</v>
      </c>
      <c r="AE103" s="317">
        <f t="shared" si="176"/>
        <v>2846.2828924162263</v>
      </c>
      <c r="AF103" s="463">
        <f t="shared" si="123"/>
        <v>1.2050804960880937E-2</v>
      </c>
      <c r="AH103" s="153">
        <f t="shared" si="124"/>
        <v>0.57965506984757753</v>
      </c>
      <c r="AI103" s="153">
        <f t="shared" si="177"/>
        <v>0.57965506984757753</v>
      </c>
      <c r="AJ103" s="153">
        <f t="shared" si="178"/>
        <v>1.5182630147019092</v>
      </c>
      <c r="AL103" s="317">
        <f t="shared" si="127"/>
        <v>98</v>
      </c>
      <c r="AM103" s="147">
        <f t="shared" si="128"/>
        <v>220.00305526021279</v>
      </c>
      <c r="AO103" t="str">
        <f t="shared" si="159"/>
        <v/>
      </c>
      <c r="AP103" t="str">
        <f t="shared" si="129"/>
        <v/>
      </c>
      <c r="AR103" s="5">
        <f t="shared" si="160"/>
        <v>4.54539142112018</v>
      </c>
      <c r="AS103" s="5">
        <f t="shared" si="130"/>
        <v>1.7389652095427326</v>
      </c>
      <c r="AT103" s="5">
        <f t="shared" si="161"/>
        <v>2.8064262115774472</v>
      </c>
      <c r="AU103" s="153">
        <f t="shared" si="162"/>
        <v>0.38257765909061725</v>
      </c>
      <c r="AW103" s="5">
        <f t="shared" si="131"/>
        <v>0.68947680000000022</v>
      </c>
      <c r="AX103" s="5">
        <f t="shared" si="132"/>
        <v>13.537470374400003</v>
      </c>
      <c r="AY103" s="5">
        <f t="shared" si="133"/>
        <v>0.6949164380928764</v>
      </c>
      <c r="AZ103" s="5">
        <f t="shared" si="134"/>
        <v>5.0498017974138065</v>
      </c>
      <c r="BA103" s="5">
        <f t="shared" si="135"/>
        <v>0.55005953746917968</v>
      </c>
      <c r="BB103" s="147">
        <f t="shared" si="136"/>
        <v>55.593953746917968</v>
      </c>
      <c r="BC103" s="5"/>
      <c r="BD103" s="153">
        <f t="shared" si="163"/>
        <v>0.2069992700908608</v>
      </c>
      <c r="BE103" s="153">
        <f t="shared" si="137"/>
        <v>0.262966351805418</v>
      </c>
      <c r="BF103" s="153">
        <f t="shared" si="138"/>
        <v>0.26193511121010266</v>
      </c>
      <c r="BG103" s="153"/>
      <c r="BH103" s="463">
        <f t="shared" si="139"/>
        <v>1.4997044236352198E-2</v>
      </c>
      <c r="BI103" s="463">
        <f t="shared" si="140"/>
        <v>2.5709218690889483E-2</v>
      </c>
      <c r="BJ103" s="463">
        <f t="shared" si="141"/>
        <v>2.7500381907526595E-3</v>
      </c>
      <c r="BK103" s="463">
        <f t="shared" si="142"/>
        <v>1.7882974747193033E-2</v>
      </c>
      <c r="BL103">
        <f t="shared" si="143"/>
        <v>5.7999999999999996E-3</v>
      </c>
      <c r="BM103">
        <f t="shared" si="144"/>
        <v>8.2501145722579791E-6</v>
      </c>
      <c r="BN103">
        <f t="shared" si="179"/>
        <v>6.9364054144630621E-2</v>
      </c>
      <c r="BO103" s="147">
        <f t="shared" si="164"/>
        <v>69.364054144630614</v>
      </c>
      <c r="BP103" s="153">
        <f t="shared" si="146"/>
        <v>9.0267594866934073E-2</v>
      </c>
      <c r="BQ103" s="153">
        <f t="shared" si="147"/>
        <v>8.9854041898271744E-2</v>
      </c>
      <c r="BR103" s="463"/>
      <c r="BT103" s="147">
        <f t="shared" si="165"/>
        <v>180.12163676520581</v>
      </c>
      <c r="BU103" s="463">
        <f t="shared" si="148"/>
        <v>4.2848697818149137E-2</v>
      </c>
      <c r="BV103" s="463">
        <f t="shared" si="149"/>
        <v>6.9151302181850866E-2</v>
      </c>
      <c r="BW103" s="463">
        <f t="shared" si="150"/>
        <v>3.4305001242324429E-3</v>
      </c>
      <c r="BX103" s="463">
        <f t="shared" si="151"/>
        <v>0</v>
      </c>
      <c r="BY103" s="463">
        <f t="shared" si="180"/>
        <v>0.13048713576644427</v>
      </c>
      <c r="BZ103" s="463">
        <f t="shared" si="166"/>
        <v>0.11543050012423245</v>
      </c>
      <c r="CA103" s="549">
        <f t="shared" si="153"/>
        <v>3.6960513283715753E-2</v>
      </c>
      <c r="CB103" s="147">
        <f t="shared" si="167"/>
        <v>167.44764905016001</v>
      </c>
      <c r="CC103" s="153">
        <f t="shared" si="168"/>
        <v>0.41693333995999643</v>
      </c>
      <c r="CD103" s="5">
        <f t="shared" si="169"/>
        <v>3.528</v>
      </c>
      <c r="CE103" s="153">
        <f t="shared" si="170"/>
        <v>0.89431168944309103</v>
      </c>
      <c r="CF103" s="5">
        <f t="shared" si="171"/>
        <v>89.431168944309107</v>
      </c>
      <c r="CG103">
        <f t="shared" si="172"/>
        <v>98</v>
      </c>
      <c r="CI103" s="59">
        <f t="shared" si="154"/>
        <v>-50</v>
      </c>
      <c r="CJ103">
        <f t="shared" si="155"/>
        <v>-50</v>
      </c>
    </row>
    <row r="104" spans="5:88" x14ac:dyDescent="0.25">
      <c r="E104" s="150">
        <v>99</v>
      </c>
      <c r="F104" s="191">
        <f t="shared" ref="F104:F105" si="182">IF(PLOT_TYPE=1, E104/100*Iout_max, min_I*EXP(O104*rr/100))</f>
        <v>9.9000000000000005E-2</v>
      </c>
      <c r="G104" s="191">
        <f t="shared" si="156"/>
        <v>9.9000000000000005E-2</v>
      </c>
      <c r="H104" s="191">
        <f t="shared" si="105"/>
        <v>1.98</v>
      </c>
      <c r="I104" s="191">
        <f t="shared" si="174"/>
        <v>1.5840000000000001</v>
      </c>
      <c r="J104" s="472">
        <f t="shared" si="106"/>
        <v>20</v>
      </c>
      <c r="K104" s="386">
        <f t="shared" si="107"/>
        <v>19.409706589706587</v>
      </c>
      <c r="L104" s="386">
        <f t="shared" si="108"/>
        <v>40.32</v>
      </c>
      <c r="M104" s="386"/>
      <c r="N104" s="191">
        <f t="shared" si="109"/>
        <v>0.50396825396825395</v>
      </c>
      <c r="O104" s="152">
        <f t="shared" si="181"/>
        <v>1.8898809523809523</v>
      </c>
      <c r="P104" s="152">
        <f t="shared" si="110"/>
        <v>2.7214285714285715</v>
      </c>
      <c r="Q104" s="191">
        <f t="shared" si="111"/>
        <v>9.4494047619047616E-2</v>
      </c>
      <c r="R104" s="191">
        <f t="shared" si="112"/>
        <v>0.11811755952380952</v>
      </c>
      <c r="S104" s="386">
        <f t="shared" si="113"/>
        <v>19.089706589706587</v>
      </c>
      <c r="T104" s="191">
        <f t="shared" si="114"/>
        <v>0.75</v>
      </c>
      <c r="U104" s="191">
        <f t="shared" si="115"/>
        <v>2.25</v>
      </c>
      <c r="V104" s="191">
        <f t="shared" si="116"/>
        <v>2.3184276275389211</v>
      </c>
      <c r="W104" s="175">
        <f t="shared" si="117"/>
        <v>350</v>
      </c>
      <c r="X104" s="386">
        <f t="shared" si="158"/>
        <v>218.8936941830716</v>
      </c>
      <c r="Z104" s="191">
        <f t="shared" si="118"/>
        <v>0.4690579161065821</v>
      </c>
      <c r="AA104" s="153">
        <f t="shared" si="119"/>
        <v>1.449969108823111</v>
      </c>
      <c r="AB104" s="153">
        <f t="shared" si="175"/>
        <v>0.11902091050561012</v>
      </c>
      <c r="AC104" s="153"/>
      <c r="AD104" s="153">
        <f t="shared" si="121"/>
        <v>0.46368552550778414</v>
      </c>
      <c r="AE104" s="317">
        <f t="shared" si="176"/>
        <v>2846.7569664902999</v>
      </c>
      <c r="AF104" s="463">
        <f t="shared" si="123"/>
        <v>1.2171745044579333E-2</v>
      </c>
      <c r="AH104" s="153">
        <f t="shared" si="124"/>
        <v>0.58260498747313472</v>
      </c>
      <c r="AI104" s="153">
        <f t="shared" si="177"/>
        <v>0.58260498747313472</v>
      </c>
      <c r="AJ104" s="153">
        <f t="shared" si="178"/>
        <v>1.5204481388689886</v>
      </c>
      <c r="AL104" s="317">
        <f t="shared" si="127"/>
        <v>99</v>
      </c>
      <c r="AM104" s="147">
        <f t="shared" si="128"/>
        <v>218.8936941830716</v>
      </c>
      <c r="AO104" t="str">
        <f t="shared" si="159"/>
        <v/>
      </c>
      <c r="AP104" t="str">
        <f t="shared" si="129"/>
        <v/>
      </c>
      <c r="AR104" s="5">
        <f t="shared" si="160"/>
        <v>4.568427627538922</v>
      </c>
      <c r="AS104" s="5">
        <f t="shared" si="130"/>
        <v>1.7478149624194039</v>
      </c>
      <c r="AT104" s="5">
        <f t="shared" si="161"/>
        <v>2.8206126651195182</v>
      </c>
      <c r="AU104" s="153">
        <f t="shared" si="162"/>
        <v>0.38258567387242975</v>
      </c>
      <c r="AW104" s="5">
        <f t="shared" si="131"/>
        <v>0.68947680000000022</v>
      </c>
      <c r="AX104" s="5">
        <f t="shared" si="132"/>
        <v>13.812124233600001</v>
      </c>
      <c r="AY104" s="5">
        <f t="shared" si="133"/>
        <v>0.6949164380928764</v>
      </c>
      <c r="AZ104" s="5">
        <f t="shared" si="134"/>
        <v>5.1513643707260215</v>
      </c>
      <c r="BA104" s="5">
        <f t="shared" si="135"/>
        <v>0.55848130769366466</v>
      </c>
      <c r="BB104" s="147">
        <f t="shared" si="136"/>
        <v>56.44213076936645</v>
      </c>
      <c r="BC104" s="5"/>
      <c r="BD104" s="153">
        <f t="shared" si="163"/>
        <v>0.20805488757501481</v>
      </c>
      <c r="BE104" s="153">
        <f t="shared" si="137"/>
        <v>0.26430289612299956</v>
      </c>
      <c r="BF104" s="153">
        <f t="shared" si="138"/>
        <v>0.26326641417741919</v>
      </c>
      <c r="BG104" s="153"/>
      <c r="BH104" s="463">
        <f t="shared" si="139"/>
        <v>1.5150392685348218E-2</v>
      </c>
      <c r="BI104" s="463">
        <f t="shared" si="140"/>
        <v>2.5709757284227284E-2</v>
      </c>
      <c r="BJ104" s="463">
        <f t="shared" si="141"/>
        <v>2.7361711772883948E-3</v>
      </c>
      <c r="BK104" s="463">
        <f t="shared" si="142"/>
        <v>1.7792800198914278E-2</v>
      </c>
      <c r="BL104">
        <f t="shared" si="143"/>
        <v>5.7999999999999996E-3</v>
      </c>
      <c r="BM104">
        <f t="shared" si="144"/>
        <v>8.2085135318651843E-6</v>
      </c>
      <c r="BN104">
        <f t="shared" si="179"/>
        <v>6.9436725702318833E-2</v>
      </c>
      <c r="BO104" s="147">
        <f t="shared" si="164"/>
        <v>69.436725702318839</v>
      </c>
      <c r="BP104" s="153">
        <f t="shared" si="146"/>
        <v>9.1187999966839892E-2</v>
      </c>
      <c r="BQ104" s="153">
        <f t="shared" si="147"/>
        <v>9.0770232493051051E-2</v>
      </c>
      <c r="BR104" s="463"/>
      <c r="BT104" s="147">
        <f t="shared" si="165"/>
        <v>181.95823245989095</v>
      </c>
      <c r="BU104" s="463">
        <f t="shared" si="148"/>
        <v>4.3286836243852052E-2</v>
      </c>
      <c r="BV104" s="463">
        <f t="shared" si="149"/>
        <v>6.9856020899005097E-2</v>
      </c>
      <c r="BW104" s="463">
        <f t="shared" si="150"/>
        <v>3.4654602416918216E-3</v>
      </c>
      <c r="BX104" s="463">
        <f t="shared" si="151"/>
        <v>0</v>
      </c>
      <c r="BY104" s="463">
        <f t="shared" si="180"/>
        <v>0.1318311239137748</v>
      </c>
      <c r="BZ104" s="463">
        <f t="shared" si="166"/>
        <v>0.11660831738454898</v>
      </c>
      <c r="CA104" s="549">
        <f t="shared" si="153"/>
        <v>3.7149386955641309E-2</v>
      </c>
      <c r="CB104" s="147">
        <f t="shared" si="167"/>
        <v>168.98051086941612</v>
      </c>
      <c r="CC104" s="153">
        <f t="shared" si="168"/>
        <v>0.42037546903162593</v>
      </c>
      <c r="CD104" s="5">
        <f t="shared" si="169"/>
        <v>3.5640000000000001</v>
      </c>
      <c r="CE104" s="153">
        <f t="shared" si="170"/>
        <v>0.89449401234924397</v>
      </c>
      <c r="CF104" s="5">
        <f t="shared" si="171"/>
        <v>89.449401234924395</v>
      </c>
      <c r="CG104">
        <f t="shared" si="172"/>
        <v>99</v>
      </c>
      <c r="CI104" s="59">
        <f t="shared" si="154"/>
        <v>-50</v>
      </c>
      <c r="CJ104">
        <f t="shared" si="155"/>
        <v>-50</v>
      </c>
    </row>
    <row r="105" spans="5:88" x14ac:dyDescent="0.25">
      <c r="E105" s="150">
        <v>100</v>
      </c>
      <c r="F105" s="191">
        <f t="shared" si="182"/>
        <v>0.1</v>
      </c>
      <c r="G105" s="191">
        <f t="shared" si="156"/>
        <v>0.1</v>
      </c>
      <c r="H105" s="191">
        <f t="shared" si="105"/>
        <v>2</v>
      </c>
      <c r="I105" s="191">
        <f t="shared" si="174"/>
        <v>1.6</v>
      </c>
      <c r="J105" s="472">
        <f t="shared" si="106"/>
        <v>20</v>
      </c>
      <c r="K105" s="386">
        <f t="shared" si="107"/>
        <v>19.218809523809522</v>
      </c>
      <c r="L105" s="386">
        <f t="shared" si="108"/>
        <v>40.32</v>
      </c>
      <c r="M105" s="386"/>
      <c r="N105" s="191">
        <f t="shared" si="109"/>
        <v>0.50396825396825395</v>
      </c>
      <c r="O105" s="152">
        <f t="shared" si="181"/>
        <v>1.8898809523809523</v>
      </c>
      <c r="P105" s="152">
        <f t="shared" si="110"/>
        <v>2.7214285714285715</v>
      </c>
      <c r="Q105" s="191">
        <f t="shared" si="111"/>
        <v>9.4494047619047616E-2</v>
      </c>
      <c r="R105" s="191">
        <f t="shared" si="112"/>
        <v>0.11811755952380952</v>
      </c>
      <c r="S105" s="386">
        <f t="shared" si="113"/>
        <v>18.898809523809522</v>
      </c>
      <c r="T105" s="191">
        <f t="shared" si="114"/>
        <v>0.75</v>
      </c>
      <c r="U105" s="191">
        <f t="shared" si="115"/>
        <v>2.25</v>
      </c>
      <c r="V105" s="191">
        <f t="shared" si="116"/>
        <v>2.3414561627373982</v>
      </c>
      <c r="W105" s="175">
        <f t="shared" si="117"/>
        <v>350</v>
      </c>
      <c r="X105" s="386">
        <f t="shared" si="158"/>
        <v>217.79582872110146</v>
      </c>
      <c r="Z105" s="191">
        <f t="shared" si="118"/>
        <v>0.46670534725950313</v>
      </c>
      <c r="AA105" s="153">
        <f t="shared" si="119"/>
        <v>1.457026815364348</v>
      </c>
      <c r="AB105" s="153">
        <f t="shared" si="175"/>
        <v>0.11900038602042955</v>
      </c>
      <c r="AC105" s="153"/>
      <c r="AD105" s="153">
        <f t="shared" si="121"/>
        <v>0.46829123254747956</v>
      </c>
      <c r="AE105" s="317">
        <f t="shared" si="176"/>
        <v>2847.2310405643739</v>
      </c>
      <c r="AF105" s="463">
        <f t="shared" si="123"/>
        <v>1.2292644854371338E-2</v>
      </c>
      <c r="AH105" s="153">
        <f t="shared" si="124"/>
        <v>0.58554004376911994</v>
      </c>
      <c r="AI105" s="153">
        <f t="shared" si="177"/>
        <v>0.58554004376911994</v>
      </c>
      <c r="AJ105" s="153">
        <f t="shared" si="178"/>
        <v>1.5226222546437924</v>
      </c>
      <c r="AL105" s="317">
        <f t="shared" si="127"/>
        <v>100</v>
      </c>
      <c r="AM105" s="147">
        <f t="shared" si="128"/>
        <v>217.79582872110146</v>
      </c>
      <c r="AO105" t="str">
        <f t="shared" si="159"/>
        <v/>
      </c>
      <c r="AP105" s="3" t="str">
        <f t="shared" si="129"/>
        <v/>
      </c>
      <c r="AR105" s="5">
        <f t="shared" si="160"/>
        <v>4.5914561627373978</v>
      </c>
      <c r="AS105" s="5">
        <f t="shared" si="130"/>
        <v>1.7566201313073599</v>
      </c>
      <c r="AT105" s="5">
        <f t="shared" si="161"/>
        <v>2.8348360314300378</v>
      </c>
      <c r="AU105" s="153">
        <f t="shared" si="162"/>
        <v>0.38258453724625652</v>
      </c>
      <c r="AW105" s="5">
        <f t="shared" si="131"/>
        <v>0.68947680000000022</v>
      </c>
      <c r="AX105" s="5">
        <f t="shared" si="132"/>
        <v>14.089536000000004</v>
      </c>
      <c r="AY105" s="5">
        <f t="shared" si="133"/>
        <v>0.6949164380928764</v>
      </c>
      <c r="AZ105" s="5">
        <f t="shared" si="134"/>
        <v>5.2539377315845552</v>
      </c>
      <c r="BA105" s="5">
        <f t="shared" si="135"/>
        <v>0.56696720628600761</v>
      </c>
      <c r="BB105" s="147">
        <f t="shared" si="136"/>
        <v>57.296720628600752</v>
      </c>
      <c r="BC105" s="5"/>
      <c r="BD105" s="153">
        <f t="shared" si="163"/>
        <v>0.20910271904941335</v>
      </c>
      <c r="BE105" s="153">
        <f t="shared" si="137"/>
        <v>0.26563464979527124</v>
      </c>
      <c r="BF105" s="153">
        <f t="shared" si="138"/>
        <v>0.2645929452862702</v>
      </c>
      <c r="BG105" s="153"/>
      <c r="BH105" s="463">
        <f t="shared" si="139"/>
        <v>1.5303381489850262E-2</v>
      </c>
      <c r="BI105" s="463">
        <f t="shared" si="140"/>
        <v>2.570968090294844E-2</v>
      </c>
      <c r="BJ105" s="463">
        <f t="shared" si="141"/>
        <v>2.7224478590137683E-3</v>
      </c>
      <c r="BK105" s="463">
        <f t="shared" si="142"/>
        <v>1.770356007309418E-2</v>
      </c>
      <c r="BL105">
        <f t="shared" si="143"/>
        <v>5.7999999999999996E-3</v>
      </c>
      <c r="BM105">
        <f t="shared" si="144"/>
        <v>8.1673435770413036E-6</v>
      </c>
      <c r="BN105">
        <f t="shared" si="179"/>
        <v>6.9509452292914664E-2</v>
      </c>
      <c r="BO105" s="147">
        <f t="shared" si="164"/>
        <v>69.509452292914659</v>
      </c>
      <c r="BP105" s="153">
        <f t="shared" si="146"/>
        <v>9.2109190119298287E-2</v>
      </c>
      <c r="BQ105" s="153">
        <f t="shared" si="147"/>
        <v>9.1687201995181086E-2</v>
      </c>
      <c r="BR105" s="463"/>
      <c r="BT105" s="147">
        <f t="shared" si="165"/>
        <v>183.79639211447937</v>
      </c>
      <c r="BU105" s="463">
        <f t="shared" si="148"/>
        <v>4.3723947113857894E-2</v>
      </c>
      <c r="BV105" s="463">
        <f t="shared" si="149"/>
        <v>7.0561767171856388E-2</v>
      </c>
      <c r="BW105" s="463">
        <f t="shared" si="150"/>
        <v>3.5004713347631593E-3</v>
      </c>
      <c r="BX105" s="463">
        <f t="shared" si="151"/>
        <v>0</v>
      </c>
      <c r="BY105" s="463">
        <f t="shared" si="180"/>
        <v>0.13317542593002921</v>
      </c>
      <c r="BZ105" s="463">
        <f t="shared" si="166"/>
        <v>0.11778618562047743</v>
      </c>
      <c r="CA105" s="549">
        <f t="shared" si="153"/>
        <v>3.733642778076026E-2</v>
      </c>
      <c r="CB105" s="147">
        <f t="shared" si="167"/>
        <v>170.51185371078947</v>
      </c>
      <c r="CC105" s="153">
        <f t="shared" si="168"/>
        <v>0.42381769811818354</v>
      </c>
      <c r="CD105" s="5">
        <f t="shared" si="169"/>
        <v>3.6</v>
      </c>
      <c r="CE105" s="153">
        <f t="shared" si="170"/>
        <v>0.89467273869877595</v>
      </c>
      <c r="CF105" s="5">
        <f t="shared" si="171"/>
        <v>89.467273869877602</v>
      </c>
      <c r="CG105">
        <f t="shared" si="172"/>
        <v>100</v>
      </c>
      <c r="CI105" s="59">
        <f t="shared" si="154"/>
        <v>-50</v>
      </c>
      <c r="CJ105">
        <f t="shared" si="155"/>
        <v>-50</v>
      </c>
    </row>
    <row r="106" spans="5:88" x14ac:dyDescent="0.25">
      <c r="E106" s="150"/>
      <c r="F106" s="191"/>
      <c r="G106" s="191"/>
      <c r="H106" s="191"/>
      <c r="I106" s="191"/>
      <c r="J106" s="472"/>
      <c r="K106" s="386"/>
      <c r="L106" s="386"/>
      <c r="M106" s="386"/>
      <c r="N106" s="191"/>
      <c r="O106" s="152"/>
      <c r="P106" s="152"/>
      <c r="Q106" s="191"/>
      <c r="R106" s="191"/>
      <c r="S106" s="191"/>
      <c r="T106" s="191"/>
      <c r="U106" s="191"/>
      <c r="V106" s="191"/>
      <c r="W106" s="175"/>
      <c r="X106" s="386"/>
      <c r="Z106" s="191"/>
      <c r="AA106" s="153"/>
      <c r="AB106" s="153"/>
      <c r="AC106" s="153"/>
      <c r="AD106" s="153"/>
      <c r="AE106" s="317"/>
      <c r="AF106" s="463"/>
      <c r="AH106" s="153"/>
      <c r="AI106" s="153"/>
      <c r="AJ106" s="153"/>
      <c r="AL106" s="317"/>
      <c r="AM106" s="147"/>
      <c r="AP106" s="3"/>
      <c r="AR106" s="5"/>
      <c r="AS106" s="5"/>
      <c r="AT106" s="5"/>
      <c r="AU106" s="153"/>
      <c r="AW106" s="5"/>
      <c r="AX106" s="5"/>
      <c r="AY106" s="5"/>
      <c r="AZ106" s="5"/>
      <c r="BA106" s="5"/>
      <c r="BB106" s="5"/>
      <c r="BC106" s="5"/>
      <c r="BD106" s="153"/>
      <c r="BE106" s="153"/>
      <c r="BF106" s="153"/>
      <c r="BG106" s="153"/>
      <c r="BH106" s="463"/>
      <c r="BI106" s="463"/>
      <c r="BJ106" s="463"/>
      <c r="BK106" s="463"/>
      <c r="BO106" s="147"/>
      <c r="BP106" s="153"/>
      <c r="BQ106" s="153"/>
      <c r="BR106" s="463"/>
      <c r="BT106" s="147"/>
      <c r="BU106" s="463"/>
      <c r="BV106" s="463"/>
      <c r="BW106" s="463"/>
      <c r="BX106" s="463"/>
      <c r="BY106" s="463"/>
      <c r="BZ106" s="463"/>
      <c r="CA106" s="549"/>
      <c r="CB106" s="147"/>
      <c r="CC106" s="153"/>
      <c r="CD106" s="5"/>
      <c r="CE106" s="153"/>
      <c r="CF106" s="5"/>
    </row>
    <row r="107" spans="5:88" x14ac:dyDescent="0.25">
      <c r="G107" s="191"/>
      <c r="H107" s="191"/>
      <c r="I107" s="191"/>
      <c r="J107" s="472"/>
      <c r="K107" s="386"/>
      <c r="L107" s="386"/>
      <c r="M107" s="386"/>
      <c r="N107" s="191"/>
      <c r="O107" s="152"/>
      <c r="P107" s="152"/>
      <c r="Q107" s="191"/>
      <c r="R107" s="191"/>
      <c r="S107" s="191"/>
      <c r="T107" s="191"/>
      <c r="U107" s="191"/>
      <c r="V107" s="191"/>
      <c r="W107" s="175"/>
      <c r="X107" s="386"/>
      <c r="Z107" s="191"/>
      <c r="AA107" s="153"/>
      <c r="AB107" s="153"/>
      <c r="AC107" s="153"/>
      <c r="AD107" s="153"/>
      <c r="AE107" s="317"/>
      <c r="AF107" s="463"/>
      <c r="AH107" s="153"/>
      <c r="AI107" s="153"/>
      <c r="AJ107" s="153"/>
      <c r="AL107" s="317"/>
      <c r="AM107" s="147"/>
      <c r="AR107" s="5"/>
      <c r="AS107" s="5"/>
      <c r="AT107" s="5"/>
      <c r="AU107" s="153"/>
      <c r="AW107" s="5"/>
      <c r="AX107" s="5"/>
      <c r="AY107" s="5"/>
      <c r="AZ107" s="5"/>
      <c r="BA107" s="5"/>
      <c r="BB107" s="5"/>
      <c r="BC107" s="5"/>
      <c r="BD107" s="153"/>
      <c r="BE107" s="153"/>
      <c r="BF107" s="153"/>
      <c r="BG107" s="153"/>
      <c r="BH107" s="463"/>
      <c r="BI107" s="463"/>
      <c r="BJ107" s="463"/>
      <c r="BK107" s="463"/>
      <c r="BO107" s="147"/>
      <c r="BP107" s="153"/>
      <c r="BQ107" s="153"/>
      <c r="BR107" s="463"/>
      <c r="BT107" s="147"/>
      <c r="BU107" s="463"/>
      <c r="BV107" s="463"/>
      <c r="BW107" s="463"/>
      <c r="BX107" s="463"/>
      <c r="BY107" s="463"/>
      <c r="BZ107" s="463"/>
      <c r="CA107" s="549"/>
      <c r="CB107" s="147"/>
      <c r="CC107" s="153"/>
      <c r="CD107" s="5"/>
      <c r="CE107" s="153"/>
      <c r="CF107" s="5"/>
    </row>
    <row r="108" spans="5:88" x14ac:dyDescent="0.25">
      <c r="E108" s="162" t="s">
        <v>441</v>
      </c>
      <c r="G108" s="191"/>
      <c r="H108" s="191"/>
      <c r="I108" s="191"/>
      <c r="J108" s="472"/>
      <c r="K108" s="386"/>
      <c r="L108" s="386"/>
      <c r="M108" s="386"/>
      <c r="N108" s="191"/>
      <c r="O108" s="152"/>
      <c r="P108" s="152"/>
      <c r="Q108" s="191"/>
      <c r="R108" s="191"/>
      <c r="S108" s="191"/>
      <c r="T108" s="191"/>
      <c r="U108" s="191"/>
      <c r="V108" s="191"/>
      <c r="W108" s="175"/>
      <c r="X108" s="386"/>
      <c r="Z108" s="191"/>
      <c r="AA108" s="153"/>
      <c r="AB108" s="153"/>
      <c r="AC108" s="153"/>
      <c r="AD108" s="153"/>
      <c r="AE108" s="317"/>
      <c r="AF108" s="463"/>
      <c r="AH108" s="153"/>
      <c r="AI108" s="153"/>
      <c r="AJ108" s="153"/>
      <c r="AL108" s="317"/>
      <c r="AM108" s="147"/>
      <c r="AR108" s="5"/>
      <c r="AS108" s="5"/>
      <c r="AT108" s="5"/>
      <c r="AU108" s="153"/>
      <c r="AW108" s="468" t="s">
        <v>477</v>
      </c>
      <c r="AX108" s="468"/>
      <c r="AY108" s="468" t="s">
        <v>477</v>
      </c>
      <c r="AZ108" s="468"/>
      <c r="BA108" s="468"/>
      <c r="BB108" s="468"/>
      <c r="BC108" s="468"/>
      <c r="BD108" s="487" t="s">
        <v>478</v>
      </c>
      <c r="BE108" s="468"/>
      <c r="BF108" s="468"/>
      <c r="BG108" s="468"/>
      <c r="BH108" s="487" t="s">
        <v>502</v>
      </c>
      <c r="BI108" s="468"/>
      <c r="BJ108" s="468"/>
      <c r="BK108" s="468"/>
      <c r="BL108" s="468"/>
      <c r="BM108" s="468"/>
      <c r="BN108" s="468"/>
      <c r="BO108" s="468"/>
      <c r="BP108" s="487" t="s">
        <v>498</v>
      </c>
      <c r="BQ108" s="468"/>
      <c r="BR108" s="468"/>
      <c r="BS108" s="468"/>
      <c r="BT108" s="468"/>
      <c r="BU108" s="488" t="s">
        <v>499</v>
      </c>
      <c r="BV108" s="468"/>
      <c r="BW108" s="468"/>
      <c r="BX108" s="468"/>
      <c r="BY108" s="468"/>
      <c r="BZ108" s="468"/>
      <c r="CA108" s="468"/>
      <c r="CB108" s="468"/>
      <c r="CC108" s="487"/>
      <c r="CD108" s="468"/>
      <c r="CE108" s="468"/>
      <c r="CF108" s="468"/>
      <c r="CG108" s="468"/>
    </row>
    <row r="109" spans="5:88" ht="45" customHeight="1" thickBot="1" x14ac:dyDescent="0.3">
      <c r="E109" s="214" t="s">
        <v>25</v>
      </c>
      <c r="F109" s="522" t="s">
        <v>594</v>
      </c>
      <c r="G109" s="387" t="s">
        <v>593</v>
      </c>
      <c r="H109" s="523" t="s">
        <v>595</v>
      </c>
      <c r="I109" s="524" t="s">
        <v>596</v>
      </c>
      <c r="J109" s="215" t="s">
        <v>419</v>
      </c>
      <c r="K109" s="216" t="s">
        <v>425</v>
      </c>
      <c r="L109" s="462" t="s">
        <v>420</v>
      </c>
      <c r="M109" s="462"/>
      <c r="N109" s="217" t="s">
        <v>48</v>
      </c>
      <c r="O109" s="526" t="s">
        <v>604</v>
      </c>
      <c r="P109" s="526" t="s">
        <v>619</v>
      </c>
      <c r="Q109" s="462" t="s">
        <v>410</v>
      </c>
      <c r="R109" s="526" t="s">
        <v>598</v>
      </c>
      <c r="S109" s="462" t="s">
        <v>440</v>
      </c>
      <c r="T109" s="526" t="s">
        <v>421</v>
      </c>
      <c r="U109" s="462" t="s">
        <v>473</v>
      </c>
      <c r="V109" s="462" t="s">
        <v>472</v>
      </c>
      <c r="W109" s="476" t="s">
        <v>427</v>
      </c>
      <c r="X109" s="473" t="s">
        <v>432</v>
      </c>
      <c r="Z109" s="218" t="s">
        <v>424</v>
      </c>
      <c r="AA109" s="218" t="s">
        <v>471</v>
      </c>
      <c r="AB109" s="218" t="s">
        <v>601</v>
      </c>
      <c r="AC109" s="475"/>
      <c r="AD109" s="218" t="s">
        <v>470</v>
      </c>
      <c r="AE109" s="527" t="s">
        <v>433</v>
      </c>
      <c r="AF109" s="218" t="s">
        <v>602</v>
      </c>
      <c r="AG109" s="475"/>
      <c r="AH109" s="153"/>
      <c r="AI109" s="477" t="s">
        <v>437</v>
      </c>
      <c r="AJ109" s="477" t="s">
        <v>438</v>
      </c>
      <c r="AL109" s="474" t="s">
        <v>274</v>
      </c>
      <c r="AM109" s="474" t="s">
        <v>439</v>
      </c>
      <c r="AO109" s="218" t="s">
        <v>274</v>
      </c>
      <c r="AP109" s="218" t="s">
        <v>439</v>
      </c>
      <c r="AQ109" s="478"/>
      <c r="AR109" s="218" t="s">
        <v>474</v>
      </c>
      <c r="AS109" s="218" t="s">
        <v>468</v>
      </c>
      <c r="AT109" s="218" t="s">
        <v>469</v>
      </c>
      <c r="AU109" s="218" t="s">
        <v>48</v>
      </c>
      <c r="AV109" s="475"/>
      <c r="AW109" s="218" t="s">
        <v>605</v>
      </c>
      <c r="AX109" s="218"/>
      <c r="AY109" s="218" t="s">
        <v>606</v>
      </c>
      <c r="AZ109" s="218"/>
      <c r="BA109" s="218" t="s">
        <v>525</v>
      </c>
      <c r="BB109" s="218"/>
      <c r="BC109" s="475"/>
      <c r="BD109" s="486" t="s">
        <v>463</v>
      </c>
      <c r="BE109" s="218" t="s">
        <v>613</v>
      </c>
      <c r="BF109" s="218" t="s">
        <v>612</v>
      </c>
      <c r="BG109" s="475"/>
      <c r="BH109" s="486" t="s">
        <v>481</v>
      </c>
      <c r="BI109" s="218" t="s">
        <v>482</v>
      </c>
      <c r="BJ109" s="218" t="s">
        <v>480</v>
      </c>
      <c r="BK109" s="218" t="s">
        <v>476</v>
      </c>
      <c r="BL109" s="218" t="s">
        <v>485</v>
      </c>
      <c r="BM109" s="218" t="s">
        <v>793</v>
      </c>
      <c r="BN109" s="218" t="s">
        <v>686</v>
      </c>
      <c r="BO109" s="218" t="s">
        <v>500</v>
      </c>
      <c r="BP109" s="486" t="s">
        <v>615</v>
      </c>
      <c r="BQ109" s="218" t="s">
        <v>614</v>
      </c>
      <c r="BR109" s="218" t="s">
        <v>484</v>
      </c>
      <c r="BS109" s="218" t="s">
        <v>492</v>
      </c>
      <c r="BT109" s="218" t="s">
        <v>496</v>
      </c>
      <c r="BU109" s="486" t="s">
        <v>465</v>
      </c>
      <c r="BV109" s="218" t="s">
        <v>617</v>
      </c>
      <c r="BW109" s="218" t="s">
        <v>616</v>
      </c>
      <c r="BX109" s="218" t="s">
        <v>475</v>
      </c>
      <c r="BY109" s="218" t="s">
        <v>692</v>
      </c>
      <c r="BZ109" s="218" t="s">
        <v>800</v>
      </c>
      <c r="CA109" s="218" t="s">
        <v>493</v>
      </c>
      <c r="CB109" s="218" t="s">
        <v>495</v>
      </c>
      <c r="CC109" s="486" t="s">
        <v>491</v>
      </c>
      <c r="CD109" s="218" t="s">
        <v>223</v>
      </c>
      <c r="CE109" s="218" t="s">
        <v>47</v>
      </c>
      <c r="CF109" s="218" t="s">
        <v>494</v>
      </c>
      <c r="CG109" s="218" t="s">
        <v>618</v>
      </c>
      <c r="CI109" s="497" t="s">
        <v>507</v>
      </c>
    </row>
    <row r="110" spans="5:88" x14ac:dyDescent="0.25">
      <c r="E110" s="150">
        <v>0.1</v>
      </c>
      <c r="F110" s="191">
        <v>1.0000000000000001E-9</v>
      </c>
      <c r="G110" s="191">
        <f t="shared" ref="G110:G141" si="183">IF(PLOT_TYPE=1, E110/100*Iout2, min_I*EXP(Q110*rr/100))</f>
        <v>1E-4</v>
      </c>
      <c r="H110" s="191">
        <f t="shared" ref="H110:H141" si="184">F110*Vout</f>
        <v>2E-8</v>
      </c>
      <c r="I110" s="191">
        <f t="shared" ref="I110:I141" si="185">Vout2*G110</f>
        <v>1.6000000000000001E-3</v>
      </c>
      <c r="J110" s="472">
        <f t="shared" ref="J110:J173" si="186">VIN_min</f>
        <v>9</v>
      </c>
      <c r="K110" s="386">
        <f t="shared" ref="K110:K173" si="187">(S110+Vfwd1)*Nps</f>
        <v>20.32</v>
      </c>
      <c r="L110" s="386">
        <f t="shared" ref="L110:L173" si="188">(Vout+Vfwd1)*Nps+J110</f>
        <v>29.32</v>
      </c>
      <c r="M110" s="386"/>
      <c r="N110" s="191">
        <f t="shared" ref="N110:N173" si="189">(Vout+Vfwd1)*Nps/((Vout+Vfwd1)*Nps+J110)</f>
        <v>0.69304229195088674</v>
      </c>
      <c r="O110" s="152">
        <f t="shared" ref="O110:O141" si="190">N110*J110*Isw_max*0.5*Efficiency*Pout/(Pout+Pout2)</f>
        <v>1.1695088676671213</v>
      </c>
      <c r="P110" s="152">
        <f t="shared" ref="P110:P141" si="191">N110*J110*Isw_max*0.5*Efficiency*(Pout2/Pout_total)</f>
        <v>1.6840927694406547</v>
      </c>
      <c r="Q110" s="191">
        <f t="shared" ref="Q110:Q173" si="192">O110/Vout</f>
        <v>5.8475443383356064E-2</v>
      </c>
      <c r="R110" s="191">
        <f t="shared" ref="R110:R141" si="193">O110/Vout2</f>
        <v>7.3094304229195078E-2</v>
      </c>
      <c r="S110" s="191">
        <f t="shared" ref="S110:S141" si="194">MIN(Vout,O110/F110)</f>
        <v>20</v>
      </c>
      <c r="T110" s="191">
        <f t="shared" ref="T110:T141" si="195">MIN(2*(Vout*F110+Vout2*G110)/(Efficiency*J110*N110), Isw_max)</f>
        <v>5.7004698162729664E-4</v>
      </c>
      <c r="U110" s="191">
        <f t="shared" ref="U110:U173" si="196">L*T110/J110*1000000</f>
        <v>3.8003132108486441E-3</v>
      </c>
      <c r="V110" s="191">
        <f t="shared" ref="V110:V173" si="197">L*T110/K110*1000000</f>
        <v>1.6832095914191831E-3</v>
      </c>
      <c r="W110" s="175">
        <f t="shared" ref="W110:W173" si="198">IF(1/((350000*L)*(1/J110+1/K110))&gt;Isw_min, 350, 0.001/((Isw_min*L)*(1/J110+1/K110)))</f>
        <v>350</v>
      </c>
      <c r="X110" s="386">
        <f t="shared" ref="X110:X173" si="199">MIN(1/(U110+V110)*1000, 350)</f>
        <v>350</v>
      </c>
      <c r="Z110" s="191">
        <f t="shared" ref="Z110:Z173" si="200">1/((W110*1000*L)*(1/J110+1/K110))</f>
        <v>0.29701812512180864</v>
      </c>
      <c r="AA110" s="153">
        <f t="shared" ref="AA110:AA173" si="201">L*Z110/K110*1000000</f>
        <v>0.87702202299746645</v>
      </c>
      <c r="AB110" s="153">
        <f t="shared" ref="AB110:AB141" si="202">0.5*AA110*Z110*Nps*W110/1000*(Pout/(Pout+Pout2))</f>
        <v>2.5325556371231982E-2</v>
      </c>
      <c r="AC110" s="153"/>
      <c r="AD110" s="153">
        <f t="shared" ref="AD110:AD173" si="203">L*Isw_min/K110*1000000</f>
        <v>0.44291338582677164</v>
      </c>
      <c r="AE110" s="317">
        <f t="shared" ref="AE110:AE141" si="204">MAX(10, F110/(0.5*AD110/1000000*Isw_min*Nps)/1000*Pout_total/Pout)</f>
        <v>10</v>
      </c>
      <c r="AF110" s="463">
        <f t="shared" ref="AF110:AF141" si="205">0.5*AD110/1000000*Isw_min*Nps*W110*1000*(Pout/Pout_total)</f>
        <v>1.1626476377952754E-2</v>
      </c>
      <c r="AH110" s="153">
        <f t="shared" ref="AH110:AH141" si="206">SQRT((H110+I110)/(0.5*L*Fsw_DCM))</f>
        <v>1.2344345148401237E-2</v>
      </c>
      <c r="AI110" s="153">
        <f t="shared" ref="AI110:AI141" si="207">MAX(IF(F110&gt;AB110,T110,AH110),Isw_min)</f>
        <v>0.15</v>
      </c>
      <c r="AJ110" s="153">
        <f t="shared" ref="AJ110:AJ141" si="208">IF(F110&gt;AF110, (AI110-Isw_min)/1.08*0.8+1.2, AE110*0.2/350+1)</f>
        <v>1.0057142857142858</v>
      </c>
      <c r="AL110" s="317">
        <f t="shared" ref="AL110:AL141" si="209">F110*1000</f>
        <v>1.0000000000000002E-6</v>
      </c>
      <c r="AM110" s="147">
        <f t="shared" ref="AM110:AM141" si="210">IF(F110&gt;AF110, X110, AE110)</f>
        <v>10</v>
      </c>
      <c r="AO110" s="147">
        <f t="shared" ref="AO110:AO173" si="211">IF(H110&gt;O110, "",AL110)</f>
        <v>1.0000000000000002E-6</v>
      </c>
      <c r="AP110" s="147">
        <f t="shared" ref="AP110:AP173" si="212">IF(H110&gt;O110, "",AM110)</f>
        <v>10</v>
      </c>
      <c r="AR110" s="5">
        <f t="shared" si="160"/>
        <v>100</v>
      </c>
      <c r="AS110" s="5">
        <f t="shared" ref="AS110:AS114" si="213">L*AI110/J110*1000000</f>
        <v>1</v>
      </c>
      <c r="AT110" s="5">
        <f t="shared" ref="AT110:AT114" si="214">AR110-AS110</f>
        <v>99</v>
      </c>
      <c r="AU110" s="153">
        <f t="shared" ref="AU110:AU114" si="215">AS110/AR110</f>
        <v>0.01</v>
      </c>
      <c r="AW110" s="5">
        <f t="shared" ref="AW110:AW169" si="216">F110*AS110/Vout_ripple*1000</f>
        <v>5.0000000000000001E-9</v>
      </c>
      <c r="AX110" s="5"/>
      <c r="AY110" s="5">
        <f t="shared" ref="AY110:AY169" si="217">G110*AS110/Vout_ripple2*1000</f>
        <v>6.2500000000000001E-4</v>
      </c>
      <c r="AZ110" s="5"/>
      <c r="BA110" s="5">
        <f t="shared" ref="BA110:BA169" si="218">H110/Efficiency/J110*AT110/Vinripple1</f>
        <v>2.444444444444445E-7</v>
      </c>
      <c r="BB110" s="5"/>
      <c r="BC110" s="5"/>
      <c r="BD110" s="153">
        <f t="shared" ref="BD110:BD169" si="219">AI110*SQRT(AU110/3)</f>
        <v>8.6602540378443865E-3</v>
      </c>
      <c r="BE110" s="153">
        <f t="shared" ref="BE110:BE169" si="220">AI110*Npri_sec1*SQRT((1-AU110)/3)*(Pout/Pout_total)</f>
        <v>8.616843969807042E-2</v>
      </c>
      <c r="BF110" s="153">
        <f t="shared" ref="BF110:BF169" si="221">AI110*Npri_sec2*SQRT((1-AU110)/3)*(Pout2/Pout_total)</f>
        <v>8.5830524248274087E-2</v>
      </c>
      <c r="BG110" s="153"/>
      <c r="BH110" s="463">
        <f t="shared" ref="BH110:BH169" si="222">Rdson*BD110^2</f>
        <v>2.6250000000000001E-5</v>
      </c>
      <c r="BI110" s="463">
        <f t="shared" ref="BI110:BI169" si="223">0.5*L110*AI110*AM110*1000*Trise</f>
        <v>2.1990000000000001E-4</v>
      </c>
      <c r="BJ110" s="463">
        <f t="shared" ref="BJ110:BJ169" si="224">Qg*Vdd*AM110*1000</f>
        <v>1.25E-4</v>
      </c>
      <c r="BK110" s="463">
        <f t="shared" ref="BK110:BK169" si="225">0.5*(Coss+Csw)*L110^2*AM110*1000</f>
        <v>4.2983120000000011E-4</v>
      </c>
      <c r="BL110">
        <f t="shared" ref="BL110:BL169" si="226">J110*IQ</f>
        <v>2.6099999999999999E-3</v>
      </c>
      <c r="BM110">
        <f t="shared" ref="BM110:BM141" si="227">(J110-Vdd)*Qg*AM110</f>
        <v>9.9999999999999995E-8</v>
      </c>
      <c r="BN110">
        <f t="shared" ref="BN110:BN141" si="228">(BI110+BJ110+BK110+BL110+BM110+BH110*(1+RdsonTC*(Ta-25)))/(1-BH110*RdsonTC*ThetaJA)</f>
        <v>3.4146414875355548E-3</v>
      </c>
      <c r="BO110" s="147">
        <f t="shared" ref="BO110:BO169" si="229">SUM(BH110:BL110)*1000</f>
        <v>3.4109812000000002</v>
      </c>
      <c r="BP110" s="153">
        <f t="shared" ref="BP110:BP169" si="230">Vfwd2*F110</f>
        <v>4.0000000000000007E-10</v>
      </c>
      <c r="BQ110" s="153">
        <f t="shared" ref="BQ110:BQ169" si="231">Vfwd2*G110</f>
        <v>4.0000000000000003E-5</v>
      </c>
      <c r="BR110" s="463"/>
      <c r="BT110" s="147">
        <f t="shared" ref="BT110:BT169" si="232">SUM(BP110:BS110)*1000</f>
        <v>4.0000400000000005E-2</v>
      </c>
      <c r="BU110" s="463">
        <f t="shared" ref="BU110:BU169" si="233">Rdcr_pri*BD110^2</f>
        <v>7.5000000000000007E-5</v>
      </c>
      <c r="BV110" s="463">
        <f t="shared" ref="BV110:BV169" si="234">Rdcr_sec*BE110^2</f>
        <v>7.4249999999999984E-3</v>
      </c>
      <c r="BW110" s="463">
        <f t="shared" ref="BW110:BW169" si="235">Rdcr_sec2*BF110^2</f>
        <v>3.6834394463667832E-4</v>
      </c>
      <c r="BX110" s="463">
        <f t="shared" ref="BX110:BX169" si="236">AI110^2.5*AM110^2.5*k_core</f>
        <v>0</v>
      </c>
      <c r="BY110" s="463">
        <f t="shared" si="180"/>
        <v>8.8180959229257495E-3</v>
      </c>
      <c r="BZ110" s="463">
        <f t="shared" si="166"/>
        <v>7.8683439446366778E-3</v>
      </c>
      <c r="CA110" s="549">
        <f t="shared" ref="CA110:CA141" si="237">0.5*Lleak*0.000000001*AI110^2*AM110*1000</f>
        <v>1.1250000000000001E-4</v>
      </c>
      <c r="CB110" s="147">
        <f t="shared" ref="CB110:CB169" si="238">SUM(BU110:CA110)*1000</f>
        <v>24.667283812199109</v>
      </c>
      <c r="CC110" s="153">
        <f t="shared" si="168"/>
        <v>1.2385237810461304E-2</v>
      </c>
      <c r="CD110" s="5">
        <f t="shared" ref="CD110:CD169" si="239">MIN(H110+I110,O110+P110)</f>
        <v>1.6000200000000002E-3</v>
      </c>
      <c r="CE110" s="153">
        <f t="shared" ref="CE110:CE169" si="240">CD110/(CD110+CC110)</f>
        <v>0.11440761562530133</v>
      </c>
      <c r="CF110" s="5">
        <f t="shared" ref="CF110:CF169" si="241">CE110*100</f>
        <v>11.440761562530133</v>
      </c>
      <c r="CG110">
        <f t="shared" ref="CG110:CG169" si="242">F110/Iout*100</f>
        <v>9.9999999999999995E-7</v>
      </c>
      <c r="CI110" s="59">
        <f t="shared" ref="CI110:CI141" si="243">IF(ABS(F110-Ioutmax_Vinmin)&lt;Iout/200, AM110, -50)</f>
        <v>-50</v>
      </c>
      <c r="CJ110">
        <f t="shared" ref="CJ110:CJ141" si="244">IF(ABS(F110-Ioutmax_Vinmin)&lt;Iout/200, (O110+P110)*CE110, -50)</f>
        <v>-50</v>
      </c>
    </row>
    <row r="111" spans="5:88" x14ac:dyDescent="0.25">
      <c r="E111" s="150">
        <v>1</v>
      </c>
      <c r="F111" s="191">
        <f t="shared" ref="F111:F142" si="245">IF(PLOT_TYPE=1, E111/100*Iout_max, min_I*EXP(O111*rr/100))</f>
        <v>1E-3</v>
      </c>
      <c r="G111" s="191">
        <f t="shared" si="183"/>
        <v>1E-3</v>
      </c>
      <c r="H111" s="191">
        <f t="shared" si="184"/>
        <v>0.02</v>
      </c>
      <c r="I111" s="191">
        <f t="shared" si="185"/>
        <v>1.6E-2</v>
      </c>
      <c r="J111" s="472">
        <f t="shared" si="186"/>
        <v>9</v>
      </c>
      <c r="K111" s="386">
        <f t="shared" si="187"/>
        <v>20.32</v>
      </c>
      <c r="L111" s="386">
        <f t="shared" si="188"/>
        <v>29.32</v>
      </c>
      <c r="M111" s="386"/>
      <c r="N111" s="191">
        <f t="shared" si="189"/>
        <v>0.69304229195088674</v>
      </c>
      <c r="O111" s="152">
        <f t="shared" si="190"/>
        <v>1.1695088676671213</v>
      </c>
      <c r="P111" s="152">
        <f t="shared" si="191"/>
        <v>1.6840927694406547</v>
      </c>
      <c r="Q111" s="191">
        <f t="shared" si="192"/>
        <v>5.8475443383356064E-2</v>
      </c>
      <c r="R111" s="191">
        <f t="shared" si="193"/>
        <v>7.3094304229195078E-2</v>
      </c>
      <c r="S111" s="191">
        <f t="shared" si="194"/>
        <v>20</v>
      </c>
      <c r="T111" s="191">
        <f t="shared" si="195"/>
        <v>1.2825896762904639E-2</v>
      </c>
      <c r="U111" s="191">
        <f t="shared" si="196"/>
        <v>8.5505978419364262E-2</v>
      </c>
      <c r="V111" s="191">
        <f t="shared" si="197"/>
        <v>3.7871742410151489E-2</v>
      </c>
      <c r="W111" s="175">
        <f t="shared" si="198"/>
        <v>350</v>
      </c>
      <c r="X111" s="386">
        <f t="shared" si="199"/>
        <v>350</v>
      </c>
      <c r="Z111" s="191">
        <f t="shared" si="200"/>
        <v>0.29701812512180864</v>
      </c>
      <c r="AA111" s="153">
        <f t="shared" si="201"/>
        <v>0.87702202299746645</v>
      </c>
      <c r="AB111" s="153">
        <f t="shared" si="202"/>
        <v>2.5325556371231982E-2</v>
      </c>
      <c r="AC111" s="153"/>
      <c r="AD111" s="153">
        <f t="shared" si="203"/>
        <v>0.44291338582677164</v>
      </c>
      <c r="AE111" s="317">
        <f t="shared" si="204"/>
        <v>30.103703703703708</v>
      </c>
      <c r="AF111" s="463">
        <f t="shared" si="205"/>
        <v>1.1626476377952754E-2</v>
      </c>
      <c r="AH111" s="153">
        <f t="shared" si="206"/>
        <v>5.8554004376911994E-2</v>
      </c>
      <c r="AI111" s="153">
        <f t="shared" si="207"/>
        <v>0.15</v>
      </c>
      <c r="AJ111" s="153">
        <f t="shared" si="208"/>
        <v>1.0172021164021163</v>
      </c>
      <c r="AL111" s="317">
        <f t="shared" si="209"/>
        <v>1</v>
      </c>
      <c r="AM111" s="147">
        <f t="shared" si="210"/>
        <v>30.103703703703708</v>
      </c>
      <c r="AO111" s="147">
        <f t="shared" si="211"/>
        <v>1</v>
      </c>
      <c r="AP111" s="147">
        <f t="shared" si="212"/>
        <v>30.103703703703708</v>
      </c>
      <c r="AR111" s="5">
        <f t="shared" si="160"/>
        <v>33.218503937007867</v>
      </c>
      <c r="AS111" s="5">
        <f t="shared" si="213"/>
        <v>1</v>
      </c>
      <c r="AT111" s="5">
        <f t="shared" si="214"/>
        <v>32.218503937007867</v>
      </c>
      <c r="AU111" s="153">
        <f t="shared" si="215"/>
        <v>3.0103703703703709E-2</v>
      </c>
      <c r="AW111" s="5">
        <f t="shared" si="216"/>
        <v>5.0000000000000001E-3</v>
      </c>
      <c r="AX111" s="5"/>
      <c r="AY111" s="5">
        <f t="shared" si="217"/>
        <v>6.2500000000000003E-3</v>
      </c>
      <c r="AZ111" s="5"/>
      <c r="BA111" s="5">
        <f t="shared" si="218"/>
        <v>7.9551861572858928E-2</v>
      </c>
      <c r="BB111" s="5"/>
      <c r="BC111" s="5"/>
      <c r="BD111" s="153">
        <f t="shared" si="219"/>
        <v>1.5025903559446193E-2</v>
      </c>
      <c r="BE111" s="153">
        <f t="shared" si="220"/>
        <v>8.5289051010210101E-2</v>
      </c>
      <c r="BF111" s="153">
        <f t="shared" si="221"/>
        <v>8.4954584143503403E-2</v>
      </c>
      <c r="BG111" s="153"/>
      <c r="BH111" s="463">
        <f t="shared" si="222"/>
        <v>7.9022222222222208E-5</v>
      </c>
      <c r="BI111" s="463">
        <f t="shared" si="223"/>
        <v>6.6198044444444441E-4</v>
      </c>
      <c r="BJ111" s="463">
        <f t="shared" si="224"/>
        <v>3.7629629629629634E-4</v>
      </c>
      <c r="BK111" s="463">
        <f t="shared" si="225"/>
        <v>1.2939511087407412E-3</v>
      </c>
      <c r="BL111">
        <f t="shared" si="226"/>
        <v>2.6099999999999999E-3</v>
      </c>
      <c r="BM111">
        <f t="shared" si="227"/>
        <v>3.010370370370371E-7</v>
      </c>
      <c r="BN111">
        <f t="shared" si="228"/>
        <v>5.032292477552147E-3</v>
      </c>
      <c r="BO111" s="147">
        <f t="shared" si="229"/>
        <v>5.0212500717037036</v>
      </c>
      <c r="BP111" s="153">
        <f t="shared" si="230"/>
        <v>4.0000000000000002E-4</v>
      </c>
      <c r="BQ111" s="153">
        <f t="shared" si="231"/>
        <v>4.0000000000000002E-4</v>
      </c>
      <c r="BR111" s="463"/>
      <c r="BT111" s="147">
        <f t="shared" si="232"/>
        <v>0.8</v>
      </c>
      <c r="BU111" s="463">
        <f t="shared" si="233"/>
        <v>2.2577777777777776E-4</v>
      </c>
      <c r="BV111" s="463">
        <f t="shared" si="234"/>
        <v>7.274222222222221E-3</v>
      </c>
      <c r="BW111" s="463">
        <f t="shared" si="235"/>
        <v>3.6086406834978001E-4</v>
      </c>
      <c r="BX111" s="463">
        <f t="shared" si="236"/>
        <v>0</v>
      </c>
      <c r="BY111" s="463">
        <f t="shared" si="180"/>
        <v>8.8097079098606555E-3</v>
      </c>
      <c r="BZ111" s="463">
        <f t="shared" si="166"/>
        <v>7.8608640683497794E-3</v>
      </c>
      <c r="CA111" s="549">
        <f t="shared" si="237"/>
        <v>3.3866666666666675E-4</v>
      </c>
      <c r="CB111" s="147">
        <f t="shared" si="238"/>
        <v>24.870102713226881</v>
      </c>
      <c r="CC111" s="153">
        <f t="shared" si="168"/>
        <v>1.4980667054079468E-2</v>
      </c>
      <c r="CD111" s="5">
        <f t="shared" si="239"/>
        <v>3.6000000000000004E-2</v>
      </c>
      <c r="CE111" s="153">
        <f t="shared" si="240"/>
        <v>0.70615003844127389</v>
      </c>
      <c r="CF111" s="5">
        <f t="shared" si="241"/>
        <v>70.615003844127386</v>
      </c>
      <c r="CG111">
        <f t="shared" si="242"/>
        <v>1</v>
      </c>
      <c r="CI111" s="59">
        <f t="shared" si="243"/>
        <v>-50</v>
      </c>
      <c r="CJ111">
        <f t="shared" si="244"/>
        <v>-50</v>
      </c>
    </row>
    <row r="112" spans="5:88" x14ac:dyDescent="0.25">
      <c r="E112" s="150">
        <v>2</v>
      </c>
      <c r="F112" s="191">
        <f t="shared" si="245"/>
        <v>2E-3</v>
      </c>
      <c r="G112" s="191">
        <f t="shared" si="183"/>
        <v>2E-3</v>
      </c>
      <c r="H112" s="191">
        <f t="shared" si="184"/>
        <v>0.04</v>
      </c>
      <c r="I112" s="191">
        <f t="shared" si="185"/>
        <v>3.2000000000000001E-2</v>
      </c>
      <c r="J112" s="472">
        <f t="shared" si="186"/>
        <v>9</v>
      </c>
      <c r="K112" s="386">
        <f t="shared" si="187"/>
        <v>20.32</v>
      </c>
      <c r="L112" s="386">
        <f t="shared" si="188"/>
        <v>29.32</v>
      </c>
      <c r="M112" s="386"/>
      <c r="N112" s="191">
        <f t="shared" si="189"/>
        <v>0.69304229195088674</v>
      </c>
      <c r="O112" s="152">
        <f t="shared" si="190"/>
        <v>1.1695088676671213</v>
      </c>
      <c r="P112" s="152">
        <f t="shared" si="191"/>
        <v>1.6840927694406547</v>
      </c>
      <c r="Q112" s="191">
        <f t="shared" si="192"/>
        <v>5.8475443383356064E-2</v>
      </c>
      <c r="R112" s="191">
        <f t="shared" si="193"/>
        <v>7.3094304229195078E-2</v>
      </c>
      <c r="S112" s="191">
        <f t="shared" si="194"/>
        <v>20</v>
      </c>
      <c r="T112" s="191">
        <f t="shared" si="195"/>
        <v>2.5651793525809277E-2</v>
      </c>
      <c r="U112" s="191">
        <f t="shared" si="196"/>
        <v>0.17101195683872852</v>
      </c>
      <c r="V112" s="191">
        <f t="shared" si="197"/>
        <v>7.5743484820302978E-2</v>
      </c>
      <c r="W112" s="175">
        <f t="shared" si="198"/>
        <v>350</v>
      </c>
      <c r="X112" s="386">
        <f t="shared" si="199"/>
        <v>350</v>
      </c>
      <c r="Z112" s="191">
        <f t="shared" si="200"/>
        <v>0.29701812512180864</v>
      </c>
      <c r="AA112" s="153">
        <f t="shared" si="201"/>
        <v>0.87702202299746645</v>
      </c>
      <c r="AB112" s="153">
        <f t="shared" si="202"/>
        <v>2.5325556371231982E-2</v>
      </c>
      <c r="AC112" s="153"/>
      <c r="AD112" s="153">
        <f t="shared" si="203"/>
        <v>0.44291338582677164</v>
      </c>
      <c r="AE112" s="317">
        <f t="shared" si="204"/>
        <v>60.207407407407416</v>
      </c>
      <c r="AF112" s="463">
        <f t="shared" si="205"/>
        <v>1.1626476377952754E-2</v>
      </c>
      <c r="AH112" s="153">
        <f t="shared" si="206"/>
        <v>8.2807867121082512E-2</v>
      </c>
      <c r="AI112" s="153">
        <f t="shared" si="207"/>
        <v>0.15</v>
      </c>
      <c r="AJ112" s="153">
        <f t="shared" si="208"/>
        <v>1.0344042328042329</v>
      </c>
      <c r="AL112" s="317">
        <f t="shared" si="209"/>
        <v>2</v>
      </c>
      <c r="AM112" s="147">
        <f t="shared" si="210"/>
        <v>60.207407407407416</v>
      </c>
      <c r="AO112" s="147">
        <f t="shared" si="211"/>
        <v>2</v>
      </c>
      <c r="AP112" s="147">
        <f t="shared" si="212"/>
        <v>60.207407407407416</v>
      </c>
      <c r="AR112" s="5">
        <f t="shared" si="160"/>
        <v>16.609251968503933</v>
      </c>
      <c r="AS112" s="5">
        <f t="shared" si="213"/>
        <v>1</v>
      </c>
      <c r="AT112" s="5">
        <f t="shared" si="214"/>
        <v>15.609251968503933</v>
      </c>
      <c r="AU112" s="153">
        <f t="shared" si="215"/>
        <v>6.0207407407407418E-2</v>
      </c>
      <c r="AW112" s="5">
        <f t="shared" si="216"/>
        <v>0.01</v>
      </c>
      <c r="AX112" s="5"/>
      <c r="AY112" s="5">
        <f t="shared" si="217"/>
        <v>1.2500000000000001E-2</v>
      </c>
      <c r="AZ112" s="5"/>
      <c r="BA112" s="5">
        <f t="shared" si="218"/>
        <v>7.7082725770389798E-2</v>
      </c>
      <c r="BB112" s="5"/>
      <c r="BC112" s="5"/>
      <c r="BD112" s="153">
        <f t="shared" si="219"/>
        <v>2.1249836600678969E-2</v>
      </c>
      <c r="BE112" s="153">
        <f t="shared" si="220"/>
        <v>8.3955014409172982E-2</v>
      </c>
      <c r="BF112" s="153">
        <f t="shared" si="221"/>
        <v>8.3625779058548788E-2</v>
      </c>
      <c r="BG112" s="153"/>
      <c r="BH112" s="463">
        <f t="shared" si="222"/>
        <v>1.5804444444444442E-4</v>
      </c>
      <c r="BI112" s="463">
        <f t="shared" si="223"/>
        <v>1.3239608888888888E-3</v>
      </c>
      <c r="BJ112" s="463">
        <f t="shared" si="224"/>
        <v>7.5259259259259268E-4</v>
      </c>
      <c r="BK112" s="463">
        <f t="shared" si="225"/>
        <v>2.5879022174814825E-3</v>
      </c>
      <c r="BL112">
        <f t="shared" si="226"/>
        <v>2.6099999999999999E-3</v>
      </c>
      <c r="BM112">
        <f t="shared" si="227"/>
        <v>6.0207407407407419E-7</v>
      </c>
      <c r="BN112">
        <f t="shared" si="228"/>
        <v>7.4546555892747403E-3</v>
      </c>
      <c r="BO112" s="147">
        <f t="shared" si="229"/>
        <v>7.4325001434074069</v>
      </c>
      <c r="BP112" s="153">
        <f t="shared" si="230"/>
        <v>8.0000000000000004E-4</v>
      </c>
      <c r="BQ112" s="153">
        <f t="shared" si="231"/>
        <v>8.0000000000000004E-4</v>
      </c>
      <c r="BR112" s="463"/>
      <c r="BT112" s="147">
        <f t="shared" si="232"/>
        <v>1.6</v>
      </c>
      <c r="BU112" s="463">
        <f t="shared" si="233"/>
        <v>4.5155555555555552E-4</v>
      </c>
      <c r="BV112" s="463">
        <f t="shared" si="234"/>
        <v>7.0484444444444431E-3</v>
      </c>
      <c r="BW112" s="463">
        <f t="shared" si="235"/>
        <v>3.4966354615746089E-4</v>
      </c>
      <c r="BX112" s="463">
        <f t="shared" si="236"/>
        <v>0</v>
      </c>
      <c r="BY112" s="463">
        <f t="shared" si="180"/>
        <v>8.7971475435669865E-3</v>
      </c>
      <c r="BZ112" s="463">
        <f t="shared" si="166"/>
        <v>7.8496635461574593E-3</v>
      </c>
      <c r="CA112" s="549">
        <f t="shared" si="237"/>
        <v>6.773333333333335E-4</v>
      </c>
      <c r="CB112" s="147">
        <f t="shared" si="238"/>
        <v>25.17380796921524</v>
      </c>
      <c r="CC112" s="153">
        <f t="shared" si="168"/>
        <v>1.8529136466175058E-2</v>
      </c>
      <c r="CD112" s="5">
        <f t="shared" si="239"/>
        <v>7.2000000000000008E-2</v>
      </c>
      <c r="CE112" s="153">
        <f t="shared" si="240"/>
        <v>0.79532405599496458</v>
      </c>
      <c r="CF112" s="5">
        <f t="shared" si="241"/>
        <v>79.532405599496457</v>
      </c>
      <c r="CG112">
        <f t="shared" si="242"/>
        <v>2</v>
      </c>
      <c r="CI112" s="59">
        <f t="shared" si="243"/>
        <v>-50</v>
      </c>
      <c r="CJ112">
        <f t="shared" si="244"/>
        <v>-50</v>
      </c>
    </row>
    <row r="113" spans="5:88" x14ac:dyDescent="0.25">
      <c r="E113" s="150">
        <v>3</v>
      </c>
      <c r="F113" s="191">
        <f t="shared" si="245"/>
        <v>3.0000000000000001E-3</v>
      </c>
      <c r="G113" s="191">
        <f t="shared" si="183"/>
        <v>3.0000000000000001E-3</v>
      </c>
      <c r="H113" s="191">
        <f t="shared" si="184"/>
        <v>0.06</v>
      </c>
      <c r="I113" s="191">
        <f t="shared" si="185"/>
        <v>4.8000000000000001E-2</v>
      </c>
      <c r="J113" s="472">
        <f t="shared" si="186"/>
        <v>9</v>
      </c>
      <c r="K113" s="386">
        <f t="shared" si="187"/>
        <v>20.32</v>
      </c>
      <c r="L113" s="386">
        <f t="shared" si="188"/>
        <v>29.32</v>
      </c>
      <c r="M113" s="386"/>
      <c r="N113" s="191">
        <f t="shared" si="189"/>
        <v>0.69304229195088674</v>
      </c>
      <c r="O113" s="152">
        <f t="shared" si="190"/>
        <v>1.1695088676671213</v>
      </c>
      <c r="P113" s="152">
        <f t="shared" si="191"/>
        <v>1.6840927694406547</v>
      </c>
      <c r="Q113" s="191">
        <f t="shared" si="192"/>
        <v>5.8475443383356064E-2</v>
      </c>
      <c r="R113" s="191">
        <f t="shared" si="193"/>
        <v>7.3094304229195078E-2</v>
      </c>
      <c r="S113" s="191">
        <f t="shared" si="194"/>
        <v>20</v>
      </c>
      <c r="T113" s="191">
        <f t="shared" si="195"/>
        <v>3.8477690288713916E-2</v>
      </c>
      <c r="U113" s="191">
        <f t="shared" si="196"/>
        <v>0.2565179352580928</v>
      </c>
      <c r="V113" s="191">
        <f t="shared" si="197"/>
        <v>0.11361522723045447</v>
      </c>
      <c r="W113" s="175">
        <f t="shared" si="198"/>
        <v>350</v>
      </c>
      <c r="X113" s="386">
        <f t="shared" si="199"/>
        <v>350</v>
      </c>
      <c r="Z113" s="191">
        <f t="shared" si="200"/>
        <v>0.29701812512180864</v>
      </c>
      <c r="AA113" s="153">
        <f t="shared" si="201"/>
        <v>0.87702202299746645</v>
      </c>
      <c r="AB113" s="153">
        <f t="shared" si="202"/>
        <v>2.5325556371231982E-2</v>
      </c>
      <c r="AC113" s="153"/>
      <c r="AD113" s="153">
        <f t="shared" si="203"/>
        <v>0.44291338582677164</v>
      </c>
      <c r="AE113" s="317">
        <f t="shared" si="204"/>
        <v>90.311111111111117</v>
      </c>
      <c r="AF113" s="463">
        <f t="shared" si="205"/>
        <v>1.1626476377952754E-2</v>
      </c>
      <c r="AH113" s="153">
        <f t="shared" si="206"/>
        <v>0.10141851056742199</v>
      </c>
      <c r="AI113" s="153">
        <f t="shared" si="207"/>
        <v>0.15</v>
      </c>
      <c r="AJ113" s="153">
        <f t="shared" si="208"/>
        <v>1.0516063492063492</v>
      </c>
      <c r="AL113" s="317">
        <f t="shared" si="209"/>
        <v>3</v>
      </c>
      <c r="AM113" s="147">
        <f t="shared" si="210"/>
        <v>90.311111111111117</v>
      </c>
      <c r="AO113" s="147">
        <f t="shared" si="211"/>
        <v>3</v>
      </c>
      <c r="AP113" s="147">
        <f t="shared" si="212"/>
        <v>90.311111111111117</v>
      </c>
      <c r="AR113" s="5">
        <f t="shared" si="160"/>
        <v>11.072834645669291</v>
      </c>
      <c r="AS113" s="5">
        <f t="shared" si="213"/>
        <v>1</v>
      </c>
      <c r="AT113" s="5">
        <f t="shared" si="214"/>
        <v>10.072834645669291</v>
      </c>
      <c r="AU113" s="153">
        <f t="shared" si="215"/>
        <v>9.031111111111112E-2</v>
      </c>
      <c r="AW113" s="5">
        <f t="shared" si="216"/>
        <v>1.5000000000000001E-2</v>
      </c>
      <c r="AX113" s="5"/>
      <c r="AY113" s="5">
        <f t="shared" si="217"/>
        <v>1.8750000000000003E-2</v>
      </c>
      <c r="AZ113" s="5"/>
      <c r="BA113" s="5">
        <f t="shared" si="218"/>
        <v>7.4613589967920682E-2</v>
      </c>
      <c r="BB113" s="5"/>
      <c r="BC113" s="5"/>
      <c r="BD113" s="153">
        <f t="shared" si="219"/>
        <v>2.6025628394590848E-2</v>
      </c>
      <c r="BE113" s="153">
        <f t="shared" si="220"/>
        <v>8.2599435026316406E-2</v>
      </c>
      <c r="BF113" s="153">
        <f t="shared" si="221"/>
        <v>8.2275515673272043E-2</v>
      </c>
      <c r="BG113" s="153"/>
      <c r="BH113" s="463">
        <f t="shared" si="222"/>
        <v>2.3706666666666666E-4</v>
      </c>
      <c r="BI113" s="463">
        <f t="shared" si="223"/>
        <v>1.9859413333333333E-3</v>
      </c>
      <c r="BJ113" s="463">
        <f t="shared" si="224"/>
        <v>1.1288888888888889E-3</v>
      </c>
      <c r="BK113" s="463">
        <f t="shared" si="225"/>
        <v>3.8818533262222231E-3</v>
      </c>
      <c r="BL113">
        <f t="shared" si="226"/>
        <v>2.6099999999999999E-3</v>
      </c>
      <c r="BM113">
        <f t="shared" si="227"/>
        <v>9.0311111111111119E-7</v>
      </c>
      <c r="BN113">
        <f t="shared" si="228"/>
        <v>9.8770893382573704E-3</v>
      </c>
      <c r="BO113" s="147">
        <f t="shared" si="229"/>
        <v>9.8437502151111111</v>
      </c>
      <c r="BP113" s="153">
        <f t="shared" si="230"/>
        <v>1.2000000000000001E-3</v>
      </c>
      <c r="BQ113" s="153">
        <f t="shared" si="231"/>
        <v>1.2000000000000001E-3</v>
      </c>
      <c r="BR113" s="463"/>
      <c r="BT113" s="147">
        <f t="shared" si="232"/>
        <v>2.4000000000000004</v>
      </c>
      <c r="BU113" s="463">
        <f t="shared" si="233"/>
        <v>6.7733333333333339E-4</v>
      </c>
      <c r="BV113" s="463">
        <f t="shared" si="234"/>
        <v>6.8226666666666652E-3</v>
      </c>
      <c r="BW113" s="463">
        <f t="shared" si="235"/>
        <v>3.3846302396514172E-4</v>
      </c>
      <c r="BX113" s="463">
        <f t="shared" si="236"/>
        <v>0</v>
      </c>
      <c r="BY113" s="463">
        <f t="shared" si="180"/>
        <v>8.7845871997966705E-3</v>
      </c>
      <c r="BZ113" s="463">
        <f t="shared" si="166"/>
        <v>7.838463023965141E-3</v>
      </c>
      <c r="CA113" s="549">
        <f t="shared" si="237"/>
        <v>1.0160000000000002E-3</v>
      </c>
      <c r="CB113" s="147">
        <f t="shared" si="238"/>
        <v>25.477513247726954</v>
      </c>
      <c r="CC113" s="153">
        <f t="shared" si="168"/>
        <v>2.207767653805404E-2</v>
      </c>
      <c r="CD113" s="5">
        <f t="shared" si="239"/>
        <v>0.108</v>
      </c>
      <c r="CE113" s="153">
        <f t="shared" si="240"/>
        <v>0.83027313274929804</v>
      </c>
      <c r="CF113" s="5">
        <f t="shared" si="241"/>
        <v>83.02731327492981</v>
      </c>
      <c r="CG113">
        <f t="shared" si="242"/>
        <v>3</v>
      </c>
      <c r="CI113" s="59">
        <f t="shared" si="243"/>
        <v>-50</v>
      </c>
      <c r="CJ113">
        <f t="shared" si="244"/>
        <v>-50</v>
      </c>
    </row>
    <row r="114" spans="5:88" x14ac:dyDescent="0.25">
      <c r="E114" s="150">
        <v>4</v>
      </c>
      <c r="F114" s="191">
        <f t="shared" si="245"/>
        <v>4.0000000000000001E-3</v>
      </c>
      <c r="G114" s="191">
        <f t="shared" si="183"/>
        <v>4.0000000000000001E-3</v>
      </c>
      <c r="H114" s="191">
        <f t="shared" si="184"/>
        <v>0.08</v>
      </c>
      <c r="I114" s="191">
        <f t="shared" si="185"/>
        <v>6.4000000000000001E-2</v>
      </c>
      <c r="J114" s="472">
        <f t="shared" si="186"/>
        <v>9</v>
      </c>
      <c r="K114" s="386">
        <f t="shared" si="187"/>
        <v>20.32</v>
      </c>
      <c r="L114" s="386">
        <f t="shared" si="188"/>
        <v>29.32</v>
      </c>
      <c r="M114" s="386"/>
      <c r="N114" s="191">
        <f t="shared" si="189"/>
        <v>0.69304229195088674</v>
      </c>
      <c r="O114" s="152">
        <f t="shared" si="190"/>
        <v>1.1695088676671213</v>
      </c>
      <c r="P114" s="152">
        <f t="shared" si="191"/>
        <v>1.6840927694406547</v>
      </c>
      <c r="Q114" s="191">
        <f t="shared" si="192"/>
        <v>5.8475443383356064E-2</v>
      </c>
      <c r="R114" s="191">
        <f t="shared" si="193"/>
        <v>7.3094304229195078E-2</v>
      </c>
      <c r="S114" s="191">
        <f t="shared" si="194"/>
        <v>20</v>
      </c>
      <c r="T114" s="191">
        <f t="shared" si="195"/>
        <v>5.1303587051618554E-2</v>
      </c>
      <c r="U114" s="191">
        <f t="shared" si="196"/>
        <v>0.34202391367745705</v>
      </c>
      <c r="V114" s="191">
        <f t="shared" si="197"/>
        <v>0.15148696964060596</v>
      </c>
      <c r="W114" s="175">
        <f t="shared" si="198"/>
        <v>350</v>
      </c>
      <c r="X114" s="386">
        <f t="shared" si="199"/>
        <v>350</v>
      </c>
      <c r="Z114" s="191">
        <f t="shared" si="200"/>
        <v>0.29701812512180864</v>
      </c>
      <c r="AA114" s="153">
        <f t="shared" si="201"/>
        <v>0.87702202299746645</v>
      </c>
      <c r="AB114" s="153">
        <f t="shared" si="202"/>
        <v>2.5325556371231982E-2</v>
      </c>
      <c r="AC114" s="153"/>
      <c r="AD114" s="153">
        <f t="shared" si="203"/>
        <v>0.44291338582677164</v>
      </c>
      <c r="AE114" s="317">
        <f t="shared" si="204"/>
        <v>120.41481481481483</v>
      </c>
      <c r="AF114" s="463">
        <f t="shared" si="205"/>
        <v>1.1626476377952754E-2</v>
      </c>
      <c r="AH114" s="153">
        <f t="shared" si="206"/>
        <v>0.11710800875382399</v>
      </c>
      <c r="AI114" s="153">
        <f t="shared" si="207"/>
        <v>0.15</v>
      </c>
      <c r="AJ114" s="153">
        <f t="shared" si="208"/>
        <v>1.0688084656084655</v>
      </c>
      <c r="AL114" s="317">
        <f t="shared" si="209"/>
        <v>4</v>
      </c>
      <c r="AM114" s="147">
        <f t="shared" si="210"/>
        <v>120.41481481481483</v>
      </c>
      <c r="AO114" s="147">
        <f t="shared" si="211"/>
        <v>4</v>
      </c>
      <c r="AP114" s="147">
        <f t="shared" si="212"/>
        <v>120.41481481481483</v>
      </c>
      <c r="AR114" s="5">
        <f t="shared" si="160"/>
        <v>8.3046259842519667</v>
      </c>
      <c r="AS114" s="5">
        <f t="shared" si="213"/>
        <v>1</v>
      </c>
      <c r="AT114" s="5">
        <f t="shared" si="214"/>
        <v>7.3046259842519667</v>
      </c>
      <c r="AU114" s="153">
        <f t="shared" si="215"/>
        <v>0.12041481481481484</v>
      </c>
      <c r="AW114" s="5">
        <f t="shared" si="216"/>
        <v>0.02</v>
      </c>
      <c r="AX114" s="5"/>
      <c r="AY114" s="5">
        <f t="shared" si="217"/>
        <v>2.5000000000000001E-2</v>
      </c>
      <c r="AZ114" s="5"/>
      <c r="BA114" s="5">
        <f t="shared" si="218"/>
        <v>7.2144454165451524E-2</v>
      </c>
      <c r="BB114" s="5"/>
      <c r="BC114" s="5"/>
      <c r="BD114" s="153">
        <f t="shared" si="219"/>
        <v>3.0051807118892385E-2</v>
      </c>
      <c r="BE114" s="153">
        <f t="shared" si="220"/>
        <v>8.1221234224117089E-2</v>
      </c>
      <c r="BF114" s="153">
        <f t="shared" si="221"/>
        <v>8.0902719580100951E-2</v>
      </c>
      <c r="BG114" s="153"/>
      <c r="BH114" s="463">
        <f t="shared" si="222"/>
        <v>3.1608888888888883E-4</v>
      </c>
      <c r="BI114" s="463">
        <f t="shared" si="223"/>
        <v>2.6479217777777776E-3</v>
      </c>
      <c r="BJ114" s="463">
        <f t="shared" si="224"/>
        <v>1.5051851851851854E-3</v>
      </c>
      <c r="BK114" s="463">
        <f t="shared" si="225"/>
        <v>5.1758044349629649E-3</v>
      </c>
      <c r="BL114">
        <f t="shared" si="226"/>
        <v>2.6099999999999999E-3</v>
      </c>
      <c r="BM114">
        <f t="shared" si="227"/>
        <v>1.2041481481481484E-6</v>
      </c>
      <c r="BN114">
        <f t="shared" si="228"/>
        <v>1.2299593727589807E-2</v>
      </c>
      <c r="BO114" s="147">
        <f t="shared" si="229"/>
        <v>12.255000286814814</v>
      </c>
      <c r="BP114" s="153">
        <f t="shared" si="230"/>
        <v>1.6000000000000001E-3</v>
      </c>
      <c r="BQ114" s="153">
        <f t="shared" si="231"/>
        <v>1.6000000000000001E-3</v>
      </c>
      <c r="BR114" s="463"/>
      <c r="BT114" s="147">
        <f t="shared" si="232"/>
        <v>3.2</v>
      </c>
      <c r="BU114" s="463">
        <f t="shared" si="233"/>
        <v>9.0311111111111104E-4</v>
      </c>
      <c r="BV114" s="463">
        <f t="shared" si="234"/>
        <v>6.5968888888888891E-3</v>
      </c>
      <c r="BW114" s="463">
        <f t="shared" si="235"/>
        <v>3.2726250177282255E-4</v>
      </c>
      <c r="BX114" s="463">
        <f t="shared" si="236"/>
        <v>0</v>
      </c>
      <c r="BY114" s="463">
        <f t="shared" si="180"/>
        <v>8.7720268785496432E-3</v>
      </c>
      <c r="BZ114" s="463">
        <f t="shared" si="166"/>
        <v>7.8272625017728227E-3</v>
      </c>
      <c r="CA114" s="549">
        <f t="shared" si="237"/>
        <v>1.354666666666667E-3</v>
      </c>
      <c r="CB114" s="147">
        <f t="shared" si="238"/>
        <v>25.781218548761956</v>
      </c>
      <c r="CC114" s="153">
        <f t="shared" si="168"/>
        <v>2.5626287272806119E-2</v>
      </c>
      <c r="CD114" s="5">
        <f t="shared" si="239"/>
        <v>0.14400000000000002</v>
      </c>
      <c r="CE114" s="153">
        <f t="shared" si="240"/>
        <v>0.84892502403479519</v>
      </c>
      <c r="CF114" s="5">
        <f t="shared" si="241"/>
        <v>84.892502403479526</v>
      </c>
      <c r="CG114">
        <f t="shared" si="242"/>
        <v>4</v>
      </c>
      <c r="CI114" s="59">
        <f t="shared" si="243"/>
        <v>-50</v>
      </c>
      <c r="CJ114">
        <f t="shared" si="244"/>
        <v>-50</v>
      </c>
    </row>
    <row r="115" spans="5:88" x14ac:dyDescent="0.25">
      <c r="E115" s="150">
        <v>5</v>
      </c>
      <c r="F115" s="191">
        <f t="shared" si="245"/>
        <v>5.000000000000001E-3</v>
      </c>
      <c r="G115" s="191">
        <f t="shared" si="183"/>
        <v>5.000000000000001E-3</v>
      </c>
      <c r="H115" s="191">
        <f t="shared" si="184"/>
        <v>0.10000000000000002</v>
      </c>
      <c r="I115" s="191">
        <f t="shared" si="185"/>
        <v>8.0000000000000016E-2</v>
      </c>
      <c r="J115" s="472">
        <f t="shared" si="186"/>
        <v>9</v>
      </c>
      <c r="K115" s="386">
        <f t="shared" si="187"/>
        <v>20.32</v>
      </c>
      <c r="L115" s="386">
        <f t="shared" si="188"/>
        <v>29.32</v>
      </c>
      <c r="M115" s="386"/>
      <c r="N115" s="191">
        <f t="shared" si="189"/>
        <v>0.69304229195088674</v>
      </c>
      <c r="O115" s="152">
        <f t="shared" si="190"/>
        <v>1.1695088676671213</v>
      </c>
      <c r="P115" s="152">
        <f t="shared" si="191"/>
        <v>1.6840927694406547</v>
      </c>
      <c r="Q115" s="191">
        <f t="shared" si="192"/>
        <v>5.8475443383356064E-2</v>
      </c>
      <c r="R115" s="191">
        <f t="shared" si="193"/>
        <v>7.3094304229195078E-2</v>
      </c>
      <c r="S115" s="191">
        <f t="shared" si="194"/>
        <v>20</v>
      </c>
      <c r="T115" s="191">
        <f t="shared" si="195"/>
        <v>6.4129483814523214E-2</v>
      </c>
      <c r="U115" s="191">
        <f t="shared" si="196"/>
        <v>0.42752989209682146</v>
      </c>
      <c r="V115" s="191">
        <f t="shared" si="197"/>
        <v>0.18935871205075752</v>
      </c>
      <c r="W115" s="175">
        <f t="shared" si="198"/>
        <v>350</v>
      </c>
      <c r="X115" s="386">
        <f t="shared" si="199"/>
        <v>350</v>
      </c>
      <c r="Z115" s="191">
        <f t="shared" si="200"/>
        <v>0.29701812512180864</v>
      </c>
      <c r="AA115" s="153">
        <f t="shared" si="201"/>
        <v>0.87702202299746645</v>
      </c>
      <c r="AB115" s="153">
        <f t="shared" si="202"/>
        <v>2.5325556371231982E-2</v>
      </c>
      <c r="AC115" s="153"/>
      <c r="AD115" s="153">
        <f t="shared" si="203"/>
        <v>0.44291338582677164</v>
      </c>
      <c r="AE115" s="317">
        <f t="shared" si="204"/>
        <v>150.51851851851856</v>
      </c>
      <c r="AF115" s="463">
        <f t="shared" si="205"/>
        <v>1.1626476377952754E-2</v>
      </c>
      <c r="AH115" s="153">
        <f t="shared" si="206"/>
        <v>0.13093073414159545</v>
      </c>
      <c r="AI115" s="153">
        <f t="shared" si="207"/>
        <v>0.15</v>
      </c>
      <c r="AJ115" s="153">
        <f t="shared" si="208"/>
        <v>1.0860105820105821</v>
      </c>
      <c r="AL115" s="317">
        <f t="shared" si="209"/>
        <v>5.0000000000000009</v>
      </c>
      <c r="AM115" s="147">
        <f t="shared" si="210"/>
        <v>150.51851851851856</v>
      </c>
      <c r="AO115" s="147">
        <f t="shared" si="211"/>
        <v>5.0000000000000009</v>
      </c>
      <c r="AP115" s="147">
        <f t="shared" si="212"/>
        <v>150.51851851851856</v>
      </c>
      <c r="AR115" s="5">
        <f t="shared" si="160"/>
        <v>6.6437007874015723</v>
      </c>
      <c r="AS115" s="5">
        <f t="shared" ref="AS115:AS178" si="246">L*AI115/J115*1000000</f>
        <v>1</v>
      </c>
      <c r="AT115" s="5">
        <f t="shared" ref="AT115:AT178" si="247">AR115-AS115</f>
        <v>5.6437007874015723</v>
      </c>
      <c r="AU115" s="153">
        <f t="shared" ref="AU115:AU178" si="248">AS115/AR115</f>
        <v>0.15051851851851858</v>
      </c>
      <c r="AW115" s="5">
        <f t="shared" si="216"/>
        <v>2.5000000000000005E-2</v>
      </c>
      <c r="AX115" s="5"/>
      <c r="AY115" s="5">
        <f t="shared" si="217"/>
        <v>3.1250000000000007E-2</v>
      </c>
      <c r="AZ115" s="5"/>
      <c r="BA115" s="5">
        <f t="shared" si="218"/>
        <v>6.9675318362982394E-2</v>
      </c>
      <c r="BB115" s="5"/>
      <c r="BC115" s="5"/>
      <c r="BD115" s="153">
        <f t="shared" si="219"/>
        <v>3.3598941782277743E-2</v>
      </c>
      <c r="BE115" s="153">
        <f t="shared" si="220"/>
        <v>7.9819240231357183E-2</v>
      </c>
      <c r="BF115" s="153">
        <f t="shared" si="221"/>
        <v>7.9506223602998929E-2</v>
      </c>
      <c r="BG115" s="153"/>
      <c r="BH115" s="463">
        <f t="shared" si="222"/>
        <v>3.9511111111111116E-4</v>
      </c>
      <c r="BI115" s="463">
        <f t="shared" si="223"/>
        <v>3.3099022222222232E-3</v>
      </c>
      <c r="BJ115" s="463">
        <f t="shared" si="224"/>
        <v>1.8814814814814818E-3</v>
      </c>
      <c r="BK115" s="463">
        <f t="shared" si="225"/>
        <v>6.4697555437037068E-3</v>
      </c>
      <c r="BL115">
        <f t="shared" si="226"/>
        <v>2.6099999999999999E-3</v>
      </c>
      <c r="BM115">
        <f t="shared" si="227"/>
        <v>1.5051851851851857E-6</v>
      </c>
      <c r="BN115">
        <f t="shared" si="228"/>
        <v>1.4722168760362E-2</v>
      </c>
      <c r="BO115" s="147">
        <f t="shared" si="229"/>
        <v>14.666250358518523</v>
      </c>
      <c r="BP115" s="153">
        <f t="shared" si="230"/>
        <v>2.0000000000000005E-3</v>
      </c>
      <c r="BQ115" s="153">
        <f t="shared" si="231"/>
        <v>2.0000000000000005E-3</v>
      </c>
      <c r="BR115" s="463"/>
      <c r="BT115" s="147">
        <f t="shared" si="232"/>
        <v>4.0000000000000009</v>
      </c>
      <c r="BU115" s="463">
        <f t="shared" si="233"/>
        <v>1.1288888888888891E-3</v>
      </c>
      <c r="BV115" s="463">
        <f t="shared" si="234"/>
        <v>6.3711111111111095E-3</v>
      </c>
      <c r="BW115" s="463">
        <f t="shared" si="235"/>
        <v>3.1606197958050322E-4</v>
      </c>
      <c r="BX115" s="463">
        <f t="shared" si="236"/>
        <v>0</v>
      </c>
      <c r="BY115" s="463">
        <f t="shared" si="180"/>
        <v>8.7594665798258423E-3</v>
      </c>
      <c r="BZ115" s="463">
        <f t="shared" si="166"/>
        <v>7.8160619795805027E-3</v>
      </c>
      <c r="CA115" s="549">
        <f t="shared" si="237"/>
        <v>1.693333333333334E-3</v>
      </c>
      <c r="CB115" s="147">
        <f t="shared" si="238"/>
        <v>26.084923872320186</v>
      </c>
      <c r="CC115" s="153">
        <f t="shared" si="168"/>
        <v>2.9174968673521182E-2</v>
      </c>
      <c r="CD115" s="5">
        <f t="shared" si="239"/>
        <v>0.18000000000000005</v>
      </c>
      <c r="CE115" s="153">
        <f t="shared" si="240"/>
        <v>0.86052361399390354</v>
      </c>
      <c r="CF115" s="5">
        <f t="shared" si="241"/>
        <v>86.05236139939035</v>
      </c>
      <c r="CG115">
        <f t="shared" si="242"/>
        <v>5.0000000000000009</v>
      </c>
      <c r="CI115" s="59">
        <f t="shared" si="243"/>
        <v>-50</v>
      </c>
      <c r="CJ115">
        <f t="shared" si="244"/>
        <v>-50</v>
      </c>
    </row>
    <row r="116" spans="5:88" x14ac:dyDescent="0.25">
      <c r="E116" s="150">
        <v>6</v>
      </c>
      <c r="F116" s="191">
        <f t="shared" si="245"/>
        <v>6.0000000000000001E-3</v>
      </c>
      <c r="G116" s="191">
        <f t="shared" si="183"/>
        <v>6.0000000000000001E-3</v>
      </c>
      <c r="H116" s="191">
        <f t="shared" si="184"/>
        <v>0.12</v>
      </c>
      <c r="I116" s="191">
        <f t="shared" si="185"/>
        <v>9.6000000000000002E-2</v>
      </c>
      <c r="J116" s="472">
        <f t="shared" si="186"/>
        <v>9</v>
      </c>
      <c r="K116" s="386">
        <f t="shared" si="187"/>
        <v>20.32</v>
      </c>
      <c r="L116" s="386">
        <f t="shared" si="188"/>
        <v>29.32</v>
      </c>
      <c r="M116" s="386"/>
      <c r="N116" s="191">
        <f t="shared" si="189"/>
        <v>0.69304229195088674</v>
      </c>
      <c r="O116" s="152">
        <f t="shared" si="190"/>
        <v>1.1695088676671213</v>
      </c>
      <c r="P116" s="152">
        <f t="shared" si="191"/>
        <v>1.6840927694406547</v>
      </c>
      <c r="Q116" s="191">
        <f t="shared" si="192"/>
        <v>5.8475443383356064E-2</v>
      </c>
      <c r="R116" s="191">
        <f t="shared" si="193"/>
        <v>7.3094304229195078E-2</v>
      </c>
      <c r="S116" s="191">
        <f t="shared" si="194"/>
        <v>20</v>
      </c>
      <c r="T116" s="191">
        <f t="shared" si="195"/>
        <v>7.6955380577427832E-2</v>
      </c>
      <c r="U116" s="191">
        <f t="shared" si="196"/>
        <v>0.5130358705161856</v>
      </c>
      <c r="V116" s="191">
        <f t="shared" si="197"/>
        <v>0.22723045446090895</v>
      </c>
      <c r="W116" s="175">
        <f t="shared" si="198"/>
        <v>350</v>
      </c>
      <c r="X116" s="386">
        <f t="shared" si="199"/>
        <v>350</v>
      </c>
      <c r="Z116" s="191">
        <f t="shared" si="200"/>
        <v>0.29701812512180864</v>
      </c>
      <c r="AA116" s="153">
        <f t="shared" si="201"/>
        <v>0.87702202299746645</v>
      </c>
      <c r="AB116" s="153">
        <f t="shared" si="202"/>
        <v>2.5325556371231982E-2</v>
      </c>
      <c r="AC116" s="153"/>
      <c r="AD116" s="153">
        <f t="shared" si="203"/>
        <v>0.44291338582677164</v>
      </c>
      <c r="AE116" s="317">
        <f t="shared" si="204"/>
        <v>180.62222222222223</v>
      </c>
      <c r="AF116" s="463">
        <f t="shared" si="205"/>
        <v>1.1626476377952754E-2</v>
      </c>
      <c r="AH116" s="153">
        <f t="shared" si="206"/>
        <v>0.14342743312012723</v>
      </c>
      <c r="AI116" s="153">
        <f t="shared" si="207"/>
        <v>0.15</v>
      </c>
      <c r="AJ116" s="153">
        <f t="shared" si="208"/>
        <v>1.1032126984126984</v>
      </c>
      <c r="AL116" s="317">
        <f t="shared" si="209"/>
        <v>6</v>
      </c>
      <c r="AM116" s="147">
        <f t="shared" si="210"/>
        <v>180.62222222222223</v>
      </c>
      <c r="AO116" s="147">
        <f t="shared" si="211"/>
        <v>6</v>
      </c>
      <c r="AP116" s="147">
        <f t="shared" si="212"/>
        <v>180.62222222222223</v>
      </c>
      <c r="AR116" s="5">
        <f t="shared" si="160"/>
        <v>5.5364173228346454</v>
      </c>
      <c r="AS116" s="5">
        <f t="shared" si="246"/>
        <v>1</v>
      </c>
      <c r="AT116" s="5">
        <f t="shared" si="247"/>
        <v>4.5364173228346454</v>
      </c>
      <c r="AU116" s="153">
        <f t="shared" si="248"/>
        <v>0.18062222222222224</v>
      </c>
      <c r="AW116" s="5">
        <f t="shared" si="216"/>
        <v>3.0000000000000002E-2</v>
      </c>
      <c r="AX116" s="5"/>
      <c r="AY116" s="5">
        <f t="shared" si="217"/>
        <v>3.7500000000000006E-2</v>
      </c>
      <c r="AZ116" s="5"/>
      <c r="BA116" s="5">
        <f t="shared" si="218"/>
        <v>6.7206182560513264E-2</v>
      </c>
      <c r="BB116" s="5"/>
      <c r="BC116" s="5"/>
      <c r="BD116" s="153">
        <f t="shared" si="219"/>
        <v>3.6805796644912694E-2</v>
      </c>
      <c r="BE116" s="153">
        <f t="shared" si="220"/>
        <v>7.8392176480394607E-2</v>
      </c>
      <c r="BF116" s="153">
        <f t="shared" si="221"/>
        <v>7.8084756180471504E-2</v>
      </c>
      <c r="BG116" s="153"/>
      <c r="BH116" s="463">
        <f t="shared" si="222"/>
        <v>4.7413333333333328E-4</v>
      </c>
      <c r="BI116" s="463">
        <f t="shared" si="223"/>
        <v>3.9718826666666667E-3</v>
      </c>
      <c r="BJ116" s="463">
        <f t="shared" si="224"/>
        <v>2.2577777777777778E-3</v>
      </c>
      <c r="BK116" s="463">
        <f t="shared" si="225"/>
        <v>7.7637066524444461E-3</v>
      </c>
      <c r="BL116">
        <f t="shared" si="226"/>
        <v>2.6099999999999999E-3</v>
      </c>
      <c r="BM116">
        <f t="shared" si="227"/>
        <v>1.8062222222222224E-6</v>
      </c>
      <c r="BN116">
        <f t="shared" si="228"/>
        <v>1.7144814439664074E-2</v>
      </c>
      <c r="BO116" s="147">
        <f t="shared" si="229"/>
        <v>17.077500430222226</v>
      </c>
      <c r="BP116" s="153">
        <f t="shared" si="230"/>
        <v>2.4000000000000002E-3</v>
      </c>
      <c r="BQ116" s="153">
        <f t="shared" si="231"/>
        <v>2.4000000000000002E-3</v>
      </c>
      <c r="BR116" s="463"/>
      <c r="BT116" s="147">
        <f t="shared" si="232"/>
        <v>4.8000000000000007</v>
      </c>
      <c r="BU116" s="463">
        <f t="shared" si="233"/>
        <v>1.3546666666666666E-3</v>
      </c>
      <c r="BV116" s="463">
        <f t="shared" si="234"/>
        <v>6.1453333333333334E-3</v>
      </c>
      <c r="BW116" s="463">
        <f t="shared" si="235"/>
        <v>3.0486145738818415E-4</v>
      </c>
      <c r="BX116" s="463">
        <f t="shared" si="236"/>
        <v>0</v>
      </c>
      <c r="BY116" s="463">
        <f t="shared" si="180"/>
        <v>8.7469063036252088E-3</v>
      </c>
      <c r="BZ116" s="463">
        <f t="shared" si="166"/>
        <v>7.8048614573881835E-3</v>
      </c>
      <c r="CA116" s="549">
        <f t="shared" si="237"/>
        <v>2.0320000000000004E-3</v>
      </c>
      <c r="CB116" s="147">
        <f t="shared" si="238"/>
        <v>26.388629218401576</v>
      </c>
      <c r="CC116" s="153">
        <f t="shared" si="168"/>
        <v>3.2723720743289282E-2</v>
      </c>
      <c r="CD116" s="5">
        <f t="shared" si="239"/>
        <v>0.216</v>
      </c>
      <c r="CE116" s="153">
        <f t="shared" si="240"/>
        <v>0.86843345441481301</v>
      </c>
      <c r="CF116" s="5">
        <f t="shared" si="241"/>
        <v>86.843345441481304</v>
      </c>
      <c r="CG116">
        <f t="shared" si="242"/>
        <v>6</v>
      </c>
      <c r="CI116" s="59">
        <f t="shared" si="243"/>
        <v>-50</v>
      </c>
      <c r="CJ116">
        <f t="shared" si="244"/>
        <v>-50</v>
      </c>
    </row>
    <row r="117" spans="5:88" x14ac:dyDescent="0.25">
      <c r="E117" s="150">
        <v>7</v>
      </c>
      <c r="F117" s="191">
        <f t="shared" si="245"/>
        <v>7.000000000000001E-3</v>
      </c>
      <c r="G117" s="191">
        <f t="shared" si="183"/>
        <v>7.000000000000001E-3</v>
      </c>
      <c r="H117" s="191">
        <f t="shared" si="184"/>
        <v>0.14000000000000001</v>
      </c>
      <c r="I117" s="191">
        <f t="shared" si="185"/>
        <v>0.11200000000000002</v>
      </c>
      <c r="J117" s="472">
        <f t="shared" si="186"/>
        <v>9</v>
      </c>
      <c r="K117" s="386">
        <f t="shared" si="187"/>
        <v>20.32</v>
      </c>
      <c r="L117" s="386">
        <f t="shared" si="188"/>
        <v>29.32</v>
      </c>
      <c r="M117" s="386"/>
      <c r="N117" s="191">
        <f t="shared" si="189"/>
        <v>0.69304229195088674</v>
      </c>
      <c r="O117" s="152">
        <f t="shared" si="190"/>
        <v>1.1695088676671213</v>
      </c>
      <c r="P117" s="152">
        <f t="shared" si="191"/>
        <v>1.6840927694406547</v>
      </c>
      <c r="Q117" s="191">
        <f t="shared" si="192"/>
        <v>5.8475443383356064E-2</v>
      </c>
      <c r="R117" s="191">
        <f t="shared" si="193"/>
        <v>7.3094304229195078E-2</v>
      </c>
      <c r="S117" s="191">
        <f t="shared" si="194"/>
        <v>20</v>
      </c>
      <c r="T117" s="191">
        <f t="shared" si="195"/>
        <v>8.9781277340332463E-2</v>
      </c>
      <c r="U117" s="191">
        <f t="shared" si="196"/>
        <v>0.59854184893554974</v>
      </c>
      <c r="V117" s="191">
        <f t="shared" si="197"/>
        <v>0.26510219687106046</v>
      </c>
      <c r="W117" s="175">
        <f t="shared" si="198"/>
        <v>350</v>
      </c>
      <c r="X117" s="386">
        <f t="shared" si="199"/>
        <v>350</v>
      </c>
      <c r="Z117" s="191">
        <f t="shared" si="200"/>
        <v>0.29701812512180864</v>
      </c>
      <c r="AA117" s="153">
        <f t="shared" si="201"/>
        <v>0.87702202299746645</v>
      </c>
      <c r="AB117" s="153">
        <f t="shared" si="202"/>
        <v>2.5325556371231982E-2</v>
      </c>
      <c r="AC117" s="153"/>
      <c r="AD117" s="153">
        <f t="shared" si="203"/>
        <v>0.44291338582677164</v>
      </c>
      <c r="AE117" s="317">
        <f t="shared" si="204"/>
        <v>210.72592592592599</v>
      </c>
      <c r="AF117" s="463">
        <f t="shared" si="205"/>
        <v>1.1626476377952754E-2</v>
      </c>
      <c r="AH117" s="153">
        <f t="shared" si="206"/>
        <v>0.15491933384829668</v>
      </c>
      <c r="AI117" s="153">
        <f t="shared" si="207"/>
        <v>0.15491933384829668</v>
      </c>
      <c r="AJ117" s="153">
        <f t="shared" si="208"/>
        <v>1.1204148148148148</v>
      </c>
      <c r="AL117" s="317">
        <f t="shared" si="209"/>
        <v>7.0000000000000009</v>
      </c>
      <c r="AM117" s="147">
        <f t="shared" si="210"/>
        <v>210.72592592592599</v>
      </c>
      <c r="AO117" s="147">
        <f t="shared" si="211"/>
        <v>7.0000000000000009</v>
      </c>
      <c r="AP117" s="147">
        <f t="shared" si="212"/>
        <v>210.72592592592599</v>
      </c>
      <c r="AR117" s="5">
        <f t="shared" si="160"/>
        <v>4.7455005624296946</v>
      </c>
      <c r="AS117" s="5">
        <f t="shared" si="246"/>
        <v>1.0327955589886446</v>
      </c>
      <c r="AT117" s="5">
        <f t="shared" si="247"/>
        <v>3.7127050034410498</v>
      </c>
      <c r="AU117" s="153">
        <f t="shared" si="248"/>
        <v>0.21763680046006645</v>
      </c>
      <c r="AW117" s="5">
        <f t="shared" si="216"/>
        <v>3.6147844564602565E-2</v>
      </c>
      <c r="AX117" s="5"/>
      <c r="AY117" s="5">
        <f t="shared" si="217"/>
        <v>4.5184805705753207E-2</v>
      </c>
      <c r="AZ117" s="5"/>
      <c r="BA117" s="5">
        <f t="shared" si="218"/>
        <v>6.4170209936018158E-2</v>
      </c>
      <c r="BB117" s="5"/>
      <c r="BC117" s="5"/>
      <c r="BD117" s="153">
        <f t="shared" si="219"/>
        <v>4.1726423327197983E-2</v>
      </c>
      <c r="BE117" s="153">
        <f t="shared" si="220"/>
        <v>7.9113245391144643E-2</v>
      </c>
      <c r="BF117" s="153">
        <f t="shared" si="221"/>
        <v>7.8802997370002903E-2</v>
      </c>
      <c r="BG117" s="153"/>
      <c r="BH117" s="463">
        <f t="shared" si="222"/>
        <v>6.0938304128818621E-4</v>
      </c>
      <c r="BI117" s="463">
        <f t="shared" si="223"/>
        <v>4.785833242116861E-3</v>
      </c>
      <c r="BJ117" s="463">
        <f t="shared" si="224"/>
        <v>2.6340740740740747E-3</v>
      </c>
      <c r="BK117" s="463">
        <f t="shared" si="225"/>
        <v>9.0576577611851897E-3</v>
      </c>
      <c r="BL117">
        <f t="shared" si="226"/>
        <v>2.6099999999999999E-3</v>
      </c>
      <c r="BM117">
        <f t="shared" si="227"/>
        <v>2.1072592592592601E-6</v>
      </c>
      <c r="BN117">
        <f t="shared" si="228"/>
        <v>1.9783546375785367E-2</v>
      </c>
      <c r="BO117" s="147">
        <f t="shared" si="229"/>
        <v>19.696948118664313</v>
      </c>
      <c r="BP117" s="153">
        <f t="shared" si="230"/>
        <v>2.8000000000000004E-3</v>
      </c>
      <c r="BQ117" s="153">
        <f t="shared" si="231"/>
        <v>2.8000000000000004E-3</v>
      </c>
      <c r="BR117" s="463"/>
      <c r="BT117" s="147">
        <f t="shared" si="232"/>
        <v>5.6000000000000005</v>
      </c>
      <c r="BU117" s="463">
        <f t="shared" si="233"/>
        <v>1.741094403680532E-3</v>
      </c>
      <c r="BV117" s="463">
        <f t="shared" si="234"/>
        <v>6.258905596319469E-3</v>
      </c>
      <c r="BW117" s="463">
        <f t="shared" si="235"/>
        <v>3.1049561972483421E-4</v>
      </c>
      <c r="BX117" s="463">
        <f t="shared" si="236"/>
        <v>0</v>
      </c>
      <c r="BY117" s="463">
        <f t="shared" si="180"/>
        <v>9.313947375601199E-3</v>
      </c>
      <c r="BZ117" s="463">
        <f t="shared" si="166"/>
        <v>8.310495619724835E-3</v>
      </c>
      <c r="CA117" s="549">
        <f t="shared" si="237"/>
        <v>2.5287111111111124E-3</v>
      </c>
      <c r="CB117" s="147">
        <f t="shared" si="238"/>
        <v>28.463649726161982</v>
      </c>
      <c r="CC117" s="153">
        <f t="shared" si="168"/>
        <v>3.7226204862497676E-2</v>
      </c>
      <c r="CD117" s="5">
        <f t="shared" si="239"/>
        <v>0.252</v>
      </c>
      <c r="CE117" s="153">
        <f t="shared" si="240"/>
        <v>0.87129034563035002</v>
      </c>
      <c r="CF117" s="5">
        <f t="shared" si="241"/>
        <v>87.129034563035006</v>
      </c>
      <c r="CG117">
        <f t="shared" si="242"/>
        <v>7.0000000000000009</v>
      </c>
      <c r="CI117" s="59">
        <f t="shared" si="243"/>
        <v>-50</v>
      </c>
      <c r="CJ117">
        <f t="shared" si="244"/>
        <v>-50</v>
      </c>
    </row>
    <row r="118" spans="5:88" x14ac:dyDescent="0.25">
      <c r="E118" s="150">
        <v>8</v>
      </c>
      <c r="F118" s="191">
        <f t="shared" si="245"/>
        <v>8.0000000000000002E-3</v>
      </c>
      <c r="G118" s="191">
        <f t="shared" si="183"/>
        <v>8.0000000000000002E-3</v>
      </c>
      <c r="H118" s="191">
        <f t="shared" si="184"/>
        <v>0.16</v>
      </c>
      <c r="I118" s="191">
        <f t="shared" si="185"/>
        <v>0.128</v>
      </c>
      <c r="J118" s="472">
        <f t="shared" si="186"/>
        <v>9</v>
      </c>
      <c r="K118" s="386">
        <f t="shared" si="187"/>
        <v>20.32</v>
      </c>
      <c r="L118" s="386">
        <f t="shared" si="188"/>
        <v>29.32</v>
      </c>
      <c r="M118" s="386"/>
      <c r="N118" s="191">
        <f t="shared" si="189"/>
        <v>0.69304229195088674</v>
      </c>
      <c r="O118" s="152">
        <f t="shared" si="190"/>
        <v>1.1695088676671213</v>
      </c>
      <c r="P118" s="152">
        <f t="shared" si="191"/>
        <v>1.6840927694406547</v>
      </c>
      <c r="Q118" s="191">
        <f t="shared" si="192"/>
        <v>5.8475443383356064E-2</v>
      </c>
      <c r="R118" s="191">
        <f t="shared" si="193"/>
        <v>7.3094304229195078E-2</v>
      </c>
      <c r="S118" s="191">
        <f t="shared" si="194"/>
        <v>20</v>
      </c>
      <c r="T118" s="191">
        <f t="shared" si="195"/>
        <v>0.10260717410323711</v>
      </c>
      <c r="U118" s="191">
        <f t="shared" si="196"/>
        <v>0.6840478273549141</v>
      </c>
      <c r="V118" s="191">
        <f t="shared" si="197"/>
        <v>0.30297393928121191</v>
      </c>
      <c r="W118" s="175">
        <f t="shared" si="198"/>
        <v>350</v>
      </c>
      <c r="X118" s="386">
        <f t="shared" si="199"/>
        <v>350</v>
      </c>
      <c r="Z118" s="191">
        <f t="shared" si="200"/>
        <v>0.29701812512180864</v>
      </c>
      <c r="AA118" s="153">
        <f t="shared" si="201"/>
        <v>0.87702202299746645</v>
      </c>
      <c r="AB118" s="153">
        <f t="shared" si="202"/>
        <v>2.5325556371231982E-2</v>
      </c>
      <c r="AC118" s="153"/>
      <c r="AD118" s="153">
        <f t="shared" si="203"/>
        <v>0.44291338582677164</v>
      </c>
      <c r="AE118" s="317">
        <f t="shared" si="204"/>
        <v>240.82962962962966</v>
      </c>
      <c r="AF118" s="463">
        <f t="shared" si="205"/>
        <v>1.1626476377952754E-2</v>
      </c>
      <c r="AH118" s="153">
        <f t="shared" si="206"/>
        <v>0.16561573424216502</v>
      </c>
      <c r="AI118" s="153">
        <f t="shared" si="207"/>
        <v>0.16561573424216502</v>
      </c>
      <c r="AJ118" s="153">
        <f t="shared" si="208"/>
        <v>1.1376169312169313</v>
      </c>
      <c r="AL118" s="317">
        <f t="shared" si="209"/>
        <v>8</v>
      </c>
      <c r="AM118" s="147">
        <f t="shared" si="210"/>
        <v>240.82962962962966</v>
      </c>
      <c r="AO118" s="147">
        <f t="shared" si="211"/>
        <v>8</v>
      </c>
      <c r="AP118" s="147">
        <f t="shared" si="212"/>
        <v>240.82962962962966</v>
      </c>
      <c r="AR118" s="5">
        <f t="shared" si="160"/>
        <v>4.1523129921259834</v>
      </c>
      <c r="AS118" s="5">
        <f t="shared" si="246"/>
        <v>1.104104894947767</v>
      </c>
      <c r="AT118" s="5">
        <f t="shared" si="247"/>
        <v>3.0482080971782164</v>
      </c>
      <c r="AU118" s="153">
        <f t="shared" si="248"/>
        <v>0.2659011729225319</v>
      </c>
      <c r="AW118" s="5">
        <f t="shared" si="216"/>
        <v>4.4164195797910678E-2</v>
      </c>
      <c r="AX118" s="5"/>
      <c r="AY118" s="5">
        <f t="shared" si="217"/>
        <v>5.5205244747388346E-2</v>
      </c>
      <c r="AZ118" s="5"/>
      <c r="BA118" s="5">
        <f t="shared" si="218"/>
        <v>6.0211517968952424E-2</v>
      </c>
      <c r="BB118" s="5"/>
      <c r="BC118" s="5"/>
      <c r="BD118" s="153">
        <f t="shared" si="219"/>
        <v>4.9306150104716798E-2</v>
      </c>
      <c r="BE118" s="153">
        <f t="shared" si="220"/>
        <v>8.1925336158652912E-2</v>
      </c>
      <c r="BF118" s="153">
        <f t="shared" si="221"/>
        <v>8.1604060330579764E-2</v>
      </c>
      <c r="BG118" s="153"/>
      <c r="BH118" s="463">
        <f t="shared" si="222"/>
        <v>8.5088375335210247E-4</v>
      </c>
      <c r="BI118" s="463">
        <f t="shared" si="223"/>
        <v>5.8471667925664751E-3</v>
      </c>
      <c r="BJ118" s="463">
        <f t="shared" si="224"/>
        <v>3.0103703703703707E-3</v>
      </c>
      <c r="BK118" s="463">
        <f t="shared" si="225"/>
        <v>1.035160886992593E-2</v>
      </c>
      <c r="BL118">
        <f t="shared" si="226"/>
        <v>2.6099999999999999E-3</v>
      </c>
      <c r="BM118">
        <f t="shared" si="227"/>
        <v>2.4082962962962968E-6</v>
      </c>
      <c r="BN118">
        <f t="shared" si="228"/>
        <v>2.2790885285909345E-2</v>
      </c>
      <c r="BO118" s="147">
        <f t="shared" si="229"/>
        <v>22.670029786214879</v>
      </c>
      <c r="BP118" s="153">
        <f t="shared" si="230"/>
        <v>3.2000000000000002E-3</v>
      </c>
      <c r="BQ118" s="153">
        <f t="shared" si="231"/>
        <v>3.2000000000000002E-3</v>
      </c>
      <c r="BR118" s="463"/>
      <c r="BT118" s="147">
        <f t="shared" si="232"/>
        <v>6.4</v>
      </c>
      <c r="BU118" s="463">
        <f t="shared" si="233"/>
        <v>2.4310964381488642E-3</v>
      </c>
      <c r="BV118" s="463">
        <f t="shared" si="234"/>
        <v>6.711760704708282E-3</v>
      </c>
      <c r="BW118" s="463">
        <f t="shared" si="235"/>
        <v>3.3296113312184509E-4</v>
      </c>
      <c r="BX118" s="463">
        <f t="shared" si="236"/>
        <v>0</v>
      </c>
      <c r="BY118" s="463">
        <f t="shared" si="180"/>
        <v>1.0620967858003469E-2</v>
      </c>
      <c r="BZ118" s="463">
        <f t="shared" si="166"/>
        <v>9.4758182759789918E-3</v>
      </c>
      <c r="CA118" s="549">
        <f t="shared" si="237"/>
        <v>3.302806349206351E-3</v>
      </c>
      <c r="CB118" s="147">
        <f t="shared" si="238"/>
        <v>32.875410759167806</v>
      </c>
      <c r="CC118" s="153">
        <f t="shared" si="168"/>
        <v>4.311465949311917E-2</v>
      </c>
      <c r="CD118" s="5">
        <f t="shared" si="239"/>
        <v>0.28800000000000003</v>
      </c>
      <c r="CE118" s="153">
        <f t="shared" si="240"/>
        <v>0.86978933654245194</v>
      </c>
      <c r="CF118" s="5">
        <f t="shared" si="241"/>
        <v>86.978933654245196</v>
      </c>
      <c r="CG118">
        <f t="shared" si="242"/>
        <v>8</v>
      </c>
      <c r="CI118" s="59">
        <f t="shared" si="243"/>
        <v>-50</v>
      </c>
      <c r="CJ118">
        <f t="shared" si="244"/>
        <v>-50</v>
      </c>
    </row>
    <row r="119" spans="5:88" x14ac:dyDescent="0.25">
      <c r="E119" s="150">
        <v>9</v>
      </c>
      <c r="F119" s="191">
        <f t="shared" si="245"/>
        <v>8.9999999999999993E-3</v>
      </c>
      <c r="G119" s="191">
        <f t="shared" si="183"/>
        <v>8.9999999999999993E-3</v>
      </c>
      <c r="H119" s="191">
        <f t="shared" si="184"/>
        <v>0.18</v>
      </c>
      <c r="I119" s="191">
        <f t="shared" si="185"/>
        <v>0.14399999999999999</v>
      </c>
      <c r="J119" s="472">
        <f t="shared" si="186"/>
        <v>9</v>
      </c>
      <c r="K119" s="386">
        <f t="shared" si="187"/>
        <v>20.32</v>
      </c>
      <c r="L119" s="386">
        <f t="shared" si="188"/>
        <v>29.32</v>
      </c>
      <c r="M119" s="386"/>
      <c r="N119" s="191">
        <f t="shared" si="189"/>
        <v>0.69304229195088674</v>
      </c>
      <c r="O119" s="152">
        <f t="shared" si="190"/>
        <v>1.1695088676671213</v>
      </c>
      <c r="P119" s="152">
        <f t="shared" si="191"/>
        <v>1.6840927694406547</v>
      </c>
      <c r="Q119" s="191">
        <f t="shared" si="192"/>
        <v>5.8475443383356064E-2</v>
      </c>
      <c r="R119" s="191">
        <f t="shared" si="193"/>
        <v>7.3094304229195078E-2</v>
      </c>
      <c r="S119" s="191">
        <f t="shared" si="194"/>
        <v>20</v>
      </c>
      <c r="T119" s="191">
        <f t="shared" si="195"/>
        <v>0.11543307086614173</v>
      </c>
      <c r="U119" s="191">
        <f t="shared" si="196"/>
        <v>0.76955380577427812</v>
      </c>
      <c r="V119" s="191">
        <f t="shared" si="197"/>
        <v>0.34084568169136337</v>
      </c>
      <c r="W119" s="175">
        <f t="shared" si="198"/>
        <v>350</v>
      </c>
      <c r="X119" s="386">
        <f t="shared" si="199"/>
        <v>350</v>
      </c>
      <c r="Z119" s="191">
        <f t="shared" si="200"/>
        <v>0.29701812512180864</v>
      </c>
      <c r="AA119" s="153">
        <f t="shared" si="201"/>
        <v>0.87702202299746645</v>
      </c>
      <c r="AB119" s="153">
        <f t="shared" si="202"/>
        <v>2.5325556371231982E-2</v>
      </c>
      <c r="AC119" s="153"/>
      <c r="AD119" s="153">
        <f t="shared" si="203"/>
        <v>0.44291338582677164</v>
      </c>
      <c r="AE119" s="317">
        <f t="shared" si="204"/>
        <v>270.93333333333339</v>
      </c>
      <c r="AF119" s="463">
        <f t="shared" si="205"/>
        <v>1.1626476377952754E-2</v>
      </c>
      <c r="AH119" s="153">
        <f t="shared" si="206"/>
        <v>0.17566201313073596</v>
      </c>
      <c r="AI119" s="153">
        <f t="shared" si="207"/>
        <v>0.17566201313073596</v>
      </c>
      <c r="AJ119" s="153">
        <f t="shared" si="208"/>
        <v>1.1548190476190476</v>
      </c>
      <c r="AL119" s="317">
        <f t="shared" si="209"/>
        <v>9</v>
      </c>
      <c r="AM119" s="147">
        <f t="shared" si="210"/>
        <v>270.93333333333339</v>
      </c>
      <c r="AO119" s="147">
        <f t="shared" si="211"/>
        <v>9</v>
      </c>
      <c r="AP119" s="147">
        <f t="shared" si="212"/>
        <v>270.93333333333339</v>
      </c>
      <c r="AR119" s="5">
        <f t="shared" si="160"/>
        <v>3.690944881889763</v>
      </c>
      <c r="AS119" s="5">
        <f t="shared" si="246"/>
        <v>1.1710800875382399</v>
      </c>
      <c r="AT119" s="5">
        <f t="shared" si="247"/>
        <v>2.5198647943515233</v>
      </c>
      <c r="AU119" s="153">
        <f t="shared" si="248"/>
        <v>0.3172846317170272</v>
      </c>
      <c r="AW119" s="5">
        <f t="shared" si="216"/>
        <v>5.2698603939220795E-2</v>
      </c>
      <c r="AX119" s="5"/>
      <c r="AY119" s="5">
        <f t="shared" si="217"/>
        <v>6.5873254924025987E-2</v>
      </c>
      <c r="AZ119" s="5"/>
      <c r="BA119" s="5">
        <f t="shared" si="218"/>
        <v>5.5996995430033843E-2</v>
      </c>
      <c r="BB119" s="5"/>
      <c r="BC119" s="5"/>
      <c r="BD119" s="153">
        <f t="shared" si="219"/>
        <v>5.7127043237764567E-2</v>
      </c>
      <c r="BE119" s="153">
        <f t="shared" si="220"/>
        <v>8.3798658799678058E-2</v>
      </c>
      <c r="BF119" s="153">
        <f t="shared" si="221"/>
        <v>8.3470036608306777E-2</v>
      </c>
      <c r="BG119" s="153"/>
      <c r="BH119" s="463">
        <f t="shared" si="222"/>
        <v>1.1422246741812979E-3</v>
      </c>
      <c r="BI119" s="463">
        <f t="shared" si="223"/>
        <v>6.9770890514574274E-3</v>
      </c>
      <c r="BJ119" s="463">
        <f t="shared" si="224"/>
        <v>3.3866666666666672E-3</v>
      </c>
      <c r="BK119" s="463">
        <f t="shared" si="225"/>
        <v>1.1645559978666672E-2</v>
      </c>
      <c r="BL119">
        <f t="shared" si="226"/>
        <v>2.6099999999999999E-3</v>
      </c>
      <c r="BM119">
        <f t="shared" si="227"/>
        <v>2.7093333333333339E-6</v>
      </c>
      <c r="BN119">
        <f t="shared" si="228"/>
        <v>2.592391325252634E-2</v>
      </c>
      <c r="BO119" s="147">
        <f t="shared" si="229"/>
        <v>25.761540370972064</v>
      </c>
      <c r="BP119" s="153">
        <f t="shared" si="230"/>
        <v>3.5999999999999999E-3</v>
      </c>
      <c r="BQ119" s="153">
        <f t="shared" si="231"/>
        <v>3.5999999999999999E-3</v>
      </c>
      <c r="BR119" s="463"/>
      <c r="BT119" s="147">
        <f t="shared" si="232"/>
        <v>7.2</v>
      </c>
      <c r="BU119" s="463">
        <f t="shared" si="233"/>
        <v>3.2634990690894226E-3</v>
      </c>
      <c r="BV119" s="463">
        <f t="shared" si="234"/>
        <v>7.0222152166248605E-3</v>
      </c>
      <c r="BW119" s="463">
        <f t="shared" si="235"/>
        <v>3.4836235056960368E-4</v>
      </c>
      <c r="BX119" s="463">
        <f t="shared" si="236"/>
        <v>0</v>
      </c>
      <c r="BY119" s="463">
        <f t="shared" si="180"/>
        <v>1.1920306749077772E-2</v>
      </c>
      <c r="BZ119" s="463">
        <f t="shared" si="166"/>
        <v>1.0634076636283888E-2</v>
      </c>
      <c r="CA119" s="549">
        <f t="shared" si="237"/>
        <v>4.1801142857142868E-3</v>
      </c>
      <c r="CB119" s="147">
        <f t="shared" si="238"/>
        <v>37.368574307359836</v>
      </c>
      <c r="CC119" s="153">
        <f t="shared" si="168"/>
        <v>4.9224334287318393E-2</v>
      </c>
      <c r="CD119" s="5">
        <f t="shared" si="239"/>
        <v>0.32399999999999995</v>
      </c>
      <c r="CE119" s="153">
        <f t="shared" si="240"/>
        <v>0.86811059792949052</v>
      </c>
      <c r="CF119" s="5">
        <f t="shared" si="241"/>
        <v>86.811059792949052</v>
      </c>
      <c r="CG119">
        <f t="shared" si="242"/>
        <v>8.9999999999999982</v>
      </c>
      <c r="CI119" s="59">
        <f t="shared" si="243"/>
        <v>-50</v>
      </c>
      <c r="CJ119">
        <f t="shared" si="244"/>
        <v>-50</v>
      </c>
    </row>
    <row r="120" spans="5:88" x14ac:dyDescent="0.25">
      <c r="E120" s="150">
        <v>10</v>
      </c>
      <c r="F120" s="191">
        <f t="shared" si="245"/>
        <v>1.0000000000000002E-2</v>
      </c>
      <c r="G120" s="191">
        <f t="shared" si="183"/>
        <v>1.0000000000000002E-2</v>
      </c>
      <c r="H120" s="191">
        <f t="shared" si="184"/>
        <v>0.20000000000000004</v>
      </c>
      <c r="I120" s="191">
        <f t="shared" si="185"/>
        <v>0.16000000000000003</v>
      </c>
      <c r="J120" s="472">
        <f t="shared" si="186"/>
        <v>9</v>
      </c>
      <c r="K120" s="386">
        <f t="shared" si="187"/>
        <v>20.32</v>
      </c>
      <c r="L120" s="386">
        <f t="shared" si="188"/>
        <v>29.32</v>
      </c>
      <c r="M120" s="386"/>
      <c r="N120" s="191">
        <f t="shared" si="189"/>
        <v>0.69304229195088674</v>
      </c>
      <c r="O120" s="152">
        <f t="shared" si="190"/>
        <v>1.1695088676671213</v>
      </c>
      <c r="P120" s="152">
        <f t="shared" si="191"/>
        <v>1.6840927694406547</v>
      </c>
      <c r="Q120" s="191">
        <f t="shared" si="192"/>
        <v>5.8475443383356064E-2</v>
      </c>
      <c r="R120" s="191">
        <f t="shared" si="193"/>
        <v>7.3094304229195078E-2</v>
      </c>
      <c r="S120" s="191">
        <f t="shared" si="194"/>
        <v>20</v>
      </c>
      <c r="T120" s="191">
        <f t="shared" si="195"/>
        <v>0.12825896762904643</v>
      </c>
      <c r="U120" s="191">
        <f t="shared" si="196"/>
        <v>0.85505978419364292</v>
      </c>
      <c r="V120" s="191">
        <f t="shared" si="197"/>
        <v>0.37871742410151504</v>
      </c>
      <c r="W120" s="175">
        <f t="shared" si="198"/>
        <v>350</v>
      </c>
      <c r="X120" s="386">
        <f t="shared" si="199"/>
        <v>350</v>
      </c>
      <c r="Z120" s="191">
        <f t="shared" si="200"/>
        <v>0.29701812512180864</v>
      </c>
      <c r="AA120" s="153">
        <f t="shared" si="201"/>
        <v>0.87702202299746645</v>
      </c>
      <c r="AB120" s="153">
        <f t="shared" si="202"/>
        <v>2.5325556371231982E-2</v>
      </c>
      <c r="AC120" s="153"/>
      <c r="AD120" s="153">
        <f t="shared" si="203"/>
        <v>0.44291338582677164</v>
      </c>
      <c r="AE120" s="317">
        <f t="shared" si="204"/>
        <v>301.03703703703712</v>
      </c>
      <c r="AF120" s="463">
        <f t="shared" si="205"/>
        <v>1.1626476377952754E-2</v>
      </c>
      <c r="AH120" s="153">
        <f t="shared" si="206"/>
        <v>0.18516401995451032</v>
      </c>
      <c r="AI120" s="153">
        <f t="shared" si="207"/>
        <v>0.18516401995451032</v>
      </c>
      <c r="AJ120" s="153">
        <f t="shared" si="208"/>
        <v>1.1720211640211642</v>
      </c>
      <c r="AL120" s="317">
        <f t="shared" si="209"/>
        <v>10.000000000000002</v>
      </c>
      <c r="AM120" s="147">
        <f t="shared" si="210"/>
        <v>301.03703703703712</v>
      </c>
      <c r="AO120" s="147">
        <f t="shared" si="211"/>
        <v>10.000000000000002</v>
      </c>
      <c r="AP120" s="147">
        <f t="shared" si="212"/>
        <v>301.03703703703712</v>
      </c>
      <c r="AR120" s="5">
        <f t="shared" si="160"/>
        <v>3.3218503937007862</v>
      </c>
      <c r="AS120" s="5">
        <f t="shared" si="246"/>
        <v>1.2344267996967355</v>
      </c>
      <c r="AT120" s="5">
        <f t="shared" si="247"/>
        <v>2.0874235940040506</v>
      </c>
      <c r="AU120" s="153">
        <f t="shared" si="248"/>
        <v>0.37160818621981739</v>
      </c>
      <c r="AW120" s="5">
        <f t="shared" si="216"/>
        <v>6.1721339984836796E-2</v>
      </c>
      <c r="AX120" s="5"/>
      <c r="AY120" s="5">
        <f t="shared" si="217"/>
        <v>7.7151674981045984E-2</v>
      </c>
      <c r="AZ120" s="5"/>
      <c r="BA120" s="5">
        <f t="shared" si="218"/>
        <v>5.1541323308742004E-2</v>
      </c>
      <c r="BB120" s="5"/>
      <c r="BC120" s="5"/>
      <c r="BD120" s="153">
        <f t="shared" si="219"/>
        <v>6.5168632789518136E-2</v>
      </c>
      <c r="BE120" s="153">
        <f t="shared" si="220"/>
        <v>8.4744443646273204E-2</v>
      </c>
      <c r="BF120" s="153">
        <f t="shared" si="221"/>
        <v>8.4412112494719208E-2</v>
      </c>
      <c r="BG120" s="153"/>
      <c r="BH120" s="463">
        <f t="shared" si="222"/>
        <v>1.4864327448792702E-3</v>
      </c>
      <c r="BI120" s="463">
        <f t="shared" si="223"/>
        <v>8.171664014973783E-3</v>
      </c>
      <c r="BJ120" s="463">
        <f t="shared" si="224"/>
        <v>3.7629629629629636E-3</v>
      </c>
      <c r="BK120" s="463">
        <f t="shared" si="225"/>
        <v>1.2939511087407414E-2</v>
      </c>
      <c r="BL120">
        <f t="shared" si="226"/>
        <v>2.6099999999999999E-3</v>
      </c>
      <c r="BM120">
        <f t="shared" si="227"/>
        <v>3.0103703703703714E-6</v>
      </c>
      <c r="BN120">
        <f t="shared" si="228"/>
        <v>2.9182252741792754E-2</v>
      </c>
      <c r="BO120" s="147">
        <f t="shared" si="229"/>
        <v>28.970570810223432</v>
      </c>
      <c r="BP120" s="153">
        <f t="shared" si="230"/>
        <v>4.000000000000001E-3</v>
      </c>
      <c r="BQ120" s="153">
        <f t="shared" si="231"/>
        <v>4.000000000000001E-3</v>
      </c>
      <c r="BR120" s="463"/>
      <c r="BT120" s="147">
        <f t="shared" si="232"/>
        <v>8.0000000000000018</v>
      </c>
      <c r="BU120" s="463">
        <f t="shared" si="233"/>
        <v>4.2469506996550581E-3</v>
      </c>
      <c r="BV120" s="463">
        <f t="shared" si="234"/>
        <v>7.1816207289163748E-3</v>
      </c>
      <c r="BW120" s="463">
        <f t="shared" si="235"/>
        <v>3.5627023679105655E-4</v>
      </c>
      <c r="BX120" s="463">
        <f t="shared" si="236"/>
        <v>0</v>
      </c>
      <c r="BY120" s="463">
        <f t="shared" si="180"/>
        <v>1.3211478279581209E-2</v>
      </c>
      <c r="BZ120" s="463">
        <f t="shared" si="166"/>
        <v>1.178484166536249E-2</v>
      </c>
      <c r="CA120" s="549">
        <f t="shared" si="237"/>
        <v>5.1606349206349241E-3</v>
      </c>
      <c r="CB120" s="147">
        <f t="shared" si="238"/>
        <v>41.941796530941112</v>
      </c>
      <c r="CC120" s="153">
        <f t="shared" si="168"/>
        <v>5.5554365942008896E-2</v>
      </c>
      <c r="CD120" s="5">
        <f t="shared" si="239"/>
        <v>0.3600000000000001</v>
      </c>
      <c r="CE120" s="153">
        <f t="shared" si="240"/>
        <v>0.86631264042654388</v>
      </c>
      <c r="CF120" s="5">
        <f t="shared" si="241"/>
        <v>86.631264042654394</v>
      </c>
      <c r="CG120">
        <f t="shared" si="242"/>
        <v>10.000000000000002</v>
      </c>
      <c r="CI120" s="59">
        <f t="shared" si="243"/>
        <v>-50</v>
      </c>
      <c r="CJ120">
        <f t="shared" si="244"/>
        <v>-50</v>
      </c>
    </row>
    <row r="121" spans="5:88" x14ac:dyDescent="0.25">
      <c r="E121" s="150">
        <v>11</v>
      </c>
      <c r="F121" s="191">
        <f t="shared" si="245"/>
        <v>1.1000000000000001E-2</v>
      </c>
      <c r="G121" s="191">
        <f t="shared" si="183"/>
        <v>1.1000000000000001E-2</v>
      </c>
      <c r="H121" s="191">
        <f t="shared" si="184"/>
        <v>0.22000000000000003</v>
      </c>
      <c r="I121" s="191">
        <f t="shared" si="185"/>
        <v>0.17600000000000002</v>
      </c>
      <c r="J121" s="472">
        <f t="shared" si="186"/>
        <v>9</v>
      </c>
      <c r="K121" s="386">
        <f t="shared" si="187"/>
        <v>20.32</v>
      </c>
      <c r="L121" s="386">
        <f t="shared" si="188"/>
        <v>29.32</v>
      </c>
      <c r="M121" s="386"/>
      <c r="N121" s="191">
        <f t="shared" si="189"/>
        <v>0.69304229195088674</v>
      </c>
      <c r="O121" s="152">
        <f t="shared" si="190"/>
        <v>1.1695088676671213</v>
      </c>
      <c r="P121" s="152">
        <f t="shared" si="191"/>
        <v>1.6840927694406547</v>
      </c>
      <c r="Q121" s="191">
        <f t="shared" si="192"/>
        <v>5.8475443383356064E-2</v>
      </c>
      <c r="R121" s="191">
        <f t="shared" si="193"/>
        <v>7.3094304229195078E-2</v>
      </c>
      <c r="S121" s="191">
        <f t="shared" si="194"/>
        <v>20</v>
      </c>
      <c r="T121" s="191">
        <f t="shared" si="195"/>
        <v>0.14108486439195103</v>
      </c>
      <c r="U121" s="191">
        <f t="shared" si="196"/>
        <v>0.94056576261300684</v>
      </c>
      <c r="V121" s="191">
        <f t="shared" si="197"/>
        <v>0.41658916651166644</v>
      </c>
      <c r="W121" s="175">
        <f t="shared" si="198"/>
        <v>350</v>
      </c>
      <c r="X121" s="386">
        <f t="shared" si="199"/>
        <v>350</v>
      </c>
      <c r="Z121" s="191">
        <f t="shared" si="200"/>
        <v>0.29701812512180864</v>
      </c>
      <c r="AA121" s="153">
        <f t="shared" si="201"/>
        <v>0.87702202299746645</v>
      </c>
      <c r="AB121" s="153">
        <f t="shared" si="202"/>
        <v>2.5325556371231982E-2</v>
      </c>
      <c r="AC121" s="153"/>
      <c r="AD121" s="153">
        <f t="shared" si="203"/>
        <v>0.44291338582677164</v>
      </c>
      <c r="AE121" s="317">
        <f t="shared" si="204"/>
        <v>331.14074074074085</v>
      </c>
      <c r="AF121" s="463">
        <f t="shared" si="205"/>
        <v>1.1626476377952754E-2</v>
      </c>
      <c r="AH121" s="153">
        <f t="shared" si="206"/>
        <v>0.1942016624910449</v>
      </c>
      <c r="AI121" s="153">
        <f t="shared" si="207"/>
        <v>0.1942016624910449</v>
      </c>
      <c r="AJ121" s="153">
        <f t="shared" si="208"/>
        <v>1.1892232804232805</v>
      </c>
      <c r="AL121" s="317">
        <f t="shared" si="209"/>
        <v>11.000000000000002</v>
      </c>
      <c r="AM121" s="147">
        <f t="shared" si="210"/>
        <v>331.14074074074085</v>
      </c>
      <c r="AO121" s="147">
        <f t="shared" si="211"/>
        <v>11.000000000000002</v>
      </c>
      <c r="AP121" s="147">
        <f t="shared" si="212"/>
        <v>331.14074074074085</v>
      </c>
      <c r="AR121" s="5">
        <f t="shared" si="160"/>
        <v>3.0198639942734422</v>
      </c>
      <c r="AS121" s="5">
        <f t="shared" si="246"/>
        <v>1.2946777499402993</v>
      </c>
      <c r="AT121" s="5">
        <f t="shared" si="247"/>
        <v>1.7251862443331429</v>
      </c>
      <c r="AU121" s="153">
        <f t="shared" si="248"/>
        <v>0.42872054913578633</v>
      </c>
      <c r="AW121" s="5">
        <f t="shared" si="216"/>
        <v>7.1207276246716453E-2</v>
      </c>
      <c r="AX121" s="5"/>
      <c r="AY121" s="5">
        <f t="shared" si="217"/>
        <v>8.9009095308395569E-2</v>
      </c>
      <c r="AZ121" s="5"/>
      <c r="BA121" s="5">
        <f t="shared" si="218"/>
        <v>4.685691033991253E-2</v>
      </c>
      <c r="BB121" s="5"/>
      <c r="BC121" s="5"/>
      <c r="BD121" s="153">
        <f t="shared" si="219"/>
        <v>7.341409783252921E-2</v>
      </c>
      <c r="BE121" s="153">
        <f t="shared" si="220"/>
        <v>8.4745494339607222E-2</v>
      </c>
      <c r="BF121" s="153">
        <f t="shared" si="221"/>
        <v>8.4413159067687205E-2</v>
      </c>
      <c r="BG121" s="153"/>
      <c r="BH121" s="463">
        <f t="shared" si="222"/>
        <v>1.8863704161974594E-3</v>
      </c>
      <c r="BI121" s="463">
        <f t="shared" si="223"/>
        <v>9.4275648754959442E-3</v>
      </c>
      <c r="BJ121" s="463">
        <f t="shared" si="224"/>
        <v>4.1392592592592609E-3</v>
      </c>
      <c r="BK121" s="463">
        <f t="shared" si="225"/>
        <v>1.4233462196148156E-2</v>
      </c>
      <c r="BL121">
        <f t="shared" si="226"/>
        <v>2.6099999999999999E-3</v>
      </c>
      <c r="BM121">
        <f t="shared" si="227"/>
        <v>3.3114074074074085E-6</v>
      </c>
      <c r="BN121">
        <f t="shared" si="228"/>
        <v>3.2565962266502983E-2</v>
      </c>
      <c r="BO121" s="147">
        <f t="shared" si="229"/>
        <v>32.296656747100819</v>
      </c>
      <c r="BP121" s="153">
        <f t="shared" si="230"/>
        <v>4.4000000000000003E-3</v>
      </c>
      <c r="BQ121" s="153">
        <f t="shared" si="231"/>
        <v>4.4000000000000003E-3</v>
      </c>
      <c r="BR121" s="463"/>
      <c r="BT121" s="147">
        <f t="shared" si="232"/>
        <v>8.8000000000000007</v>
      </c>
      <c r="BU121" s="463">
        <f t="shared" si="233"/>
        <v>5.3896297605641698E-3</v>
      </c>
      <c r="BV121" s="463">
        <f t="shared" si="234"/>
        <v>7.1817988108643996E-3</v>
      </c>
      <c r="BW121" s="463">
        <f t="shared" si="235"/>
        <v>3.5627907118933316E-4</v>
      </c>
      <c r="BX121" s="463">
        <f t="shared" si="236"/>
        <v>0</v>
      </c>
      <c r="BY121" s="463">
        <f t="shared" si="180"/>
        <v>1.4494022518586919E-2</v>
      </c>
      <c r="BZ121" s="463">
        <f t="shared" si="166"/>
        <v>1.2927707642617903E-2</v>
      </c>
      <c r="CA121" s="549">
        <f t="shared" si="237"/>
        <v>6.2443682539682572E-3</v>
      </c>
      <c r="CB121" s="147">
        <f t="shared" si="238"/>
        <v>46.593806057790985</v>
      </c>
      <c r="CC121" s="153">
        <f t="shared" si="168"/>
        <v>6.2104353039058161E-2</v>
      </c>
      <c r="CD121" s="5">
        <f t="shared" si="239"/>
        <v>0.39600000000000002</v>
      </c>
      <c r="CE121" s="153">
        <f t="shared" si="240"/>
        <v>0.8644318644277037</v>
      </c>
      <c r="CF121" s="5">
        <f t="shared" si="241"/>
        <v>86.443186442770369</v>
      </c>
      <c r="CG121">
        <f t="shared" si="242"/>
        <v>11</v>
      </c>
      <c r="CI121" s="59">
        <f t="shared" si="243"/>
        <v>-50</v>
      </c>
      <c r="CJ121">
        <f t="shared" si="244"/>
        <v>-50</v>
      </c>
    </row>
    <row r="122" spans="5:88" x14ac:dyDescent="0.25">
      <c r="E122" s="150">
        <v>12</v>
      </c>
      <c r="F122" s="191">
        <f t="shared" si="245"/>
        <v>1.2E-2</v>
      </c>
      <c r="G122" s="191">
        <f t="shared" si="183"/>
        <v>1.2E-2</v>
      </c>
      <c r="H122" s="191">
        <f t="shared" si="184"/>
        <v>0.24</v>
      </c>
      <c r="I122" s="191">
        <f t="shared" si="185"/>
        <v>0.192</v>
      </c>
      <c r="J122" s="472">
        <f t="shared" si="186"/>
        <v>9</v>
      </c>
      <c r="K122" s="386">
        <f t="shared" si="187"/>
        <v>20.32</v>
      </c>
      <c r="L122" s="386">
        <f t="shared" si="188"/>
        <v>29.32</v>
      </c>
      <c r="M122" s="386"/>
      <c r="N122" s="191">
        <f t="shared" si="189"/>
        <v>0.69304229195088674</v>
      </c>
      <c r="O122" s="152">
        <f t="shared" si="190"/>
        <v>1.1695088676671213</v>
      </c>
      <c r="P122" s="152">
        <f t="shared" si="191"/>
        <v>1.6840927694406547</v>
      </c>
      <c r="Q122" s="191">
        <f t="shared" si="192"/>
        <v>5.8475443383356064E-2</v>
      </c>
      <c r="R122" s="191">
        <f t="shared" si="193"/>
        <v>7.3094304229195078E-2</v>
      </c>
      <c r="S122" s="191">
        <f t="shared" si="194"/>
        <v>20</v>
      </c>
      <c r="T122" s="191">
        <f t="shared" si="195"/>
        <v>0.15391076115485566</v>
      </c>
      <c r="U122" s="191">
        <f t="shared" si="196"/>
        <v>1.0260717410323712</v>
      </c>
      <c r="V122" s="191">
        <f t="shared" si="197"/>
        <v>0.4544609089218179</v>
      </c>
      <c r="W122" s="175">
        <f t="shared" si="198"/>
        <v>350</v>
      </c>
      <c r="X122" s="386">
        <f t="shared" si="199"/>
        <v>350</v>
      </c>
      <c r="Z122" s="191">
        <f t="shared" si="200"/>
        <v>0.29701812512180864</v>
      </c>
      <c r="AA122" s="153">
        <f t="shared" si="201"/>
        <v>0.87702202299746645</v>
      </c>
      <c r="AB122" s="153">
        <f t="shared" si="202"/>
        <v>2.5325556371231982E-2</v>
      </c>
      <c r="AC122" s="153"/>
      <c r="AD122" s="153">
        <f t="shared" si="203"/>
        <v>0.44291338582677164</v>
      </c>
      <c r="AE122" s="317">
        <f t="shared" si="204"/>
        <v>361.24444444444447</v>
      </c>
      <c r="AF122" s="463">
        <f t="shared" si="205"/>
        <v>1.1626476377952754E-2</v>
      </c>
      <c r="AH122" s="153">
        <f t="shared" si="206"/>
        <v>0.20283702113484398</v>
      </c>
      <c r="AI122" s="153">
        <f t="shared" si="207"/>
        <v>0.20283702113484398</v>
      </c>
      <c r="AJ122" s="153">
        <f t="shared" si="208"/>
        <v>1.2391385341739585</v>
      </c>
      <c r="AL122" s="317">
        <f t="shared" si="209"/>
        <v>12</v>
      </c>
      <c r="AM122" s="147">
        <f t="shared" si="210"/>
        <v>350</v>
      </c>
      <c r="AO122" s="147">
        <f t="shared" si="211"/>
        <v>12</v>
      </c>
      <c r="AP122" s="147">
        <f t="shared" si="212"/>
        <v>350</v>
      </c>
      <c r="AR122" s="5">
        <f t="shared" si="160"/>
        <v>2.8571428571428572</v>
      </c>
      <c r="AS122" s="5">
        <f t="shared" si="246"/>
        <v>1.3522468075656267</v>
      </c>
      <c r="AT122" s="5">
        <f t="shared" si="247"/>
        <v>1.5048960495772306</v>
      </c>
      <c r="AU122" s="153">
        <f t="shared" si="248"/>
        <v>0.47328638264796929</v>
      </c>
      <c r="AW122" s="5">
        <f t="shared" si="216"/>
        <v>8.1134808453937599E-2</v>
      </c>
      <c r="AX122" s="5"/>
      <c r="AY122" s="5">
        <f t="shared" si="217"/>
        <v>0.101418510567422</v>
      </c>
      <c r="AZ122" s="5"/>
      <c r="BA122" s="5">
        <f t="shared" si="218"/>
        <v>4.458951258006609E-2</v>
      </c>
      <c r="BB122" s="5"/>
      <c r="BC122" s="5"/>
      <c r="BD122" s="153">
        <f t="shared" si="219"/>
        <v>8.0565406200893738E-2</v>
      </c>
      <c r="BE122" s="153">
        <f t="shared" si="220"/>
        <v>8.4991182118915751E-2</v>
      </c>
      <c r="BF122" s="153">
        <f t="shared" si="221"/>
        <v>8.4657883365508252E-2</v>
      </c>
      <c r="BG122" s="153"/>
      <c r="BH122" s="463">
        <f t="shared" si="222"/>
        <v>2.2717746367102521E-3</v>
      </c>
      <c r="BI122" s="463">
        <f t="shared" si="223"/>
        <v>1.0407567554428846E-2</v>
      </c>
      <c r="BJ122" s="463">
        <f t="shared" si="224"/>
        <v>4.3749999999999995E-3</v>
      </c>
      <c r="BK122" s="463">
        <f t="shared" si="225"/>
        <v>1.5044092000000002E-2</v>
      </c>
      <c r="BL122">
        <f t="shared" si="226"/>
        <v>2.6099999999999999E-3</v>
      </c>
      <c r="BM122">
        <f t="shared" si="227"/>
        <v>3.4999999999999999E-6</v>
      </c>
      <c r="BN122">
        <f t="shared" si="228"/>
        <v>3.5033307712486771E-2</v>
      </c>
      <c r="BO122" s="147">
        <f t="shared" si="229"/>
        <v>34.708434191139098</v>
      </c>
      <c r="BP122" s="153">
        <f t="shared" si="230"/>
        <v>4.8000000000000004E-3</v>
      </c>
      <c r="BQ122" s="153">
        <f t="shared" si="231"/>
        <v>4.8000000000000004E-3</v>
      </c>
      <c r="BR122" s="463"/>
      <c r="BT122" s="147">
        <f t="shared" si="232"/>
        <v>9.6000000000000014</v>
      </c>
      <c r="BU122" s="463">
        <f t="shared" si="233"/>
        <v>6.4907846763150069E-3</v>
      </c>
      <c r="BV122" s="463">
        <f t="shared" si="234"/>
        <v>7.2235010379707041E-3</v>
      </c>
      <c r="BW122" s="463">
        <f t="shared" si="235"/>
        <v>3.5834786079639994E-4</v>
      </c>
      <c r="BX122" s="463">
        <f t="shared" si="236"/>
        <v>0</v>
      </c>
      <c r="BY122" s="463">
        <f t="shared" si="180"/>
        <v>1.5779113899135326E-2</v>
      </c>
      <c r="BZ122" s="463">
        <f t="shared" si="166"/>
        <v>1.407263357508211E-2</v>
      </c>
      <c r="CA122" s="549">
        <f t="shared" si="237"/>
        <v>7.2000000000000007E-3</v>
      </c>
      <c r="CB122" s="147">
        <f t="shared" si="238"/>
        <v>51.124381049299544</v>
      </c>
      <c r="CC122" s="153">
        <f t="shared" si="168"/>
        <v>6.7612421611622092E-2</v>
      </c>
      <c r="CD122" s="5">
        <f t="shared" si="239"/>
        <v>0.432</v>
      </c>
      <c r="CE122" s="153">
        <f t="shared" si="240"/>
        <v>0.86467025500782846</v>
      </c>
      <c r="CF122" s="5">
        <f t="shared" si="241"/>
        <v>86.467025500782853</v>
      </c>
      <c r="CG122">
        <f t="shared" si="242"/>
        <v>12</v>
      </c>
      <c r="CI122" s="59">
        <f t="shared" si="243"/>
        <v>-50</v>
      </c>
      <c r="CJ122">
        <f t="shared" si="244"/>
        <v>-50</v>
      </c>
    </row>
    <row r="123" spans="5:88" x14ac:dyDescent="0.25">
      <c r="E123" s="150">
        <v>13</v>
      </c>
      <c r="F123" s="191">
        <f t="shared" si="245"/>
        <v>1.3000000000000001E-2</v>
      </c>
      <c r="G123" s="191">
        <f t="shared" si="183"/>
        <v>1.3000000000000001E-2</v>
      </c>
      <c r="H123" s="191">
        <f t="shared" si="184"/>
        <v>0.26</v>
      </c>
      <c r="I123" s="191">
        <f t="shared" si="185"/>
        <v>0.20800000000000002</v>
      </c>
      <c r="J123" s="472">
        <f t="shared" si="186"/>
        <v>9</v>
      </c>
      <c r="K123" s="386">
        <f t="shared" si="187"/>
        <v>20.32</v>
      </c>
      <c r="L123" s="386">
        <f t="shared" si="188"/>
        <v>29.32</v>
      </c>
      <c r="M123" s="386"/>
      <c r="N123" s="191">
        <f t="shared" si="189"/>
        <v>0.69304229195088674</v>
      </c>
      <c r="O123" s="152">
        <f t="shared" si="190"/>
        <v>1.1695088676671213</v>
      </c>
      <c r="P123" s="152">
        <f t="shared" si="191"/>
        <v>1.6840927694406547</v>
      </c>
      <c r="Q123" s="191">
        <f t="shared" si="192"/>
        <v>5.8475443383356064E-2</v>
      </c>
      <c r="R123" s="191">
        <f t="shared" si="193"/>
        <v>7.3094304229195078E-2</v>
      </c>
      <c r="S123" s="191">
        <f t="shared" si="194"/>
        <v>20</v>
      </c>
      <c r="T123" s="191">
        <f t="shared" si="195"/>
        <v>0.16673665791776029</v>
      </c>
      <c r="U123" s="191">
        <f t="shared" si="196"/>
        <v>1.1115777194517353</v>
      </c>
      <c r="V123" s="191">
        <f t="shared" si="197"/>
        <v>0.49233265133196935</v>
      </c>
      <c r="W123" s="175">
        <f t="shared" si="198"/>
        <v>350</v>
      </c>
      <c r="X123" s="386">
        <f t="shared" si="199"/>
        <v>350</v>
      </c>
      <c r="Z123" s="191">
        <f t="shared" si="200"/>
        <v>0.29701812512180864</v>
      </c>
      <c r="AA123" s="153">
        <f t="shared" si="201"/>
        <v>0.87702202299746645</v>
      </c>
      <c r="AB123" s="153">
        <f t="shared" si="202"/>
        <v>2.5325556371231982E-2</v>
      </c>
      <c r="AC123" s="153"/>
      <c r="AD123" s="153">
        <f t="shared" si="203"/>
        <v>0.44291338582677164</v>
      </c>
      <c r="AE123" s="317">
        <f t="shared" si="204"/>
        <v>391.34814814814825</v>
      </c>
      <c r="AF123" s="463">
        <f t="shared" si="205"/>
        <v>1.1626476377952754E-2</v>
      </c>
      <c r="AH123" s="153">
        <f t="shared" si="206"/>
        <v>0.21111946516469904</v>
      </c>
      <c r="AI123" s="153">
        <f t="shared" si="207"/>
        <v>0.21111946516469904</v>
      </c>
      <c r="AJ123" s="153">
        <f t="shared" si="208"/>
        <v>1.2452736778997771</v>
      </c>
      <c r="AL123" s="317">
        <f t="shared" si="209"/>
        <v>13.000000000000002</v>
      </c>
      <c r="AM123" s="147">
        <f t="shared" si="210"/>
        <v>350</v>
      </c>
      <c r="AO123" s="147">
        <f t="shared" si="211"/>
        <v>13.000000000000002</v>
      </c>
      <c r="AP123" s="147">
        <f t="shared" si="212"/>
        <v>350</v>
      </c>
      <c r="AR123" s="5">
        <f t="shared" si="160"/>
        <v>2.8571428571428572</v>
      </c>
      <c r="AS123" s="5">
        <f t="shared" si="246"/>
        <v>1.4074631010979937</v>
      </c>
      <c r="AT123" s="5">
        <f t="shared" si="247"/>
        <v>1.4496797560448635</v>
      </c>
      <c r="AU123" s="153">
        <f t="shared" si="248"/>
        <v>0.49261208538429779</v>
      </c>
      <c r="AW123" s="5">
        <f t="shared" si="216"/>
        <v>9.1485101571369604E-2</v>
      </c>
      <c r="AX123" s="5"/>
      <c r="AY123" s="5">
        <f t="shared" si="217"/>
        <v>0.114356376964212</v>
      </c>
      <c r="AZ123" s="5"/>
      <c r="BA123" s="5">
        <f t="shared" si="218"/>
        <v>4.6532930440946238E-2</v>
      </c>
      <c r="BB123" s="5"/>
      <c r="BC123" s="5"/>
      <c r="BD123" s="153">
        <f t="shared" si="219"/>
        <v>8.5550032879652169E-2</v>
      </c>
      <c r="BE123" s="153">
        <f t="shared" si="220"/>
        <v>8.6823583958699199E-2</v>
      </c>
      <c r="BF123" s="153">
        <f t="shared" si="221"/>
        <v>8.6483099315723899E-2</v>
      </c>
      <c r="BG123" s="153"/>
      <c r="BH123" s="463">
        <f t="shared" si="222"/>
        <v>2.5615828439983484E-3</v>
      </c>
      <c r="BI123" s="463">
        <f t="shared" si="223"/>
        <v>1.0832539757600707E-2</v>
      </c>
      <c r="BJ123" s="463">
        <f t="shared" si="224"/>
        <v>4.3749999999999995E-3</v>
      </c>
      <c r="BK123" s="463">
        <f t="shared" si="225"/>
        <v>1.5044092000000002E-2</v>
      </c>
      <c r="BL123">
        <f t="shared" si="226"/>
        <v>2.6099999999999999E-3</v>
      </c>
      <c r="BM123">
        <f t="shared" si="227"/>
        <v>3.4999999999999999E-6</v>
      </c>
      <c r="BN123">
        <f t="shared" si="228"/>
        <v>3.5789442806925219E-2</v>
      </c>
      <c r="BO123" s="147">
        <f t="shared" si="229"/>
        <v>35.423214601599057</v>
      </c>
      <c r="BP123" s="153">
        <f t="shared" si="230"/>
        <v>5.2000000000000006E-3</v>
      </c>
      <c r="BQ123" s="153">
        <f t="shared" si="231"/>
        <v>5.2000000000000006E-3</v>
      </c>
      <c r="BR123" s="463"/>
      <c r="BT123" s="147">
        <f t="shared" si="232"/>
        <v>10.400000000000002</v>
      </c>
      <c r="BU123" s="463">
        <f t="shared" si="233"/>
        <v>7.3188081257095673E-3</v>
      </c>
      <c r="BV123" s="463">
        <f t="shared" si="234"/>
        <v>7.5383347314332888E-3</v>
      </c>
      <c r="BW123" s="463">
        <f t="shared" si="235"/>
        <v>3.7396632336266818E-4</v>
      </c>
      <c r="BX123" s="463">
        <f t="shared" si="236"/>
        <v>0</v>
      </c>
      <c r="BY123" s="463">
        <f t="shared" si="180"/>
        <v>1.7079653647724086E-2</v>
      </c>
      <c r="BZ123" s="463">
        <f t="shared" si="166"/>
        <v>1.5231109180505525E-2</v>
      </c>
      <c r="CA123" s="549">
        <f t="shared" si="237"/>
        <v>7.8000000000000014E-3</v>
      </c>
      <c r="CB123" s="147">
        <f t="shared" si="238"/>
        <v>55.341872008735137</v>
      </c>
      <c r="CC123" s="153">
        <f t="shared" si="168"/>
        <v>7.1069096454649316E-2</v>
      </c>
      <c r="CD123" s="5">
        <f t="shared" si="239"/>
        <v>0.46800000000000003</v>
      </c>
      <c r="CE123" s="153">
        <f t="shared" si="240"/>
        <v>0.86816328941492527</v>
      </c>
      <c r="CF123" s="5">
        <f t="shared" si="241"/>
        <v>86.816328941492529</v>
      </c>
      <c r="CG123">
        <f t="shared" si="242"/>
        <v>13</v>
      </c>
      <c r="CI123" s="59">
        <f t="shared" si="243"/>
        <v>-50</v>
      </c>
      <c r="CJ123">
        <f t="shared" si="244"/>
        <v>-50</v>
      </c>
    </row>
    <row r="124" spans="5:88" x14ac:dyDescent="0.25">
      <c r="E124" s="150">
        <v>14</v>
      </c>
      <c r="F124" s="191">
        <f t="shared" si="245"/>
        <v>1.4000000000000002E-2</v>
      </c>
      <c r="G124" s="191">
        <f t="shared" si="183"/>
        <v>1.4000000000000002E-2</v>
      </c>
      <c r="H124" s="191">
        <f t="shared" si="184"/>
        <v>0.28000000000000003</v>
      </c>
      <c r="I124" s="191">
        <f t="shared" si="185"/>
        <v>0.22400000000000003</v>
      </c>
      <c r="J124" s="472">
        <f t="shared" si="186"/>
        <v>9</v>
      </c>
      <c r="K124" s="386">
        <f t="shared" si="187"/>
        <v>20.32</v>
      </c>
      <c r="L124" s="386">
        <f t="shared" si="188"/>
        <v>29.32</v>
      </c>
      <c r="M124" s="386"/>
      <c r="N124" s="191">
        <f t="shared" si="189"/>
        <v>0.69304229195088674</v>
      </c>
      <c r="O124" s="152">
        <f t="shared" si="190"/>
        <v>1.1695088676671213</v>
      </c>
      <c r="P124" s="152">
        <f t="shared" si="191"/>
        <v>1.6840927694406547</v>
      </c>
      <c r="Q124" s="191">
        <f t="shared" si="192"/>
        <v>5.8475443383356064E-2</v>
      </c>
      <c r="R124" s="191">
        <f t="shared" si="193"/>
        <v>7.3094304229195078E-2</v>
      </c>
      <c r="S124" s="191">
        <f t="shared" si="194"/>
        <v>20</v>
      </c>
      <c r="T124" s="191">
        <f t="shared" si="195"/>
        <v>0.17956255468066493</v>
      </c>
      <c r="U124" s="191">
        <f t="shared" si="196"/>
        <v>1.1970836978710995</v>
      </c>
      <c r="V124" s="191">
        <f t="shared" si="197"/>
        <v>0.53020439374212092</v>
      </c>
      <c r="W124" s="175">
        <f t="shared" si="198"/>
        <v>350</v>
      </c>
      <c r="X124" s="386">
        <f t="shared" si="199"/>
        <v>350</v>
      </c>
      <c r="Z124" s="191">
        <f t="shared" si="200"/>
        <v>0.29701812512180864</v>
      </c>
      <c r="AA124" s="153">
        <f t="shared" si="201"/>
        <v>0.87702202299746645</v>
      </c>
      <c r="AB124" s="153">
        <f t="shared" si="202"/>
        <v>2.5325556371231982E-2</v>
      </c>
      <c r="AC124" s="153"/>
      <c r="AD124" s="153">
        <f t="shared" si="203"/>
        <v>0.44291338582677164</v>
      </c>
      <c r="AE124" s="317">
        <f t="shared" si="204"/>
        <v>421.45185185185198</v>
      </c>
      <c r="AF124" s="463">
        <f t="shared" si="205"/>
        <v>1.1626476377952754E-2</v>
      </c>
      <c r="AH124" s="153">
        <f t="shared" si="206"/>
        <v>0.21908902300206645</v>
      </c>
      <c r="AI124" s="153">
        <f t="shared" si="207"/>
        <v>0.21908902300206645</v>
      </c>
      <c r="AJ124" s="153">
        <f t="shared" si="208"/>
        <v>1.2511770540756046</v>
      </c>
      <c r="AL124" s="317">
        <f t="shared" si="209"/>
        <v>14.000000000000002</v>
      </c>
      <c r="AM124" s="147">
        <f t="shared" si="210"/>
        <v>350</v>
      </c>
      <c r="AO124" s="147">
        <f t="shared" si="211"/>
        <v>14.000000000000002</v>
      </c>
      <c r="AP124" s="147">
        <f t="shared" si="212"/>
        <v>350</v>
      </c>
      <c r="AR124" s="5">
        <f t="shared" si="160"/>
        <v>2.8571428571428572</v>
      </c>
      <c r="AS124" s="5">
        <f t="shared" si="246"/>
        <v>1.4605934866804431</v>
      </c>
      <c r="AT124" s="5">
        <f t="shared" si="247"/>
        <v>1.3965493704624141</v>
      </c>
      <c r="AU124" s="153">
        <f t="shared" si="248"/>
        <v>0.51120772033815509</v>
      </c>
      <c r="AW124" s="5">
        <f t="shared" si="216"/>
        <v>0.10224154406763103</v>
      </c>
      <c r="AX124" s="5"/>
      <c r="AY124" s="5">
        <f t="shared" si="217"/>
        <v>0.1278019300845388</v>
      </c>
      <c r="AZ124" s="5"/>
      <c r="BA124" s="5">
        <f t="shared" si="218"/>
        <v>4.8275780707342716E-2</v>
      </c>
      <c r="BB124" s="5"/>
      <c r="BC124" s="5"/>
      <c r="BD124" s="153">
        <f t="shared" si="219"/>
        <v>9.0439612589896037E-2</v>
      </c>
      <c r="BE124" s="153">
        <f t="shared" si="220"/>
        <v>8.8434588677674758E-2</v>
      </c>
      <c r="BF124" s="153">
        <f t="shared" si="221"/>
        <v>8.8087786369134877E-2</v>
      </c>
      <c r="BG124" s="153"/>
      <c r="BH124" s="463">
        <f t="shared" si="222"/>
        <v>2.8627632338936683E-3</v>
      </c>
      <c r="BI124" s="463">
        <f t="shared" si="223"/>
        <v>1.1241457770236029E-2</v>
      </c>
      <c r="BJ124" s="463">
        <f t="shared" si="224"/>
        <v>4.3749999999999995E-3</v>
      </c>
      <c r="BK124" s="463">
        <f t="shared" si="225"/>
        <v>1.5044092000000002E-2</v>
      </c>
      <c r="BL124">
        <f t="shared" si="226"/>
        <v>2.6099999999999999E-3</v>
      </c>
      <c r="BM124">
        <f t="shared" si="227"/>
        <v>3.4999999999999999E-6</v>
      </c>
      <c r="BN124">
        <f t="shared" si="228"/>
        <v>3.6542587097658626E-2</v>
      </c>
      <c r="BO124" s="147">
        <f t="shared" si="229"/>
        <v>36.133313004129697</v>
      </c>
      <c r="BP124" s="153">
        <f t="shared" si="230"/>
        <v>5.6000000000000008E-3</v>
      </c>
      <c r="BQ124" s="153">
        <f t="shared" si="231"/>
        <v>5.6000000000000008E-3</v>
      </c>
      <c r="BR124" s="463"/>
      <c r="BT124" s="147">
        <f t="shared" si="232"/>
        <v>11.200000000000001</v>
      </c>
      <c r="BU124" s="463">
        <f t="shared" si="233"/>
        <v>8.1793235254104812E-3</v>
      </c>
      <c r="BV124" s="463">
        <f t="shared" si="234"/>
        <v>7.8206764745895208E-3</v>
      </c>
      <c r="BW124" s="463">
        <f t="shared" si="235"/>
        <v>3.8797290537071724E-4</v>
      </c>
      <c r="BX124" s="463">
        <f t="shared" si="236"/>
        <v>0</v>
      </c>
      <c r="BY124" s="463">
        <f t="shared" si="180"/>
        <v>1.8378624726339464E-2</v>
      </c>
      <c r="BZ124" s="463">
        <f t="shared" si="166"/>
        <v>1.6387972905370717E-2</v>
      </c>
      <c r="CA124" s="549">
        <f t="shared" si="237"/>
        <v>8.4000000000000012E-3</v>
      </c>
      <c r="CB124" s="147">
        <f t="shared" si="238"/>
        <v>59.554570537080892</v>
      </c>
      <c r="CC124" s="153">
        <f t="shared" si="168"/>
        <v>7.4521211823998096E-2</v>
      </c>
      <c r="CD124" s="5">
        <f t="shared" si="239"/>
        <v>0.504</v>
      </c>
      <c r="CE124" s="153">
        <f t="shared" si="240"/>
        <v>0.87118672522128804</v>
      </c>
      <c r="CF124" s="5">
        <f t="shared" si="241"/>
        <v>87.118672522128804</v>
      </c>
      <c r="CG124">
        <f t="shared" si="242"/>
        <v>14.000000000000002</v>
      </c>
      <c r="CI124" s="59">
        <f t="shared" si="243"/>
        <v>-50</v>
      </c>
      <c r="CJ124">
        <f t="shared" si="244"/>
        <v>-50</v>
      </c>
    </row>
    <row r="125" spans="5:88" x14ac:dyDescent="0.25">
      <c r="E125" s="150">
        <v>15</v>
      </c>
      <c r="F125" s="191">
        <f t="shared" si="245"/>
        <v>1.4999999999999999E-2</v>
      </c>
      <c r="G125" s="191">
        <f t="shared" si="183"/>
        <v>1.4999999999999999E-2</v>
      </c>
      <c r="H125" s="191">
        <f t="shared" si="184"/>
        <v>0.3</v>
      </c>
      <c r="I125" s="191">
        <f t="shared" si="185"/>
        <v>0.24</v>
      </c>
      <c r="J125" s="472">
        <f t="shared" si="186"/>
        <v>9</v>
      </c>
      <c r="K125" s="386">
        <f t="shared" si="187"/>
        <v>20.32</v>
      </c>
      <c r="L125" s="386">
        <f t="shared" si="188"/>
        <v>29.32</v>
      </c>
      <c r="M125" s="386"/>
      <c r="N125" s="191">
        <f t="shared" si="189"/>
        <v>0.69304229195088674</v>
      </c>
      <c r="O125" s="152">
        <f t="shared" si="190"/>
        <v>1.1695088676671213</v>
      </c>
      <c r="P125" s="152">
        <f t="shared" si="191"/>
        <v>1.6840927694406547</v>
      </c>
      <c r="Q125" s="191">
        <f t="shared" si="192"/>
        <v>5.8475443383356064E-2</v>
      </c>
      <c r="R125" s="191">
        <f t="shared" si="193"/>
        <v>7.3094304229195078E-2</v>
      </c>
      <c r="S125" s="191">
        <f t="shared" si="194"/>
        <v>20</v>
      </c>
      <c r="T125" s="191">
        <f t="shared" si="195"/>
        <v>0.19238845144356959</v>
      </c>
      <c r="U125" s="191">
        <f t="shared" si="196"/>
        <v>1.2825896762904641</v>
      </c>
      <c r="V125" s="191">
        <f t="shared" si="197"/>
        <v>0.56807613615227237</v>
      </c>
      <c r="W125" s="175">
        <f t="shared" si="198"/>
        <v>350</v>
      </c>
      <c r="X125" s="386">
        <f t="shared" si="199"/>
        <v>350</v>
      </c>
      <c r="Z125" s="191">
        <f t="shared" si="200"/>
        <v>0.29701812512180864</v>
      </c>
      <c r="AA125" s="153">
        <f t="shared" si="201"/>
        <v>0.87702202299746645</v>
      </c>
      <c r="AB125" s="153">
        <f t="shared" si="202"/>
        <v>2.5325556371231982E-2</v>
      </c>
      <c r="AC125" s="153"/>
      <c r="AD125" s="153">
        <f t="shared" si="203"/>
        <v>0.44291338582677164</v>
      </c>
      <c r="AE125" s="317">
        <f t="shared" si="204"/>
        <v>451.5555555555556</v>
      </c>
      <c r="AF125" s="463">
        <f t="shared" si="205"/>
        <v>1.1626476377952754E-2</v>
      </c>
      <c r="AH125" s="153">
        <f t="shared" si="206"/>
        <v>0.22677868380553634</v>
      </c>
      <c r="AI125" s="153">
        <f t="shared" si="207"/>
        <v>0.22677868380553634</v>
      </c>
      <c r="AJ125" s="153">
        <f t="shared" si="208"/>
        <v>1.2568730991152122</v>
      </c>
      <c r="AL125" s="317">
        <f t="shared" si="209"/>
        <v>15</v>
      </c>
      <c r="AM125" s="147">
        <f t="shared" si="210"/>
        <v>350</v>
      </c>
      <c r="AO125" s="147">
        <f t="shared" si="211"/>
        <v>15</v>
      </c>
      <c r="AP125" s="147">
        <f t="shared" si="212"/>
        <v>350</v>
      </c>
      <c r="AR125" s="5">
        <f t="shared" si="160"/>
        <v>2.8571428571428572</v>
      </c>
      <c r="AS125" s="5">
        <f t="shared" si="246"/>
        <v>1.5118578920369088</v>
      </c>
      <c r="AT125" s="5">
        <f t="shared" si="247"/>
        <v>1.3452849651059484</v>
      </c>
      <c r="AU125" s="153">
        <f t="shared" si="248"/>
        <v>0.52915026221291805</v>
      </c>
      <c r="AW125" s="5">
        <f t="shared" si="216"/>
        <v>0.11338934190276816</v>
      </c>
      <c r="AX125" s="5"/>
      <c r="AY125" s="5">
        <f t="shared" si="217"/>
        <v>0.14173667737846019</v>
      </c>
      <c r="AZ125" s="5"/>
      <c r="BA125" s="5">
        <f t="shared" si="218"/>
        <v>4.9825369077998088E-2</v>
      </c>
      <c r="BB125" s="5"/>
      <c r="BC125" s="5"/>
      <c r="BD125" s="153">
        <f t="shared" si="219"/>
        <v>9.5242571113034608E-2</v>
      </c>
      <c r="BE125" s="153">
        <f t="shared" si="220"/>
        <v>8.984269469820956E-2</v>
      </c>
      <c r="BF125" s="153">
        <f t="shared" si="221"/>
        <v>8.949037040527541E-2</v>
      </c>
      <c r="BG125" s="153"/>
      <c r="BH125" s="463">
        <f t="shared" si="222"/>
        <v>3.1749015732775092E-3</v>
      </c>
      <c r="BI125" s="463">
        <f t="shared" si="223"/>
        <v>1.1636014266062072E-2</v>
      </c>
      <c r="BJ125" s="463">
        <f t="shared" si="224"/>
        <v>4.3749999999999995E-3</v>
      </c>
      <c r="BK125" s="463">
        <f t="shared" si="225"/>
        <v>1.5044092000000002E-2</v>
      </c>
      <c r="BL125">
        <f t="shared" si="226"/>
        <v>2.6099999999999999E-3</v>
      </c>
      <c r="BM125">
        <f t="shared" si="227"/>
        <v>3.4999999999999999E-6</v>
      </c>
      <c r="BN125">
        <f t="shared" si="228"/>
        <v>3.7293965213130977E-2</v>
      </c>
      <c r="BO125" s="147">
        <f t="shared" si="229"/>
        <v>36.840007839339584</v>
      </c>
      <c r="BP125" s="153">
        <f t="shared" si="230"/>
        <v>6.0000000000000001E-3</v>
      </c>
      <c r="BQ125" s="153">
        <f t="shared" si="231"/>
        <v>6.0000000000000001E-3</v>
      </c>
      <c r="BR125" s="463"/>
      <c r="BT125" s="147">
        <f t="shared" si="232"/>
        <v>12</v>
      </c>
      <c r="BU125" s="463">
        <f t="shared" si="233"/>
        <v>9.071147352221455E-3</v>
      </c>
      <c r="BV125" s="463">
        <f t="shared" si="234"/>
        <v>8.0717097906356922E-3</v>
      </c>
      <c r="BW125" s="463">
        <f t="shared" si="235"/>
        <v>4.0042631976366965E-4</v>
      </c>
      <c r="BX125" s="463">
        <f t="shared" si="236"/>
        <v>0</v>
      </c>
      <c r="BY125" s="463">
        <f t="shared" si="180"/>
        <v>1.9676092139081922E-2</v>
      </c>
      <c r="BZ125" s="463">
        <f t="shared" si="166"/>
        <v>1.7543283462620816E-2</v>
      </c>
      <c r="CA125" s="549">
        <f t="shared" si="237"/>
        <v>9.0000000000000011E-3</v>
      </c>
      <c r="CB125" s="147">
        <f t="shared" si="238"/>
        <v>63.762659064323557</v>
      </c>
      <c r="CC125" s="153">
        <f t="shared" si="168"/>
        <v>7.7970057352212907E-2</v>
      </c>
      <c r="CD125" s="5">
        <f t="shared" si="239"/>
        <v>0.54</v>
      </c>
      <c r="CE125" s="153">
        <f t="shared" si="240"/>
        <v>0.87382874554426238</v>
      </c>
      <c r="CF125" s="5">
        <f t="shared" si="241"/>
        <v>87.382874554426238</v>
      </c>
      <c r="CG125">
        <f t="shared" si="242"/>
        <v>15</v>
      </c>
      <c r="CI125" s="59">
        <f t="shared" si="243"/>
        <v>-50</v>
      </c>
      <c r="CJ125">
        <f t="shared" si="244"/>
        <v>-50</v>
      </c>
    </row>
    <row r="126" spans="5:88" x14ac:dyDescent="0.25">
      <c r="E126" s="150">
        <v>16</v>
      </c>
      <c r="F126" s="191">
        <f t="shared" si="245"/>
        <v>1.6E-2</v>
      </c>
      <c r="G126" s="191">
        <f t="shared" si="183"/>
        <v>1.6E-2</v>
      </c>
      <c r="H126" s="191">
        <f t="shared" si="184"/>
        <v>0.32</v>
      </c>
      <c r="I126" s="191">
        <f t="shared" si="185"/>
        <v>0.25600000000000001</v>
      </c>
      <c r="J126" s="472">
        <f t="shared" si="186"/>
        <v>9</v>
      </c>
      <c r="K126" s="386">
        <f t="shared" si="187"/>
        <v>20.32</v>
      </c>
      <c r="L126" s="386">
        <f t="shared" si="188"/>
        <v>29.32</v>
      </c>
      <c r="M126" s="386"/>
      <c r="N126" s="191">
        <f t="shared" si="189"/>
        <v>0.69304229195088674</v>
      </c>
      <c r="O126" s="152">
        <f t="shared" si="190"/>
        <v>1.1695088676671213</v>
      </c>
      <c r="P126" s="152">
        <f t="shared" si="191"/>
        <v>1.6840927694406547</v>
      </c>
      <c r="Q126" s="191">
        <f t="shared" si="192"/>
        <v>5.8475443383356064E-2</v>
      </c>
      <c r="R126" s="191">
        <f t="shared" si="193"/>
        <v>7.3094304229195078E-2</v>
      </c>
      <c r="S126" s="191">
        <f t="shared" si="194"/>
        <v>20</v>
      </c>
      <c r="T126" s="191">
        <f t="shared" si="195"/>
        <v>0.20521434820647422</v>
      </c>
      <c r="U126" s="191">
        <f t="shared" si="196"/>
        <v>1.3680956547098282</v>
      </c>
      <c r="V126" s="191">
        <f t="shared" si="197"/>
        <v>0.60594787856242383</v>
      </c>
      <c r="W126" s="175">
        <f t="shared" si="198"/>
        <v>350</v>
      </c>
      <c r="X126" s="386">
        <f t="shared" si="199"/>
        <v>350</v>
      </c>
      <c r="Z126" s="191">
        <f t="shared" si="200"/>
        <v>0.29701812512180864</v>
      </c>
      <c r="AA126" s="153">
        <f t="shared" si="201"/>
        <v>0.87702202299746645</v>
      </c>
      <c r="AB126" s="153">
        <f t="shared" si="202"/>
        <v>2.5325556371231982E-2</v>
      </c>
      <c r="AC126" s="153"/>
      <c r="AD126" s="153">
        <f t="shared" si="203"/>
        <v>0.44291338582677164</v>
      </c>
      <c r="AE126" s="317">
        <f t="shared" si="204"/>
        <v>481.65925925925933</v>
      </c>
      <c r="AF126" s="463">
        <f t="shared" si="205"/>
        <v>1.1626476377952754E-2</v>
      </c>
      <c r="AH126" s="153">
        <f t="shared" si="206"/>
        <v>0.23421601750764798</v>
      </c>
      <c r="AI126" s="153">
        <f t="shared" si="207"/>
        <v>0.23421601750764798</v>
      </c>
      <c r="AJ126" s="153">
        <f t="shared" si="208"/>
        <v>1.2623822351908502</v>
      </c>
      <c r="AL126" s="317">
        <f t="shared" si="209"/>
        <v>16</v>
      </c>
      <c r="AM126" s="147">
        <f t="shared" si="210"/>
        <v>350</v>
      </c>
      <c r="AO126" s="147">
        <f t="shared" si="211"/>
        <v>16</v>
      </c>
      <c r="AP126" s="147">
        <f t="shared" si="212"/>
        <v>350</v>
      </c>
      <c r="AR126" s="5">
        <f t="shared" si="160"/>
        <v>2.8571428571428572</v>
      </c>
      <c r="AS126" s="5">
        <f t="shared" si="246"/>
        <v>1.561440116717653</v>
      </c>
      <c r="AT126" s="5">
        <f t="shared" si="247"/>
        <v>1.2957027404252042</v>
      </c>
      <c r="AU126" s="153">
        <f t="shared" si="248"/>
        <v>0.54650404085117854</v>
      </c>
      <c r="AW126" s="5">
        <f t="shared" si="216"/>
        <v>0.12491520933741225</v>
      </c>
      <c r="AX126" s="5"/>
      <c r="AY126" s="5">
        <f t="shared" si="217"/>
        <v>0.15614401167176528</v>
      </c>
      <c r="AZ126" s="5"/>
      <c r="BA126" s="5">
        <f t="shared" si="218"/>
        <v>5.1188256411859916E-2</v>
      </c>
      <c r="BB126" s="5"/>
      <c r="BC126" s="5"/>
      <c r="BD126" s="153">
        <f t="shared" si="219"/>
        <v>9.9966077981448187E-2</v>
      </c>
      <c r="BE126" s="153">
        <f t="shared" si="220"/>
        <v>9.1063151377059795E-2</v>
      </c>
      <c r="BF126" s="153">
        <f t="shared" si="221"/>
        <v>9.0706040979502703E-2</v>
      </c>
      <c r="BG126" s="153"/>
      <c r="BH126" s="463">
        <f t="shared" si="222"/>
        <v>3.4976258614475429E-3</v>
      </c>
      <c r="BI126" s="463">
        <f t="shared" si="223"/>
        <v>1.2017623858317419E-2</v>
      </c>
      <c r="BJ126" s="463">
        <f t="shared" si="224"/>
        <v>4.3749999999999995E-3</v>
      </c>
      <c r="BK126" s="463">
        <f t="shared" si="225"/>
        <v>1.5044092000000002E-2</v>
      </c>
      <c r="BL126">
        <f t="shared" si="226"/>
        <v>2.6099999999999999E-3</v>
      </c>
      <c r="BM126">
        <f t="shared" si="227"/>
        <v>3.4999999999999999E-6</v>
      </c>
      <c r="BN126">
        <f t="shared" si="228"/>
        <v>3.8044571828709642E-2</v>
      </c>
      <c r="BO126" s="147">
        <f t="shared" si="229"/>
        <v>37.544341719764965</v>
      </c>
      <c r="BP126" s="153">
        <f t="shared" si="230"/>
        <v>6.4000000000000003E-3</v>
      </c>
      <c r="BQ126" s="153">
        <f t="shared" si="231"/>
        <v>6.4000000000000003E-3</v>
      </c>
      <c r="BR126" s="463"/>
      <c r="BT126" s="147">
        <f t="shared" si="232"/>
        <v>12.8</v>
      </c>
      <c r="BU126" s="463">
        <f t="shared" si="233"/>
        <v>9.9932167469929806E-3</v>
      </c>
      <c r="BV126" s="463">
        <f t="shared" si="234"/>
        <v>8.2924975387213065E-3</v>
      </c>
      <c r="BW126" s="463">
        <f t="shared" si="235"/>
        <v>4.1137929350876126E-4</v>
      </c>
      <c r="BX126" s="463">
        <f t="shared" si="236"/>
        <v>0</v>
      </c>
      <c r="BY126" s="463">
        <f t="shared" si="180"/>
        <v>2.0972114215292815E-2</v>
      </c>
      <c r="BZ126" s="463">
        <f t="shared" si="166"/>
        <v>1.8697093579223049E-2</v>
      </c>
      <c r="CA126" s="549">
        <f t="shared" si="237"/>
        <v>9.6000000000000026E-3</v>
      </c>
      <c r="CB126" s="147">
        <f t="shared" si="238"/>
        <v>67.966301373738915</v>
      </c>
      <c r="CC126" s="153">
        <f t="shared" si="168"/>
        <v>8.1416686044002456E-2</v>
      </c>
      <c r="CD126" s="5">
        <f t="shared" si="239"/>
        <v>0.57600000000000007</v>
      </c>
      <c r="CE126" s="153">
        <f t="shared" si="240"/>
        <v>0.87615664802497417</v>
      </c>
      <c r="CF126" s="5">
        <f t="shared" si="241"/>
        <v>87.61566480249742</v>
      </c>
      <c r="CG126">
        <f t="shared" si="242"/>
        <v>16</v>
      </c>
      <c r="CI126" s="59">
        <f t="shared" si="243"/>
        <v>-50</v>
      </c>
      <c r="CJ126">
        <f t="shared" si="244"/>
        <v>-50</v>
      </c>
    </row>
    <row r="127" spans="5:88" x14ac:dyDescent="0.25">
      <c r="E127" s="150">
        <v>17</v>
      </c>
      <c r="F127" s="191">
        <f t="shared" si="245"/>
        <v>1.7000000000000001E-2</v>
      </c>
      <c r="G127" s="191">
        <f t="shared" si="183"/>
        <v>1.7000000000000001E-2</v>
      </c>
      <c r="H127" s="191">
        <f t="shared" si="184"/>
        <v>0.34</v>
      </c>
      <c r="I127" s="191">
        <f t="shared" si="185"/>
        <v>0.27200000000000002</v>
      </c>
      <c r="J127" s="472">
        <f t="shared" si="186"/>
        <v>9</v>
      </c>
      <c r="K127" s="386">
        <f t="shared" si="187"/>
        <v>20.32</v>
      </c>
      <c r="L127" s="386">
        <f t="shared" si="188"/>
        <v>29.32</v>
      </c>
      <c r="M127" s="386"/>
      <c r="N127" s="191">
        <f t="shared" si="189"/>
        <v>0.69304229195088674</v>
      </c>
      <c r="O127" s="152">
        <f t="shared" si="190"/>
        <v>1.1695088676671213</v>
      </c>
      <c r="P127" s="152">
        <f t="shared" si="191"/>
        <v>1.6840927694406547</v>
      </c>
      <c r="Q127" s="191">
        <f t="shared" si="192"/>
        <v>5.8475443383356064E-2</v>
      </c>
      <c r="R127" s="191">
        <f t="shared" si="193"/>
        <v>7.3094304229195078E-2</v>
      </c>
      <c r="S127" s="191">
        <f t="shared" si="194"/>
        <v>20</v>
      </c>
      <c r="T127" s="191">
        <f t="shared" si="195"/>
        <v>0.21804024496937888</v>
      </c>
      <c r="U127" s="191">
        <f t="shared" si="196"/>
        <v>1.4536016331291925</v>
      </c>
      <c r="V127" s="191">
        <f t="shared" si="197"/>
        <v>0.64381962097257539</v>
      </c>
      <c r="W127" s="175">
        <f t="shared" si="198"/>
        <v>350</v>
      </c>
      <c r="X127" s="386">
        <f t="shared" si="199"/>
        <v>350</v>
      </c>
      <c r="Z127" s="191">
        <f t="shared" si="200"/>
        <v>0.29701812512180864</v>
      </c>
      <c r="AA127" s="153">
        <f t="shared" si="201"/>
        <v>0.87702202299746645</v>
      </c>
      <c r="AB127" s="153">
        <f t="shared" si="202"/>
        <v>2.5325556371231982E-2</v>
      </c>
      <c r="AC127" s="153"/>
      <c r="AD127" s="153">
        <f t="shared" si="203"/>
        <v>0.44291338582677164</v>
      </c>
      <c r="AE127" s="317">
        <f t="shared" si="204"/>
        <v>511.76296296296312</v>
      </c>
      <c r="AF127" s="463">
        <f t="shared" si="205"/>
        <v>1.1626476377952754E-2</v>
      </c>
      <c r="AH127" s="153">
        <f t="shared" si="206"/>
        <v>0.24142434484888697</v>
      </c>
      <c r="AI127" s="153">
        <f t="shared" si="207"/>
        <v>0.24142434484888697</v>
      </c>
      <c r="AJ127" s="153">
        <f t="shared" si="208"/>
        <v>1.2677217369251015</v>
      </c>
      <c r="AL127" s="317">
        <f t="shared" si="209"/>
        <v>17</v>
      </c>
      <c r="AM127" s="147">
        <f t="shared" si="210"/>
        <v>350</v>
      </c>
      <c r="AO127" s="147">
        <f t="shared" si="211"/>
        <v>17</v>
      </c>
      <c r="AP127" s="147">
        <f t="shared" si="212"/>
        <v>350</v>
      </c>
      <c r="AR127" s="5">
        <f t="shared" si="160"/>
        <v>2.8571428571428572</v>
      </c>
      <c r="AS127" s="5">
        <f t="shared" si="246"/>
        <v>1.6094956323259133</v>
      </c>
      <c r="AT127" s="5">
        <f t="shared" si="247"/>
        <v>1.2476472248169439</v>
      </c>
      <c r="AU127" s="153">
        <f t="shared" si="248"/>
        <v>0.56332347131406968</v>
      </c>
      <c r="AW127" s="5">
        <f t="shared" si="216"/>
        <v>0.13680712874770265</v>
      </c>
      <c r="AX127" s="5"/>
      <c r="AY127" s="5">
        <f t="shared" si="217"/>
        <v>0.17100891093462831</v>
      </c>
      <c r="AZ127" s="5"/>
      <c r="BA127" s="5">
        <f t="shared" si="218"/>
        <v>5.2370377337995176E-2</v>
      </c>
      <c r="BB127" s="5"/>
      <c r="BC127" s="5"/>
      <c r="BD127" s="153">
        <f t="shared" si="219"/>
        <v>0.10461630035427659</v>
      </c>
      <c r="BE127" s="153">
        <f t="shared" si="220"/>
        <v>9.210863764465968E-2</v>
      </c>
      <c r="BF127" s="153">
        <f t="shared" si="221"/>
        <v>9.1747427300955128E-2</v>
      </c>
      <c r="BG127" s="153"/>
      <c r="BH127" s="463">
        <f t="shared" si="222"/>
        <v>3.8305996049356741E-3</v>
      </c>
      <c r="BI127" s="463">
        <f t="shared" si="223"/>
        <v>1.2387483134196391E-2</v>
      </c>
      <c r="BJ127" s="463">
        <f t="shared" si="224"/>
        <v>4.3749999999999995E-3</v>
      </c>
      <c r="BK127" s="463">
        <f t="shared" si="225"/>
        <v>1.5044092000000002E-2</v>
      </c>
      <c r="BL127">
        <f t="shared" si="226"/>
        <v>2.6099999999999999E-3</v>
      </c>
      <c r="BM127">
        <f t="shared" si="227"/>
        <v>3.4999999999999999E-6</v>
      </c>
      <c r="BN127">
        <f t="shared" si="228"/>
        <v>3.8795224040741948E-2</v>
      </c>
      <c r="BO127" s="147">
        <f t="shared" si="229"/>
        <v>38.24717473913207</v>
      </c>
      <c r="BP127" s="153">
        <f t="shared" si="230"/>
        <v>6.8000000000000005E-3</v>
      </c>
      <c r="BQ127" s="153">
        <f t="shared" si="231"/>
        <v>6.8000000000000005E-3</v>
      </c>
      <c r="BR127" s="463"/>
      <c r="BT127" s="147">
        <f t="shared" si="232"/>
        <v>13.600000000000001</v>
      </c>
      <c r="BU127" s="463">
        <f t="shared" si="233"/>
        <v>1.0944570299816212E-2</v>
      </c>
      <c r="BV127" s="463">
        <f t="shared" si="234"/>
        <v>8.484001128755218E-3</v>
      </c>
      <c r="BW127" s="463">
        <f t="shared" si="235"/>
        <v>4.2087952081720239E-4</v>
      </c>
      <c r="BX127" s="463">
        <f t="shared" si="236"/>
        <v>0</v>
      </c>
      <c r="BY127" s="463">
        <f t="shared" si="180"/>
        <v>2.2266743674224401E-2</v>
      </c>
      <c r="BZ127" s="463">
        <f t="shared" si="166"/>
        <v>1.9849450949388631E-2</v>
      </c>
      <c r="CA127" s="549">
        <f t="shared" si="237"/>
        <v>1.0200000000000002E-2</v>
      </c>
      <c r="CB127" s="147">
        <f t="shared" si="238"/>
        <v>72.165645573001655</v>
      </c>
      <c r="CC127" s="153">
        <f t="shared" si="168"/>
        <v>8.4861967714966346E-2</v>
      </c>
      <c r="CD127" s="5">
        <f t="shared" si="239"/>
        <v>0.6120000000000001</v>
      </c>
      <c r="CE127" s="153">
        <f t="shared" si="240"/>
        <v>0.87822270170198613</v>
      </c>
      <c r="CF127" s="5">
        <f t="shared" si="241"/>
        <v>87.822270170198607</v>
      </c>
      <c r="CG127">
        <f t="shared" si="242"/>
        <v>17</v>
      </c>
      <c r="CI127" s="59">
        <f t="shared" si="243"/>
        <v>-50</v>
      </c>
      <c r="CJ127">
        <f t="shared" si="244"/>
        <v>-50</v>
      </c>
    </row>
    <row r="128" spans="5:88" x14ac:dyDescent="0.25">
      <c r="E128" s="150">
        <v>18</v>
      </c>
      <c r="F128" s="191">
        <f t="shared" si="245"/>
        <v>1.7999999999999999E-2</v>
      </c>
      <c r="G128" s="191">
        <f t="shared" si="183"/>
        <v>1.7999999999999999E-2</v>
      </c>
      <c r="H128" s="191">
        <f t="shared" si="184"/>
        <v>0.36</v>
      </c>
      <c r="I128" s="191">
        <f t="shared" si="185"/>
        <v>0.28799999999999998</v>
      </c>
      <c r="J128" s="472">
        <f t="shared" si="186"/>
        <v>9</v>
      </c>
      <c r="K128" s="386">
        <f t="shared" si="187"/>
        <v>20.32</v>
      </c>
      <c r="L128" s="386">
        <f t="shared" si="188"/>
        <v>29.32</v>
      </c>
      <c r="M128" s="386"/>
      <c r="N128" s="191">
        <f t="shared" si="189"/>
        <v>0.69304229195088674</v>
      </c>
      <c r="O128" s="152">
        <f t="shared" si="190"/>
        <v>1.1695088676671213</v>
      </c>
      <c r="P128" s="152">
        <f t="shared" si="191"/>
        <v>1.6840927694406547</v>
      </c>
      <c r="Q128" s="191">
        <f t="shared" si="192"/>
        <v>5.8475443383356064E-2</v>
      </c>
      <c r="R128" s="191">
        <f t="shared" si="193"/>
        <v>7.3094304229195078E-2</v>
      </c>
      <c r="S128" s="191">
        <f t="shared" si="194"/>
        <v>20</v>
      </c>
      <c r="T128" s="191">
        <f t="shared" si="195"/>
        <v>0.23086614173228345</v>
      </c>
      <c r="U128" s="191">
        <f t="shared" si="196"/>
        <v>1.5391076115485562</v>
      </c>
      <c r="V128" s="191">
        <f t="shared" si="197"/>
        <v>0.68169136338272673</v>
      </c>
      <c r="W128" s="175">
        <f t="shared" si="198"/>
        <v>350</v>
      </c>
      <c r="X128" s="386">
        <f t="shared" si="199"/>
        <v>350</v>
      </c>
      <c r="Z128" s="191">
        <f t="shared" si="200"/>
        <v>0.29701812512180864</v>
      </c>
      <c r="AA128" s="153">
        <f t="shared" si="201"/>
        <v>0.87702202299746645</v>
      </c>
      <c r="AB128" s="153">
        <f t="shared" si="202"/>
        <v>2.5325556371231982E-2</v>
      </c>
      <c r="AC128" s="153"/>
      <c r="AD128" s="153">
        <f t="shared" si="203"/>
        <v>0.44291338582677164</v>
      </c>
      <c r="AE128" s="317">
        <f t="shared" si="204"/>
        <v>541.86666666666679</v>
      </c>
      <c r="AF128" s="463">
        <f t="shared" si="205"/>
        <v>1.1626476377952754E-2</v>
      </c>
      <c r="AH128" s="153">
        <f t="shared" si="206"/>
        <v>0.24842360136324751</v>
      </c>
      <c r="AI128" s="153">
        <f t="shared" si="207"/>
        <v>0.24842360136324751</v>
      </c>
      <c r="AJ128" s="153">
        <f t="shared" si="208"/>
        <v>1.2729063713801834</v>
      </c>
      <c r="AL128" s="317">
        <f t="shared" si="209"/>
        <v>18</v>
      </c>
      <c r="AM128" s="147">
        <f t="shared" si="210"/>
        <v>350</v>
      </c>
      <c r="AO128" s="147">
        <f t="shared" si="211"/>
        <v>18</v>
      </c>
      <c r="AP128" s="147">
        <f t="shared" si="212"/>
        <v>350</v>
      </c>
      <c r="AR128" s="5">
        <f t="shared" si="160"/>
        <v>2.8571428571428572</v>
      </c>
      <c r="AS128" s="5">
        <f t="shared" si="246"/>
        <v>1.6561573424216502</v>
      </c>
      <c r="AT128" s="5">
        <f t="shared" si="247"/>
        <v>1.200985514721207</v>
      </c>
      <c r="AU128" s="153">
        <f t="shared" si="248"/>
        <v>0.57965506984757753</v>
      </c>
      <c r="AW128" s="5">
        <f t="shared" si="216"/>
        <v>0.14905416081794851</v>
      </c>
      <c r="AX128" s="5"/>
      <c r="AY128" s="5">
        <f t="shared" si="217"/>
        <v>0.18631770102243567</v>
      </c>
      <c r="AZ128" s="5"/>
      <c r="BA128" s="5">
        <f t="shared" si="218"/>
        <v>5.3377133987609189E-2</v>
      </c>
      <c r="BB128" s="5"/>
      <c r="BC128" s="5"/>
      <c r="BD128" s="153">
        <f t="shared" si="219"/>
        <v>0.1091985936971529</v>
      </c>
      <c r="BE128" s="153">
        <f t="shared" si="220"/>
        <v>9.2989761296567969E-2</v>
      </c>
      <c r="BF128" s="153">
        <f t="shared" si="221"/>
        <v>9.2625095565993187E-2</v>
      </c>
      <c r="BG128" s="153"/>
      <c r="BH128" s="463">
        <f t="shared" si="222"/>
        <v>4.1735165029025585E-3</v>
      </c>
      <c r="BI128" s="463">
        <f t="shared" si="223"/>
        <v>1.2746614985948229E-2</v>
      </c>
      <c r="BJ128" s="463">
        <f t="shared" si="224"/>
        <v>4.3749999999999995E-3</v>
      </c>
      <c r="BK128" s="463">
        <f t="shared" si="225"/>
        <v>1.5044092000000002E-2</v>
      </c>
      <c r="BL128">
        <f t="shared" si="226"/>
        <v>2.6099999999999999E-3</v>
      </c>
      <c r="BM128">
        <f t="shared" si="227"/>
        <v>3.4999999999999999E-6</v>
      </c>
      <c r="BN128">
        <f t="shared" si="228"/>
        <v>3.9546599644005372E-2</v>
      </c>
      <c r="BO128" s="147">
        <f t="shared" si="229"/>
        <v>38.949223488850791</v>
      </c>
      <c r="BP128" s="153">
        <f t="shared" si="230"/>
        <v>7.1999999999999998E-3</v>
      </c>
      <c r="BQ128" s="153">
        <f t="shared" si="231"/>
        <v>7.1999999999999998E-3</v>
      </c>
      <c r="BR128" s="463"/>
      <c r="BT128" s="147">
        <f t="shared" si="232"/>
        <v>14.4</v>
      </c>
      <c r="BU128" s="463">
        <f t="shared" si="233"/>
        <v>1.1924332865435882E-2</v>
      </c>
      <c r="BV128" s="463">
        <f t="shared" si="234"/>
        <v>8.6470957059926901E-3</v>
      </c>
      <c r="BW128" s="463">
        <f t="shared" si="235"/>
        <v>4.2897041643046854E-4</v>
      </c>
      <c r="BX128" s="463">
        <f t="shared" si="236"/>
        <v>0</v>
      </c>
      <c r="BY128" s="463">
        <f t="shared" si="180"/>
        <v>2.3560028466238635E-2</v>
      </c>
      <c r="BZ128" s="463">
        <f t="shared" si="166"/>
        <v>2.1000398987859041E-2</v>
      </c>
      <c r="CA128" s="549">
        <f t="shared" si="237"/>
        <v>1.0800000000000001E-2</v>
      </c>
      <c r="CB128" s="147">
        <f t="shared" si="238"/>
        <v>76.360826441956718</v>
      </c>
      <c r="CC128" s="153">
        <f t="shared" si="168"/>
        <v>8.8306628110244006E-2</v>
      </c>
      <c r="CD128" s="5">
        <f t="shared" si="239"/>
        <v>0.64799999999999991</v>
      </c>
      <c r="CE128" s="153">
        <f t="shared" si="240"/>
        <v>0.88006813365664516</v>
      </c>
      <c r="CF128" s="5">
        <f t="shared" si="241"/>
        <v>88.006813365664513</v>
      </c>
      <c r="CG128">
        <f t="shared" si="242"/>
        <v>17.999999999999996</v>
      </c>
      <c r="CI128" s="59">
        <f t="shared" si="243"/>
        <v>-50</v>
      </c>
      <c r="CJ128">
        <f t="shared" si="244"/>
        <v>-50</v>
      </c>
    </row>
    <row r="129" spans="5:88" x14ac:dyDescent="0.25">
      <c r="E129" s="150">
        <v>19</v>
      </c>
      <c r="F129" s="191">
        <f t="shared" si="245"/>
        <v>1.9000000000000003E-2</v>
      </c>
      <c r="G129" s="191">
        <f t="shared" si="183"/>
        <v>1.9000000000000003E-2</v>
      </c>
      <c r="H129" s="191">
        <f t="shared" si="184"/>
        <v>0.38000000000000006</v>
      </c>
      <c r="I129" s="191">
        <f t="shared" si="185"/>
        <v>0.30400000000000005</v>
      </c>
      <c r="J129" s="472">
        <f t="shared" si="186"/>
        <v>9</v>
      </c>
      <c r="K129" s="386">
        <f t="shared" si="187"/>
        <v>20.32</v>
      </c>
      <c r="L129" s="386">
        <f t="shared" si="188"/>
        <v>29.32</v>
      </c>
      <c r="M129" s="386"/>
      <c r="N129" s="191">
        <f t="shared" si="189"/>
        <v>0.69304229195088674</v>
      </c>
      <c r="O129" s="152">
        <f t="shared" si="190"/>
        <v>1.1695088676671213</v>
      </c>
      <c r="P129" s="152">
        <f t="shared" si="191"/>
        <v>1.6840927694406547</v>
      </c>
      <c r="Q129" s="191">
        <f t="shared" si="192"/>
        <v>5.8475443383356064E-2</v>
      </c>
      <c r="R129" s="191">
        <f t="shared" si="193"/>
        <v>7.3094304229195078E-2</v>
      </c>
      <c r="S129" s="191">
        <f t="shared" si="194"/>
        <v>20</v>
      </c>
      <c r="T129" s="191">
        <f t="shared" si="195"/>
        <v>0.24369203849518817</v>
      </c>
      <c r="U129" s="191">
        <f t="shared" si="196"/>
        <v>1.6246135899679213</v>
      </c>
      <c r="V129" s="191">
        <f t="shared" si="197"/>
        <v>0.71956310579287852</v>
      </c>
      <c r="W129" s="175">
        <f t="shared" si="198"/>
        <v>350</v>
      </c>
      <c r="X129" s="386">
        <f t="shared" si="199"/>
        <v>350</v>
      </c>
      <c r="Z129" s="191">
        <f t="shared" si="200"/>
        <v>0.29701812512180864</v>
      </c>
      <c r="AA129" s="153">
        <f t="shared" si="201"/>
        <v>0.87702202299746645</v>
      </c>
      <c r="AB129" s="153">
        <f t="shared" si="202"/>
        <v>2.5325556371231982E-2</v>
      </c>
      <c r="AC129" s="153"/>
      <c r="AD129" s="153">
        <f t="shared" si="203"/>
        <v>0.44291338582677164</v>
      </c>
      <c r="AE129" s="317">
        <f t="shared" si="204"/>
        <v>571.97037037037057</v>
      </c>
      <c r="AF129" s="463">
        <f t="shared" si="205"/>
        <v>1.1626476377952754E-2</v>
      </c>
      <c r="AH129" s="153">
        <f t="shared" si="206"/>
        <v>0.25523098781859765</v>
      </c>
      <c r="AI129" s="153">
        <f t="shared" si="207"/>
        <v>0.25523098781859765</v>
      </c>
      <c r="AJ129" s="153">
        <f t="shared" si="208"/>
        <v>1.2779488798656278</v>
      </c>
      <c r="AL129" s="317">
        <f t="shared" si="209"/>
        <v>19.000000000000004</v>
      </c>
      <c r="AM129" s="147">
        <f t="shared" si="210"/>
        <v>350</v>
      </c>
      <c r="AO129" s="147">
        <f t="shared" si="211"/>
        <v>19.000000000000004</v>
      </c>
      <c r="AP129" s="147">
        <f t="shared" si="212"/>
        <v>350</v>
      </c>
      <c r="AR129" s="5">
        <f t="shared" si="160"/>
        <v>2.8571428571428572</v>
      </c>
      <c r="AS129" s="5">
        <f t="shared" si="246"/>
        <v>1.701539918790651</v>
      </c>
      <c r="AT129" s="5">
        <f t="shared" si="247"/>
        <v>1.1556029383522062</v>
      </c>
      <c r="AU129" s="153">
        <f t="shared" si="248"/>
        <v>0.59553897157672786</v>
      </c>
      <c r="AW129" s="5">
        <f t="shared" si="216"/>
        <v>0.1616462922851119</v>
      </c>
      <c r="AX129" s="5"/>
      <c r="AY129" s="5">
        <f t="shared" si="217"/>
        <v>0.20205786535638984</v>
      </c>
      <c r="AZ129" s="5"/>
      <c r="BA129" s="5">
        <f t="shared" si="218"/>
        <v>5.4213471181955353E-2</v>
      </c>
      <c r="BB129" s="5"/>
      <c r="BC129" s="5"/>
      <c r="BD129" s="153">
        <f t="shared" si="219"/>
        <v>0.11371764763135468</v>
      </c>
      <c r="BE129" s="153">
        <f t="shared" si="220"/>
        <v>9.3715432728429346E-2</v>
      </c>
      <c r="BF129" s="153">
        <f t="shared" si="221"/>
        <v>9.3347921227533548E-2</v>
      </c>
      <c r="BG129" s="153"/>
      <c r="BH129" s="463">
        <f t="shared" si="222"/>
        <v>4.5260961839831311E-3</v>
      </c>
      <c r="BI129" s="463">
        <f t="shared" si="223"/>
        <v>1.3095901984972246E-2</v>
      </c>
      <c r="BJ129" s="463">
        <f t="shared" si="224"/>
        <v>4.3749999999999995E-3</v>
      </c>
      <c r="BK129" s="463">
        <f t="shared" si="225"/>
        <v>1.5044092000000002E-2</v>
      </c>
      <c r="BL129">
        <f t="shared" si="226"/>
        <v>2.6099999999999999E-3</v>
      </c>
      <c r="BM129">
        <f t="shared" si="227"/>
        <v>3.4999999999999999E-6</v>
      </c>
      <c r="BN129">
        <f t="shared" si="228"/>
        <v>4.0299265649824736E-2</v>
      </c>
      <c r="BO129" s="147">
        <f t="shared" si="229"/>
        <v>39.651090168955378</v>
      </c>
      <c r="BP129" s="153">
        <f t="shared" si="230"/>
        <v>7.6000000000000017E-3</v>
      </c>
      <c r="BQ129" s="153">
        <f t="shared" si="231"/>
        <v>7.6000000000000017E-3</v>
      </c>
      <c r="BR129" s="463"/>
      <c r="BT129" s="147">
        <f t="shared" si="232"/>
        <v>15.200000000000003</v>
      </c>
      <c r="BU129" s="463">
        <f t="shared" si="233"/>
        <v>1.2931703382808947E-2</v>
      </c>
      <c r="BV129" s="463">
        <f t="shared" si="234"/>
        <v>8.7825823314767668E-3</v>
      </c>
      <c r="BW129" s="463">
        <f t="shared" si="235"/>
        <v>4.3569171987509041E-4</v>
      </c>
      <c r="BX129" s="463">
        <f t="shared" si="236"/>
        <v>0</v>
      </c>
      <c r="BY129" s="463">
        <f t="shared" si="180"/>
        <v>2.4852012447452467E-2</v>
      </c>
      <c r="BZ129" s="463">
        <f t="shared" si="166"/>
        <v>2.2149977434160806E-2</v>
      </c>
      <c r="CA129" s="549">
        <f t="shared" si="237"/>
        <v>1.14E-2</v>
      </c>
      <c r="CB129" s="147">
        <f t="shared" si="238"/>
        <v>80.551967315774078</v>
      </c>
      <c r="CC129" s="153">
        <f t="shared" si="168"/>
        <v>9.1751278097277206E-2</v>
      </c>
      <c r="CD129" s="5">
        <f t="shared" si="239"/>
        <v>0.68400000000000016</v>
      </c>
      <c r="CE129" s="153">
        <f t="shared" si="240"/>
        <v>0.88172590791945582</v>
      </c>
      <c r="CF129" s="5">
        <f t="shared" si="241"/>
        <v>88.172590791945581</v>
      </c>
      <c r="CG129">
        <f t="shared" si="242"/>
        <v>19.000000000000004</v>
      </c>
      <c r="CI129" s="59">
        <f t="shared" si="243"/>
        <v>-50</v>
      </c>
      <c r="CJ129">
        <f t="shared" si="244"/>
        <v>-50</v>
      </c>
    </row>
    <row r="130" spans="5:88" x14ac:dyDescent="0.25">
      <c r="E130" s="150">
        <v>20</v>
      </c>
      <c r="F130" s="191">
        <f t="shared" si="245"/>
        <v>2.0000000000000004E-2</v>
      </c>
      <c r="G130" s="191">
        <f t="shared" si="183"/>
        <v>2.0000000000000004E-2</v>
      </c>
      <c r="H130" s="191">
        <f t="shared" si="184"/>
        <v>0.40000000000000008</v>
      </c>
      <c r="I130" s="191">
        <f t="shared" si="185"/>
        <v>0.32000000000000006</v>
      </c>
      <c r="J130" s="472">
        <f t="shared" si="186"/>
        <v>9</v>
      </c>
      <c r="K130" s="386">
        <f t="shared" si="187"/>
        <v>20.32</v>
      </c>
      <c r="L130" s="386">
        <f t="shared" si="188"/>
        <v>29.32</v>
      </c>
      <c r="M130" s="386"/>
      <c r="N130" s="191">
        <f t="shared" si="189"/>
        <v>0.69304229195088674</v>
      </c>
      <c r="O130" s="152">
        <f t="shared" si="190"/>
        <v>1.1695088676671213</v>
      </c>
      <c r="P130" s="152">
        <f t="shared" si="191"/>
        <v>1.6840927694406547</v>
      </c>
      <c r="Q130" s="191">
        <f t="shared" si="192"/>
        <v>5.8475443383356064E-2</v>
      </c>
      <c r="R130" s="191">
        <f t="shared" si="193"/>
        <v>7.3094304229195078E-2</v>
      </c>
      <c r="S130" s="191">
        <f t="shared" si="194"/>
        <v>20</v>
      </c>
      <c r="T130" s="191">
        <f t="shared" si="195"/>
        <v>0.25651793525809286</v>
      </c>
      <c r="U130" s="191">
        <f t="shared" si="196"/>
        <v>1.7101195683872858</v>
      </c>
      <c r="V130" s="191">
        <f t="shared" si="197"/>
        <v>0.75743484820303009</v>
      </c>
      <c r="W130" s="175">
        <f t="shared" si="198"/>
        <v>350</v>
      </c>
      <c r="X130" s="386">
        <f t="shared" si="199"/>
        <v>350</v>
      </c>
      <c r="Z130" s="191">
        <f t="shared" si="200"/>
        <v>0.29701812512180864</v>
      </c>
      <c r="AA130" s="153">
        <f t="shared" si="201"/>
        <v>0.87702202299746645</v>
      </c>
      <c r="AB130" s="153">
        <f t="shared" si="202"/>
        <v>2.5325556371231982E-2</v>
      </c>
      <c r="AC130" s="153"/>
      <c r="AD130" s="153">
        <f t="shared" si="203"/>
        <v>0.44291338582677164</v>
      </c>
      <c r="AE130" s="317">
        <f t="shared" si="204"/>
        <v>602.07407407407425</v>
      </c>
      <c r="AF130" s="463">
        <f t="shared" si="205"/>
        <v>1.1626476377952754E-2</v>
      </c>
      <c r="AH130" s="153">
        <f t="shared" si="206"/>
        <v>0.2618614682831909</v>
      </c>
      <c r="AI130" s="153">
        <f t="shared" si="207"/>
        <v>0.2618614682831909</v>
      </c>
      <c r="AJ130" s="153">
        <f t="shared" si="208"/>
        <v>1.2828603468764377</v>
      </c>
      <c r="AL130" s="317">
        <f t="shared" si="209"/>
        <v>20.000000000000004</v>
      </c>
      <c r="AM130" s="147">
        <f t="shared" si="210"/>
        <v>350</v>
      </c>
      <c r="AO130" s="147">
        <f t="shared" si="211"/>
        <v>20.000000000000004</v>
      </c>
      <c r="AP130" s="147">
        <f t="shared" si="212"/>
        <v>350</v>
      </c>
      <c r="AR130" s="5">
        <f t="shared" si="160"/>
        <v>2.8571428571428572</v>
      </c>
      <c r="AS130" s="5">
        <f t="shared" si="246"/>
        <v>1.7457431218879393</v>
      </c>
      <c r="AT130" s="5">
        <f t="shared" si="247"/>
        <v>1.1113997352549179</v>
      </c>
      <c r="AU130" s="153">
        <f t="shared" si="248"/>
        <v>0.61101009266077877</v>
      </c>
      <c r="AW130" s="5">
        <f t="shared" si="216"/>
        <v>0.17457431218879396</v>
      </c>
      <c r="AX130" s="5"/>
      <c r="AY130" s="5">
        <f t="shared" si="217"/>
        <v>0.21821789023599245</v>
      </c>
      <c r="AZ130" s="5"/>
      <c r="BA130" s="5">
        <f t="shared" si="218"/>
        <v>5.4883937543452749E-2</v>
      </c>
      <c r="BB130" s="5"/>
      <c r="BC130" s="5"/>
      <c r="BD130" s="153">
        <f t="shared" si="219"/>
        <v>0.11817759929488972</v>
      </c>
      <c r="BE130" s="153">
        <f t="shared" si="220"/>
        <v>9.4293148648453493E-2</v>
      </c>
      <c r="BF130" s="153">
        <f t="shared" si="221"/>
        <v>9.3923371594930138E-2</v>
      </c>
      <c r="BG130" s="153"/>
      <c r="BH130" s="463">
        <f t="shared" si="222"/>
        <v>4.8880807412862307E-3</v>
      </c>
      <c r="BI130" s="463">
        <f t="shared" si="223"/>
        <v>1.3436111937610526E-2</v>
      </c>
      <c r="BJ130" s="463">
        <f t="shared" si="224"/>
        <v>4.3749999999999995E-3</v>
      </c>
      <c r="BK130" s="463">
        <f t="shared" si="225"/>
        <v>1.5044092000000002E-2</v>
      </c>
      <c r="BL130">
        <f t="shared" si="226"/>
        <v>2.6099999999999999E-3</v>
      </c>
      <c r="BM130">
        <f t="shared" si="227"/>
        <v>3.4999999999999999E-6</v>
      </c>
      <c r="BN130">
        <f t="shared" si="228"/>
        <v>4.1053699895036357E-2</v>
      </c>
      <c r="BO130" s="147">
        <f t="shared" si="229"/>
        <v>40.353284678896763</v>
      </c>
      <c r="BP130" s="153">
        <f t="shared" si="230"/>
        <v>8.0000000000000019E-3</v>
      </c>
      <c r="BQ130" s="153">
        <f t="shared" si="231"/>
        <v>8.0000000000000019E-3</v>
      </c>
      <c r="BR130" s="463"/>
      <c r="BT130" s="147">
        <f t="shared" si="232"/>
        <v>16.000000000000004</v>
      </c>
      <c r="BU130" s="463">
        <f t="shared" si="233"/>
        <v>1.3965944975103518E-2</v>
      </c>
      <c r="BV130" s="463">
        <f t="shared" si="234"/>
        <v>8.8911978820393461E-3</v>
      </c>
      <c r="BW130" s="463">
        <f t="shared" si="235"/>
        <v>4.4107998658796652E-4</v>
      </c>
      <c r="BX130" s="463">
        <f t="shared" si="236"/>
        <v>0</v>
      </c>
      <c r="BY130" s="463">
        <f t="shared" si="180"/>
        <v>2.6142735927970107E-2</v>
      </c>
      <c r="BZ130" s="463">
        <f t="shared" si="166"/>
        <v>2.3298222843730832E-2</v>
      </c>
      <c r="CA130" s="549">
        <f t="shared" si="237"/>
        <v>1.2000000000000005E-2</v>
      </c>
      <c r="CB130" s="147">
        <f t="shared" si="238"/>
        <v>84.739181615431789</v>
      </c>
      <c r="CC130" s="153">
        <f t="shared" si="168"/>
        <v>9.5196435823006478E-2</v>
      </c>
      <c r="CD130" s="5">
        <f t="shared" si="239"/>
        <v>0.7200000000000002</v>
      </c>
      <c r="CE130" s="153">
        <f t="shared" si="240"/>
        <v>0.88322270358444588</v>
      </c>
      <c r="CF130" s="5">
        <f t="shared" si="241"/>
        <v>88.322270358444584</v>
      </c>
      <c r="CG130">
        <f t="shared" si="242"/>
        <v>20.000000000000004</v>
      </c>
      <c r="CI130" s="59">
        <f t="shared" si="243"/>
        <v>-50</v>
      </c>
      <c r="CJ130">
        <f t="shared" si="244"/>
        <v>-50</v>
      </c>
    </row>
    <row r="131" spans="5:88" x14ac:dyDescent="0.25">
      <c r="E131" s="150">
        <v>21</v>
      </c>
      <c r="F131" s="191">
        <f t="shared" si="245"/>
        <v>2.1000000000000001E-2</v>
      </c>
      <c r="G131" s="191">
        <f t="shared" si="183"/>
        <v>2.1000000000000001E-2</v>
      </c>
      <c r="H131" s="191">
        <f t="shared" si="184"/>
        <v>0.42000000000000004</v>
      </c>
      <c r="I131" s="191">
        <f t="shared" si="185"/>
        <v>0.33600000000000002</v>
      </c>
      <c r="J131" s="472">
        <f t="shared" si="186"/>
        <v>9</v>
      </c>
      <c r="K131" s="386">
        <f t="shared" si="187"/>
        <v>20.32</v>
      </c>
      <c r="L131" s="386">
        <f t="shared" si="188"/>
        <v>29.32</v>
      </c>
      <c r="M131" s="386"/>
      <c r="N131" s="191">
        <f t="shared" si="189"/>
        <v>0.69304229195088674</v>
      </c>
      <c r="O131" s="152">
        <f t="shared" si="190"/>
        <v>1.1695088676671213</v>
      </c>
      <c r="P131" s="152">
        <f t="shared" si="191"/>
        <v>1.6840927694406547</v>
      </c>
      <c r="Q131" s="191">
        <f t="shared" si="192"/>
        <v>5.8475443383356064E-2</v>
      </c>
      <c r="R131" s="191">
        <f t="shared" si="193"/>
        <v>7.3094304229195078E-2</v>
      </c>
      <c r="S131" s="191">
        <f t="shared" si="194"/>
        <v>20</v>
      </c>
      <c r="T131" s="191">
        <f t="shared" si="195"/>
        <v>0.26934383202099738</v>
      </c>
      <c r="U131" s="191">
        <f t="shared" si="196"/>
        <v>1.7956255468066491</v>
      </c>
      <c r="V131" s="191">
        <f t="shared" si="197"/>
        <v>0.79530659061318121</v>
      </c>
      <c r="W131" s="175">
        <f t="shared" si="198"/>
        <v>350</v>
      </c>
      <c r="X131" s="386">
        <f t="shared" si="199"/>
        <v>350</v>
      </c>
      <c r="Z131" s="191">
        <f t="shared" si="200"/>
        <v>0.29701812512180864</v>
      </c>
      <c r="AA131" s="153">
        <f t="shared" si="201"/>
        <v>0.87702202299746645</v>
      </c>
      <c r="AB131" s="153">
        <f t="shared" si="202"/>
        <v>2.5325556371231982E-2</v>
      </c>
      <c r="AC131" s="153"/>
      <c r="AD131" s="153">
        <f t="shared" si="203"/>
        <v>0.44291338582677164</v>
      </c>
      <c r="AE131" s="317">
        <f t="shared" si="204"/>
        <v>632.17777777777792</v>
      </c>
      <c r="AF131" s="463">
        <f t="shared" si="205"/>
        <v>1.1626476377952754E-2</v>
      </c>
      <c r="AH131" s="153">
        <f t="shared" si="206"/>
        <v>0.26832815729997478</v>
      </c>
      <c r="AI131" s="153">
        <f t="shared" si="207"/>
        <v>0.26832815729997478</v>
      </c>
      <c r="AJ131" s="153">
        <f t="shared" si="208"/>
        <v>1.2876504868888701</v>
      </c>
      <c r="AL131" s="317">
        <f t="shared" si="209"/>
        <v>21</v>
      </c>
      <c r="AM131" s="147">
        <f t="shared" si="210"/>
        <v>350</v>
      </c>
      <c r="AO131" s="147">
        <f t="shared" si="211"/>
        <v>21</v>
      </c>
      <c r="AP131" s="147">
        <f t="shared" si="212"/>
        <v>350</v>
      </c>
      <c r="AR131" s="5">
        <f t="shared" si="160"/>
        <v>2.8571428571428572</v>
      </c>
      <c r="AS131" s="5">
        <f t="shared" si="246"/>
        <v>1.7888543819998322</v>
      </c>
      <c r="AT131" s="5">
        <f t="shared" si="247"/>
        <v>1.0682884751430251</v>
      </c>
      <c r="AU131" s="153">
        <f t="shared" si="248"/>
        <v>0.62609903369994124</v>
      </c>
      <c r="AW131" s="5">
        <f t="shared" si="216"/>
        <v>0.1878297101099824</v>
      </c>
      <c r="AX131" s="5"/>
      <c r="AY131" s="5">
        <f t="shared" si="217"/>
        <v>0.23478713763747799</v>
      </c>
      <c r="AZ131" s="5"/>
      <c r="BA131" s="5">
        <f t="shared" si="218"/>
        <v>5.5392735748156854E-2</v>
      </c>
      <c r="BB131" s="5"/>
      <c r="BC131" s="5"/>
      <c r="BD131" s="153">
        <f t="shared" si="219"/>
        <v>0.12258212271289233</v>
      </c>
      <c r="BE131" s="153">
        <f t="shared" si="220"/>
        <v>9.4729209809864934E-2</v>
      </c>
      <c r="BF131" s="153">
        <f t="shared" si="221"/>
        <v>9.4357722712571354E-2</v>
      </c>
      <c r="BG131" s="153"/>
      <c r="BH131" s="463">
        <f t="shared" si="222"/>
        <v>5.2592318830795076E-3</v>
      </c>
      <c r="BI131" s="463">
        <f t="shared" si="223"/>
        <v>1.3767917751061707E-2</v>
      </c>
      <c r="BJ131" s="463">
        <f t="shared" si="224"/>
        <v>4.3749999999999995E-3</v>
      </c>
      <c r="BK131" s="463">
        <f t="shared" si="225"/>
        <v>1.5044092000000002E-2</v>
      </c>
      <c r="BL131">
        <f t="shared" si="226"/>
        <v>2.6099999999999999E-3</v>
      </c>
      <c r="BM131">
        <f t="shared" si="227"/>
        <v>3.4999999999999999E-6</v>
      </c>
      <c r="BN131">
        <f t="shared" si="228"/>
        <v>4.1810307662378775E-2</v>
      </c>
      <c r="BO131" s="147">
        <f t="shared" si="229"/>
        <v>41.056241634141216</v>
      </c>
      <c r="BP131" s="153">
        <f t="shared" si="230"/>
        <v>8.4000000000000012E-3</v>
      </c>
      <c r="BQ131" s="153">
        <f t="shared" si="231"/>
        <v>8.4000000000000012E-3</v>
      </c>
      <c r="BR131" s="463"/>
      <c r="BT131" s="147">
        <f t="shared" si="232"/>
        <v>16.8</v>
      </c>
      <c r="BU131" s="463">
        <f t="shared" si="233"/>
        <v>1.5026376808798593E-2</v>
      </c>
      <c r="BV131" s="463">
        <f t="shared" si="234"/>
        <v>8.9736231912014106E-3</v>
      </c>
      <c r="BW131" s="463">
        <f t="shared" si="235"/>
        <v>4.451689917751252E-4</v>
      </c>
      <c r="BX131" s="463">
        <f t="shared" si="236"/>
        <v>0</v>
      </c>
      <c r="BY131" s="463">
        <f t="shared" si="180"/>
        <v>2.7432236122615316E-2</v>
      </c>
      <c r="BZ131" s="463">
        <f t="shared" si="166"/>
        <v>2.4445168991775131E-2</v>
      </c>
      <c r="CA131" s="549">
        <f t="shared" si="237"/>
        <v>1.2600000000000005E-2</v>
      </c>
      <c r="CB131" s="147">
        <f t="shared" si="238"/>
        <v>88.922574106165584</v>
      </c>
      <c r="CC131" s="153">
        <f t="shared" si="168"/>
        <v>9.8642543784994097E-2</v>
      </c>
      <c r="CD131" s="5">
        <f t="shared" si="239"/>
        <v>0.75600000000000001</v>
      </c>
      <c r="CE131" s="153">
        <f t="shared" si="240"/>
        <v>0.88458034940768182</v>
      </c>
      <c r="CF131" s="5">
        <f t="shared" si="241"/>
        <v>88.458034940768187</v>
      </c>
      <c r="CG131">
        <f t="shared" si="242"/>
        <v>21</v>
      </c>
      <c r="CI131" s="59">
        <f t="shared" si="243"/>
        <v>-50</v>
      </c>
      <c r="CJ131">
        <f t="shared" si="244"/>
        <v>-50</v>
      </c>
    </row>
    <row r="132" spans="5:88" x14ac:dyDescent="0.25">
      <c r="E132" s="150">
        <v>22</v>
      </c>
      <c r="F132" s="191">
        <f t="shared" si="245"/>
        <v>2.2000000000000002E-2</v>
      </c>
      <c r="G132" s="191">
        <f t="shared" si="183"/>
        <v>2.2000000000000002E-2</v>
      </c>
      <c r="H132" s="191">
        <f t="shared" si="184"/>
        <v>0.44000000000000006</v>
      </c>
      <c r="I132" s="191">
        <f t="shared" si="185"/>
        <v>0.35200000000000004</v>
      </c>
      <c r="J132" s="472">
        <f t="shared" si="186"/>
        <v>9</v>
      </c>
      <c r="K132" s="386">
        <f t="shared" si="187"/>
        <v>20.32</v>
      </c>
      <c r="L132" s="386">
        <f t="shared" si="188"/>
        <v>29.32</v>
      </c>
      <c r="M132" s="386"/>
      <c r="N132" s="191">
        <f t="shared" si="189"/>
        <v>0.69304229195088674</v>
      </c>
      <c r="O132" s="152">
        <f t="shared" si="190"/>
        <v>1.1695088676671213</v>
      </c>
      <c r="P132" s="152">
        <f t="shared" si="191"/>
        <v>1.6840927694406547</v>
      </c>
      <c r="Q132" s="191">
        <f t="shared" si="192"/>
        <v>5.8475443383356064E-2</v>
      </c>
      <c r="R132" s="191">
        <f t="shared" si="193"/>
        <v>7.3094304229195078E-2</v>
      </c>
      <c r="S132" s="191">
        <f t="shared" si="194"/>
        <v>20</v>
      </c>
      <c r="T132" s="191">
        <f t="shared" si="195"/>
        <v>0.28216972878390206</v>
      </c>
      <c r="U132" s="191">
        <f t="shared" si="196"/>
        <v>1.8811315252260137</v>
      </c>
      <c r="V132" s="191">
        <f t="shared" si="197"/>
        <v>0.83317833302333288</v>
      </c>
      <c r="W132" s="175">
        <f t="shared" si="198"/>
        <v>350</v>
      </c>
      <c r="X132" s="386">
        <f t="shared" si="199"/>
        <v>350</v>
      </c>
      <c r="Z132" s="191">
        <f t="shared" si="200"/>
        <v>0.29701812512180864</v>
      </c>
      <c r="AA132" s="153">
        <f t="shared" si="201"/>
        <v>0.87702202299746645</v>
      </c>
      <c r="AB132" s="153">
        <f t="shared" si="202"/>
        <v>2.5325556371231982E-2</v>
      </c>
      <c r="AC132" s="153"/>
      <c r="AD132" s="153">
        <f t="shared" si="203"/>
        <v>0.44291338582677164</v>
      </c>
      <c r="AE132" s="317">
        <f t="shared" si="204"/>
        <v>662.28148148148171</v>
      </c>
      <c r="AF132" s="463">
        <f t="shared" si="205"/>
        <v>1.1626476377952754E-2</v>
      </c>
      <c r="AH132" s="153">
        <f t="shared" si="206"/>
        <v>0.27464262493023806</v>
      </c>
      <c r="AI132" s="153">
        <f t="shared" si="207"/>
        <v>0.27464262493023806</v>
      </c>
      <c r="AJ132" s="153">
        <f t="shared" si="208"/>
        <v>1.2923278703186949</v>
      </c>
      <c r="AL132" s="317">
        <f t="shared" si="209"/>
        <v>22.000000000000004</v>
      </c>
      <c r="AM132" s="147">
        <f t="shared" si="210"/>
        <v>350</v>
      </c>
      <c r="AO132" s="147">
        <f t="shared" si="211"/>
        <v>22.000000000000004</v>
      </c>
      <c r="AP132" s="147">
        <f t="shared" si="212"/>
        <v>350</v>
      </c>
      <c r="AR132" s="5">
        <f t="shared" si="160"/>
        <v>2.8571428571428572</v>
      </c>
      <c r="AS132" s="5">
        <f t="shared" si="246"/>
        <v>1.8309508328682538</v>
      </c>
      <c r="AT132" s="5">
        <f t="shared" si="247"/>
        <v>1.0261920242746034</v>
      </c>
      <c r="AU132" s="153">
        <f t="shared" si="248"/>
        <v>0.64083279150388883</v>
      </c>
      <c r="AW132" s="5">
        <f t="shared" si="216"/>
        <v>0.20140459161550794</v>
      </c>
      <c r="AX132" s="5"/>
      <c r="AY132" s="5">
        <f t="shared" si="217"/>
        <v>0.2517557395193849</v>
      </c>
      <c r="AZ132" s="5"/>
      <c r="BA132" s="5">
        <f t="shared" si="218"/>
        <v>5.5743764281583404E-2</v>
      </c>
      <c r="BB132" s="5"/>
      <c r="BC132" s="5"/>
      <c r="BD132" s="153">
        <f t="shared" si="219"/>
        <v>0.12693450015358565</v>
      </c>
      <c r="BE132" s="153">
        <f t="shared" si="220"/>
        <v>9.5028889363269475E-2</v>
      </c>
      <c r="BF132" s="153">
        <f t="shared" si="221"/>
        <v>9.4656227052040964E-2</v>
      </c>
      <c r="BG132" s="153"/>
      <c r="BH132" s="463">
        <f t="shared" si="222"/>
        <v>5.6393285652342213E-3</v>
      </c>
      <c r="BI132" s="463">
        <f t="shared" si="223"/>
        <v>1.4091913085170516E-2</v>
      </c>
      <c r="BJ132" s="463">
        <f t="shared" si="224"/>
        <v>4.3749999999999995E-3</v>
      </c>
      <c r="BK132" s="463">
        <f t="shared" si="225"/>
        <v>1.5044092000000002E-2</v>
      </c>
      <c r="BL132">
        <f t="shared" si="226"/>
        <v>2.6099999999999999E-3</v>
      </c>
      <c r="BM132">
        <f t="shared" si="227"/>
        <v>3.4999999999999999E-6</v>
      </c>
      <c r="BN132">
        <f t="shared" si="228"/>
        <v>4.2569434635514977E-2</v>
      </c>
      <c r="BO132" s="147">
        <f t="shared" si="229"/>
        <v>41.760333650404739</v>
      </c>
      <c r="BP132" s="153">
        <f t="shared" si="230"/>
        <v>8.8000000000000005E-3</v>
      </c>
      <c r="BQ132" s="153">
        <f t="shared" si="231"/>
        <v>8.8000000000000005E-3</v>
      </c>
      <c r="BR132" s="463"/>
      <c r="BT132" s="147">
        <f t="shared" si="232"/>
        <v>17.600000000000001</v>
      </c>
      <c r="BU132" s="463">
        <f t="shared" si="233"/>
        <v>1.6112367329240634E-2</v>
      </c>
      <c r="BV132" s="463">
        <f t="shared" si="234"/>
        <v>9.0304898136165102E-3</v>
      </c>
      <c r="BW132" s="463">
        <f t="shared" si="235"/>
        <v>4.4799006598637663E-4</v>
      </c>
      <c r="BX132" s="463">
        <f t="shared" si="236"/>
        <v>0</v>
      </c>
      <c r="BY132" s="463">
        <f t="shared" si="180"/>
        <v>2.8720547525382858E-2</v>
      </c>
      <c r="BZ132" s="463">
        <f t="shared" si="166"/>
        <v>2.5590847208843519E-2</v>
      </c>
      <c r="CA132" s="549">
        <f t="shared" si="237"/>
        <v>1.32E-2</v>
      </c>
      <c r="CB132" s="147">
        <f t="shared" si="238"/>
        <v>93.102241943069885</v>
      </c>
      <c r="CC132" s="153">
        <f t="shared" si="168"/>
        <v>0.10208998216089785</v>
      </c>
      <c r="CD132" s="5">
        <f t="shared" si="239"/>
        <v>0.79200000000000004</v>
      </c>
      <c r="CE132" s="153">
        <f t="shared" si="240"/>
        <v>0.88581688174812145</v>
      </c>
      <c r="CF132" s="5">
        <f t="shared" si="241"/>
        <v>88.581688174812143</v>
      </c>
      <c r="CG132">
        <f t="shared" si="242"/>
        <v>22</v>
      </c>
      <c r="CI132" s="59">
        <f t="shared" si="243"/>
        <v>-50</v>
      </c>
      <c r="CJ132">
        <f t="shared" si="244"/>
        <v>-50</v>
      </c>
    </row>
    <row r="133" spans="5:88" x14ac:dyDescent="0.25">
      <c r="E133" s="150">
        <v>23</v>
      </c>
      <c r="F133" s="191">
        <f t="shared" si="245"/>
        <v>2.3000000000000003E-2</v>
      </c>
      <c r="G133" s="191">
        <f t="shared" si="183"/>
        <v>2.3000000000000003E-2</v>
      </c>
      <c r="H133" s="191">
        <f t="shared" si="184"/>
        <v>0.46000000000000008</v>
      </c>
      <c r="I133" s="191">
        <f t="shared" si="185"/>
        <v>0.36800000000000005</v>
      </c>
      <c r="J133" s="472">
        <f t="shared" si="186"/>
        <v>9</v>
      </c>
      <c r="K133" s="386">
        <f t="shared" si="187"/>
        <v>20.32</v>
      </c>
      <c r="L133" s="386">
        <f t="shared" si="188"/>
        <v>29.32</v>
      </c>
      <c r="M133" s="386"/>
      <c r="N133" s="191">
        <f t="shared" si="189"/>
        <v>0.69304229195088674</v>
      </c>
      <c r="O133" s="152">
        <f t="shared" si="190"/>
        <v>1.1695088676671213</v>
      </c>
      <c r="P133" s="152">
        <f t="shared" si="191"/>
        <v>1.6840927694406547</v>
      </c>
      <c r="Q133" s="191">
        <f t="shared" si="192"/>
        <v>5.8475443383356064E-2</v>
      </c>
      <c r="R133" s="191">
        <f t="shared" si="193"/>
        <v>7.3094304229195078E-2</v>
      </c>
      <c r="S133" s="191">
        <f t="shared" si="194"/>
        <v>20</v>
      </c>
      <c r="T133" s="191">
        <f t="shared" si="195"/>
        <v>0.29499562554680669</v>
      </c>
      <c r="U133" s="191">
        <f t="shared" si="196"/>
        <v>1.9666375036453783</v>
      </c>
      <c r="V133" s="191">
        <f t="shared" si="197"/>
        <v>0.87105007543348445</v>
      </c>
      <c r="W133" s="175">
        <f t="shared" si="198"/>
        <v>350</v>
      </c>
      <c r="X133" s="386">
        <f t="shared" si="199"/>
        <v>350</v>
      </c>
      <c r="Z133" s="191">
        <f t="shared" si="200"/>
        <v>0.29701812512180864</v>
      </c>
      <c r="AA133" s="153">
        <f t="shared" si="201"/>
        <v>0.87702202299746645</v>
      </c>
      <c r="AB133" s="153">
        <f t="shared" si="202"/>
        <v>2.5325556371231982E-2</v>
      </c>
      <c r="AC133" s="153"/>
      <c r="AD133" s="153">
        <f t="shared" si="203"/>
        <v>0.44291338582677164</v>
      </c>
      <c r="AE133" s="317">
        <f t="shared" si="204"/>
        <v>692.38518518518538</v>
      </c>
      <c r="AF133" s="463">
        <f t="shared" si="205"/>
        <v>1.1626476377952754E-2</v>
      </c>
      <c r="AH133" s="153">
        <f t="shared" si="206"/>
        <v>0.28081514000698549</v>
      </c>
      <c r="AI133" s="153">
        <f t="shared" si="207"/>
        <v>0.28081514000698549</v>
      </c>
      <c r="AJ133" s="153">
        <f t="shared" si="208"/>
        <v>1.2969001037088781</v>
      </c>
      <c r="AL133" s="317">
        <f t="shared" si="209"/>
        <v>23.000000000000004</v>
      </c>
      <c r="AM133" s="147">
        <f t="shared" si="210"/>
        <v>350</v>
      </c>
      <c r="AO133" s="147">
        <f t="shared" si="211"/>
        <v>23.000000000000004</v>
      </c>
      <c r="AP133" s="147">
        <f t="shared" si="212"/>
        <v>350</v>
      </c>
      <c r="AR133" s="5">
        <f t="shared" si="160"/>
        <v>2.8571428571428572</v>
      </c>
      <c r="AS133" s="5">
        <f t="shared" si="246"/>
        <v>1.8721009333799035</v>
      </c>
      <c r="AT133" s="5">
        <f t="shared" si="247"/>
        <v>0.98504192376295374</v>
      </c>
      <c r="AU133" s="153">
        <f t="shared" si="248"/>
        <v>0.65523532668296625</v>
      </c>
      <c r="AW133" s="5">
        <f t="shared" si="216"/>
        <v>0.21529160733868891</v>
      </c>
      <c r="AX133" s="5"/>
      <c r="AY133" s="5">
        <f t="shared" si="217"/>
        <v>0.2691145091733611</v>
      </c>
      <c r="AZ133" s="5"/>
      <c r="BA133" s="5">
        <f t="shared" si="218"/>
        <v>5.5940652460612195E-2</v>
      </c>
      <c r="BB133" s="5"/>
      <c r="BC133" s="5"/>
      <c r="BD133" s="153">
        <f t="shared" si="219"/>
        <v>0.13123767975354911</v>
      </c>
      <c r="BE133" s="153">
        <f t="shared" si="220"/>
        <v>9.5196563481142388E-2</v>
      </c>
      <c r="BF133" s="153">
        <f t="shared" si="221"/>
        <v>9.4823243624353598E-2</v>
      </c>
      <c r="BG133" s="153"/>
      <c r="BH133" s="463">
        <f t="shared" si="222"/>
        <v>6.0281650054832903E-3</v>
      </c>
      <c r="BI133" s="463">
        <f t="shared" si="223"/>
        <v>1.4408624833758425E-2</v>
      </c>
      <c r="BJ133" s="463">
        <f t="shared" si="224"/>
        <v>4.3749999999999995E-3</v>
      </c>
      <c r="BK133" s="463">
        <f t="shared" si="225"/>
        <v>1.5044092000000002E-2</v>
      </c>
      <c r="BL133">
        <f t="shared" si="226"/>
        <v>2.6099999999999999E-3</v>
      </c>
      <c r="BM133">
        <f t="shared" si="227"/>
        <v>3.4999999999999999E-6</v>
      </c>
      <c r="BN133">
        <f t="shared" si="228"/>
        <v>4.3331377118505626E-2</v>
      </c>
      <c r="BO133" s="147">
        <f t="shared" si="229"/>
        <v>42.465881839241717</v>
      </c>
      <c r="BP133" s="153">
        <f t="shared" si="230"/>
        <v>9.2000000000000016E-3</v>
      </c>
      <c r="BQ133" s="153">
        <f t="shared" si="231"/>
        <v>9.2000000000000016E-3</v>
      </c>
      <c r="BR133" s="463"/>
      <c r="BT133" s="147">
        <f t="shared" si="232"/>
        <v>18.400000000000002</v>
      </c>
      <c r="BU133" s="463">
        <f t="shared" si="233"/>
        <v>1.7223328587095115E-2</v>
      </c>
      <c r="BV133" s="463">
        <f t="shared" si="234"/>
        <v>9.0623856986191721E-3</v>
      </c>
      <c r="BW133" s="463">
        <f t="shared" si="235"/>
        <v>4.4957237657217581E-4</v>
      </c>
      <c r="BX133" s="463">
        <f t="shared" si="236"/>
        <v>0</v>
      </c>
      <c r="BY133" s="463">
        <f t="shared" si="180"/>
        <v>3.0007702223442463E-2</v>
      </c>
      <c r="BZ133" s="463">
        <f t="shared" si="166"/>
        <v>2.6735286662286462E-2</v>
      </c>
      <c r="CA133" s="549">
        <f t="shared" si="237"/>
        <v>1.3800000000000002E-2</v>
      </c>
      <c r="CB133" s="147">
        <f t="shared" si="238"/>
        <v>97.278275548015401</v>
      </c>
      <c r="CC133" s="153">
        <f t="shared" si="168"/>
        <v>0.10553907934194809</v>
      </c>
      <c r="CD133" s="5">
        <f t="shared" si="239"/>
        <v>0.82800000000000007</v>
      </c>
      <c r="CE133" s="153">
        <f t="shared" si="240"/>
        <v>0.88694733656319713</v>
      </c>
      <c r="CF133" s="5">
        <f t="shared" si="241"/>
        <v>88.694733656319713</v>
      </c>
      <c r="CG133">
        <f t="shared" si="242"/>
        <v>23</v>
      </c>
      <c r="CI133" s="59">
        <f t="shared" si="243"/>
        <v>-50</v>
      </c>
      <c r="CJ133">
        <f t="shared" si="244"/>
        <v>-50</v>
      </c>
    </row>
    <row r="134" spans="5:88" x14ac:dyDescent="0.25">
      <c r="E134" s="150">
        <v>24</v>
      </c>
      <c r="F134" s="191">
        <f t="shared" si="245"/>
        <v>2.4E-2</v>
      </c>
      <c r="G134" s="191">
        <f t="shared" si="183"/>
        <v>2.4E-2</v>
      </c>
      <c r="H134" s="191">
        <f t="shared" si="184"/>
        <v>0.48</v>
      </c>
      <c r="I134" s="191">
        <f t="shared" si="185"/>
        <v>0.38400000000000001</v>
      </c>
      <c r="J134" s="472">
        <f t="shared" si="186"/>
        <v>9</v>
      </c>
      <c r="K134" s="386">
        <f t="shared" si="187"/>
        <v>20.32</v>
      </c>
      <c r="L134" s="386">
        <f t="shared" si="188"/>
        <v>29.32</v>
      </c>
      <c r="M134" s="386"/>
      <c r="N134" s="191">
        <f t="shared" si="189"/>
        <v>0.69304229195088674</v>
      </c>
      <c r="O134" s="152">
        <f t="shared" si="190"/>
        <v>1.1695088676671213</v>
      </c>
      <c r="P134" s="152">
        <f t="shared" si="191"/>
        <v>1.6840927694406547</v>
      </c>
      <c r="Q134" s="191">
        <f t="shared" si="192"/>
        <v>5.8475443383356064E-2</v>
      </c>
      <c r="R134" s="191">
        <f t="shared" si="193"/>
        <v>7.3094304229195078E-2</v>
      </c>
      <c r="S134" s="191">
        <f t="shared" si="194"/>
        <v>20</v>
      </c>
      <c r="T134" s="191">
        <f t="shared" si="195"/>
        <v>0.30782152230971133</v>
      </c>
      <c r="U134" s="191">
        <f t="shared" si="196"/>
        <v>2.0521434820647424</v>
      </c>
      <c r="V134" s="191">
        <f t="shared" si="197"/>
        <v>0.90892181784363579</v>
      </c>
      <c r="W134" s="175">
        <f t="shared" si="198"/>
        <v>350</v>
      </c>
      <c r="X134" s="386">
        <f t="shared" si="199"/>
        <v>337.71629421037835</v>
      </c>
      <c r="Z134" s="191">
        <f t="shared" si="200"/>
        <v>0.29701812512180864</v>
      </c>
      <c r="AA134" s="153">
        <f t="shared" si="201"/>
        <v>0.87702202299746645</v>
      </c>
      <c r="AB134" s="153">
        <f t="shared" si="202"/>
        <v>2.5325556371231982E-2</v>
      </c>
      <c r="AC134" s="153"/>
      <c r="AD134" s="153">
        <f t="shared" si="203"/>
        <v>0.44291338582677164</v>
      </c>
      <c r="AE134" s="317">
        <f t="shared" si="204"/>
        <v>722.48888888888894</v>
      </c>
      <c r="AF134" s="463">
        <f t="shared" si="205"/>
        <v>1.1626476377952754E-2</v>
      </c>
      <c r="AH134" s="153">
        <f t="shared" si="206"/>
        <v>0.28685486624025447</v>
      </c>
      <c r="AI134" s="153">
        <f t="shared" si="207"/>
        <v>0.28685486624025447</v>
      </c>
      <c r="AJ134" s="153">
        <f t="shared" si="208"/>
        <v>1.3013739749927811</v>
      </c>
      <c r="AL134" s="317">
        <f t="shared" si="209"/>
        <v>24</v>
      </c>
      <c r="AM134" s="147">
        <f t="shared" si="210"/>
        <v>337.71629421037835</v>
      </c>
      <c r="AO134" s="147">
        <f t="shared" si="211"/>
        <v>24</v>
      </c>
      <c r="AP134" s="147">
        <f t="shared" si="212"/>
        <v>337.71629421037835</v>
      </c>
      <c r="AR134" s="5">
        <f t="shared" ref="AR134:AR197" si="249">1/AM134*1000</f>
        <v>2.9610652999083782</v>
      </c>
      <c r="AS134" s="5">
        <f t="shared" si="246"/>
        <v>1.9123657749350298</v>
      </c>
      <c r="AT134" s="5">
        <f t="shared" si="247"/>
        <v>1.0486995249733484</v>
      </c>
      <c r="AU134" s="153">
        <f t="shared" si="248"/>
        <v>0.64583708268581663</v>
      </c>
      <c r="AW134" s="5">
        <f t="shared" si="216"/>
        <v>0.22948389299220356</v>
      </c>
      <c r="AX134" s="5"/>
      <c r="AY134" s="5">
        <f t="shared" si="217"/>
        <v>0.28685486624025447</v>
      </c>
      <c r="AZ134" s="5"/>
      <c r="BA134" s="5">
        <f t="shared" si="218"/>
        <v>6.2145157035457685E-2</v>
      </c>
      <c r="BB134" s="5"/>
      <c r="BC134" s="5"/>
      <c r="BD134" s="153">
        <f t="shared" si="219"/>
        <v>0.13309541146736845</v>
      </c>
      <c r="BE134" s="153">
        <f t="shared" si="220"/>
        <v>9.8560554355702143E-2</v>
      </c>
      <c r="BF134" s="153">
        <f t="shared" si="221"/>
        <v>9.8174042377836654E-2</v>
      </c>
      <c r="BG134" s="153"/>
      <c r="BH134" s="463">
        <f t="shared" si="222"/>
        <v>6.2000359937838386E-3</v>
      </c>
      <c r="BI134" s="463">
        <f t="shared" si="223"/>
        <v>1.420195744826111E-2</v>
      </c>
      <c r="BJ134" s="463">
        <f t="shared" si="224"/>
        <v>4.2214536776297292E-3</v>
      </c>
      <c r="BK134" s="463">
        <f t="shared" si="225"/>
        <v>1.4516100000000001E-2</v>
      </c>
      <c r="BL134">
        <f t="shared" si="226"/>
        <v>2.6099999999999999E-3</v>
      </c>
      <c r="BM134">
        <f t="shared" si="227"/>
        <v>3.3771629421037836E-6</v>
      </c>
      <c r="BN134">
        <f t="shared" si="228"/>
        <v>4.2638703838255548E-2</v>
      </c>
      <c r="BO134" s="147">
        <f t="shared" si="229"/>
        <v>41.749547119674688</v>
      </c>
      <c r="BP134" s="153">
        <f t="shared" si="230"/>
        <v>9.6000000000000009E-3</v>
      </c>
      <c r="BQ134" s="153">
        <f t="shared" si="231"/>
        <v>9.6000000000000009E-3</v>
      </c>
      <c r="BR134" s="463"/>
      <c r="BT134" s="147">
        <f t="shared" si="232"/>
        <v>19.200000000000003</v>
      </c>
      <c r="BU134" s="463">
        <f t="shared" si="233"/>
        <v>1.7714388553668112E-2</v>
      </c>
      <c r="BV134" s="463">
        <f t="shared" si="234"/>
        <v>9.7141828749033165E-3</v>
      </c>
      <c r="BW134" s="463">
        <f t="shared" si="235"/>
        <v>4.8190712984026338E-4</v>
      </c>
      <c r="BX134" s="463">
        <f t="shared" si="236"/>
        <v>0</v>
      </c>
      <c r="BY134" s="463">
        <f t="shared" si="180"/>
        <v>3.1329690116961184E-2</v>
      </c>
      <c r="BZ134" s="463">
        <f t="shared" ref="BZ134:BZ197" si="250">SUM(BU134:BX134)</f>
        <v>2.7910478558411691E-2</v>
      </c>
      <c r="CA134" s="549">
        <f t="shared" si="237"/>
        <v>1.389461324751271E-2</v>
      </c>
      <c r="CB134" s="147">
        <f t="shared" si="238"/>
        <v>101.04526048129728</v>
      </c>
      <c r="CC134" s="153">
        <f t="shared" ref="CC134:CC197" si="251">SUM(BN134,BP134:BS134,BY134, CA134)</f>
        <v>0.10706300720272943</v>
      </c>
      <c r="CD134" s="5">
        <f t="shared" si="239"/>
        <v>0.86399999999999999</v>
      </c>
      <c r="CE134" s="153">
        <f t="shared" si="240"/>
        <v>0.88974659068607909</v>
      </c>
      <c r="CF134" s="5">
        <f t="shared" si="241"/>
        <v>88.974659068607906</v>
      </c>
      <c r="CG134">
        <f t="shared" si="242"/>
        <v>24</v>
      </c>
      <c r="CI134" s="59">
        <f t="shared" si="243"/>
        <v>-50</v>
      </c>
      <c r="CJ134">
        <f t="shared" si="244"/>
        <v>-50</v>
      </c>
    </row>
    <row r="135" spans="5:88" x14ac:dyDescent="0.25">
      <c r="E135" s="150">
        <v>25</v>
      </c>
      <c r="F135" s="191">
        <f t="shared" si="245"/>
        <v>2.5000000000000001E-2</v>
      </c>
      <c r="G135" s="191">
        <f t="shared" si="183"/>
        <v>2.5000000000000001E-2</v>
      </c>
      <c r="H135" s="191">
        <f t="shared" si="184"/>
        <v>0.5</v>
      </c>
      <c r="I135" s="191">
        <f t="shared" si="185"/>
        <v>0.4</v>
      </c>
      <c r="J135" s="472">
        <f t="shared" si="186"/>
        <v>9</v>
      </c>
      <c r="K135" s="386">
        <f t="shared" si="187"/>
        <v>20.32</v>
      </c>
      <c r="L135" s="386">
        <f t="shared" si="188"/>
        <v>29.32</v>
      </c>
      <c r="M135" s="386"/>
      <c r="N135" s="191">
        <f t="shared" si="189"/>
        <v>0.69304229195088674</v>
      </c>
      <c r="O135" s="152">
        <f t="shared" si="190"/>
        <v>1.1695088676671213</v>
      </c>
      <c r="P135" s="152">
        <f t="shared" si="191"/>
        <v>1.6840927694406547</v>
      </c>
      <c r="Q135" s="191">
        <f t="shared" si="192"/>
        <v>5.8475443383356064E-2</v>
      </c>
      <c r="R135" s="191">
        <f t="shared" si="193"/>
        <v>7.3094304229195078E-2</v>
      </c>
      <c r="S135" s="191">
        <f t="shared" si="194"/>
        <v>20</v>
      </c>
      <c r="T135" s="191">
        <f t="shared" si="195"/>
        <v>0.32064741907261596</v>
      </c>
      <c r="U135" s="191">
        <f t="shared" si="196"/>
        <v>2.1376494604841065</v>
      </c>
      <c r="V135" s="191">
        <f t="shared" si="197"/>
        <v>0.94679356025378725</v>
      </c>
      <c r="W135" s="175">
        <f t="shared" si="198"/>
        <v>350</v>
      </c>
      <c r="X135" s="386">
        <f t="shared" si="199"/>
        <v>324.20764244196323</v>
      </c>
      <c r="Z135" s="191">
        <f t="shared" si="200"/>
        <v>0.29701812512180864</v>
      </c>
      <c r="AA135" s="153">
        <f t="shared" si="201"/>
        <v>0.87702202299746645</v>
      </c>
      <c r="AB135" s="153">
        <f t="shared" si="202"/>
        <v>2.5325556371231982E-2</v>
      </c>
      <c r="AC135" s="153"/>
      <c r="AD135" s="153">
        <f t="shared" si="203"/>
        <v>0.44291338582677164</v>
      </c>
      <c r="AE135" s="317">
        <f t="shared" si="204"/>
        <v>752.59259259259272</v>
      </c>
      <c r="AF135" s="463">
        <f t="shared" si="205"/>
        <v>1.1626476377952754E-2</v>
      </c>
      <c r="AH135" s="153">
        <f t="shared" si="206"/>
        <v>0.29277002188455997</v>
      </c>
      <c r="AI135" s="153">
        <f t="shared" si="207"/>
        <v>0.29277002188455997</v>
      </c>
      <c r="AJ135" s="153">
        <f t="shared" si="208"/>
        <v>1.3057555717663407</v>
      </c>
      <c r="AL135" s="317">
        <f t="shared" si="209"/>
        <v>25</v>
      </c>
      <c r="AM135" s="147">
        <f t="shared" si="210"/>
        <v>324.20764244196323</v>
      </c>
      <c r="AO135" s="147">
        <f t="shared" si="211"/>
        <v>25</v>
      </c>
      <c r="AP135" s="147">
        <f t="shared" si="212"/>
        <v>324.20764244196323</v>
      </c>
      <c r="AR135" s="5">
        <f t="shared" si="249"/>
        <v>3.0844430207378939</v>
      </c>
      <c r="AS135" s="5">
        <f t="shared" si="246"/>
        <v>1.9518001458970669</v>
      </c>
      <c r="AT135" s="5">
        <f t="shared" si="247"/>
        <v>1.132642874840827</v>
      </c>
      <c r="AU135" s="153">
        <f t="shared" si="248"/>
        <v>0.63278852381916784</v>
      </c>
      <c r="AW135" s="5">
        <f t="shared" si="216"/>
        <v>0.24397501823713336</v>
      </c>
      <c r="AX135" s="5"/>
      <c r="AY135" s="5">
        <f t="shared" si="217"/>
        <v>0.30496877279641665</v>
      </c>
      <c r="AZ135" s="5"/>
      <c r="BA135" s="5">
        <f t="shared" si="218"/>
        <v>6.9916226842026363E-2</v>
      </c>
      <c r="BB135" s="5"/>
      <c r="BC135" s="5"/>
      <c r="BD135" s="153">
        <f t="shared" si="219"/>
        <v>0.13446067123556646</v>
      </c>
      <c r="BE135" s="153">
        <f t="shared" si="220"/>
        <v>0.10242927541630611</v>
      </c>
      <c r="BF135" s="153">
        <f t="shared" si="221"/>
        <v>0.10202759198330101</v>
      </c>
      <c r="BG135" s="153"/>
      <c r="BH135" s="463">
        <f t="shared" si="222"/>
        <v>6.3278852381916809E-3</v>
      </c>
      <c r="BI135" s="463">
        <f t="shared" si="223"/>
        <v>1.3915019638783501E-2</v>
      </c>
      <c r="BJ135" s="463">
        <f t="shared" si="224"/>
        <v>4.0525955305245401E-3</v>
      </c>
      <c r="BK135" s="463">
        <f t="shared" si="225"/>
        <v>1.3935456000000001E-2</v>
      </c>
      <c r="BL135">
        <f t="shared" si="226"/>
        <v>2.6099999999999999E-3</v>
      </c>
      <c r="BM135">
        <f t="shared" si="227"/>
        <v>3.2420764244196323E-6</v>
      </c>
      <c r="BN135">
        <f t="shared" si="228"/>
        <v>4.174720263417403E-2</v>
      </c>
      <c r="BO135" s="147">
        <f t="shared" si="229"/>
        <v>40.840956407499725</v>
      </c>
      <c r="BP135" s="153">
        <f t="shared" si="230"/>
        <v>1.0000000000000002E-2</v>
      </c>
      <c r="BQ135" s="153">
        <f t="shared" si="231"/>
        <v>1.0000000000000002E-2</v>
      </c>
      <c r="BR135" s="463"/>
      <c r="BT135" s="147">
        <f t="shared" si="232"/>
        <v>20.000000000000004</v>
      </c>
      <c r="BU135" s="463">
        <f t="shared" si="233"/>
        <v>1.807967210911909E-2</v>
      </c>
      <c r="BV135" s="463">
        <f t="shared" si="234"/>
        <v>1.0491756462309492E-2</v>
      </c>
      <c r="BW135" s="463">
        <f t="shared" si="235"/>
        <v>5.2048147629554743E-4</v>
      </c>
      <c r="BX135" s="463">
        <f t="shared" si="236"/>
        <v>0</v>
      </c>
      <c r="BY135" s="463">
        <f t="shared" si="180"/>
        <v>3.2658948147993007E-2</v>
      </c>
      <c r="BZ135" s="463">
        <f t="shared" si="250"/>
        <v>2.9091910047724129E-2</v>
      </c>
      <c r="CA135" s="549">
        <f t="shared" si="237"/>
        <v>1.3894613247512715E-2</v>
      </c>
      <c r="CB135" s="147">
        <f t="shared" si="238"/>
        <v>104.73738149095398</v>
      </c>
      <c r="CC135" s="153">
        <f t="shared" si="251"/>
        <v>0.10830076402967977</v>
      </c>
      <c r="CD135" s="5">
        <f t="shared" si="239"/>
        <v>0.9</v>
      </c>
      <c r="CE135" s="153">
        <f t="shared" si="240"/>
        <v>0.89259081427563824</v>
      </c>
      <c r="CF135" s="5">
        <f t="shared" si="241"/>
        <v>89.259081427563828</v>
      </c>
      <c r="CG135">
        <f t="shared" si="242"/>
        <v>25</v>
      </c>
      <c r="CI135" s="59">
        <f t="shared" si="243"/>
        <v>-50</v>
      </c>
      <c r="CJ135">
        <f t="shared" si="244"/>
        <v>-50</v>
      </c>
    </row>
    <row r="136" spans="5:88" x14ac:dyDescent="0.25">
      <c r="E136" s="150">
        <v>26</v>
      </c>
      <c r="F136" s="191">
        <f t="shared" si="245"/>
        <v>2.6000000000000002E-2</v>
      </c>
      <c r="G136" s="191">
        <f t="shared" si="183"/>
        <v>2.6000000000000002E-2</v>
      </c>
      <c r="H136" s="191">
        <f t="shared" si="184"/>
        <v>0.52</v>
      </c>
      <c r="I136" s="191">
        <f t="shared" si="185"/>
        <v>0.41600000000000004</v>
      </c>
      <c r="J136" s="472">
        <f t="shared" si="186"/>
        <v>9</v>
      </c>
      <c r="K136" s="386">
        <f t="shared" si="187"/>
        <v>20.32</v>
      </c>
      <c r="L136" s="386">
        <f t="shared" si="188"/>
        <v>29.32</v>
      </c>
      <c r="M136" s="386"/>
      <c r="N136" s="191">
        <f t="shared" si="189"/>
        <v>0.69304229195088674</v>
      </c>
      <c r="O136" s="152">
        <f t="shared" si="190"/>
        <v>1.1695088676671213</v>
      </c>
      <c r="P136" s="152">
        <f t="shared" si="191"/>
        <v>1.6840927694406547</v>
      </c>
      <c r="Q136" s="191">
        <f t="shared" si="192"/>
        <v>5.8475443383356064E-2</v>
      </c>
      <c r="R136" s="191">
        <f t="shared" si="193"/>
        <v>7.3094304229195078E-2</v>
      </c>
      <c r="S136" s="191">
        <f t="shared" si="194"/>
        <v>20</v>
      </c>
      <c r="T136" s="191">
        <f t="shared" si="195"/>
        <v>0.33347331583552059</v>
      </c>
      <c r="U136" s="191">
        <f t="shared" si="196"/>
        <v>2.2231554389034707</v>
      </c>
      <c r="V136" s="191">
        <f t="shared" si="197"/>
        <v>0.9846653026639387</v>
      </c>
      <c r="W136" s="175">
        <f t="shared" si="198"/>
        <v>350</v>
      </c>
      <c r="X136" s="386">
        <f t="shared" si="199"/>
        <v>311.73811773265697</v>
      </c>
      <c r="Z136" s="191">
        <f t="shared" si="200"/>
        <v>0.29701812512180864</v>
      </c>
      <c r="AA136" s="153">
        <f t="shared" si="201"/>
        <v>0.87702202299746645</v>
      </c>
      <c r="AB136" s="153">
        <f t="shared" si="202"/>
        <v>2.5325556371231982E-2</v>
      </c>
      <c r="AC136" s="153"/>
      <c r="AD136" s="153">
        <f t="shared" si="203"/>
        <v>0.44291338582677164</v>
      </c>
      <c r="AE136" s="317">
        <f t="shared" si="204"/>
        <v>782.69629629629651</v>
      </c>
      <c r="AF136" s="463">
        <f t="shared" si="205"/>
        <v>1.1626476377952754E-2</v>
      </c>
      <c r="AH136" s="153">
        <f t="shared" si="206"/>
        <v>0.29856801091687157</v>
      </c>
      <c r="AI136" s="153">
        <f t="shared" si="207"/>
        <v>0.33347331583552059</v>
      </c>
      <c r="AJ136" s="153">
        <f t="shared" si="208"/>
        <v>1.3359061598781634</v>
      </c>
      <c r="AL136" s="317">
        <f t="shared" si="209"/>
        <v>26.000000000000004</v>
      </c>
      <c r="AM136" s="147">
        <f t="shared" si="210"/>
        <v>311.73811773265697</v>
      </c>
      <c r="AO136" s="147">
        <f t="shared" si="211"/>
        <v>26.000000000000004</v>
      </c>
      <c r="AP136" s="147">
        <f t="shared" si="212"/>
        <v>311.73811773265697</v>
      </c>
      <c r="AR136" s="5">
        <f t="shared" si="249"/>
        <v>3.2078207415674092</v>
      </c>
      <c r="AS136" s="5">
        <f t="shared" si="246"/>
        <v>2.2231554389034707</v>
      </c>
      <c r="AT136" s="5">
        <f t="shared" si="247"/>
        <v>0.98466530266393848</v>
      </c>
      <c r="AU136" s="153">
        <f t="shared" si="248"/>
        <v>0.69304229195088685</v>
      </c>
      <c r="AW136" s="5">
        <f t="shared" si="216"/>
        <v>0.28901020705745123</v>
      </c>
      <c r="AX136" s="5"/>
      <c r="AY136" s="5">
        <f t="shared" si="217"/>
        <v>0.36126275882181402</v>
      </c>
      <c r="AZ136" s="5"/>
      <c r="BA136" s="5">
        <f t="shared" si="218"/>
        <v>6.3213081158672593E-2</v>
      </c>
      <c r="BB136" s="5"/>
      <c r="BC136" s="5"/>
      <c r="BD136" s="153">
        <f t="shared" si="219"/>
        <v>0.16028036742809318</v>
      </c>
      <c r="BE136" s="153">
        <f t="shared" si="220"/>
        <v>0.1066693705266937</v>
      </c>
      <c r="BF136" s="153">
        <f t="shared" si="221"/>
        <v>0.10625105926972628</v>
      </c>
      <c r="BG136" s="153"/>
      <c r="BH136" s="463">
        <f t="shared" si="222"/>
        <v>8.9914286640095931E-3</v>
      </c>
      <c r="BI136" s="463">
        <f t="shared" si="223"/>
        <v>1.5240000000000002E-2</v>
      </c>
      <c r="BJ136" s="463">
        <f t="shared" si="224"/>
        <v>3.8967264716582117E-3</v>
      </c>
      <c r="BK136" s="463">
        <f t="shared" si="225"/>
        <v>1.3399476923076924E-2</v>
      </c>
      <c r="BL136">
        <f t="shared" si="226"/>
        <v>2.6099999999999999E-3</v>
      </c>
      <c r="BM136">
        <f t="shared" si="227"/>
        <v>3.11738117732657E-6</v>
      </c>
      <c r="BN136">
        <f t="shared" si="228"/>
        <v>4.5429956909555813E-2</v>
      </c>
      <c r="BO136" s="147">
        <f t="shared" si="229"/>
        <v>44.137632058744735</v>
      </c>
      <c r="BP136" s="153">
        <f t="shared" si="230"/>
        <v>1.0400000000000001E-2</v>
      </c>
      <c r="BQ136" s="153">
        <f t="shared" si="231"/>
        <v>1.0400000000000001E-2</v>
      </c>
      <c r="BR136" s="463"/>
      <c r="BT136" s="147">
        <f t="shared" si="232"/>
        <v>20.800000000000004</v>
      </c>
      <c r="BU136" s="463">
        <f t="shared" si="233"/>
        <v>2.5689796182884552E-2</v>
      </c>
      <c r="BV136" s="463">
        <f t="shared" si="234"/>
        <v>1.1378354608561072E-2</v>
      </c>
      <c r="BW136" s="463">
        <f t="shared" si="235"/>
        <v>5.6446437979694442E-4</v>
      </c>
      <c r="BX136" s="463">
        <f t="shared" si="236"/>
        <v>0</v>
      </c>
      <c r="BY136" s="463">
        <f t="shared" si="180"/>
        <v>4.2275804919599189E-2</v>
      </c>
      <c r="BZ136" s="463">
        <f t="shared" si="250"/>
        <v>3.763261517124257E-2</v>
      </c>
      <c r="CA136" s="549">
        <f t="shared" si="237"/>
        <v>1.7333333333333339E-2</v>
      </c>
      <c r="CB136" s="147">
        <f t="shared" si="238"/>
        <v>134.87436859541768</v>
      </c>
      <c r="CC136" s="153">
        <f t="shared" si="251"/>
        <v>0.12583909516248834</v>
      </c>
      <c r="CD136" s="5">
        <f t="shared" si="239"/>
        <v>0.93600000000000005</v>
      </c>
      <c r="CE136" s="153">
        <f t="shared" si="240"/>
        <v>0.88148948768623769</v>
      </c>
      <c r="CF136" s="5">
        <f t="shared" si="241"/>
        <v>88.148948768623768</v>
      </c>
      <c r="CG136">
        <f t="shared" si="242"/>
        <v>26</v>
      </c>
      <c r="CI136" s="59">
        <f t="shared" si="243"/>
        <v>-50</v>
      </c>
      <c r="CJ136">
        <f t="shared" si="244"/>
        <v>-50</v>
      </c>
    </row>
    <row r="137" spans="5:88" x14ac:dyDescent="0.25">
      <c r="E137" s="150">
        <v>27</v>
      </c>
      <c r="F137" s="191">
        <f t="shared" si="245"/>
        <v>2.7000000000000003E-2</v>
      </c>
      <c r="G137" s="191">
        <f t="shared" si="183"/>
        <v>2.7000000000000003E-2</v>
      </c>
      <c r="H137" s="191">
        <f t="shared" si="184"/>
        <v>0.54</v>
      </c>
      <c r="I137" s="191">
        <f t="shared" si="185"/>
        <v>0.43200000000000005</v>
      </c>
      <c r="J137" s="472">
        <f t="shared" si="186"/>
        <v>9</v>
      </c>
      <c r="K137" s="386">
        <f t="shared" si="187"/>
        <v>20.32</v>
      </c>
      <c r="L137" s="386">
        <f t="shared" si="188"/>
        <v>29.32</v>
      </c>
      <c r="M137" s="386"/>
      <c r="N137" s="191">
        <f t="shared" si="189"/>
        <v>0.69304229195088674</v>
      </c>
      <c r="O137" s="152">
        <f t="shared" si="190"/>
        <v>1.1695088676671213</v>
      </c>
      <c r="P137" s="152">
        <f t="shared" si="191"/>
        <v>1.6840927694406547</v>
      </c>
      <c r="Q137" s="191">
        <f t="shared" si="192"/>
        <v>5.8475443383356064E-2</v>
      </c>
      <c r="R137" s="191">
        <f t="shared" si="193"/>
        <v>7.3094304229195078E-2</v>
      </c>
      <c r="S137" s="191">
        <f t="shared" si="194"/>
        <v>20</v>
      </c>
      <c r="T137" s="191">
        <f t="shared" si="195"/>
        <v>0.34629921259842528</v>
      </c>
      <c r="U137" s="191">
        <f t="shared" si="196"/>
        <v>2.3086614173228353</v>
      </c>
      <c r="V137" s="191">
        <f t="shared" si="197"/>
        <v>1.0225370450740903</v>
      </c>
      <c r="W137" s="175">
        <f t="shared" si="198"/>
        <v>350</v>
      </c>
      <c r="X137" s="386">
        <f t="shared" si="199"/>
        <v>300.19226152033627</v>
      </c>
      <c r="Z137" s="191">
        <f t="shared" si="200"/>
        <v>0.29701812512180864</v>
      </c>
      <c r="AA137" s="153">
        <f t="shared" si="201"/>
        <v>0.87702202299746645</v>
      </c>
      <c r="AB137" s="153">
        <f t="shared" si="202"/>
        <v>2.5325556371231982E-2</v>
      </c>
      <c r="AC137" s="153"/>
      <c r="AD137" s="153">
        <f t="shared" si="203"/>
        <v>0.44291338582677164</v>
      </c>
      <c r="AE137" s="317">
        <f t="shared" si="204"/>
        <v>812.80000000000018</v>
      </c>
      <c r="AF137" s="463">
        <f t="shared" si="205"/>
        <v>1.1626476377952754E-2</v>
      </c>
      <c r="AH137" s="153">
        <f t="shared" si="206"/>
        <v>0.30425553170226599</v>
      </c>
      <c r="AI137" s="153">
        <f t="shared" si="207"/>
        <v>0.34629921259842528</v>
      </c>
      <c r="AJ137" s="153">
        <f t="shared" si="208"/>
        <v>1.3454068241469817</v>
      </c>
      <c r="AL137" s="317">
        <f t="shared" si="209"/>
        <v>27.000000000000004</v>
      </c>
      <c r="AM137" s="147">
        <f t="shared" si="210"/>
        <v>300.19226152033627</v>
      </c>
      <c r="AO137" s="147">
        <f t="shared" si="211"/>
        <v>27.000000000000004</v>
      </c>
      <c r="AP137" s="147">
        <f t="shared" si="212"/>
        <v>300.19226152033627</v>
      </c>
      <c r="AR137" s="5">
        <f t="shared" si="249"/>
        <v>3.3311984623969253</v>
      </c>
      <c r="AS137" s="5">
        <f t="shared" si="246"/>
        <v>2.3086614173228353</v>
      </c>
      <c r="AT137" s="5">
        <f t="shared" si="247"/>
        <v>1.02253704507409</v>
      </c>
      <c r="AU137" s="153">
        <f t="shared" si="248"/>
        <v>0.69304229195088685</v>
      </c>
      <c r="AW137" s="5">
        <f t="shared" si="216"/>
        <v>0.31166929133858279</v>
      </c>
      <c r="AX137" s="5"/>
      <c r="AY137" s="5">
        <f t="shared" si="217"/>
        <v>0.38958661417322848</v>
      </c>
      <c r="AZ137" s="5"/>
      <c r="BA137" s="5">
        <f t="shared" si="218"/>
        <v>6.8169136338272665E-2</v>
      </c>
      <c r="BB137" s="5"/>
      <c r="BC137" s="5"/>
      <c r="BD137" s="153">
        <f t="shared" si="219"/>
        <v>0.16644499694455833</v>
      </c>
      <c r="BE137" s="153">
        <f t="shared" si="220"/>
        <v>0.11077203862387423</v>
      </c>
      <c r="BF137" s="153">
        <f t="shared" si="221"/>
        <v>0.11033763847240807</v>
      </c>
      <c r="BG137" s="153"/>
      <c r="BH137" s="463">
        <f t="shared" si="222"/>
        <v>9.6963779527559114E-3</v>
      </c>
      <c r="BI137" s="463">
        <f t="shared" si="223"/>
        <v>1.524E-2</v>
      </c>
      <c r="BJ137" s="463">
        <f t="shared" si="224"/>
        <v>3.7524032690042031E-3</v>
      </c>
      <c r="BK137" s="463">
        <f t="shared" si="225"/>
        <v>1.2903199999999998E-2</v>
      </c>
      <c r="BL137">
        <f t="shared" si="226"/>
        <v>2.6099999999999999E-3</v>
      </c>
      <c r="BM137">
        <f t="shared" si="227"/>
        <v>3.0019226152033629E-6</v>
      </c>
      <c r="BN137">
        <f t="shared" si="228"/>
        <v>4.5595563798706419E-2</v>
      </c>
      <c r="BO137" s="147">
        <f t="shared" si="229"/>
        <v>44.201981221760114</v>
      </c>
      <c r="BP137" s="153">
        <f t="shared" si="230"/>
        <v>1.0800000000000002E-2</v>
      </c>
      <c r="BQ137" s="153">
        <f t="shared" si="231"/>
        <v>1.0800000000000002E-2</v>
      </c>
      <c r="BR137" s="463"/>
      <c r="BT137" s="147">
        <f t="shared" si="232"/>
        <v>21.600000000000005</v>
      </c>
      <c r="BU137" s="463">
        <f t="shared" si="233"/>
        <v>2.7703937007874033E-2</v>
      </c>
      <c r="BV137" s="463">
        <f t="shared" si="234"/>
        <v>1.2270444540889085E-2</v>
      </c>
      <c r="BW137" s="463">
        <f t="shared" si="235"/>
        <v>6.087197231833914E-4</v>
      </c>
      <c r="BX137" s="463">
        <f t="shared" si="236"/>
        <v>0</v>
      </c>
      <c r="BY137" s="463">
        <f t="shared" si="180"/>
        <v>4.5601124227992833E-2</v>
      </c>
      <c r="BZ137" s="463">
        <f t="shared" si="250"/>
        <v>4.058310127194651E-2</v>
      </c>
      <c r="CA137" s="549">
        <f t="shared" si="237"/>
        <v>1.8000000000000006E-2</v>
      </c>
      <c r="CB137" s="147">
        <f t="shared" si="238"/>
        <v>144.76732677188585</v>
      </c>
      <c r="CC137" s="153">
        <f t="shared" si="251"/>
        <v>0.13079668802669928</v>
      </c>
      <c r="CD137" s="5">
        <f t="shared" si="239"/>
        <v>0.97200000000000009</v>
      </c>
      <c r="CE137" s="153">
        <f t="shared" si="240"/>
        <v>0.88139546532304014</v>
      </c>
      <c r="CF137" s="5">
        <f t="shared" si="241"/>
        <v>88.13954653230401</v>
      </c>
      <c r="CG137">
        <f t="shared" si="242"/>
        <v>27</v>
      </c>
      <c r="CI137" s="59">
        <f t="shared" si="243"/>
        <v>-50</v>
      </c>
      <c r="CJ137">
        <f t="shared" si="244"/>
        <v>-50</v>
      </c>
    </row>
    <row r="138" spans="5:88" x14ac:dyDescent="0.25">
      <c r="E138" s="150">
        <v>28</v>
      </c>
      <c r="F138" s="191">
        <f t="shared" si="245"/>
        <v>2.8000000000000004E-2</v>
      </c>
      <c r="G138" s="191">
        <f t="shared" si="183"/>
        <v>2.8000000000000004E-2</v>
      </c>
      <c r="H138" s="191">
        <f t="shared" si="184"/>
        <v>0.56000000000000005</v>
      </c>
      <c r="I138" s="191">
        <f t="shared" si="185"/>
        <v>0.44800000000000006</v>
      </c>
      <c r="J138" s="472">
        <f t="shared" si="186"/>
        <v>9</v>
      </c>
      <c r="K138" s="386">
        <f t="shared" si="187"/>
        <v>20.32</v>
      </c>
      <c r="L138" s="386">
        <f t="shared" si="188"/>
        <v>29.32</v>
      </c>
      <c r="M138" s="386"/>
      <c r="N138" s="191">
        <f t="shared" si="189"/>
        <v>0.69304229195088674</v>
      </c>
      <c r="O138" s="152">
        <f t="shared" si="190"/>
        <v>1.1695088676671213</v>
      </c>
      <c r="P138" s="152">
        <f t="shared" si="191"/>
        <v>1.6840927694406547</v>
      </c>
      <c r="Q138" s="191">
        <f t="shared" si="192"/>
        <v>5.8475443383356064E-2</v>
      </c>
      <c r="R138" s="191">
        <f t="shared" si="193"/>
        <v>7.3094304229195078E-2</v>
      </c>
      <c r="S138" s="191">
        <f t="shared" si="194"/>
        <v>20</v>
      </c>
      <c r="T138" s="191">
        <f t="shared" si="195"/>
        <v>0.35912510936132985</v>
      </c>
      <c r="U138" s="191">
        <f t="shared" si="196"/>
        <v>2.3941673957421989</v>
      </c>
      <c r="V138" s="191">
        <f t="shared" si="197"/>
        <v>1.0604087874842418</v>
      </c>
      <c r="W138" s="175">
        <f t="shared" si="198"/>
        <v>350</v>
      </c>
      <c r="X138" s="386">
        <f t="shared" si="199"/>
        <v>289.47110932318151</v>
      </c>
      <c r="Z138" s="191">
        <f t="shared" si="200"/>
        <v>0.29701812512180864</v>
      </c>
      <c r="AA138" s="153">
        <f t="shared" si="201"/>
        <v>0.87702202299746645</v>
      </c>
      <c r="AB138" s="153">
        <f t="shared" si="202"/>
        <v>2.5325556371231982E-2</v>
      </c>
      <c r="AC138" s="153"/>
      <c r="AD138" s="153">
        <f t="shared" si="203"/>
        <v>0.44291338582677164</v>
      </c>
      <c r="AE138" s="317">
        <f t="shared" si="204"/>
        <v>842.90370370370397</v>
      </c>
      <c r="AF138" s="463">
        <f t="shared" si="205"/>
        <v>1.1626476377952754E-2</v>
      </c>
      <c r="AH138" s="153">
        <f t="shared" si="206"/>
        <v>0.30983866769659335</v>
      </c>
      <c r="AI138" s="153">
        <f t="shared" si="207"/>
        <v>0.35912510936132985</v>
      </c>
      <c r="AJ138" s="153">
        <f t="shared" si="208"/>
        <v>1.3549074884157999</v>
      </c>
      <c r="AL138" s="317">
        <f t="shared" si="209"/>
        <v>28.000000000000004</v>
      </c>
      <c r="AM138" s="147">
        <f t="shared" si="210"/>
        <v>289.47110932318151</v>
      </c>
      <c r="AO138" s="147">
        <f t="shared" si="211"/>
        <v>28.000000000000004</v>
      </c>
      <c r="AP138" s="147">
        <f t="shared" si="212"/>
        <v>289.47110932318151</v>
      </c>
      <c r="AR138" s="5">
        <f t="shared" si="249"/>
        <v>3.4545761832264401</v>
      </c>
      <c r="AS138" s="5">
        <f t="shared" si="246"/>
        <v>2.3941673957421989</v>
      </c>
      <c r="AT138" s="5">
        <f t="shared" si="247"/>
        <v>1.0604087874842412</v>
      </c>
      <c r="AU138" s="153">
        <f t="shared" si="248"/>
        <v>0.69304229195088685</v>
      </c>
      <c r="AW138" s="5">
        <f t="shared" si="216"/>
        <v>0.33518343540390788</v>
      </c>
      <c r="AX138" s="5"/>
      <c r="AY138" s="5">
        <f t="shared" si="217"/>
        <v>0.41897929425488484</v>
      </c>
      <c r="AZ138" s="5"/>
      <c r="BA138" s="5">
        <f t="shared" si="218"/>
        <v>7.3312212468046312E-2</v>
      </c>
      <c r="BB138" s="5"/>
      <c r="BC138" s="5"/>
      <c r="BD138" s="153">
        <f t="shared" si="219"/>
        <v>0.17260962646102343</v>
      </c>
      <c r="BE138" s="153">
        <f t="shared" si="220"/>
        <v>0.11487470672105475</v>
      </c>
      <c r="BF138" s="153">
        <f t="shared" si="221"/>
        <v>0.11442421767508984</v>
      </c>
      <c r="BG138" s="153"/>
      <c r="BH138" s="463">
        <f t="shared" si="222"/>
        <v>1.0427929101454913E-2</v>
      </c>
      <c r="BI138" s="463">
        <f t="shared" si="223"/>
        <v>1.5240000000000002E-2</v>
      </c>
      <c r="BJ138" s="463">
        <f t="shared" si="224"/>
        <v>3.6183888665397689E-3</v>
      </c>
      <c r="BK138" s="463">
        <f t="shared" si="225"/>
        <v>1.2442371428571431E-2</v>
      </c>
      <c r="BL138">
        <f t="shared" si="226"/>
        <v>2.6099999999999999E-3</v>
      </c>
      <c r="BM138">
        <f t="shared" si="227"/>
        <v>2.894711093231815E-6</v>
      </c>
      <c r="BN138">
        <f t="shared" si="228"/>
        <v>4.5837543812583779E-2</v>
      </c>
      <c r="BO138" s="147">
        <f t="shared" si="229"/>
        <v>44.338689396566117</v>
      </c>
      <c r="BP138" s="153">
        <f t="shared" si="230"/>
        <v>1.1200000000000002E-2</v>
      </c>
      <c r="BQ138" s="153">
        <f t="shared" si="231"/>
        <v>1.1200000000000002E-2</v>
      </c>
      <c r="BR138" s="463"/>
      <c r="BT138" s="147">
        <f t="shared" si="232"/>
        <v>22.400000000000002</v>
      </c>
      <c r="BU138" s="463">
        <f t="shared" si="233"/>
        <v>2.9794083147014039E-2</v>
      </c>
      <c r="BV138" s="463">
        <f t="shared" si="234"/>
        <v>1.3196198244248341E-2</v>
      </c>
      <c r="BW138" s="463">
        <f t="shared" si="235"/>
        <v>6.546450795278172E-4</v>
      </c>
      <c r="BX138" s="463">
        <f t="shared" si="236"/>
        <v>0</v>
      </c>
      <c r="BY138" s="463">
        <f t="shared" si="180"/>
        <v>4.9053592883647815E-2</v>
      </c>
      <c r="BZ138" s="463">
        <f t="shared" si="250"/>
        <v>4.3644926470790199E-2</v>
      </c>
      <c r="CA138" s="549">
        <f t="shared" si="237"/>
        <v>1.8666666666666672E-2</v>
      </c>
      <c r="CB138" s="147">
        <f t="shared" si="238"/>
        <v>155.01011249189489</v>
      </c>
      <c r="CC138" s="153">
        <f t="shared" si="251"/>
        <v>0.13595780336289828</v>
      </c>
      <c r="CD138" s="5">
        <f t="shared" si="239"/>
        <v>1.008</v>
      </c>
      <c r="CE138" s="153">
        <f t="shared" si="240"/>
        <v>0.88115138253944114</v>
      </c>
      <c r="CF138" s="5">
        <f t="shared" si="241"/>
        <v>88.11513825394411</v>
      </c>
      <c r="CG138">
        <f t="shared" si="242"/>
        <v>28.000000000000004</v>
      </c>
      <c r="CI138" s="59">
        <f t="shared" si="243"/>
        <v>-50</v>
      </c>
      <c r="CJ138">
        <f t="shared" si="244"/>
        <v>-50</v>
      </c>
    </row>
    <row r="139" spans="5:88" x14ac:dyDescent="0.25">
      <c r="E139" s="150">
        <v>29</v>
      </c>
      <c r="F139" s="191">
        <f t="shared" si="245"/>
        <v>2.8999999999999998E-2</v>
      </c>
      <c r="G139" s="191">
        <f t="shared" si="183"/>
        <v>2.8999999999999998E-2</v>
      </c>
      <c r="H139" s="191">
        <f t="shared" si="184"/>
        <v>0.57999999999999996</v>
      </c>
      <c r="I139" s="191">
        <f t="shared" si="185"/>
        <v>0.46399999999999997</v>
      </c>
      <c r="J139" s="472">
        <f t="shared" si="186"/>
        <v>9</v>
      </c>
      <c r="K139" s="386">
        <f t="shared" si="187"/>
        <v>20.32</v>
      </c>
      <c r="L139" s="386">
        <f t="shared" si="188"/>
        <v>29.32</v>
      </c>
      <c r="M139" s="386"/>
      <c r="N139" s="191">
        <f t="shared" si="189"/>
        <v>0.69304229195088674</v>
      </c>
      <c r="O139" s="152">
        <f t="shared" si="190"/>
        <v>1.1695088676671213</v>
      </c>
      <c r="P139" s="152">
        <f t="shared" si="191"/>
        <v>1.6840927694406547</v>
      </c>
      <c r="Q139" s="191">
        <f t="shared" si="192"/>
        <v>5.8475443383356064E-2</v>
      </c>
      <c r="R139" s="191">
        <f t="shared" si="193"/>
        <v>7.3094304229195078E-2</v>
      </c>
      <c r="S139" s="191">
        <f t="shared" si="194"/>
        <v>20</v>
      </c>
      <c r="T139" s="191">
        <f t="shared" si="195"/>
        <v>0.37195100612423454</v>
      </c>
      <c r="U139" s="191">
        <f t="shared" si="196"/>
        <v>2.479673374161564</v>
      </c>
      <c r="V139" s="191">
        <f t="shared" si="197"/>
        <v>1.0982805298943934</v>
      </c>
      <c r="W139" s="175">
        <f t="shared" si="198"/>
        <v>350</v>
      </c>
      <c r="X139" s="386">
        <f t="shared" si="199"/>
        <v>279.48934693272685</v>
      </c>
      <c r="Z139" s="191">
        <f t="shared" si="200"/>
        <v>0.29701812512180864</v>
      </c>
      <c r="AA139" s="153">
        <f t="shared" si="201"/>
        <v>0.87702202299746645</v>
      </c>
      <c r="AB139" s="153">
        <f t="shared" si="202"/>
        <v>2.5325556371231982E-2</v>
      </c>
      <c r="AC139" s="153"/>
      <c r="AD139" s="153">
        <f t="shared" si="203"/>
        <v>0.44291338582677164</v>
      </c>
      <c r="AE139" s="317">
        <f t="shared" si="204"/>
        <v>873.00740740740753</v>
      </c>
      <c r="AF139" s="463">
        <f t="shared" si="205"/>
        <v>1.1626476377952754E-2</v>
      </c>
      <c r="AH139" s="153">
        <f t="shared" si="206"/>
        <v>0.31532296368734619</v>
      </c>
      <c r="AI139" s="153">
        <f t="shared" si="207"/>
        <v>0.37195100612423454</v>
      </c>
      <c r="AJ139" s="153">
        <f t="shared" si="208"/>
        <v>1.3644081526846181</v>
      </c>
      <c r="AL139" s="317">
        <f t="shared" si="209"/>
        <v>28.999999999999996</v>
      </c>
      <c r="AM139" s="147">
        <f t="shared" si="210"/>
        <v>279.48934693272685</v>
      </c>
      <c r="AO139" s="147">
        <f t="shared" si="211"/>
        <v>28.999999999999996</v>
      </c>
      <c r="AP139" s="147">
        <f t="shared" si="212"/>
        <v>279.48934693272685</v>
      </c>
      <c r="AR139" s="5">
        <f t="shared" si="249"/>
        <v>3.5779539040559576</v>
      </c>
      <c r="AS139" s="5">
        <f t="shared" si="246"/>
        <v>2.479673374161564</v>
      </c>
      <c r="AT139" s="5">
        <f t="shared" si="247"/>
        <v>1.0982805298943936</v>
      </c>
      <c r="AU139" s="153">
        <f t="shared" si="248"/>
        <v>0.69304229195088674</v>
      </c>
      <c r="AW139" s="5">
        <f t="shared" si="216"/>
        <v>0.35955263925342673</v>
      </c>
      <c r="AX139" s="5"/>
      <c r="AY139" s="5">
        <f t="shared" si="217"/>
        <v>0.44944079906678341</v>
      </c>
      <c r="AZ139" s="5"/>
      <c r="BA139" s="5">
        <f t="shared" si="218"/>
        <v>7.8642309547993602E-2</v>
      </c>
      <c r="BB139" s="5"/>
      <c r="BC139" s="5"/>
      <c r="BD139" s="153">
        <f t="shared" si="219"/>
        <v>0.17877425597748856</v>
      </c>
      <c r="BE139" s="153">
        <f t="shared" si="220"/>
        <v>0.11897737481823531</v>
      </c>
      <c r="BF139" s="153">
        <f t="shared" si="221"/>
        <v>0.11851079687777165</v>
      </c>
      <c r="BG139" s="153"/>
      <c r="BH139" s="463">
        <f t="shared" si="222"/>
        <v>1.118608211010661E-2</v>
      </c>
      <c r="BI139" s="463">
        <f t="shared" si="223"/>
        <v>1.5239999999999998E-2</v>
      </c>
      <c r="BJ139" s="463">
        <f t="shared" si="224"/>
        <v>3.4936168366590855E-3</v>
      </c>
      <c r="BK139" s="463">
        <f t="shared" si="225"/>
        <v>1.2013324137931032E-2</v>
      </c>
      <c r="BL139">
        <f t="shared" si="226"/>
        <v>2.6099999999999999E-3</v>
      </c>
      <c r="BM139">
        <f t="shared" si="227"/>
        <v>2.7948934693272686E-6</v>
      </c>
      <c r="BN139">
        <f t="shared" si="228"/>
        <v>4.615118736724802E-2</v>
      </c>
      <c r="BO139" s="147">
        <f t="shared" si="229"/>
        <v>44.543023084696728</v>
      </c>
      <c r="BP139" s="153">
        <f t="shared" si="230"/>
        <v>1.1599999999999999E-2</v>
      </c>
      <c r="BQ139" s="153">
        <f t="shared" si="231"/>
        <v>1.1599999999999999E-2</v>
      </c>
      <c r="BR139" s="463"/>
      <c r="BT139" s="147">
        <f t="shared" si="232"/>
        <v>23.2</v>
      </c>
      <c r="BU139" s="463">
        <f t="shared" si="233"/>
        <v>3.1960234600304602E-2</v>
      </c>
      <c r="BV139" s="463">
        <f t="shared" si="234"/>
        <v>1.4155615718638853E-2</v>
      </c>
      <c r="BW139" s="463">
        <f t="shared" si="235"/>
        <v>7.0224044883022258E-4</v>
      </c>
      <c r="BX139" s="463">
        <f t="shared" si="236"/>
        <v>0</v>
      </c>
      <c r="BY139" s="463">
        <f t="shared" si="180"/>
        <v>5.2633397273584202E-2</v>
      </c>
      <c r="BZ139" s="463">
        <f t="shared" si="250"/>
        <v>4.6818090767773678E-2</v>
      </c>
      <c r="CA139" s="549">
        <f t="shared" si="237"/>
        <v>1.9333333333333338E-2</v>
      </c>
      <c r="CB139" s="147">
        <f t="shared" si="238"/>
        <v>165.6029121424649</v>
      </c>
      <c r="CC139" s="153">
        <f t="shared" si="251"/>
        <v>0.14131791797416557</v>
      </c>
      <c r="CD139" s="5">
        <f t="shared" si="239"/>
        <v>1.044</v>
      </c>
      <c r="CE139" s="153">
        <f t="shared" si="240"/>
        <v>0.88077635895718775</v>
      </c>
      <c r="CF139" s="5">
        <f t="shared" si="241"/>
        <v>88.077635895718771</v>
      </c>
      <c r="CG139">
        <f t="shared" si="242"/>
        <v>28.999999999999996</v>
      </c>
      <c r="CI139" s="59">
        <f t="shared" si="243"/>
        <v>-50</v>
      </c>
      <c r="CJ139">
        <f t="shared" si="244"/>
        <v>-50</v>
      </c>
    </row>
    <row r="140" spans="5:88" x14ac:dyDescent="0.25">
      <c r="E140" s="150">
        <v>30</v>
      </c>
      <c r="F140" s="191">
        <f t="shared" si="245"/>
        <v>0.03</v>
      </c>
      <c r="G140" s="191">
        <f t="shared" si="183"/>
        <v>0.03</v>
      </c>
      <c r="H140" s="191">
        <f t="shared" si="184"/>
        <v>0.6</v>
      </c>
      <c r="I140" s="191">
        <f t="shared" si="185"/>
        <v>0.48</v>
      </c>
      <c r="J140" s="472">
        <f t="shared" si="186"/>
        <v>9</v>
      </c>
      <c r="K140" s="386">
        <f t="shared" si="187"/>
        <v>20.32</v>
      </c>
      <c r="L140" s="386">
        <f t="shared" si="188"/>
        <v>29.32</v>
      </c>
      <c r="M140" s="386"/>
      <c r="N140" s="191">
        <f t="shared" si="189"/>
        <v>0.69304229195088674</v>
      </c>
      <c r="O140" s="152">
        <f t="shared" si="190"/>
        <v>1.1695088676671213</v>
      </c>
      <c r="P140" s="152">
        <f t="shared" si="191"/>
        <v>1.6840927694406547</v>
      </c>
      <c r="Q140" s="191">
        <f t="shared" si="192"/>
        <v>5.8475443383356064E-2</v>
      </c>
      <c r="R140" s="191">
        <f t="shared" si="193"/>
        <v>7.3094304229195078E-2</v>
      </c>
      <c r="S140" s="191">
        <f t="shared" si="194"/>
        <v>20</v>
      </c>
      <c r="T140" s="191">
        <f t="shared" si="195"/>
        <v>0.38477690288713917</v>
      </c>
      <c r="U140" s="191">
        <f t="shared" si="196"/>
        <v>2.5651793525809281</v>
      </c>
      <c r="V140" s="191">
        <f t="shared" si="197"/>
        <v>1.1361522723045447</v>
      </c>
      <c r="W140" s="175">
        <f t="shared" si="198"/>
        <v>350</v>
      </c>
      <c r="X140" s="386">
        <f t="shared" si="199"/>
        <v>270.17303536830269</v>
      </c>
      <c r="Z140" s="191">
        <f t="shared" si="200"/>
        <v>0.29701812512180864</v>
      </c>
      <c r="AA140" s="153">
        <f t="shared" si="201"/>
        <v>0.87702202299746645</v>
      </c>
      <c r="AB140" s="153">
        <f t="shared" si="202"/>
        <v>2.5325556371231982E-2</v>
      </c>
      <c r="AC140" s="153"/>
      <c r="AD140" s="153">
        <f t="shared" si="203"/>
        <v>0.44291338582677164</v>
      </c>
      <c r="AE140" s="317">
        <f t="shared" si="204"/>
        <v>903.1111111111112</v>
      </c>
      <c r="AF140" s="463">
        <f t="shared" si="205"/>
        <v>1.1626476377952754E-2</v>
      </c>
      <c r="AH140" s="153">
        <f t="shared" si="206"/>
        <v>0.32071349029490925</v>
      </c>
      <c r="AI140" s="153">
        <f t="shared" si="207"/>
        <v>0.38477690288713917</v>
      </c>
      <c r="AJ140" s="153">
        <f t="shared" si="208"/>
        <v>1.3739088169534364</v>
      </c>
      <c r="AL140" s="317">
        <f t="shared" si="209"/>
        <v>30</v>
      </c>
      <c r="AM140" s="147">
        <f t="shared" si="210"/>
        <v>270.17303536830269</v>
      </c>
      <c r="AO140" s="147">
        <f t="shared" si="211"/>
        <v>30</v>
      </c>
      <c r="AP140" s="147">
        <f t="shared" si="212"/>
        <v>270.17303536830269</v>
      </c>
      <c r="AR140" s="5">
        <f t="shared" si="249"/>
        <v>3.7013316248854724</v>
      </c>
      <c r="AS140" s="5">
        <f t="shared" si="246"/>
        <v>2.5651793525809281</v>
      </c>
      <c r="AT140" s="5">
        <f t="shared" si="247"/>
        <v>1.1361522723045443</v>
      </c>
      <c r="AU140" s="153">
        <f t="shared" si="248"/>
        <v>0.69304229195088685</v>
      </c>
      <c r="AW140" s="5">
        <f t="shared" si="216"/>
        <v>0.38477690288713923</v>
      </c>
      <c r="AX140" s="5"/>
      <c r="AY140" s="5">
        <f t="shared" si="217"/>
        <v>0.48097112860892405</v>
      </c>
      <c r="AZ140" s="5"/>
      <c r="BA140" s="5">
        <f t="shared" si="218"/>
        <v>8.4159427578114385E-2</v>
      </c>
      <c r="BB140" s="5"/>
      <c r="BC140" s="5"/>
      <c r="BD140" s="153">
        <f t="shared" si="219"/>
        <v>0.18493888549395368</v>
      </c>
      <c r="BE140" s="153">
        <f t="shared" si="220"/>
        <v>0.12308004291541581</v>
      </c>
      <c r="BF140" s="153">
        <f t="shared" si="221"/>
        <v>0.1225973760804534</v>
      </c>
      <c r="BG140" s="153"/>
      <c r="BH140" s="463">
        <f t="shared" si="222"/>
        <v>1.1970836978711E-2</v>
      </c>
      <c r="BI140" s="463">
        <f t="shared" si="223"/>
        <v>1.5240000000000002E-2</v>
      </c>
      <c r="BJ140" s="463">
        <f t="shared" si="224"/>
        <v>3.3771629421037838E-3</v>
      </c>
      <c r="BK140" s="463">
        <f t="shared" si="225"/>
        <v>1.1612880000000001E-2</v>
      </c>
      <c r="BL140">
        <f t="shared" si="226"/>
        <v>2.6099999999999999E-3</v>
      </c>
      <c r="BM140">
        <f t="shared" si="227"/>
        <v>2.7017303536830268E-6</v>
      </c>
      <c r="BN140">
        <f t="shared" si="228"/>
        <v>4.6532417043355645E-2</v>
      </c>
      <c r="BO140" s="147">
        <f t="shared" si="229"/>
        <v>44.810879920814791</v>
      </c>
      <c r="BP140" s="153">
        <f t="shared" si="230"/>
        <v>1.2E-2</v>
      </c>
      <c r="BQ140" s="153">
        <f t="shared" si="231"/>
        <v>1.2E-2</v>
      </c>
      <c r="BR140" s="463"/>
      <c r="BT140" s="147">
        <f t="shared" si="232"/>
        <v>24</v>
      </c>
      <c r="BU140" s="463">
        <f t="shared" si="233"/>
        <v>3.4202391367745714E-2</v>
      </c>
      <c r="BV140" s="463">
        <f t="shared" si="234"/>
        <v>1.5148696964060598E-2</v>
      </c>
      <c r="BW140" s="463">
        <f t="shared" si="235"/>
        <v>7.5150583109060646E-4</v>
      </c>
      <c r="BX140" s="463">
        <f t="shared" si="236"/>
        <v>0</v>
      </c>
      <c r="BY140" s="463">
        <f t="shared" si="180"/>
        <v>5.6340730804069941E-2</v>
      </c>
      <c r="BZ140" s="463">
        <f t="shared" si="250"/>
        <v>5.0102594162896918E-2</v>
      </c>
      <c r="CA140" s="549">
        <f t="shared" si="237"/>
        <v>2.0000000000000007E-2</v>
      </c>
      <c r="CB140" s="147">
        <f t="shared" si="238"/>
        <v>176.54591912986379</v>
      </c>
      <c r="CC140" s="153">
        <f t="shared" si="251"/>
        <v>0.14687314784742561</v>
      </c>
      <c r="CD140" s="5">
        <f t="shared" si="239"/>
        <v>1.08</v>
      </c>
      <c r="CE140" s="153">
        <f t="shared" si="240"/>
        <v>0.88028660656147084</v>
      </c>
      <c r="CF140" s="5">
        <f t="shared" si="241"/>
        <v>88.028660656147082</v>
      </c>
      <c r="CG140">
        <f t="shared" si="242"/>
        <v>30</v>
      </c>
      <c r="CI140" s="59">
        <f t="shared" si="243"/>
        <v>-50</v>
      </c>
      <c r="CJ140">
        <f t="shared" si="244"/>
        <v>-50</v>
      </c>
    </row>
    <row r="141" spans="5:88" x14ac:dyDescent="0.25">
      <c r="E141" s="150">
        <v>31</v>
      </c>
      <c r="F141" s="191">
        <f t="shared" si="245"/>
        <v>3.1E-2</v>
      </c>
      <c r="G141" s="191">
        <f t="shared" si="183"/>
        <v>3.1E-2</v>
      </c>
      <c r="H141" s="191">
        <f t="shared" si="184"/>
        <v>0.62</v>
      </c>
      <c r="I141" s="191">
        <f t="shared" si="185"/>
        <v>0.496</v>
      </c>
      <c r="J141" s="472">
        <f t="shared" si="186"/>
        <v>9</v>
      </c>
      <c r="K141" s="386">
        <f t="shared" si="187"/>
        <v>20.32</v>
      </c>
      <c r="L141" s="386">
        <f t="shared" si="188"/>
        <v>29.32</v>
      </c>
      <c r="M141" s="386"/>
      <c r="N141" s="191">
        <f t="shared" si="189"/>
        <v>0.69304229195088674</v>
      </c>
      <c r="O141" s="152">
        <f t="shared" si="190"/>
        <v>1.1695088676671213</v>
      </c>
      <c r="P141" s="152">
        <f t="shared" si="191"/>
        <v>1.6840927694406547</v>
      </c>
      <c r="Q141" s="191">
        <f t="shared" si="192"/>
        <v>5.8475443383356064E-2</v>
      </c>
      <c r="R141" s="191">
        <f t="shared" si="193"/>
        <v>7.3094304229195078E-2</v>
      </c>
      <c r="S141" s="191">
        <f t="shared" si="194"/>
        <v>20</v>
      </c>
      <c r="T141" s="191">
        <f t="shared" si="195"/>
        <v>0.3976027996500438</v>
      </c>
      <c r="U141" s="191">
        <f t="shared" si="196"/>
        <v>2.6506853310002918</v>
      </c>
      <c r="V141" s="191">
        <f t="shared" si="197"/>
        <v>1.1740240147146963</v>
      </c>
      <c r="W141" s="175">
        <f t="shared" si="198"/>
        <v>350</v>
      </c>
      <c r="X141" s="386">
        <f t="shared" si="199"/>
        <v>261.45777616287359</v>
      </c>
      <c r="Z141" s="191">
        <f t="shared" si="200"/>
        <v>0.29701812512180864</v>
      </c>
      <c r="AA141" s="153">
        <f t="shared" si="201"/>
        <v>0.87702202299746645</v>
      </c>
      <c r="AB141" s="153">
        <f t="shared" si="202"/>
        <v>2.5325556371231982E-2</v>
      </c>
      <c r="AC141" s="153"/>
      <c r="AD141" s="153">
        <f t="shared" si="203"/>
        <v>0.44291338582677164</v>
      </c>
      <c r="AE141" s="317">
        <f t="shared" si="204"/>
        <v>933.21481481481499</v>
      </c>
      <c r="AF141" s="463">
        <f t="shared" si="205"/>
        <v>1.1626476377952754E-2</v>
      </c>
      <c r="AH141" s="153">
        <f t="shared" si="206"/>
        <v>0.32601489887076374</v>
      </c>
      <c r="AI141" s="153">
        <f t="shared" si="207"/>
        <v>0.3976027996500438</v>
      </c>
      <c r="AJ141" s="153">
        <f t="shared" si="208"/>
        <v>1.3834094812222546</v>
      </c>
      <c r="AL141" s="317">
        <f t="shared" si="209"/>
        <v>31</v>
      </c>
      <c r="AM141" s="147">
        <f t="shared" si="210"/>
        <v>261.45777616287359</v>
      </c>
      <c r="AO141" s="147">
        <f t="shared" si="211"/>
        <v>31</v>
      </c>
      <c r="AP141" s="147">
        <f t="shared" si="212"/>
        <v>261.45777616287359</v>
      </c>
      <c r="AR141" s="5">
        <f t="shared" si="249"/>
        <v>3.8247093457149877</v>
      </c>
      <c r="AS141" s="5">
        <f t="shared" si="246"/>
        <v>2.6506853310002918</v>
      </c>
      <c r="AT141" s="5">
        <f t="shared" si="247"/>
        <v>1.1740240147146959</v>
      </c>
      <c r="AU141" s="153">
        <f t="shared" si="248"/>
        <v>0.69304229195088685</v>
      </c>
      <c r="AW141" s="5">
        <f t="shared" si="216"/>
        <v>0.41085622630504526</v>
      </c>
      <c r="AX141" s="5"/>
      <c r="AY141" s="5">
        <f t="shared" si="217"/>
        <v>0.51357028288130657</v>
      </c>
      <c r="AZ141" s="5"/>
      <c r="BA141" s="5">
        <f t="shared" si="218"/>
        <v>8.9863566558408825E-2</v>
      </c>
      <c r="BB141" s="5"/>
      <c r="BC141" s="5"/>
      <c r="BD141" s="153">
        <f t="shared" si="219"/>
        <v>0.19110351501041881</v>
      </c>
      <c r="BE141" s="153">
        <f t="shared" si="220"/>
        <v>0.12718271101259634</v>
      </c>
      <c r="BF141" s="153">
        <f t="shared" si="221"/>
        <v>0.1266839552831352</v>
      </c>
      <c r="BG141" s="153"/>
      <c r="BH141" s="463">
        <f t="shared" si="222"/>
        <v>1.2782193707268076E-2</v>
      </c>
      <c r="BI141" s="463">
        <f t="shared" si="223"/>
        <v>1.5240000000000002E-2</v>
      </c>
      <c r="BJ141" s="463">
        <f t="shared" si="224"/>
        <v>3.26822220203592E-3</v>
      </c>
      <c r="BK141" s="463">
        <f t="shared" si="225"/>
        <v>1.1238270967741937E-2</v>
      </c>
      <c r="BL141">
        <f t="shared" si="226"/>
        <v>2.6099999999999999E-3</v>
      </c>
      <c r="BM141">
        <f t="shared" si="227"/>
        <v>2.6145777616287361E-6</v>
      </c>
      <c r="BN141">
        <f t="shared" si="228"/>
        <v>4.6977685774053389E-2</v>
      </c>
      <c r="BO141" s="147">
        <f t="shared" si="229"/>
        <v>45.138686877045934</v>
      </c>
      <c r="BP141" s="153">
        <f t="shared" si="230"/>
        <v>1.2400000000000001E-2</v>
      </c>
      <c r="BQ141" s="153">
        <f t="shared" si="231"/>
        <v>1.2400000000000001E-2</v>
      </c>
      <c r="BR141" s="463"/>
      <c r="BT141" s="147">
        <f t="shared" si="232"/>
        <v>24.800000000000004</v>
      </c>
      <c r="BU141" s="463">
        <f t="shared" si="233"/>
        <v>3.6520553449337363E-2</v>
      </c>
      <c r="BV141" s="463">
        <f t="shared" si="234"/>
        <v>1.6175441980513596E-2</v>
      </c>
      <c r="BW141" s="463">
        <f t="shared" si="235"/>
        <v>8.0244122630896992E-4</v>
      </c>
      <c r="BX141" s="463">
        <f t="shared" si="236"/>
        <v>0</v>
      </c>
      <c r="BY141" s="463">
        <f t="shared" si="180"/>
        <v>6.0175793926869586E-2</v>
      </c>
      <c r="BZ141" s="463">
        <f t="shared" si="250"/>
        <v>5.3498436656159928E-2</v>
      </c>
      <c r="CA141" s="549">
        <f t="shared" si="237"/>
        <v>2.0666666666666677E-2</v>
      </c>
      <c r="CB141" s="147">
        <f t="shared" si="238"/>
        <v>187.83933390585611</v>
      </c>
      <c r="CC141" s="153">
        <f t="shared" si="251"/>
        <v>0.15262014636758964</v>
      </c>
      <c r="CD141" s="5">
        <f t="shared" si="239"/>
        <v>1.1160000000000001</v>
      </c>
      <c r="CE141" s="153">
        <f t="shared" si="240"/>
        <v>0.8796959461785443</v>
      </c>
      <c r="CF141" s="5">
        <f t="shared" si="241"/>
        <v>87.969594617854426</v>
      </c>
      <c r="CG141">
        <f t="shared" si="242"/>
        <v>31</v>
      </c>
      <c r="CI141" s="59">
        <f t="shared" si="243"/>
        <v>-50</v>
      </c>
      <c r="CJ141">
        <f t="shared" si="244"/>
        <v>-50</v>
      </c>
    </row>
    <row r="142" spans="5:88" x14ac:dyDescent="0.25">
      <c r="E142" s="150">
        <v>32</v>
      </c>
      <c r="F142" s="191">
        <f t="shared" si="245"/>
        <v>3.2000000000000001E-2</v>
      </c>
      <c r="G142" s="191">
        <f t="shared" ref="G142:G173" si="252">IF(PLOT_TYPE=1, E142/100*Iout2, min_I*EXP(Q142*rr/100))</f>
        <v>3.2000000000000001E-2</v>
      </c>
      <c r="H142" s="191">
        <f t="shared" ref="H142:H173" si="253">F142*Vout</f>
        <v>0.64</v>
      </c>
      <c r="I142" s="191">
        <f t="shared" ref="I142:I173" si="254">Vout2*G142</f>
        <v>0.51200000000000001</v>
      </c>
      <c r="J142" s="472">
        <f t="shared" si="186"/>
        <v>9</v>
      </c>
      <c r="K142" s="386">
        <f t="shared" si="187"/>
        <v>20.32</v>
      </c>
      <c r="L142" s="386">
        <f t="shared" si="188"/>
        <v>29.32</v>
      </c>
      <c r="M142" s="386"/>
      <c r="N142" s="191">
        <f t="shared" si="189"/>
        <v>0.69304229195088674</v>
      </c>
      <c r="O142" s="152">
        <f t="shared" ref="O142:O173" si="255">N142*J142*Isw_max*0.5*Efficiency*Pout/(Pout+Pout2)</f>
        <v>1.1695088676671213</v>
      </c>
      <c r="P142" s="152">
        <f t="shared" ref="P142:P173" si="256">N142*J142*Isw_max*0.5*Efficiency*(Pout2/Pout_total)</f>
        <v>1.6840927694406547</v>
      </c>
      <c r="Q142" s="191">
        <f t="shared" si="192"/>
        <v>5.8475443383356064E-2</v>
      </c>
      <c r="R142" s="191">
        <f t="shared" ref="R142:R173" si="257">O142/Vout2</f>
        <v>7.3094304229195078E-2</v>
      </c>
      <c r="S142" s="191">
        <f t="shared" ref="S142:S173" si="258">MIN(Vout,O142/F142)</f>
        <v>20</v>
      </c>
      <c r="T142" s="191">
        <f t="shared" ref="T142:T173" si="259">MIN(2*(Vout*F142+Vout2*G142)/(Efficiency*J142*N142), Isw_max)</f>
        <v>0.41042869641294843</v>
      </c>
      <c r="U142" s="191">
        <f t="shared" si="196"/>
        <v>2.7361913094196564</v>
      </c>
      <c r="V142" s="191">
        <f t="shared" si="197"/>
        <v>1.2118957571248477</v>
      </c>
      <c r="W142" s="175">
        <f t="shared" si="198"/>
        <v>350</v>
      </c>
      <c r="X142" s="386">
        <f t="shared" si="199"/>
        <v>253.28722065778376</v>
      </c>
      <c r="Z142" s="191">
        <f t="shared" si="200"/>
        <v>0.29701812512180864</v>
      </c>
      <c r="AA142" s="153">
        <f t="shared" si="201"/>
        <v>0.87702202299746645</v>
      </c>
      <c r="AB142" s="153">
        <f t="shared" ref="AB142:AB173" si="260">0.5*AA142*Z142*Nps*W142/1000*(Pout/(Pout+Pout2))</f>
        <v>2.5325556371231982E-2</v>
      </c>
      <c r="AC142" s="153"/>
      <c r="AD142" s="153">
        <f t="shared" si="203"/>
        <v>0.44291338582677164</v>
      </c>
      <c r="AE142" s="317">
        <f t="shared" ref="AE142:AE173" si="261">MAX(10, F142/(0.5*AD142/1000000*Isw_min*Nps)/1000*Pout_total/Pout)</f>
        <v>963.31851851851866</v>
      </c>
      <c r="AF142" s="463">
        <f t="shared" ref="AF142:AF173" si="262">0.5*AD142/1000000*Isw_min*Nps*W142*1000*(Pout/Pout_total)</f>
        <v>1.1626476377952754E-2</v>
      </c>
      <c r="AH142" s="153">
        <f t="shared" ref="AH142:AH173" si="263">SQRT((H142+I142)/(0.5*L*Fsw_DCM))</f>
        <v>0.33123146848433005</v>
      </c>
      <c r="AI142" s="153">
        <f t="shared" ref="AI142:AI173" si="264">MAX(IF(F142&gt;AB142,T142,AH142),Isw_min)</f>
        <v>0.41042869641294843</v>
      </c>
      <c r="AJ142" s="153">
        <f t="shared" ref="AJ142:AJ173" si="265">IF(F142&gt;AF142, (AI142-Isw_min)/1.08*0.8+1.2, AE142*0.2/350+1)</f>
        <v>1.3929101454910728</v>
      </c>
      <c r="AL142" s="317">
        <f t="shared" ref="AL142:AL173" si="266">F142*1000</f>
        <v>32</v>
      </c>
      <c r="AM142" s="147">
        <f t="shared" ref="AM142:AM173" si="267">IF(F142&gt;AF142, X142, AE142)</f>
        <v>253.28722065778376</v>
      </c>
      <c r="AO142" s="147">
        <f t="shared" si="211"/>
        <v>32</v>
      </c>
      <c r="AP142" s="147">
        <f t="shared" si="212"/>
        <v>253.28722065778376</v>
      </c>
      <c r="AR142" s="5">
        <f t="shared" si="249"/>
        <v>3.9480870665445038</v>
      </c>
      <c r="AS142" s="5">
        <f t="shared" si="246"/>
        <v>2.7361913094196564</v>
      </c>
      <c r="AT142" s="5">
        <f t="shared" si="247"/>
        <v>1.2118957571248474</v>
      </c>
      <c r="AU142" s="153">
        <f t="shared" si="248"/>
        <v>0.69304229195088685</v>
      </c>
      <c r="AW142" s="5">
        <f t="shared" si="216"/>
        <v>0.43779060950714505</v>
      </c>
      <c r="AX142" s="5"/>
      <c r="AY142" s="5">
        <f t="shared" si="217"/>
        <v>0.54723826188393121</v>
      </c>
      <c r="AZ142" s="5"/>
      <c r="BA142" s="5">
        <f t="shared" si="218"/>
        <v>9.5754726488876826E-2</v>
      </c>
      <c r="BB142" s="5"/>
      <c r="BC142" s="5"/>
      <c r="BD142" s="153">
        <f t="shared" si="219"/>
        <v>0.19726814452688393</v>
      </c>
      <c r="BE142" s="153">
        <f t="shared" si="220"/>
        <v>0.13128537910977686</v>
      </c>
      <c r="BF142" s="153">
        <f t="shared" si="221"/>
        <v>0.13077053448581696</v>
      </c>
      <c r="BG142" s="153"/>
      <c r="BH142" s="463">
        <f t="shared" si="222"/>
        <v>1.3620152295777848E-2</v>
      </c>
      <c r="BI142" s="463">
        <f t="shared" si="223"/>
        <v>1.524E-2</v>
      </c>
      <c r="BJ142" s="463">
        <f t="shared" si="224"/>
        <v>3.1660902582222972E-3</v>
      </c>
      <c r="BK142" s="463">
        <f t="shared" si="225"/>
        <v>1.0887075E-2</v>
      </c>
      <c r="BL142">
        <f t="shared" si="226"/>
        <v>2.6099999999999999E-3</v>
      </c>
      <c r="BM142">
        <f t="shared" ref="BM142:BM173" si="268">(J142-Vdd)*Qg*AM142</f>
        <v>2.5328722065778375E-6</v>
      </c>
      <c r="BN142">
        <f t="shared" ref="BN142:BN173" si="269">(BI142+BJ142+BK142+BL142+BM142+BH142*(1+RdsonTC*(Ta-25)))/(1-BH142*RdsonTC*ThetaJA)</f>
        <v>4.748389412306922E-2</v>
      </c>
      <c r="BO142" s="147">
        <f t="shared" si="229"/>
        <v>45.523317554000144</v>
      </c>
      <c r="BP142" s="153">
        <f t="shared" si="230"/>
        <v>1.2800000000000001E-2</v>
      </c>
      <c r="BQ142" s="153">
        <f t="shared" si="231"/>
        <v>1.2800000000000001E-2</v>
      </c>
      <c r="BR142" s="463"/>
      <c r="BT142" s="147">
        <f t="shared" si="232"/>
        <v>25.6</v>
      </c>
      <c r="BU142" s="463">
        <f t="shared" si="233"/>
        <v>3.8914720845079569E-2</v>
      </c>
      <c r="BV142" s="463">
        <f t="shared" si="234"/>
        <v>1.7235850767997836E-2</v>
      </c>
      <c r="BW142" s="463">
        <f t="shared" si="235"/>
        <v>8.550466344853122E-4</v>
      </c>
      <c r="BX142" s="463">
        <f t="shared" si="236"/>
        <v>0</v>
      </c>
      <c r="BY142" s="463">
        <f t="shared" si="180"/>
        <v>6.4138794166479315E-2</v>
      </c>
      <c r="BZ142" s="463">
        <f t="shared" si="250"/>
        <v>5.7005618247562714E-2</v>
      </c>
      <c r="CA142" s="549">
        <f t="shared" ref="CA142:CA173" si="270">0.5*Lleak*0.000000001*AI142^2*AM142*1000</f>
        <v>2.1333333333333343E-2</v>
      </c>
      <c r="CB142" s="147">
        <f t="shared" si="238"/>
        <v>199.48336399493806</v>
      </c>
      <c r="CC142" s="153">
        <f t="shared" si="251"/>
        <v>0.15855602162288188</v>
      </c>
      <c r="CD142" s="5">
        <f t="shared" si="239"/>
        <v>1.1520000000000001</v>
      </c>
      <c r="CE142" s="153">
        <f t="shared" si="240"/>
        <v>0.8790162198281769</v>
      </c>
      <c r="CF142" s="5">
        <f t="shared" si="241"/>
        <v>87.901621982817687</v>
      </c>
      <c r="CG142">
        <f t="shared" si="242"/>
        <v>32</v>
      </c>
      <c r="CI142" s="59">
        <f t="shared" ref="CI142:CI173" si="271">IF(ABS(F142-Ioutmax_Vinmin)&lt;Iout/200, AM142, -50)</f>
        <v>-50</v>
      </c>
      <c r="CJ142">
        <f t="shared" ref="CJ142:CJ173" si="272">IF(ABS(F142-Ioutmax_Vinmin)&lt;Iout/200, (O142+P142)*CE142, -50)</f>
        <v>-50</v>
      </c>
    </row>
    <row r="143" spans="5:88" x14ac:dyDescent="0.25">
      <c r="E143" s="150">
        <v>33</v>
      </c>
      <c r="F143" s="191">
        <f t="shared" ref="F143:F174" si="273">IF(PLOT_TYPE=1, E143/100*Iout_max, min_I*EXP(O143*rr/100))</f>
        <v>3.3000000000000002E-2</v>
      </c>
      <c r="G143" s="191">
        <f t="shared" si="252"/>
        <v>3.3000000000000002E-2</v>
      </c>
      <c r="H143" s="191">
        <f t="shared" si="253"/>
        <v>0.66</v>
      </c>
      <c r="I143" s="191">
        <f t="shared" si="254"/>
        <v>0.52800000000000002</v>
      </c>
      <c r="J143" s="472">
        <f t="shared" si="186"/>
        <v>9</v>
      </c>
      <c r="K143" s="386">
        <f t="shared" si="187"/>
        <v>20.32</v>
      </c>
      <c r="L143" s="386">
        <f t="shared" si="188"/>
        <v>29.32</v>
      </c>
      <c r="M143" s="386"/>
      <c r="N143" s="191">
        <f t="shared" si="189"/>
        <v>0.69304229195088674</v>
      </c>
      <c r="O143" s="152">
        <f t="shared" si="255"/>
        <v>1.1695088676671213</v>
      </c>
      <c r="P143" s="152">
        <f t="shared" si="256"/>
        <v>1.6840927694406547</v>
      </c>
      <c r="Q143" s="191">
        <f t="shared" si="192"/>
        <v>5.8475443383356064E-2</v>
      </c>
      <c r="R143" s="191">
        <f t="shared" si="257"/>
        <v>7.3094304229195078E-2</v>
      </c>
      <c r="S143" s="191">
        <f t="shared" si="258"/>
        <v>20</v>
      </c>
      <c r="T143" s="191">
        <f t="shared" si="259"/>
        <v>0.42325459317585312</v>
      </c>
      <c r="U143" s="191">
        <f t="shared" si="196"/>
        <v>2.821697287839021</v>
      </c>
      <c r="V143" s="191">
        <f t="shared" si="197"/>
        <v>1.2497674995349994</v>
      </c>
      <c r="W143" s="175">
        <f t="shared" si="198"/>
        <v>350</v>
      </c>
      <c r="X143" s="386">
        <f t="shared" si="199"/>
        <v>245.61185033482056</v>
      </c>
      <c r="Z143" s="191">
        <f t="shared" si="200"/>
        <v>0.29701812512180864</v>
      </c>
      <c r="AA143" s="153">
        <f t="shared" si="201"/>
        <v>0.87702202299746645</v>
      </c>
      <c r="AB143" s="153">
        <f t="shared" si="260"/>
        <v>2.5325556371231982E-2</v>
      </c>
      <c r="AC143" s="153"/>
      <c r="AD143" s="153">
        <f t="shared" si="203"/>
        <v>0.44291338582677164</v>
      </c>
      <c r="AE143" s="317">
        <f t="shared" si="261"/>
        <v>993.42222222222233</v>
      </c>
      <c r="AF143" s="463">
        <f t="shared" si="262"/>
        <v>1.1626476377952754E-2</v>
      </c>
      <c r="AH143" s="153">
        <f t="shared" si="263"/>
        <v>0.33636714634883286</v>
      </c>
      <c r="AI143" s="153">
        <f t="shared" si="264"/>
        <v>0.42325459317585312</v>
      </c>
      <c r="AJ143" s="153">
        <f t="shared" si="265"/>
        <v>1.4024108097598911</v>
      </c>
      <c r="AL143" s="317">
        <f t="shared" si="266"/>
        <v>33</v>
      </c>
      <c r="AM143" s="147">
        <f t="shared" si="267"/>
        <v>245.61185033482056</v>
      </c>
      <c r="AO143" s="147">
        <f t="shared" si="211"/>
        <v>33</v>
      </c>
      <c r="AP143" s="147">
        <f t="shared" si="212"/>
        <v>245.61185033482056</v>
      </c>
      <c r="AR143" s="5">
        <f t="shared" si="249"/>
        <v>4.0714647873740208</v>
      </c>
      <c r="AS143" s="5">
        <f t="shared" si="246"/>
        <v>2.821697287839021</v>
      </c>
      <c r="AT143" s="5">
        <f t="shared" si="247"/>
        <v>1.2497674995349999</v>
      </c>
      <c r="AU143" s="153">
        <f t="shared" si="248"/>
        <v>0.69304229195088674</v>
      </c>
      <c r="AW143" s="5">
        <f t="shared" si="216"/>
        <v>0.46558005249343853</v>
      </c>
      <c r="AX143" s="5"/>
      <c r="AY143" s="5">
        <f t="shared" si="217"/>
        <v>0.58197506561679813</v>
      </c>
      <c r="AZ143" s="5"/>
      <c r="BA143" s="5">
        <f t="shared" si="218"/>
        <v>0.10183290736951851</v>
      </c>
      <c r="BB143" s="5"/>
      <c r="BC143" s="5"/>
      <c r="BD143" s="153">
        <f t="shared" si="219"/>
        <v>0.20343277404334906</v>
      </c>
      <c r="BE143" s="153">
        <f t="shared" si="220"/>
        <v>0.13538804720695743</v>
      </c>
      <c r="BF143" s="153">
        <f t="shared" si="221"/>
        <v>0.13485711368849879</v>
      </c>
      <c r="BG143" s="153"/>
      <c r="BH143" s="463">
        <f t="shared" si="222"/>
        <v>1.448471274424031E-2</v>
      </c>
      <c r="BI143" s="463">
        <f t="shared" si="223"/>
        <v>1.5239999999999998E-2</v>
      </c>
      <c r="BJ143" s="463">
        <f t="shared" si="224"/>
        <v>3.0701481291852567E-3</v>
      </c>
      <c r="BK143" s="463">
        <f t="shared" si="225"/>
        <v>1.0557163636363633E-2</v>
      </c>
      <c r="BL143">
        <f t="shared" si="226"/>
        <v>2.6099999999999999E-3</v>
      </c>
      <c r="BM143">
        <f t="shared" si="268"/>
        <v>2.4561185033482055E-6</v>
      </c>
      <c r="BN143">
        <f t="shared" si="269"/>
        <v>4.8048322603579371E-2</v>
      </c>
      <c r="BO143" s="147">
        <f t="shared" si="229"/>
        <v>45.962024509789202</v>
      </c>
      <c r="BP143" s="153">
        <f t="shared" si="230"/>
        <v>1.3200000000000002E-2</v>
      </c>
      <c r="BQ143" s="153">
        <f t="shared" si="231"/>
        <v>1.3200000000000002E-2</v>
      </c>
      <c r="BR143" s="463"/>
      <c r="BT143" s="147">
        <f t="shared" si="232"/>
        <v>26.400000000000002</v>
      </c>
      <c r="BU143" s="463">
        <f t="shared" si="233"/>
        <v>4.1384893554972317E-2</v>
      </c>
      <c r="BV143" s="463">
        <f t="shared" si="234"/>
        <v>1.8329923326513335E-2</v>
      </c>
      <c r="BW143" s="463">
        <f t="shared" si="235"/>
        <v>9.0932205561963439E-4</v>
      </c>
      <c r="BX143" s="463">
        <f t="shared" si="236"/>
        <v>0</v>
      </c>
      <c r="BY143" s="463">
        <f t="shared" si="180"/>
        <v>6.8229946148355453E-2</v>
      </c>
      <c r="BZ143" s="463">
        <f t="shared" si="250"/>
        <v>6.0624138937105283E-2</v>
      </c>
      <c r="CA143" s="549">
        <f t="shared" si="270"/>
        <v>2.2000000000000006E-2</v>
      </c>
      <c r="CB143" s="147">
        <f t="shared" si="238"/>
        <v>211.478224022566</v>
      </c>
      <c r="CC143" s="153">
        <f t="shared" si="251"/>
        <v>0.16467826875193486</v>
      </c>
      <c r="CD143" s="5">
        <f t="shared" si="239"/>
        <v>1.1880000000000002</v>
      </c>
      <c r="CE143" s="153">
        <f t="shared" si="240"/>
        <v>0.87825762226233051</v>
      </c>
      <c r="CF143" s="5">
        <f t="shared" si="241"/>
        <v>87.825762226233053</v>
      </c>
      <c r="CG143">
        <f t="shared" si="242"/>
        <v>33</v>
      </c>
      <c r="CI143" s="59">
        <f t="shared" si="271"/>
        <v>-50</v>
      </c>
      <c r="CJ143">
        <f t="shared" si="272"/>
        <v>-50</v>
      </c>
    </row>
    <row r="144" spans="5:88" x14ac:dyDescent="0.25">
      <c r="E144" s="150">
        <v>34</v>
      </c>
      <c r="F144" s="191">
        <f t="shared" si="273"/>
        <v>3.4000000000000002E-2</v>
      </c>
      <c r="G144" s="191">
        <f t="shared" si="252"/>
        <v>3.4000000000000002E-2</v>
      </c>
      <c r="H144" s="191">
        <f t="shared" si="253"/>
        <v>0.68</v>
      </c>
      <c r="I144" s="191">
        <f t="shared" si="254"/>
        <v>0.54400000000000004</v>
      </c>
      <c r="J144" s="472">
        <f t="shared" si="186"/>
        <v>9</v>
      </c>
      <c r="K144" s="386">
        <f t="shared" si="187"/>
        <v>20.32</v>
      </c>
      <c r="L144" s="386">
        <f t="shared" si="188"/>
        <v>29.32</v>
      </c>
      <c r="M144" s="386"/>
      <c r="N144" s="191">
        <f t="shared" si="189"/>
        <v>0.69304229195088674</v>
      </c>
      <c r="O144" s="152">
        <f t="shared" si="255"/>
        <v>1.1695088676671213</v>
      </c>
      <c r="P144" s="152">
        <f t="shared" si="256"/>
        <v>1.6840927694406547</v>
      </c>
      <c r="Q144" s="191">
        <f t="shared" si="192"/>
        <v>5.8475443383356064E-2</v>
      </c>
      <c r="R144" s="191">
        <f t="shared" si="257"/>
        <v>7.3094304229195078E-2</v>
      </c>
      <c r="S144" s="191">
        <f t="shared" si="258"/>
        <v>20</v>
      </c>
      <c r="T144" s="191">
        <f t="shared" si="259"/>
        <v>0.43608048993875775</v>
      </c>
      <c r="U144" s="191">
        <f t="shared" si="196"/>
        <v>2.9072032662583851</v>
      </c>
      <c r="V144" s="191">
        <f t="shared" si="197"/>
        <v>1.2876392419451508</v>
      </c>
      <c r="W144" s="175">
        <f t="shared" si="198"/>
        <v>350</v>
      </c>
      <c r="X144" s="386">
        <f t="shared" si="199"/>
        <v>238.38797238379647</v>
      </c>
      <c r="Z144" s="191">
        <f t="shared" si="200"/>
        <v>0.29701812512180864</v>
      </c>
      <c r="AA144" s="153">
        <f t="shared" si="201"/>
        <v>0.87702202299746645</v>
      </c>
      <c r="AB144" s="153">
        <f t="shared" si="260"/>
        <v>2.5325556371231982E-2</v>
      </c>
      <c r="AC144" s="153"/>
      <c r="AD144" s="153">
        <f t="shared" si="203"/>
        <v>0.44291338582677164</v>
      </c>
      <c r="AE144" s="317">
        <f t="shared" si="261"/>
        <v>1023.5259259259262</v>
      </c>
      <c r="AF144" s="463">
        <f t="shared" si="262"/>
        <v>1.1626476377952754E-2</v>
      </c>
      <c r="AH144" s="153">
        <f t="shared" si="263"/>
        <v>0.34142558277233503</v>
      </c>
      <c r="AI144" s="153">
        <f t="shared" si="264"/>
        <v>0.43608048993875775</v>
      </c>
      <c r="AJ144" s="153">
        <f t="shared" si="265"/>
        <v>1.4119114740287095</v>
      </c>
      <c r="AL144" s="317">
        <f t="shared" si="266"/>
        <v>34</v>
      </c>
      <c r="AM144" s="147">
        <f t="shared" si="267"/>
        <v>238.38797238379647</v>
      </c>
      <c r="AO144" s="147">
        <f t="shared" si="211"/>
        <v>34</v>
      </c>
      <c r="AP144" s="147">
        <f t="shared" si="212"/>
        <v>238.38797238379647</v>
      </c>
      <c r="AR144" s="5">
        <f t="shared" si="249"/>
        <v>4.1948425082035357</v>
      </c>
      <c r="AS144" s="5">
        <f t="shared" si="246"/>
        <v>2.9072032662583851</v>
      </c>
      <c r="AT144" s="5">
        <f t="shared" si="247"/>
        <v>1.2876392419451506</v>
      </c>
      <c r="AU144" s="153">
        <f t="shared" si="248"/>
        <v>0.69304229195088685</v>
      </c>
      <c r="AW144" s="5">
        <f t="shared" si="216"/>
        <v>0.49422455526392545</v>
      </c>
      <c r="AX144" s="5"/>
      <c r="AY144" s="5">
        <f t="shared" si="217"/>
        <v>0.61778069407990688</v>
      </c>
      <c r="AZ144" s="5"/>
      <c r="BA144" s="5">
        <f t="shared" si="218"/>
        <v>0.10809810920033362</v>
      </c>
      <c r="BB144" s="5"/>
      <c r="BC144" s="5"/>
      <c r="BD144" s="153">
        <f t="shared" si="219"/>
        <v>0.20959740355981418</v>
      </c>
      <c r="BE144" s="153">
        <f t="shared" si="220"/>
        <v>0.13949071530413792</v>
      </c>
      <c r="BF144" s="153">
        <f t="shared" si="221"/>
        <v>0.13894369289118055</v>
      </c>
      <c r="BG144" s="153"/>
      <c r="BH144" s="463">
        <f t="shared" si="222"/>
        <v>1.5375875052655462E-2</v>
      </c>
      <c r="BI144" s="463">
        <f t="shared" si="223"/>
        <v>1.5240000000000002E-2</v>
      </c>
      <c r="BJ144" s="463">
        <f t="shared" si="224"/>
        <v>2.979849654797456E-3</v>
      </c>
      <c r="BK144" s="463">
        <f t="shared" si="225"/>
        <v>1.024665882352941E-2</v>
      </c>
      <c r="BL144">
        <f t="shared" si="226"/>
        <v>2.6099999999999999E-3</v>
      </c>
      <c r="BM144">
        <f t="shared" si="268"/>
        <v>2.3838797238379646E-6</v>
      </c>
      <c r="BN144">
        <f t="shared" si="269"/>
        <v>4.8668575941235998E-2</v>
      </c>
      <c r="BO144" s="147">
        <f t="shared" si="229"/>
        <v>46.452383530982331</v>
      </c>
      <c r="BP144" s="153">
        <f t="shared" si="230"/>
        <v>1.3600000000000001E-2</v>
      </c>
      <c r="BQ144" s="153">
        <f t="shared" si="231"/>
        <v>1.3600000000000001E-2</v>
      </c>
      <c r="BR144" s="463"/>
      <c r="BT144" s="147">
        <f t="shared" si="232"/>
        <v>27.200000000000003</v>
      </c>
      <c r="BU144" s="463">
        <f t="shared" si="233"/>
        <v>4.3931071579015608E-2</v>
      </c>
      <c r="BV144" s="463">
        <f t="shared" si="234"/>
        <v>1.9457659656060059E-2</v>
      </c>
      <c r="BW144" s="463">
        <f t="shared" si="235"/>
        <v>9.6526748971193497E-4</v>
      </c>
      <c r="BX144" s="463">
        <f t="shared" si="236"/>
        <v>0</v>
      </c>
      <c r="BY144" s="463">
        <f t="shared" si="180"/>
        <v>7.244947162814365E-2</v>
      </c>
      <c r="BZ144" s="463">
        <f t="shared" si="250"/>
        <v>6.4353998724787601E-2</v>
      </c>
      <c r="CA144" s="549">
        <f t="shared" si="270"/>
        <v>2.2666666666666675E-2</v>
      </c>
      <c r="CB144" s="147">
        <f t="shared" si="238"/>
        <v>223.82413574438553</v>
      </c>
      <c r="CC144" s="153">
        <f t="shared" si="251"/>
        <v>0.17098471423604633</v>
      </c>
      <c r="CD144" s="5">
        <f t="shared" si="239"/>
        <v>1.2240000000000002</v>
      </c>
      <c r="CE144" s="153">
        <f t="shared" si="240"/>
        <v>0.87742896929900416</v>
      </c>
      <c r="CF144" s="5">
        <f t="shared" si="241"/>
        <v>87.742896929900411</v>
      </c>
      <c r="CG144">
        <f t="shared" si="242"/>
        <v>34</v>
      </c>
      <c r="CI144" s="59">
        <f t="shared" si="271"/>
        <v>-50</v>
      </c>
      <c r="CJ144">
        <f t="shared" si="272"/>
        <v>-50</v>
      </c>
    </row>
    <row r="145" spans="5:88" x14ac:dyDescent="0.25">
      <c r="E145" s="150">
        <v>35</v>
      </c>
      <c r="F145" s="191">
        <f t="shared" si="273"/>
        <v>3.4999999999999996E-2</v>
      </c>
      <c r="G145" s="191">
        <f t="shared" si="252"/>
        <v>3.4999999999999996E-2</v>
      </c>
      <c r="H145" s="191">
        <f t="shared" si="253"/>
        <v>0.7</v>
      </c>
      <c r="I145" s="191">
        <f t="shared" si="254"/>
        <v>0.55999999999999994</v>
      </c>
      <c r="J145" s="472">
        <f t="shared" si="186"/>
        <v>9</v>
      </c>
      <c r="K145" s="386">
        <f t="shared" si="187"/>
        <v>20.32</v>
      </c>
      <c r="L145" s="386">
        <f t="shared" si="188"/>
        <v>29.32</v>
      </c>
      <c r="M145" s="386"/>
      <c r="N145" s="191">
        <f t="shared" si="189"/>
        <v>0.69304229195088674</v>
      </c>
      <c r="O145" s="152">
        <f t="shared" si="255"/>
        <v>1.1695088676671213</v>
      </c>
      <c r="P145" s="152">
        <f t="shared" si="256"/>
        <v>1.6840927694406547</v>
      </c>
      <c r="Q145" s="191">
        <f t="shared" si="192"/>
        <v>5.8475443383356064E-2</v>
      </c>
      <c r="R145" s="191">
        <f t="shared" si="257"/>
        <v>7.3094304229195078E-2</v>
      </c>
      <c r="S145" s="191">
        <f t="shared" si="258"/>
        <v>20</v>
      </c>
      <c r="T145" s="191">
        <f t="shared" si="259"/>
        <v>0.44890638670166227</v>
      </c>
      <c r="U145" s="191">
        <f t="shared" si="196"/>
        <v>2.9927092446777483</v>
      </c>
      <c r="V145" s="191">
        <f t="shared" si="197"/>
        <v>1.3255109843553021</v>
      </c>
      <c r="W145" s="175">
        <f t="shared" si="198"/>
        <v>350</v>
      </c>
      <c r="X145" s="386">
        <f t="shared" si="199"/>
        <v>231.5768874585452</v>
      </c>
      <c r="Z145" s="191">
        <f t="shared" si="200"/>
        <v>0.29701812512180864</v>
      </c>
      <c r="AA145" s="153">
        <f t="shared" si="201"/>
        <v>0.87702202299746645</v>
      </c>
      <c r="AB145" s="153">
        <f t="shared" si="260"/>
        <v>2.5325556371231982E-2</v>
      </c>
      <c r="AC145" s="153"/>
      <c r="AD145" s="153">
        <f t="shared" si="203"/>
        <v>0.44291338582677164</v>
      </c>
      <c r="AE145" s="317">
        <f t="shared" si="261"/>
        <v>1053.6296296296296</v>
      </c>
      <c r="AF145" s="463">
        <f t="shared" si="262"/>
        <v>1.1626476377952754E-2</v>
      </c>
      <c r="AH145" s="153">
        <f t="shared" si="263"/>
        <v>0.34641016151377541</v>
      </c>
      <c r="AI145" s="153">
        <f t="shared" si="264"/>
        <v>0.44890638670166227</v>
      </c>
      <c r="AJ145" s="153">
        <f t="shared" si="265"/>
        <v>1.4214121382975275</v>
      </c>
      <c r="AL145" s="317">
        <f t="shared" si="266"/>
        <v>34.999999999999993</v>
      </c>
      <c r="AM145" s="147">
        <f t="shared" si="267"/>
        <v>231.5768874585452</v>
      </c>
      <c r="AO145" s="147">
        <f t="shared" si="211"/>
        <v>34.999999999999993</v>
      </c>
      <c r="AP145" s="147">
        <f t="shared" si="212"/>
        <v>231.5768874585452</v>
      </c>
      <c r="AR145" s="5">
        <f t="shared" si="249"/>
        <v>4.3182202290330505</v>
      </c>
      <c r="AS145" s="5">
        <f t="shared" si="246"/>
        <v>2.9927092446777483</v>
      </c>
      <c r="AT145" s="5">
        <f t="shared" si="247"/>
        <v>1.3255109843553021</v>
      </c>
      <c r="AU145" s="153">
        <f t="shared" si="248"/>
        <v>0.69304229195088674</v>
      </c>
      <c r="AW145" s="5">
        <f t="shared" si="216"/>
        <v>0.52372411781860595</v>
      </c>
      <c r="AX145" s="5"/>
      <c r="AY145" s="5">
        <f t="shared" si="217"/>
        <v>0.65465514727325735</v>
      </c>
      <c r="AZ145" s="5"/>
      <c r="BA145" s="5">
        <f t="shared" si="218"/>
        <v>0.1145503319813224</v>
      </c>
      <c r="BB145" s="5"/>
      <c r="BC145" s="5"/>
      <c r="BD145" s="153">
        <f t="shared" si="219"/>
        <v>0.21576203307627922</v>
      </c>
      <c r="BE145" s="153">
        <f t="shared" si="220"/>
        <v>0.14359338340131844</v>
      </c>
      <c r="BF145" s="153">
        <f t="shared" si="221"/>
        <v>0.14303027209386229</v>
      </c>
      <c r="BG145" s="153"/>
      <c r="BH145" s="463">
        <f t="shared" si="222"/>
        <v>1.6293639221023292E-2</v>
      </c>
      <c r="BI145" s="463">
        <f t="shared" si="223"/>
        <v>1.524E-2</v>
      </c>
      <c r="BJ145" s="463">
        <f t="shared" si="224"/>
        <v>2.894711093231815E-3</v>
      </c>
      <c r="BK145" s="463">
        <f t="shared" si="225"/>
        <v>9.9538971428571443E-3</v>
      </c>
      <c r="BL145">
        <f t="shared" si="226"/>
        <v>2.6099999999999999E-3</v>
      </c>
      <c r="BM145">
        <f t="shared" si="268"/>
        <v>2.3157688745854521E-6</v>
      </c>
      <c r="BN145">
        <f t="shared" si="269"/>
        <v>4.934253689253755E-2</v>
      </c>
      <c r="BO145" s="147">
        <f t="shared" si="229"/>
        <v>46.992247457112249</v>
      </c>
      <c r="BP145" s="153">
        <f t="shared" si="230"/>
        <v>1.3999999999999999E-2</v>
      </c>
      <c r="BQ145" s="153">
        <f t="shared" si="231"/>
        <v>1.3999999999999999E-2</v>
      </c>
      <c r="BR145" s="463"/>
      <c r="BT145" s="147">
        <f t="shared" si="232"/>
        <v>27.999999999999996</v>
      </c>
      <c r="BU145" s="463">
        <f t="shared" si="233"/>
        <v>4.6553254917209408E-2</v>
      </c>
      <c r="BV145" s="463">
        <f t="shared" si="234"/>
        <v>2.0619059756638036E-2</v>
      </c>
      <c r="BW145" s="463">
        <f t="shared" si="235"/>
        <v>1.0228829367622142E-3</v>
      </c>
      <c r="BX145" s="463">
        <f t="shared" si="236"/>
        <v>0</v>
      </c>
      <c r="BY145" s="463">
        <f t="shared" si="180"/>
        <v>7.6797599521916241E-2</v>
      </c>
      <c r="BZ145" s="463">
        <f t="shared" si="250"/>
        <v>6.8195197610609659E-2</v>
      </c>
      <c r="CA145" s="549">
        <f t="shared" si="270"/>
        <v>2.3333333333333334E-2</v>
      </c>
      <c r="CB145" s="147">
        <f t="shared" si="238"/>
        <v>236.52132807646888</v>
      </c>
      <c r="CC145" s="153">
        <f t="shared" si="251"/>
        <v>0.17747346974778713</v>
      </c>
      <c r="CD145" s="5">
        <f t="shared" si="239"/>
        <v>1.2599999999999998</v>
      </c>
      <c r="CE145" s="153">
        <f t="shared" si="240"/>
        <v>0.87653791636312717</v>
      </c>
      <c r="CF145" s="5">
        <f t="shared" si="241"/>
        <v>87.653791636312718</v>
      </c>
      <c r="CG145">
        <f t="shared" si="242"/>
        <v>34.999999999999993</v>
      </c>
      <c r="CI145" s="59">
        <f t="shared" si="271"/>
        <v>-50</v>
      </c>
      <c r="CJ145">
        <f t="shared" si="272"/>
        <v>-50</v>
      </c>
    </row>
    <row r="146" spans="5:88" x14ac:dyDescent="0.25">
      <c r="E146" s="150">
        <v>36</v>
      </c>
      <c r="F146" s="191">
        <f t="shared" si="273"/>
        <v>3.5999999999999997E-2</v>
      </c>
      <c r="G146" s="191">
        <f t="shared" si="252"/>
        <v>3.5999999999999997E-2</v>
      </c>
      <c r="H146" s="191">
        <f t="shared" si="253"/>
        <v>0.72</v>
      </c>
      <c r="I146" s="191">
        <f t="shared" si="254"/>
        <v>0.57599999999999996</v>
      </c>
      <c r="J146" s="472">
        <f t="shared" si="186"/>
        <v>9</v>
      </c>
      <c r="K146" s="386">
        <f t="shared" si="187"/>
        <v>20.32</v>
      </c>
      <c r="L146" s="386">
        <f t="shared" si="188"/>
        <v>29.32</v>
      </c>
      <c r="M146" s="386"/>
      <c r="N146" s="191">
        <f t="shared" si="189"/>
        <v>0.69304229195088674</v>
      </c>
      <c r="O146" s="152">
        <f t="shared" si="255"/>
        <v>1.1695088676671213</v>
      </c>
      <c r="P146" s="152">
        <f t="shared" si="256"/>
        <v>1.6840927694406547</v>
      </c>
      <c r="Q146" s="191">
        <f t="shared" si="192"/>
        <v>5.8475443383356064E-2</v>
      </c>
      <c r="R146" s="191">
        <f t="shared" si="257"/>
        <v>7.3094304229195078E-2</v>
      </c>
      <c r="S146" s="191">
        <f t="shared" si="258"/>
        <v>20</v>
      </c>
      <c r="T146" s="191">
        <f t="shared" si="259"/>
        <v>0.46173228346456691</v>
      </c>
      <c r="U146" s="191">
        <f t="shared" si="196"/>
        <v>3.0782152230971125</v>
      </c>
      <c r="V146" s="191">
        <f t="shared" si="197"/>
        <v>1.3633827267654535</v>
      </c>
      <c r="W146" s="175">
        <f t="shared" si="198"/>
        <v>350</v>
      </c>
      <c r="X146" s="386">
        <f t="shared" si="199"/>
        <v>225.14419614025226</v>
      </c>
      <c r="Z146" s="191">
        <f t="shared" si="200"/>
        <v>0.29701812512180864</v>
      </c>
      <c r="AA146" s="153">
        <f t="shared" si="201"/>
        <v>0.87702202299746645</v>
      </c>
      <c r="AB146" s="153">
        <f t="shared" si="260"/>
        <v>2.5325556371231982E-2</v>
      </c>
      <c r="AC146" s="153"/>
      <c r="AD146" s="153">
        <f t="shared" si="203"/>
        <v>0.44291338582677164</v>
      </c>
      <c r="AE146" s="317">
        <f t="shared" si="261"/>
        <v>1083.7333333333336</v>
      </c>
      <c r="AF146" s="463">
        <f t="shared" si="262"/>
        <v>1.1626476377952754E-2</v>
      </c>
      <c r="AH146" s="153">
        <f t="shared" si="263"/>
        <v>0.35132402626147191</v>
      </c>
      <c r="AI146" s="153">
        <f t="shared" si="264"/>
        <v>0.46173228346456691</v>
      </c>
      <c r="AJ146" s="153">
        <f t="shared" si="265"/>
        <v>1.4309128025663458</v>
      </c>
      <c r="AL146" s="317">
        <f t="shared" si="266"/>
        <v>36</v>
      </c>
      <c r="AM146" s="147">
        <f t="shared" si="267"/>
        <v>225.14419614025226</v>
      </c>
      <c r="AO146" s="147">
        <f t="shared" si="211"/>
        <v>36</v>
      </c>
      <c r="AP146" s="147">
        <f t="shared" si="212"/>
        <v>225.14419614025226</v>
      </c>
      <c r="AR146" s="5">
        <f t="shared" si="249"/>
        <v>4.4415979498625662</v>
      </c>
      <c r="AS146" s="5">
        <f t="shared" si="246"/>
        <v>3.0782152230971125</v>
      </c>
      <c r="AT146" s="5">
        <f t="shared" si="247"/>
        <v>1.3633827267654537</v>
      </c>
      <c r="AU146" s="153">
        <f t="shared" si="248"/>
        <v>0.69304229195088674</v>
      </c>
      <c r="AW146" s="5">
        <f t="shared" si="216"/>
        <v>0.55407874015748027</v>
      </c>
      <c r="AX146" s="5"/>
      <c r="AY146" s="5">
        <f t="shared" si="217"/>
        <v>0.69259842519685022</v>
      </c>
      <c r="AZ146" s="5"/>
      <c r="BA146" s="5">
        <f t="shared" si="218"/>
        <v>0.12118957571248476</v>
      </c>
      <c r="BB146" s="5"/>
      <c r="BC146" s="5"/>
      <c r="BD146" s="153">
        <f t="shared" si="219"/>
        <v>0.22192666259274435</v>
      </c>
      <c r="BE146" s="153">
        <f t="shared" si="220"/>
        <v>0.14769605149849896</v>
      </c>
      <c r="BF146" s="153">
        <f t="shared" si="221"/>
        <v>0.14711685129654406</v>
      </c>
      <c r="BG146" s="153"/>
      <c r="BH146" s="463">
        <f t="shared" si="222"/>
        <v>1.7238005249343828E-2</v>
      </c>
      <c r="BI146" s="463">
        <f t="shared" si="223"/>
        <v>1.5239999999999998E-2</v>
      </c>
      <c r="BJ146" s="463">
        <f t="shared" si="224"/>
        <v>2.8143024517531534E-3</v>
      </c>
      <c r="BK146" s="463">
        <f t="shared" si="225"/>
        <v>9.6774000000000009E-3</v>
      </c>
      <c r="BL146">
        <f t="shared" si="226"/>
        <v>2.6099999999999999E-3</v>
      </c>
      <c r="BM146">
        <f t="shared" si="268"/>
        <v>2.2514419614025226E-6</v>
      </c>
      <c r="BN146">
        <f t="shared" si="269"/>
        <v>5.0068327760572504E-2</v>
      </c>
      <c r="BO146" s="147">
        <f t="shared" si="229"/>
        <v>47.579707701096986</v>
      </c>
      <c r="BP146" s="153">
        <f t="shared" si="230"/>
        <v>1.44E-2</v>
      </c>
      <c r="BQ146" s="153">
        <f t="shared" si="231"/>
        <v>1.44E-2</v>
      </c>
      <c r="BR146" s="463"/>
      <c r="BT146" s="147">
        <f t="shared" si="232"/>
        <v>28.8</v>
      </c>
      <c r="BU146" s="463">
        <f t="shared" si="233"/>
        <v>4.9251443569553792E-2</v>
      </c>
      <c r="BV146" s="463">
        <f t="shared" si="234"/>
        <v>2.1814123628247258E-2</v>
      </c>
      <c r="BW146" s="463">
        <f t="shared" si="235"/>
        <v>1.0821683967704729E-3</v>
      </c>
      <c r="BX146" s="463">
        <f t="shared" si="236"/>
        <v>0</v>
      </c>
      <c r="BY146" s="463">
        <f t="shared" si="180"/>
        <v>8.1274565937425464E-2</v>
      </c>
      <c r="BZ146" s="463">
        <f t="shared" si="250"/>
        <v>7.2147735594571522E-2</v>
      </c>
      <c r="CA146" s="549">
        <f t="shared" si="270"/>
        <v>2.4E-2</v>
      </c>
      <c r="CB146" s="147">
        <f t="shared" si="238"/>
        <v>249.57003712656851</v>
      </c>
      <c r="CC146" s="153">
        <f t="shared" si="251"/>
        <v>0.18414289369799794</v>
      </c>
      <c r="CD146" s="5">
        <f t="shared" si="239"/>
        <v>1.2959999999999998</v>
      </c>
      <c r="CE146" s="153">
        <f t="shared" si="240"/>
        <v>0.87559113753001627</v>
      </c>
      <c r="CF146" s="5">
        <f t="shared" si="241"/>
        <v>87.559113753001625</v>
      </c>
      <c r="CG146">
        <f t="shared" si="242"/>
        <v>35.999999999999993</v>
      </c>
      <c r="CI146" s="59">
        <f t="shared" si="271"/>
        <v>-50</v>
      </c>
      <c r="CJ146">
        <f t="shared" si="272"/>
        <v>-50</v>
      </c>
    </row>
    <row r="147" spans="5:88" x14ac:dyDescent="0.25">
      <c r="E147" s="150">
        <v>37</v>
      </c>
      <c r="F147" s="191">
        <f t="shared" si="273"/>
        <v>3.6999999999999998E-2</v>
      </c>
      <c r="G147" s="191">
        <f t="shared" si="252"/>
        <v>3.6999999999999998E-2</v>
      </c>
      <c r="H147" s="191">
        <f t="shared" si="253"/>
        <v>0.74</v>
      </c>
      <c r="I147" s="191">
        <f t="shared" si="254"/>
        <v>0.59199999999999997</v>
      </c>
      <c r="J147" s="472">
        <f t="shared" si="186"/>
        <v>9</v>
      </c>
      <c r="K147" s="386">
        <f t="shared" si="187"/>
        <v>20.32</v>
      </c>
      <c r="L147" s="386">
        <f t="shared" si="188"/>
        <v>29.32</v>
      </c>
      <c r="M147" s="386"/>
      <c r="N147" s="191">
        <f t="shared" si="189"/>
        <v>0.69304229195088674</v>
      </c>
      <c r="O147" s="152">
        <f t="shared" si="255"/>
        <v>1.1695088676671213</v>
      </c>
      <c r="P147" s="152">
        <f t="shared" si="256"/>
        <v>1.6840927694406547</v>
      </c>
      <c r="Q147" s="191">
        <f t="shared" si="192"/>
        <v>5.8475443383356064E-2</v>
      </c>
      <c r="R147" s="191">
        <f t="shared" si="257"/>
        <v>7.3094304229195078E-2</v>
      </c>
      <c r="S147" s="191">
        <f t="shared" si="258"/>
        <v>20</v>
      </c>
      <c r="T147" s="191">
        <f t="shared" si="259"/>
        <v>0.47455818022747154</v>
      </c>
      <c r="U147" s="191">
        <f t="shared" si="196"/>
        <v>3.1637212015164771</v>
      </c>
      <c r="V147" s="191">
        <f t="shared" si="197"/>
        <v>1.4012544691756048</v>
      </c>
      <c r="W147" s="175">
        <f t="shared" si="198"/>
        <v>350</v>
      </c>
      <c r="X147" s="386">
        <f t="shared" si="199"/>
        <v>219.0592178661914</v>
      </c>
      <c r="Z147" s="191">
        <f t="shared" si="200"/>
        <v>0.29701812512180864</v>
      </c>
      <c r="AA147" s="153">
        <f t="shared" si="201"/>
        <v>0.87702202299746645</v>
      </c>
      <c r="AB147" s="153">
        <f t="shared" si="260"/>
        <v>2.5325556371231982E-2</v>
      </c>
      <c r="AC147" s="153"/>
      <c r="AD147" s="153">
        <f t="shared" si="203"/>
        <v>0.44291338582677164</v>
      </c>
      <c r="AE147" s="317">
        <f t="shared" si="261"/>
        <v>1113.8370370370371</v>
      </c>
      <c r="AF147" s="463">
        <f t="shared" si="262"/>
        <v>1.1626476377952754E-2</v>
      </c>
      <c r="AH147" s="153">
        <f t="shared" si="263"/>
        <v>0.35617010382279818</v>
      </c>
      <c r="AI147" s="153">
        <f t="shared" si="264"/>
        <v>0.47455818022747154</v>
      </c>
      <c r="AJ147" s="153">
        <f t="shared" si="265"/>
        <v>1.440413466835164</v>
      </c>
      <c r="AL147" s="317">
        <f t="shared" si="266"/>
        <v>37</v>
      </c>
      <c r="AM147" s="147">
        <f t="shared" si="267"/>
        <v>219.0592178661914</v>
      </c>
      <c r="AO147" s="147">
        <f t="shared" si="211"/>
        <v>37</v>
      </c>
      <c r="AP147" s="147">
        <f t="shared" si="212"/>
        <v>219.0592178661914</v>
      </c>
      <c r="AR147" s="5">
        <f t="shared" si="249"/>
        <v>4.5649756706920828</v>
      </c>
      <c r="AS147" s="5">
        <f t="shared" si="246"/>
        <v>3.1637212015164771</v>
      </c>
      <c r="AT147" s="5">
        <f t="shared" si="247"/>
        <v>1.4012544691756057</v>
      </c>
      <c r="AU147" s="153">
        <f t="shared" si="248"/>
        <v>0.69304229195088662</v>
      </c>
      <c r="AW147" s="5">
        <f t="shared" si="216"/>
        <v>0.58528842228054823</v>
      </c>
      <c r="AX147" s="5"/>
      <c r="AY147" s="5">
        <f t="shared" si="217"/>
        <v>0.73161052785068525</v>
      </c>
      <c r="AZ147" s="5"/>
      <c r="BA147" s="5">
        <f t="shared" si="218"/>
        <v>0.12801584039382077</v>
      </c>
      <c r="BB147" s="5"/>
      <c r="BC147" s="5"/>
      <c r="BD147" s="153">
        <f t="shared" si="219"/>
        <v>0.22809129210920945</v>
      </c>
      <c r="BE147" s="153">
        <f t="shared" si="220"/>
        <v>0.15179871959567953</v>
      </c>
      <c r="BF147" s="153">
        <f t="shared" si="221"/>
        <v>0.15120343049922591</v>
      </c>
      <c r="BG147" s="153"/>
      <c r="BH147" s="463">
        <f t="shared" si="222"/>
        <v>1.820897313761705E-2</v>
      </c>
      <c r="BI147" s="463">
        <f t="shared" si="223"/>
        <v>1.524E-2</v>
      </c>
      <c r="BJ147" s="463">
        <f t="shared" si="224"/>
        <v>2.7382402233273925E-3</v>
      </c>
      <c r="BK147" s="463">
        <f t="shared" si="225"/>
        <v>9.4158486486486514E-3</v>
      </c>
      <c r="BL147">
        <f t="shared" si="226"/>
        <v>2.6099999999999999E-3</v>
      </c>
      <c r="BM147">
        <f t="shared" si="268"/>
        <v>2.1905921786619139E-6</v>
      </c>
      <c r="BN147">
        <f t="shared" si="269"/>
        <v>5.0844278151890347E-2</v>
      </c>
      <c r="BO147" s="147">
        <f t="shared" si="229"/>
        <v>48.213062009593095</v>
      </c>
      <c r="BP147" s="153">
        <f t="shared" si="230"/>
        <v>1.4800000000000001E-2</v>
      </c>
      <c r="BQ147" s="153">
        <f t="shared" si="231"/>
        <v>1.4800000000000001E-2</v>
      </c>
      <c r="BR147" s="463"/>
      <c r="BT147" s="147">
        <f t="shared" si="232"/>
        <v>29.6</v>
      </c>
      <c r="BU147" s="463">
        <f t="shared" si="233"/>
        <v>5.2025637536048712E-2</v>
      </c>
      <c r="BV147" s="463">
        <f t="shared" si="234"/>
        <v>2.3042851270887742E-2</v>
      </c>
      <c r="BW147" s="463">
        <f t="shared" si="235"/>
        <v>1.1431238697367121E-3</v>
      </c>
      <c r="BX147" s="463">
        <f t="shared" si="236"/>
        <v>0</v>
      </c>
      <c r="BY147" s="463">
        <f t="shared" si="180"/>
        <v>8.5880614206380462E-2</v>
      </c>
      <c r="BZ147" s="463">
        <f t="shared" si="250"/>
        <v>7.621161267667316E-2</v>
      </c>
      <c r="CA147" s="549">
        <f t="shared" si="270"/>
        <v>2.466666666666667E-2</v>
      </c>
      <c r="CB147" s="147">
        <f t="shared" si="238"/>
        <v>262.97050622639347</v>
      </c>
      <c r="CC147" s="153">
        <f t="shared" si="251"/>
        <v>0.19099155902493747</v>
      </c>
      <c r="CD147" s="5">
        <f t="shared" si="239"/>
        <v>1.3319999999999999</v>
      </c>
      <c r="CE147" s="153">
        <f t="shared" si="240"/>
        <v>0.8745944730335764</v>
      </c>
      <c r="CF147" s="5">
        <f t="shared" si="241"/>
        <v>87.459447303357635</v>
      </c>
      <c r="CG147">
        <f t="shared" si="242"/>
        <v>36.999999999999993</v>
      </c>
      <c r="CI147" s="59">
        <f t="shared" si="271"/>
        <v>-50</v>
      </c>
      <c r="CJ147">
        <f t="shared" si="272"/>
        <v>-50</v>
      </c>
    </row>
    <row r="148" spans="5:88" x14ac:dyDescent="0.25">
      <c r="E148" s="150">
        <v>38</v>
      </c>
      <c r="F148" s="191">
        <f t="shared" si="273"/>
        <v>3.8000000000000006E-2</v>
      </c>
      <c r="G148" s="191">
        <f t="shared" si="252"/>
        <v>3.8000000000000006E-2</v>
      </c>
      <c r="H148" s="191">
        <f t="shared" si="253"/>
        <v>0.76000000000000012</v>
      </c>
      <c r="I148" s="191">
        <f t="shared" si="254"/>
        <v>0.6080000000000001</v>
      </c>
      <c r="J148" s="472">
        <f t="shared" si="186"/>
        <v>9</v>
      </c>
      <c r="K148" s="386">
        <f t="shared" si="187"/>
        <v>20.32</v>
      </c>
      <c r="L148" s="386">
        <f t="shared" si="188"/>
        <v>29.32</v>
      </c>
      <c r="M148" s="386"/>
      <c r="N148" s="191">
        <f t="shared" si="189"/>
        <v>0.69304229195088674</v>
      </c>
      <c r="O148" s="152">
        <f t="shared" si="255"/>
        <v>1.1695088676671213</v>
      </c>
      <c r="P148" s="152">
        <f t="shared" si="256"/>
        <v>1.6840927694406547</v>
      </c>
      <c r="Q148" s="191">
        <f t="shared" si="192"/>
        <v>5.8475443383356064E-2</v>
      </c>
      <c r="R148" s="191">
        <f t="shared" si="257"/>
        <v>7.3094304229195078E-2</v>
      </c>
      <c r="S148" s="191">
        <f t="shared" si="258"/>
        <v>20</v>
      </c>
      <c r="T148" s="191">
        <f t="shared" si="259"/>
        <v>0.48738407699037634</v>
      </c>
      <c r="U148" s="191">
        <f t="shared" si="196"/>
        <v>3.2492271799358425</v>
      </c>
      <c r="V148" s="191">
        <f t="shared" si="197"/>
        <v>1.439126211585757</v>
      </c>
      <c r="W148" s="175">
        <f t="shared" si="198"/>
        <v>350</v>
      </c>
      <c r="X148" s="386">
        <f t="shared" si="199"/>
        <v>213.29450160655472</v>
      </c>
      <c r="Z148" s="191">
        <f t="shared" si="200"/>
        <v>0.29701812512180864</v>
      </c>
      <c r="AA148" s="153">
        <f t="shared" si="201"/>
        <v>0.87702202299746645</v>
      </c>
      <c r="AB148" s="153">
        <f t="shared" si="260"/>
        <v>2.5325556371231982E-2</v>
      </c>
      <c r="AC148" s="153"/>
      <c r="AD148" s="153">
        <f t="shared" si="203"/>
        <v>0.44291338582677164</v>
      </c>
      <c r="AE148" s="317">
        <f t="shared" si="261"/>
        <v>1143.9407407407411</v>
      </c>
      <c r="AF148" s="463">
        <f t="shared" si="262"/>
        <v>1.1626476377952754E-2</v>
      </c>
      <c r="AH148" s="153">
        <f t="shared" si="263"/>
        <v>0.36095112451094302</v>
      </c>
      <c r="AI148" s="153">
        <f t="shared" si="264"/>
        <v>0.48738407699037634</v>
      </c>
      <c r="AJ148" s="153">
        <f t="shared" si="265"/>
        <v>1.4499141311039825</v>
      </c>
      <c r="AL148" s="317">
        <f t="shared" si="266"/>
        <v>38.000000000000007</v>
      </c>
      <c r="AM148" s="147">
        <f t="shared" si="267"/>
        <v>213.29450160655472</v>
      </c>
      <c r="AO148" s="147">
        <f t="shared" si="211"/>
        <v>38.000000000000007</v>
      </c>
      <c r="AP148" s="147">
        <f t="shared" si="212"/>
        <v>213.29450160655472</v>
      </c>
      <c r="AR148" s="5">
        <f t="shared" si="249"/>
        <v>4.6883533915215994</v>
      </c>
      <c r="AS148" s="5">
        <f t="shared" si="246"/>
        <v>3.2492271799358425</v>
      </c>
      <c r="AT148" s="5">
        <f t="shared" si="247"/>
        <v>1.4391262115857568</v>
      </c>
      <c r="AU148" s="153">
        <f t="shared" si="248"/>
        <v>0.69304229195088685</v>
      </c>
      <c r="AW148" s="5">
        <f t="shared" si="216"/>
        <v>0.61735316418781017</v>
      </c>
      <c r="AX148" s="5"/>
      <c r="AY148" s="5">
        <f t="shared" si="217"/>
        <v>0.77169145523476268</v>
      </c>
      <c r="AZ148" s="5"/>
      <c r="BA148" s="5">
        <f t="shared" si="218"/>
        <v>0.13502912602533026</v>
      </c>
      <c r="BB148" s="5"/>
      <c r="BC148" s="5"/>
      <c r="BD148" s="153">
        <f t="shared" si="219"/>
        <v>0.23425592162567471</v>
      </c>
      <c r="BE148" s="153">
        <f t="shared" si="220"/>
        <v>0.15590138769286005</v>
      </c>
      <c r="BF148" s="153">
        <f t="shared" si="221"/>
        <v>0.15529000970190765</v>
      </c>
      <c r="BG148" s="153"/>
      <c r="BH148" s="463">
        <f t="shared" si="222"/>
        <v>1.9206542885842986E-2</v>
      </c>
      <c r="BI148" s="463">
        <f t="shared" si="223"/>
        <v>1.524E-2</v>
      </c>
      <c r="BJ148" s="463">
        <f t="shared" si="224"/>
        <v>2.6661812700819339E-3</v>
      </c>
      <c r="BK148" s="463">
        <f t="shared" si="225"/>
        <v>9.1680631578947361E-3</v>
      </c>
      <c r="BL148">
        <f t="shared" si="226"/>
        <v>2.6099999999999999E-3</v>
      </c>
      <c r="BM148">
        <f t="shared" si="268"/>
        <v>2.1329450160655474E-6</v>
      </c>
      <c r="BN148">
        <f t="shared" si="269"/>
        <v>5.1668897824831882E-2</v>
      </c>
      <c r="BO148" s="147">
        <f t="shared" si="229"/>
        <v>48.890787313819658</v>
      </c>
      <c r="BP148" s="153">
        <f t="shared" si="230"/>
        <v>1.5200000000000003E-2</v>
      </c>
      <c r="BQ148" s="153">
        <f t="shared" si="231"/>
        <v>1.5200000000000003E-2</v>
      </c>
      <c r="BR148" s="463"/>
      <c r="BT148" s="147">
        <f t="shared" si="232"/>
        <v>30.400000000000006</v>
      </c>
      <c r="BU148" s="463">
        <f t="shared" si="233"/>
        <v>5.4875836816694251E-2</v>
      </c>
      <c r="BV148" s="463">
        <f t="shared" si="234"/>
        <v>2.4305242684559455E-2</v>
      </c>
      <c r="BW148" s="463">
        <f t="shared" si="235"/>
        <v>1.2057493556609285E-3</v>
      </c>
      <c r="BX148" s="463">
        <f t="shared" si="236"/>
        <v>0</v>
      </c>
      <c r="BY148" s="463">
        <f t="shared" si="180"/>
        <v>9.0615994917756612E-2</v>
      </c>
      <c r="BZ148" s="463">
        <f t="shared" si="250"/>
        <v>8.038682885691463E-2</v>
      </c>
      <c r="CA148" s="549">
        <f t="shared" si="270"/>
        <v>2.533333333333334E-2</v>
      </c>
      <c r="CB148" s="147">
        <f t="shared" si="238"/>
        <v>276.72298596491919</v>
      </c>
      <c r="CC148" s="153">
        <f t="shared" si="251"/>
        <v>0.19801822607592184</v>
      </c>
      <c r="CD148" s="5">
        <f t="shared" si="239"/>
        <v>1.3680000000000003</v>
      </c>
      <c r="CE148" s="153">
        <f t="shared" si="240"/>
        <v>0.87355305144046158</v>
      </c>
      <c r="CF148" s="5">
        <f t="shared" si="241"/>
        <v>87.355305144046156</v>
      </c>
      <c r="CG148">
        <f t="shared" si="242"/>
        <v>38.000000000000007</v>
      </c>
      <c r="CI148" s="59">
        <f t="shared" si="271"/>
        <v>-50</v>
      </c>
      <c r="CJ148">
        <f t="shared" si="272"/>
        <v>-50</v>
      </c>
    </row>
    <row r="149" spans="5:88" x14ac:dyDescent="0.25">
      <c r="E149" s="150">
        <v>39</v>
      </c>
      <c r="F149" s="191">
        <f t="shared" si="273"/>
        <v>3.9000000000000007E-2</v>
      </c>
      <c r="G149" s="191">
        <f t="shared" si="252"/>
        <v>3.9000000000000007E-2</v>
      </c>
      <c r="H149" s="191">
        <f t="shared" si="253"/>
        <v>0.78000000000000014</v>
      </c>
      <c r="I149" s="191">
        <f t="shared" si="254"/>
        <v>0.62400000000000011</v>
      </c>
      <c r="J149" s="472">
        <f t="shared" si="186"/>
        <v>9</v>
      </c>
      <c r="K149" s="386">
        <f t="shared" si="187"/>
        <v>20.32</v>
      </c>
      <c r="L149" s="386">
        <f t="shared" si="188"/>
        <v>29.32</v>
      </c>
      <c r="M149" s="386"/>
      <c r="N149" s="191">
        <f t="shared" si="189"/>
        <v>0.69304229195088674</v>
      </c>
      <c r="O149" s="152">
        <f t="shared" si="255"/>
        <v>1.1695088676671213</v>
      </c>
      <c r="P149" s="152">
        <f t="shared" si="256"/>
        <v>1.6840927694406547</v>
      </c>
      <c r="Q149" s="191">
        <f t="shared" si="192"/>
        <v>5.8475443383356064E-2</v>
      </c>
      <c r="R149" s="191">
        <f t="shared" si="257"/>
        <v>7.3094304229195078E-2</v>
      </c>
      <c r="S149" s="191">
        <f t="shared" si="258"/>
        <v>20</v>
      </c>
      <c r="T149" s="191">
        <f t="shared" si="259"/>
        <v>0.50020997375328102</v>
      </c>
      <c r="U149" s="191">
        <f t="shared" si="196"/>
        <v>3.3347331583552067</v>
      </c>
      <c r="V149" s="191">
        <f t="shared" si="197"/>
        <v>1.4769979539959084</v>
      </c>
      <c r="W149" s="175">
        <f t="shared" si="198"/>
        <v>350</v>
      </c>
      <c r="X149" s="386">
        <f t="shared" si="199"/>
        <v>207.82541182177124</v>
      </c>
      <c r="Z149" s="191">
        <f t="shared" si="200"/>
        <v>0.29701812512180864</v>
      </c>
      <c r="AA149" s="153">
        <f t="shared" si="201"/>
        <v>0.87702202299746645</v>
      </c>
      <c r="AB149" s="153">
        <f t="shared" si="260"/>
        <v>2.5325556371231982E-2</v>
      </c>
      <c r="AC149" s="153"/>
      <c r="AD149" s="153">
        <f t="shared" si="203"/>
        <v>0.44291338582677164</v>
      </c>
      <c r="AE149" s="317">
        <f t="shared" si="261"/>
        <v>1174.0444444444447</v>
      </c>
      <c r="AF149" s="463">
        <f t="shared" si="262"/>
        <v>1.1626476377952754E-2</v>
      </c>
      <c r="AH149" s="153">
        <f t="shared" si="263"/>
        <v>0.36566964013202646</v>
      </c>
      <c r="AI149" s="153">
        <f t="shared" si="264"/>
        <v>0.50020997375328102</v>
      </c>
      <c r="AJ149" s="153">
        <f t="shared" si="265"/>
        <v>1.4594147953728007</v>
      </c>
      <c r="AL149" s="317">
        <f t="shared" si="266"/>
        <v>39.000000000000007</v>
      </c>
      <c r="AM149" s="147">
        <f t="shared" si="267"/>
        <v>207.82541182177124</v>
      </c>
      <c r="AO149" s="147">
        <f t="shared" si="211"/>
        <v>39.000000000000007</v>
      </c>
      <c r="AP149" s="147">
        <f t="shared" si="212"/>
        <v>207.82541182177124</v>
      </c>
      <c r="AR149" s="5">
        <f t="shared" si="249"/>
        <v>4.8117311123511159</v>
      </c>
      <c r="AS149" s="5">
        <f t="shared" si="246"/>
        <v>3.3347331583552067</v>
      </c>
      <c r="AT149" s="5">
        <f t="shared" si="247"/>
        <v>1.4769979539959093</v>
      </c>
      <c r="AU149" s="153">
        <f t="shared" si="248"/>
        <v>0.69304229195088662</v>
      </c>
      <c r="AW149" s="5">
        <f t="shared" si="216"/>
        <v>0.65027296587926542</v>
      </c>
      <c r="AX149" s="5"/>
      <c r="AY149" s="5">
        <f t="shared" si="217"/>
        <v>0.81284120734908172</v>
      </c>
      <c r="AZ149" s="5"/>
      <c r="BA149" s="5">
        <f t="shared" si="218"/>
        <v>0.14222943260701351</v>
      </c>
      <c r="BB149" s="5"/>
      <c r="BC149" s="5"/>
      <c r="BD149" s="153">
        <f t="shared" si="219"/>
        <v>0.24042055114213978</v>
      </c>
      <c r="BE149" s="153">
        <f t="shared" si="220"/>
        <v>0.16000405579004065</v>
      </c>
      <c r="BF149" s="153">
        <f t="shared" si="221"/>
        <v>0.1593765889045895</v>
      </c>
      <c r="BG149" s="153"/>
      <c r="BH149" s="463">
        <f t="shared" si="222"/>
        <v>2.0230714494021588E-2</v>
      </c>
      <c r="BI149" s="463">
        <f t="shared" si="223"/>
        <v>1.524E-2</v>
      </c>
      <c r="BJ149" s="463">
        <f t="shared" si="224"/>
        <v>2.5978176477721407E-3</v>
      </c>
      <c r="BK149" s="463">
        <f t="shared" si="225"/>
        <v>8.9329846153846128E-3</v>
      </c>
      <c r="BL149">
        <f t="shared" si="226"/>
        <v>2.6099999999999999E-3</v>
      </c>
      <c r="BM149">
        <f t="shared" si="268"/>
        <v>2.0782541182177123E-6</v>
      </c>
      <c r="BN149">
        <f t="shared" si="269"/>
        <v>5.2540853715480236E-2</v>
      </c>
      <c r="BO149" s="147">
        <f t="shared" si="229"/>
        <v>49.611516757178343</v>
      </c>
      <c r="BP149" s="153">
        <f t="shared" si="230"/>
        <v>1.5600000000000003E-2</v>
      </c>
      <c r="BQ149" s="153">
        <f t="shared" si="231"/>
        <v>1.5600000000000003E-2</v>
      </c>
      <c r="BR149" s="463"/>
      <c r="BT149" s="147">
        <f t="shared" si="232"/>
        <v>31.200000000000006</v>
      </c>
      <c r="BU149" s="463">
        <f t="shared" si="233"/>
        <v>5.780204141149025E-2</v>
      </c>
      <c r="BV149" s="463">
        <f t="shared" si="234"/>
        <v>2.5601297869262442E-2</v>
      </c>
      <c r="BW149" s="463">
        <f t="shared" si="235"/>
        <v>1.2700448545431261E-3</v>
      </c>
      <c r="BX149" s="463">
        <f t="shared" si="236"/>
        <v>0</v>
      </c>
      <c r="BY149" s="463">
        <f t="shared" si="180"/>
        <v>9.548096595214535E-2</v>
      </c>
      <c r="BZ149" s="463">
        <f t="shared" si="250"/>
        <v>8.4673384135295821E-2</v>
      </c>
      <c r="CA149" s="549">
        <f t="shared" si="270"/>
        <v>2.6000000000000016E-2</v>
      </c>
      <c r="CB149" s="147">
        <f t="shared" si="238"/>
        <v>290.82773422273698</v>
      </c>
      <c r="CC149" s="153">
        <f t="shared" si="251"/>
        <v>0.20522181966762559</v>
      </c>
      <c r="CD149" s="5">
        <f t="shared" si="239"/>
        <v>1.4040000000000004</v>
      </c>
      <c r="CE149" s="153">
        <f t="shared" si="240"/>
        <v>0.87247139135236629</v>
      </c>
      <c r="CF149" s="5">
        <f t="shared" si="241"/>
        <v>87.247139135236623</v>
      </c>
      <c r="CG149">
        <f t="shared" si="242"/>
        <v>39.000000000000007</v>
      </c>
      <c r="CI149" s="59">
        <f t="shared" si="271"/>
        <v>-50</v>
      </c>
      <c r="CJ149">
        <f t="shared" si="272"/>
        <v>-50</v>
      </c>
    </row>
    <row r="150" spans="5:88" x14ac:dyDescent="0.25">
      <c r="E150" s="150">
        <v>40</v>
      </c>
      <c r="F150" s="191">
        <f t="shared" si="273"/>
        <v>4.0000000000000008E-2</v>
      </c>
      <c r="G150" s="191">
        <f t="shared" si="252"/>
        <v>4.0000000000000008E-2</v>
      </c>
      <c r="H150" s="191">
        <f t="shared" si="253"/>
        <v>0.80000000000000016</v>
      </c>
      <c r="I150" s="191">
        <f t="shared" si="254"/>
        <v>0.64000000000000012</v>
      </c>
      <c r="J150" s="472">
        <f t="shared" si="186"/>
        <v>9</v>
      </c>
      <c r="K150" s="386">
        <f t="shared" si="187"/>
        <v>20.32</v>
      </c>
      <c r="L150" s="386">
        <f t="shared" si="188"/>
        <v>29.32</v>
      </c>
      <c r="M150" s="386"/>
      <c r="N150" s="191">
        <f t="shared" si="189"/>
        <v>0.69304229195088674</v>
      </c>
      <c r="O150" s="152">
        <f t="shared" si="255"/>
        <v>1.1695088676671213</v>
      </c>
      <c r="P150" s="152">
        <f t="shared" si="256"/>
        <v>1.6840927694406547</v>
      </c>
      <c r="Q150" s="191">
        <f t="shared" si="192"/>
        <v>5.8475443383356064E-2</v>
      </c>
      <c r="R150" s="191">
        <f t="shared" si="257"/>
        <v>7.3094304229195078E-2</v>
      </c>
      <c r="S150" s="191">
        <f t="shared" si="258"/>
        <v>20</v>
      </c>
      <c r="T150" s="191">
        <f t="shared" si="259"/>
        <v>0.51303587051618571</v>
      </c>
      <c r="U150" s="191">
        <f t="shared" si="196"/>
        <v>3.4202391367745717</v>
      </c>
      <c r="V150" s="191">
        <f t="shared" si="197"/>
        <v>1.5148696964060602</v>
      </c>
      <c r="W150" s="175">
        <f t="shared" si="198"/>
        <v>350</v>
      </c>
      <c r="X150" s="386">
        <f t="shared" si="199"/>
        <v>202.62977652622695</v>
      </c>
      <c r="Z150" s="191">
        <f t="shared" si="200"/>
        <v>0.29701812512180864</v>
      </c>
      <c r="AA150" s="153">
        <f t="shared" si="201"/>
        <v>0.87702202299746645</v>
      </c>
      <c r="AB150" s="153">
        <f t="shared" si="260"/>
        <v>2.5325556371231982E-2</v>
      </c>
      <c r="AC150" s="153"/>
      <c r="AD150" s="153">
        <f t="shared" si="203"/>
        <v>0.44291338582677164</v>
      </c>
      <c r="AE150" s="317">
        <f t="shared" si="261"/>
        <v>1204.1481481481485</v>
      </c>
      <c r="AF150" s="463">
        <f t="shared" si="262"/>
        <v>1.1626476377952754E-2</v>
      </c>
      <c r="AH150" s="153">
        <f t="shared" si="263"/>
        <v>0.37032803990902063</v>
      </c>
      <c r="AI150" s="153">
        <f t="shared" si="264"/>
        <v>0.51303587051618571</v>
      </c>
      <c r="AJ150" s="153">
        <f t="shared" si="265"/>
        <v>1.468915459641619</v>
      </c>
      <c r="AL150" s="317">
        <f t="shared" si="266"/>
        <v>40.000000000000007</v>
      </c>
      <c r="AM150" s="147">
        <f t="shared" si="267"/>
        <v>202.62977652622695</v>
      </c>
      <c r="AO150" s="147">
        <f t="shared" si="211"/>
        <v>40.000000000000007</v>
      </c>
      <c r="AP150" s="147">
        <f t="shared" si="212"/>
        <v>202.62977652622695</v>
      </c>
      <c r="AR150" s="5">
        <f t="shared" si="249"/>
        <v>4.9351088331806316</v>
      </c>
      <c r="AS150" s="5">
        <f t="shared" si="246"/>
        <v>3.4202391367745717</v>
      </c>
      <c r="AT150" s="5">
        <f t="shared" si="247"/>
        <v>1.51486969640606</v>
      </c>
      <c r="AU150" s="153">
        <f t="shared" si="248"/>
        <v>0.69304229195088685</v>
      </c>
      <c r="AW150" s="5">
        <f t="shared" si="216"/>
        <v>0.68404782735491443</v>
      </c>
      <c r="AX150" s="5"/>
      <c r="AY150" s="5">
        <f t="shared" si="217"/>
        <v>0.85505978419364304</v>
      </c>
      <c r="AZ150" s="5"/>
      <c r="BA150" s="5">
        <f t="shared" si="218"/>
        <v>0.14961676013887015</v>
      </c>
      <c r="BB150" s="5"/>
      <c r="BC150" s="5"/>
      <c r="BD150" s="153">
        <f t="shared" si="219"/>
        <v>0.24658518065860499</v>
      </c>
      <c r="BE150" s="153">
        <f t="shared" si="220"/>
        <v>0.16410672388722114</v>
      </c>
      <c r="BF150" s="153">
        <f t="shared" si="221"/>
        <v>0.16346316810727127</v>
      </c>
      <c r="BG150" s="153"/>
      <c r="BH150" s="463">
        <f t="shared" si="222"/>
        <v>2.1281487962152901E-2</v>
      </c>
      <c r="BI150" s="463">
        <f t="shared" si="223"/>
        <v>1.524E-2</v>
      </c>
      <c r="BJ150" s="463">
        <f t="shared" si="224"/>
        <v>2.5328722065778367E-3</v>
      </c>
      <c r="BK150" s="463">
        <f t="shared" si="225"/>
        <v>8.7096599999999975E-3</v>
      </c>
      <c r="BL150">
        <f t="shared" si="226"/>
        <v>2.6099999999999999E-3</v>
      </c>
      <c r="BM150">
        <f t="shared" si="268"/>
        <v>2.0262977652622696E-6</v>
      </c>
      <c r="BN150">
        <f t="shared" si="269"/>
        <v>5.3458950410162118E-2</v>
      </c>
      <c r="BO150" s="147">
        <f t="shared" si="229"/>
        <v>50.374020168730745</v>
      </c>
      <c r="BP150" s="153">
        <f t="shared" si="230"/>
        <v>1.6000000000000004E-2</v>
      </c>
      <c r="BQ150" s="153">
        <f t="shared" si="231"/>
        <v>1.6000000000000004E-2</v>
      </c>
      <c r="BR150" s="463"/>
      <c r="BT150" s="147">
        <f t="shared" si="232"/>
        <v>32.000000000000007</v>
      </c>
      <c r="BU150" s="463">
        <f t="shared" si="233"/>
        <v>6.0804251320436861E-2</v>
      </c>
      <c r="BV150" s="463">
        <f t="shared" si="234"/>
        <v>2.6931016824996639E-2</v>
      </c>
      <c r="BW150" s="463">
        <f t="shared" si="235"/>
        <v>1.3360103663833014E-3</v>
      </c>
      <c r="BX150" s="463">
        <f t="shared" si="236"/>
        <v>0</v>
      </c>
      <c r="BY150" s="463">
        <f t="shared" si="180"/>
        <v>0.10047579251715411</v>
      </c>
      <c r="BZ150" s="463">
        <f t="shared" si="250"/>
        <v>8.9071278511816801E-2</v>
      </c>
      <c r="CA150" s="549">
        <f t="shared" si="270"/>
        <v>2.6666666666666686E-2</v>
      </c>
      <c r="CB150" s="147">
        <f t="shared" si="238"/>
        <v>305.28501620745436</v>
      </c>
      <c r="CC150" s="153">
        <f t="shared" si="251"/>
        <v>0.21260140959398288</v>
      </c>
      <c r="CD150" s="5">
        <f t="shared" si="239"/>
        <v>1.4400000000000004</v>
      </c>
      <c r="CE150" s="153">
        <f t="shared" si="240"/>
        <v>0.87135348647305366</v>
      </c>
      <c r="CF150" s="5">
        <f t="shared" si="241"/>
        <v>87.135348647305364</v>
      </c>
      <c r="CG150">
        <f t="shared" si="242"/>
        <v>40.000000000000007</v>
      </c>
      <c r="CI150" s="59">
        <f t="shared" si="271"/>
        <v>-50</v>
      </c>
      <c r="CJ150">
        <f t="shared" si="272"/>
        <v>-50</v>
      </c>
    </row>
    <row r="151" spans="5:88" x14ac:dyDescent="0.25">
      <c r="E151" s="150">
        <v>41</v>
      </c>
      <c r="F151" s="191">
        <f t="shared" si="273"/>
        <v>4.1000000000000002E-2</v>
      </c>
      <c r="G151" s="191">
        <f t="shared" si="252"/>
        <v>4.1000000000000002E-2</v>
      </c>
      <c r="H151" s="191">
        <f t="shared" si="253"/>
        <v>0.82000000000000006</v>
      </c>
      <c r="I151" s="191">
        <f t="shared" si="254"/>
        <v>0.65600000000000003</v>
      </c>
      <c r="J151" s="472">
        <f t="shared" si="186"/>
        <v>9</v>
      </c>
      <c r="K151" s="386">
        <f t="shared" si="187"/>
        <v>20.32</v>
      </c>
      <c r="L151" s="386">
        <f t="shared" si="188"/>
        <v>29.32</v>
      </c>
      <c r="M151" s="386"/>
      <c r="N151" s="191">
        <f t="shared" si="189"/>
        <v>0.69304229195088674</v>
      </c>
      <c r="O151" s="152">
        <f t="shared" si="255"/>
        <v>1.1695088676671213</v>
      </c>
      <c r="P151" s="152">
        <f t="shared" si="256"/>
        <v>1.6840927694406547</v>
      </c>
      <c r="Q151" s="191">
        <f t="shared" si="192"/>
        <v>5.8475443383356064E-2</v>
      </c>
      <c r="R151" s="191">
        <f t="shared" si="257"/>
        <v>7.3094304229195078E-2</v>
      </c>
      <c r="S151" s="191">
        <f t="shared" si="258"/>
        <v>20</v>
      </c>
      <c r="T151" s="191">
        <f t="shared" si="259"/>
        <v>0.52586176727909018</v>
      </c>
      <c r="U151" s="191">
        <f t="shared" si="196"/>
        <v>3.5057451151939341</v>
      </c>
      <c r="V151" s="191">
        <f t="shared" si="197"/>
        <v>1.5527414388162111</v>
      </c>
      <c r="W151" s="175">
        <f t="shared" si="198"/>
        <v>350</v>
      </c>
      <c r="X151" s="386">
        <f t="shared" si="199"/>
        <v>197.68758685485565</v>
      </c>
      <c r="Z151" s="191">
        <f t="shared" si="200"/>
        <v>0.29701812512180864</v>
      </c>
      <c r="AA151" s="153">
        <f t="shared" si="201"/>
        <v>0.87702202299746645</v>
      </c>
      <c r="AB151" s="153">
        <f t="shared" si="260"/>
        <v>2.5325556371231982E-2</v>
      </c>
      <c r="AC151" s="153"/>
      <c r="AD151" s="153">
        <f t="shared" si="203"/>
        <v>0.44291338582677164</v>
      </c>
      <c r="AE151" s="317">
        <f t="shared" si="261"/>
        <v>1234.2518518518521</v>
      </c>
      <c r="AF151" s="463">
        <f t="shared" si="262"/>
        <v>1.1626476377952754E-2</v>
      </c>
      <c r="AH151" s="153">
        <f t="shared" si="263"/>
        <v>0.37492856462455426</v>
      </c>
      <c r="AI151" s="153">
        <f t="shared" si="264"/>
        <v>0.52586176727909018</v>
      </c>
      <c r="AJ151" s="153">
        <f t="shared" si="265"/>
        <v>1.4784161239104372</v>
      </c>
      <c r="AL151" s="317">
        <f t="shared" si="266"/>
        <v>41</v>
      </c>
      <c r="AM151" s="147">
        <f t="shared" si="267"/>
        <v>197.68758685485565</v>
      </c>
      <c r="AO151" s="147">
        <f t="shared" si="211"/>
        <v>41</v>
      </c>
      <c r="AP151" s="147">
        <f t="shared" si="212"/>
        <v>197.68758685485565</v>
      </c>
      <c r="AR151" s="5">
        <f t="shared" si="249"/>
        <v>5.0584865540101447</v>
      </c>
      <c r="AS151" s="5">
        <f t="shared" si="246"/>
        <v>3.5057451151939341</v>
      </c>
      <c r="AT151" s="5">
        <f t="shared" si="247"/>
        <v>1.5527414388162106</v>
      </c>
      <c r="AU151" s="153">
        <f t="shared" si="248"/>
        <v>0.69304229195088685</v>
      </c>
      <c r="AW151" s="5">
        <f t="shared" si="216"/>
        <v>0.71867774861475653</v>
      </c>
      <c r="AX151" s="5"/>
      <c r="AY151" s="5">
        <f t="shared" si="217"/>
        <v>0.89834718576844563</v>
      </c>
      <c r="AZ151" s="5"/>
      <c r="BA151" s="5">
        <f t="shared" si="218"/>
        <v>0.15719110862090035</v>
      </c>
      <c r="BB151" s="5"/>
      <c r="BC151" s="5"/>
      <c r="BD151" s="153">
        <f t="shared" si="219"/>
        <v>0.25274981017507003</v>
      </c>
      <c r="BE151" s="153">
        <f t="shared" si="220"/>
        <v>0.1682093919844016</v>
      </c>
      <c r="BF151" s="153">
        <f t="shared" si="221"/>
        <v>0.16754974730995298</v>
      </c>
      <c r="BG151" s="153"/>
      <c r="BH151" s="463">
        <f t="shared" si="222"/>
        <v>2.2358863290236876E-2</v>
      </c>
      <c r="BI151" s="463">
        <f t="shared" si="223"/>
        <v>1.5240000000000002E-2</v>
      </c>
      <c r="BJ151" s="463">
        <f t="shared" si="224"/>
        <v>2.4710948356856956E-3</v>
      </c>
      <c r="BK151" s="463">
        <f t="shared" si="225"/>
        <v>8.4972292682926852E-3</v>
      </c>
      <c r="BL151">
        <f t="shared" si="226"/>
        <v>2.6099999999999999E-3</v>
      </c>
      <c r="BM151">
        <f t="shared" si="268"/>
        <v>1.9768758685485565E-6</v>
      </c>
      <c r="BN151">
        <f t="shared" si="269"/>
        <v>5.4422113476076006E-2</v>
      </c>
      <c r="BO151" s="147">
        <f t="shared" si="229"/>
        <v>51.17718739421526</v>
      </c>
      <c r="BP151" s="153">
        <f t="shared" si="230"/>
        <v>1.6400000000000001E-2</v>
      </c>
      <c r="BQ151" s="153">
        <f t="shared" si="231"/>
        <v>1.6400000000000001E-2</v>
      </c>
      <c r="BR151" s="463"/>
      <c r="BT151" s="147">
        <f t="shared" si="232"/>
        <v>32.800000000000004</v>
      </c>
      <c r="BU151" s="463">
        <f t="shared" si="233"/>
        <v>6.3882466543533939E-2</v>
      </c>
      <c r="BV151" s="463">
        <f t="shared" si="234"/>
        <v>2.8294399551762071E-2</v>
      </c>
      <c r="BW151" s="463">
        <f t="shared" si="235"/>
        <v>1.4036458911814548E-3</v>
      </c>
      <c r="BX151" s="463">
        <f t="shared" si="236"/>
        <v>0</v>
      </c>
      <c r="BY151" s="463">
        <f t="shared" si="180"/>
        <v>0.10560074718386443</v>
      </c>
      <c r="BZ151" s="463">
        <f t="shared" si="250"/>
        <v>9.3580511986477474E-2</v>
      </c>
      <c r="CA151" s="549">
        <f t="shared" si="270"/>
        <v>2.7333333333333341E-2</v>
      </c>
      <c r="CB151" s="147">
        <f t="shared" si="238"/>
        <v>320.09510449015272</v>
      </c>
      <c r="CC151" s="153">
        <f t="shared" si="251"/>
        <v>0.22015619399327377</v>
      </c>
      <c r="CD151" s="5">
        <f t="shared" si="239"/>
        <v>1.476</v>
      </c>
      <c r="CE151" s="153">
        <f t="shared" si="240"/>
        <v>0.87020287708589017</v>
      </c>
      <c r="CF151" s="5">
        <f t="shared" si="241"/>
        <v>87.020287708589024</v>
      </c>
      <c r="CG151">
        <f t="shared" si="242"/>
        <v>41</v>
      </c>
      <c r="CI151" s="59">
        <f t="shared" si="271"/>
        <v>-50</v>
      </c>
      <c r="CJ151">
        <f t="shared" si="272"/>
        <v>-50</v>
      </c>
    </row>
    <row r="152" spans="5:88" x14ac:dyDescent="0.25">
      <c r="E152" s="150">
        <v>42</v>
      </c>
      <c r="F152" s="191">
        <f t="shared" si="273"/>
        <v>4.2000000000000003E-2</v>
      </c>
      <c r="G152" s="191">
        <f t="shared" si="252"/>
        <v>4.2000000000000003E-2</v>
      </c>
      <c r="H152" s="191">
        <f t="shared" si="253"/>
        <v>0.84000000000000008</v>
      </c>
      <c r="I152" s="191">
        <f t="shared" si="254"/>
        <v>0.67200000000000004</v>
      </c>
      <c r="J152" s="472">
        <f t="shared" si="186"/>
        <v>9</v>
      </c>
      <c r="K152" s="386">
        <f t="shared" si="187"/>
        <v>20.32</v>
      </c>
      <c r="L152" s="386">
        <f t="shared" si="188"/>
        <v>29.32</v>
      </c>
      <c r="M152" s="386"/>
      <c r="N152" s="191">
        <f t="shared" si="189"/>
        <v>0.69304229195088674</v>
      </c>
      <c r="O152" s="152">
        <f t="shared" si="255"/>
        <v>1.1695088676671213</v>
      </c>
      <c r="P152" s="152">
        <f t="shared" si="256"/>
        <v>1.6840927694406547</v>
      </c>
      <c r="Q152" s="191">
        <f t="shared" si="192"/>
        <v>5.8475443383356064E-2</v>
      </c>
      <c r="R152" s="191">
        <f t="shared" si="257"/>
        <v>7.3094304229195078E-2</v>
      </c>
      <c r="S152" s="191">
        <f t="shared" si="258"/>
        <v>20</v>
      </c>
      <c r="T152" s="191">
        <f t="shared" si="259"/>
        <v>0.53868766404199475</v>
      </c>
      <c r="U152" s="191">
        <f t="shared" si="196"/>
        <v>3.5912510936132982</v>
      </c>
      <c r="V152" s="191">
        <f t="shared" si="197"/>
        <v>1.5906131812263624</v>
      </c>
      <c r="W152" s="175">
        <f t="shared" si="198"/>
        <v>350</v>
      </c>
      <c r="X152" s="386">
        <f t="shared" si="199"/>
        <v>192.98073954878765</v>
      </c>
      <c r="Z152" s="191">
        <f t="shared" si="200"/>
        <v>0.29701812512180864</v>
      </c>
      <c r="AA152" s="153">
        <f t="shared" si="201"/>
        <v>0.87702202299746645</v>
      </c>
      <c r="AB152" s="153">
        <f t="shared" si="260"/>
        <v>2.5325556371231982E-2</v>
      </c>
      <c r="AC152" s="153"/>
      <c r="AD152" s="153">
        <f t="shared" si="203"/>
        <v>0.44291338582677164</v>
      </c>
      <c r="AE152" s="317">
        <f t="shared" si="261"/>
        <v>1264.3555555555558</v>
      </c>
      <c r="AF152" s="463">
        <f t="shared" si="262"/>
        <v>1.1626476377952754E-2</v>
      </c>
      <c r="AH152" s="153">
        <f t="shared" si="263"/>
        <v>0.3794733192202055</v>
      </c>
      <c r="AI152" s="153">
        <f t="shared" si="264"/>
        <v>0.53868766404199475</v>
      </c>
      <c r="AJ152" s="153">
        <f t="shared" si="265"/>
        <v>1.4879167881792554</v>
      </c>
      <c r="AL152" s="317">
        <f t="shared" si="266"/>
        <v>42</v>
      </c>
      <c r="AM152" s="147">
        <f t="shared" si="267"/>
        <v>192.98073954878765</v>
      </c>
      <c r="AO152" s="147">
        <f t="shared" si="211"/>
        <v>42</v>
      </c>
      <c r="AP152" s="147">
        <f t="shared" si="212"/>
        <v>192.98073954878765</v>
      </c>
      <c r="AR152" s="5">
        <f t="shared" si="249"/>
        <v>5.1818642748396613</v>
      </c>
      <c r="AS152" s="5">
        <f t="shared" si="246"/>
        <v>3.5912510936132982</v>
      </c>
      <c r="AT152" s="5">
        <f t="shared" si="247"/>
        <v>1.5906131812263631</v>
      </c>
      <c r="AU152" s="153">
        <f t="shared" si="248"/>
        <v>0.69304229195088662</v>
      </c>
      <c r="AW152" s="5">
        <f t="shared" si="216"/>
        <v>0.75416272965879272</v>
      </c>
      <c r="AX152" s="5"/>
      <c r="AY152" s="5">
        <f t="shared" si="217"/>
        <v>0.94270341207349095</v>
      </c>
      <c r="AZ152" s="5"/>
      <c r="BA152" s="5">
        <f t="shared" si="218"/>
        <v>0.16495247805310431</v>
      </c>
      <c r="BB152" s="5"/>
      <c r="BC152" s="5"/>
      <c r="BD152" s="153">
        <f t="shared" si="219"/>
        <v>0.25891443969153505</v>
      </c>
      <c r="BE152" s="153">
        <f t="shared" si="220"/>
        <v>0.17231206008158217</v>
      </c>
      <c r="BF152" s="153">
        <f t="shared" si="221"/>
        <v>0.1716363265126348</v>
      </c>
      <c r="BG152" s="153"/>
      <c r="BH152" s="463">
        <f t="shared" si="222"/>
        <v>2.3462840478273541E-2</v>
      </c>
      <c r="BI152" s="463">
        <f t="shared" si="223"/>
        <v>1.524E-2</v>
      </c>
      <c r="BJ152" s="463">
        <f t="shared" si="224"/>
        <v>2.4122592443598457E-3</v>
      </c>
      <c r="BK152" s="463">
        <f t="shared" si="225"/>
        <v>8.294914285714286E-3</v>
      </c>
      <c r="BL152">
        <f t="shared" si="226"/>
        <v>2.6099999999999999E-3</v>
      </c>
      <c r="BM152">
        <f t="shared" si="268"/>
        <v>1.9298073954878765E-6</v>
      </c>
      <c r="BN152">
        <f t="shared" si="269"/>
        <v>5.5429375173705879E-2</v>
      </c>
      <c r="BO152" s="147">
        <f t="shared" si="229"/>
        <v>52.020014008347673</v>
      </c>
      <c r="BP152" s="153">
        <f t="shared" si="230"/>
        <v>1.6800000000000002E-2</v>
      </c>
      <c r="BQ152" s="153">
        <f t="shared" si="231"/>
        <v>1.6800000000000002E-2</v>
      </c>
      <c r="BR152" s="463"/>
      <c r="BT152" s="147">
        <f t="shared" si="232"/>
        <v>33.6</v>
      </c>
      <c r="BU152" s="463">
        <f t="shared" si="233"/>
        <v>6.7036687080781546E-2</v>
      </c>
      <c r="BV152" s="463">
        <f t="shared" si="234"/>
        <v>2.9691446049558784E-2</v>
      </c>
      <c r="BW152" s="463">
        <f t="shared" si="235"/>
        <v>1.4729514289375893E-3</v>
      </c>
      <c r="BX152" s="463">
        <f t="shared" si="236"/>
        <v>0</v>
      </c>
      <c r="BY152" s="463">
        <f t="shared" si="180"/>
        <v>0.11085610992435886</v>
      </c>
      <c r="BZ152" s="463">
        <f t="shared" si="250"/>
        <v>9.8201084559277924E-2</v>
      </c>
      <c r="CA152" s="549">
        <f t="shared" si="270"/>
        <v>2.8000000000000011E-2</v>
      </c>
      <c r="CB152" s="147">
        <f t="shared" si="238"/>
        <v>335.25827904291469</v>
      </c>
      <c r="CC152" s="153">
        <f t="shared" si="251"/>
        <v>0.22788548509806478</v>
      </c>
      <c r="CD152" s="5">
        <f t="shared" si="239"/>
        <v>1.512</v>
      </c>
      <c r="CE152" s="153">
        <f t="shared" si="240"/>
        <v>0.86902271037382639</v>
      </c>
      <c r="CF152" s="5">
        <f t="shared" si="241"/>
        <v>86.902271037382633</v>
      </c>
      <c r="CG152">
        <f t="shared" si="242"/>
        <v>42</v>
      </c>
      <c r="CI152" s="59">
        <f t="shared" si="271"/>
        <v>-50</v>
      </c>
      <c r="CJ152">
        <f t="shared" si="272"/>
        <v>-50</v>
      </c>
    </row>
    <row r="153" spans="5:88" x14ac:dyDescent="0.25">
      <c r="E153" s="150">
        <v>43</v>
      </c>
      <c r="F153" s="191">
        <f t="shared" si="273"/>
        <v>4.3000000000000003E-2</v>
      </c>
      <c r="G153" s="191">
        <f t="shared" si="252"/>
        <v>4.3000000000000003E-2</v>
      </c>
      <c r="H153" s="191">
        <f t="shared" si="253"/>
        <v>0.8600000000000001</v>
      </c>
      <c r="I153" s="191">
        <f t="shared" si="254"/>
        <v>0.68800000000000006</v>
      </c>
      <c r="J153" s="472">
        <f t="shared" si="186"/>
        <v>9</v>
      </c>
      <c r="K153" s="386">
        <f t="shared" si="187"/>
        <v>20.32</v>
      </c>
      <c r="L153" s="386">
        <f t="shared" si="188"/>
        <v>29.32</v>
      </c>
      <c r="M153" s="386"/>
      <c r="N153" s="191">
        <f t="shared" si="189"/>
        <v>0.69304229195088674</v>
      </c>
      <c r="O153" s="152">
        <f t="shared" si="255"/>
        <v>1.1695088676671213</v>
      </c>
      <c r="P153" s="152">
        <f t="shared" si="256"/>
        <v>1.6840927694406547</v>
      </c>
      <c r="Q153" s="191">
        <f t="shared" si="192"/>
        <v>5.8475443383356064E-2</v>
      </c>
      <c r="R153" s="191">
        <f t="shared" si="257"/>
        <v>7.3094304229195078E-2</v>
      </c>
      <c r="S153" s="191">
        <f t="shared" si="258"/>
        <v>20</v>
      </c>
      <c r="T153" s="191">
        <f t="shared" si="259"/>
        <v>0.55151356080489944</v>
      </c>
      <c r="U153" s="191">
        <f t="shared" si="196"/>
        <v>3.6767570720326632</v>
      </c>
      <c r="V153" s="191">
        <f t="shared" si="197"/>
        <v>1.6284849236365142</v>
      </c>
      <c r="W153" s="175">
        <f t="shared" si="198"/>
        <v>350</v>
      </c>
      <c r="X153" s="386">
        <f t="shared" si="199"/>
        <v>188.49281537323441</v>
      </c>
      <c r="Z153" s="191">
        <f t="shared" si="200"/>
        <v>0.29701812512180864</v>
      </c>
      <c r="AA153" s="153">
        <f t="shared" si="201"/>
        <v>0.87702202299746645</v>
      </c>
      <c r="AB153" s="153">
        <f t="shared" si="260"/>
        <v>2.5325556371231982E-2</v>
      </c>
      <c r="AC153" s="153"/>
      <c r="AD153" s="153">
        <f t="shared" si="203"/>
        <v>0.44291338582677164</v>
      </c>
      <c r="AE153" s="317">
        <f t="shared" si="261"/>
        <v>1294.4592592592596</v>
      </c>
      <c r="AF153" s="463">
        <f t="shared" si="262"/>
        <v>1.1626476377952754E-2</v>
      </c>
      <c r="AH153" s="153">
        <f t="shared" si="263"/>
        <v>0.38396428405331068</v>
      </c>
      <c r="AI153" s="153">
        <f t="shared" si="264"/>
        <v>0.55151356080489944</v>
      </c>
      <c r="AJ153" s="153">
        <f t="shared" si="265"/>
        <v>1.4974174524480737</v>
      </c>
      <c r="AL153" s="317">
        <f t="shared" si="266"/>
        <v>43</v>
      </c>
      <c r="AM153" s="147">
        <f t="shared" si="267"/>
        <v>188.49281537323441</v>
      </c>
      <c r="AO153" s="147">
        <f t="shared" si="211"/>
        <v>43</v>
      </c>
      <c r="AP153" s="147">
        <f t="shared" si="212"/>
        <v>188.49281537323441</v>
      </c>
      <c r="AR153" s="5">
        <f t="shared" si="249"/>
        <v>5.3052419956691779</v>
      </c>
      <c r="AS153" s="5">
        <f t="shared" si="246"/>
        <v>3.6767570720326632</v>
      </c>
      <c r="AT153" s="5">
        <f t="shared" si="247"/>
        <v>1.6284849236365146</v>
      </c>
      <c r="AU153" s="153">
        <f t="shared" si="248"/>
        <v>0.69304229195088674</v>
      </c>
      <c r="AW153" s="5">
        <f t="shared" si="216"/>
        <v>0.79050277048702267</v>
      </c>
      <c r="AX153" s="5"/>
      <c r="AY153" s="5">
        <f t="shared" si="217"/>
        <v>0.98812846310877833</v>
      </c>
      <c r="AZ153" s="5"/>
      <c r="BA153" s="5">
        <f t="shared" si="218"/>
        <v>0.1729008684354818</v>
      </c>
      <c r="BB153" s="5"/>
      <c r="BC153" s="5"/>
      <c r="BD153" s="153">
        <f t="shared" si="219"/>
        <v>0.26507906920800023</v>
      </c>
      <c r="BE153" s="153">
        <f t="shared" si="220"/>
        <v>0.17641472817876269</v>
      </c>
      <c r="BF153" s="153">
        <f t="shared" si="221"/>
        <v>0.17572290571531657</v>
      </c>
      <c r="BG153" s="153"/>
      <c r="BH153" s="463">
        <f t="shared" si="222"/>
        <v>2.459341952626292E-2</v>
      </c>
      <c r="BI153" s="463">
        <f t="shared" si="223"/>
        <v>1.5239999999999995E-2</v>
      </c>
      <c r="BJ153" s="463">
        <f t="shared" si="224"/>
        <v>2.3561601921654298E-3</v>
      </c>
      <c r="BK153" s="463">
        <f t="shared" si="225"/>
        <v>8.1020093023255798E-3</v>
      </c>
      <c r="BL153">
        <f t="shared" si="226"/>
        <v>2.6099999999999999E-3</v>
      </c>
      <c r="BM153">
        <f t="shared" si="268"/>
        <v>1.8849281537323442E-6</v>
      </c>
      <c r="BN153">
        <f t="shared" si="269"/>
        <v>5.6479862163299657E-2</v>
      </c>
      <c r="BO153" s="147">
        <f t="shared" si="229"/>
        <v>52.901589020753931</v>
      </c>
      <c r="BP153" s="153">
        <f t="shared" si="230"/>
        <v>1.7200000000000003E-2</v>
      </c>
      <c r="BQ153" s="153">
        <f t="shared" si="231"/>
        <v>1.7200000000000003E-2</v>
      </c>
      <c r="BR153" s="463"/>
      <c r="BT153" s="147">
        <f t="shared" si="232"/>
        <v>34.400000000000006</v>
      </c>
      <c r="BU153" s="463">
        <f t="shared" si="233"/>
        <v>7.0266912932179779E-2</v>
      </c>
      <c r="BV153" s="463">
        <f t="shared" si="234"/>
        <v>3.1122156318386728E-2</v>
      </c>
      <c r="BW153" s="463">
        <f t="shared" si="235"/>
        <v>1.5439269796517019E-3</v>
      </c>
      <c r="BX153" s="463">
        <f t="shared" si="236"/>
        <v>0</v>
      </c>
      <c r="BY153" s="463">
        <f t="shared" si="180"/>
        <v>0.1162421681503252</v>
      </c>
      <c r="BZ153" s="463">
        <f t="shared" si="250"/>
        <v>0.10293299623021822</v>
      </c>
      <c r="CA153" s="549">
        <f t="shared" si="270"/>
        <v>2.866666666666667E-2</v>
      </c>
      <c r="CB153" s="147">
        <f t="shared" si="238"/>
        <v>350.7748272774283</v>
      </c>
      <c r="CC153" s="153">
        <f t="shared" si="251"/>
        <v>0.23578869698029153</v>
      </c>
      <c r="CD153" s="5">
        <f t="shared" si="239"/>
        <v>1.548</v>
      </c>
      <c r="CE153" s="153">
        <f t="shared" si="240"/>
        <v>0.86781579153436206</v>
      </c>
      <c r="CF153" s="5">
        <f t="shared" si="241"/>
        <v>86.781579153436212</v>
      </c>
      <c r="CG153">
        <f t="shared" si="242"/>
        <v>43</v>
      </c>
      <c r="CI153" s="59">
        <f t="shared" si="271"/>
        <v>-50</v>
      </c>
      <c r="CJ153">
        <f t="shared" si="272"/>
        <v>-50</v>
      </c>
    </row>
    <row r="154" spans="5:88" x14ac:dyDescent="0.25">
      <c r="E154" s="150">
        <v>44</v>
      </c>
      <c r="F154" s="191">
        <f t="shared" si="273"/>
        <v>4.4000000000000004E-2</v>
      </c>
      <c r="G154" s="191">
        <f t="shared" si="252"/>
        <v>4.4000000000000004E-2</v>
      </c>
      <c r="H154" s="191">
        <f t="shared" si="253"/>
        <v>0.88000000000000012</v>
      </c>
      <c r="I154" s="191">
        <f t="shared" si="254"/>
        <v>0.70400000000000007</v>
      </c>
      <c r="J154" s="472">
        <f t="shared" si="186"/>
        <v>9</v>
      </c>
      <c r="K154" s="386">
        <f t="shared" si="187"/>
        <v>20.32</v>
      </c>
      <c r="L154" s="386">
        <f t="shared" si="188"/>
        <v>29.32</v>
      </c>
      <c r="M154" s="386"/>
      <c r="N154" s="191">
        <f t="shared" si="189"/>
        <v>0.69304229195088674</v>
      </c>
      <c r="O154" s="152">
        <f t="shared" si="255"/>
        <v>1.1695088676671213</v>
      </c>
      <c r="P154" s="152">
        <f t="shared" si="256"/>
        <v>1.6840927694406547</v>
      </c>
      <c r="Q154" s="191">
        <f t="shared" si="192"/>
        <v>5.8475443383356064E-2</v>
      </c>
      <c r="R154" s="191">
        <f t="shared" si="257"/>
        <v>7.3094304229195078E-2</v>
      </c>
      <c r="S154" s="191">
        <f t="shared" si="258"/>
        <v>20</v>
      </c>
      <c r="T154" s="191">
        <f t="shared" si="259"/>
        <v>0.56433945756780413</v>
      </c>
      <c r="U154" s="191">
        <f t="shared" si="196"/>
        <v>3.7622630504520274</v>
      </c>
      <c r="V154" s="191">
        <f t="shared" si="197"/>
        <v>1.6663566660466658</v>
      </c>
      <c r="W154" s="175">
        <f t="shared" si="198"/>
        <v>350</v>
      </c>
      <c r="X154" s="386">
        <f t="shared" si="199"/>
        <v>184.20888775111547</v>
      </c>
      <c r="Z154" s="191">
        <f t="shared" si="200"/>
        <v>0.29701812512180864</v>
      </c>
      <c r="AA154" s="153">
        <f t="shared" si="201"/>
        <v>0.87702202299746645</v>
      </c>
      <c r="AB154" s="153">
        <f t="shared" si="260"/>
        <v>2.5325556371231982E-2</v>
      </c>
      <c r="AC154" s="153"/>
      <c r="AD154" s="153">
        <f t="shared" si="203"/>
        <v>0.44291338582677164</v>
      </c>
      <c r="AE154" s="317">
        <f t="shared" si="261"/>
        <v>1324.5629629629634</v>
      </c>
      <c r="AF154" s="463">
        <f t="shared" si="262"/>
        <v>1.1626476377952754E-2</v>
      </c>
      <c r="AH154" s="153">
        <f t="shared" si="263"/>
        <v>0.38840332498208979</v>
      </c>
      <c r="AI154" s="153">
        <f t="shared" si="264"/>
        <v>0.56433945756780413</v>
      </c>
      <c r="AJ154" s="153">
        <f t="shared" si="265"/>
        <v>1.5069181167168919</v>
      </c>
      <c r="AL154" s="317">
        <f t="shared" si="266"/>
        <v>44.000000000000007</v>
      </c>
      <c r="AM154" s="147">
        <f t="shared" si="267"/>
        <v>184.20888775111547</v>
      </c>
      <c r="AO154" s="147">
        <f t="shared" si="211"/>
        <v>44.000000000000007</v>
      </c>
      <c r="AP154" s="147">
        <f t="shared" si="212"/>
        <v>184.20888775111547</v>
      </c>
      <c r="AR154" s="5">
        <f t="shared" si="249"/>
        <v>5.4286197164986927</v>
      </c>
      <c r="AS154" s="5">
        <f t="shared" si="246"/>
        <v>3.7622630504520274</v>
      </c>
      <c r="AT154" s="5">
        <f t="shared" si="247"/>
        <v>1.6663566660466653</v>
      </c>
      <c r="AU154" s="153">
        <f t="shared" si="248"/>
        <v>0.69304229195088685</v>
      </c>
      <c r="AW154" s="5">
        <f t="shared" si="216"/>
        <v>0.82769787109944615</v>
      </c>
      <c r="AX154" s="5"/>
      <c r="AY154" s="5">
        <f t="shared" si="217"/>
        <v>1.0346223388743074</v>
      </c>
      <c r="AZ154" s="5"/>
      <c r="BA154" s="5">
        <f t="shared" si="218"/>
        <v>0.1810362797680328</v>
      </c>
      <c r="BB154" s="5"/>
      <c r="BC154" s="5"/>
      <c r="BD154" s="153">
        <f t="shared" si="219"/>
        <v>0.27124369872446541</v>
      </c>
      <c r="BE154" s="153">
        <f t="shared" si="220"/>
        <v>0.18051739627594318</v>
      </c>
      <c r="BF154" s="153">
        <f t="shared" si="221"/>
        <v>0.17980948491799834</v>
      </c>
      <c r="BG154" s="153"/>
      <c r="BH154" s="463">
        <f t="shared" si="222"/>
        <v>2.5750600434204993E-2</v>
      </c>
      <c r="BI154" s="463">
        <f t="shared" si="223"/>
        <v>1.5240000000000002E-2</v>
      </c>
      <c r="BJ154" s="463">
        <f t="shared" si="224"/>
        <v>2.302611096888943E-3</v>
      </c>
      <c r="BK154" s="463">
        <f t="shared" si="225"/>
        <v>7.9178727272727276E-3</v>
      </c>
      <c r="BL154">
        <f t="shared" si="226"/>
        <v>2.6099999999999999E-3</v>
      </c>
      <c r="BM154">
        <f t="shared" si="268"/>
        <v>1.8420888775111546E-6</v>
      </c>
      <c r="BN154">
        <f t="shared" si="269"/>
        <v>5.7572784888187005E-2</v>
      </c>
      <c r="BO154" s="147">
        <f t="shared" si="229"/>
        <v>53.821084258366668</v>
      </c>
      <c r="BP154" s="153">
        <f t="shared" si="230"/>
        <v>1.7600000000000001E-2</v>
      </c>
      <c r="BQ154" s="153">
        <f t="shared" si="231"/>
        <v>1.7600000000000001E-2</v>
      </c>
      <c r="BR154" s="463"/>
      <c r="BT154" s="147">
        <f t="shared" si="232"/>
        <v>35.200000000000003</v>
      </c>
      <c r="BU154" s="463">
        <f t="shared" si="233"/>
        <v>7.3573144097728554E-2</v>
      </c>
      <c r="BV154" s="463">
        <f t="shared" si="234"/>
        <v>3.2586530358245908E-2</v>
      </c>
      <c r="BW154" s="463">
        <f t="shared" si="235"/>
        <v>1.6165725433237934E-3</v>
      </c>
      <c r="BX154" s="463">
        <f t="shared" si="236"/>
        <v>0</v>
      </c>
      <c r="BY154" s="463">
        <f t="shared" si="180"/>
        <v>0.12175921675274889</v>
      </c>
      <c r="BZ154" s="463">
        <f t="shared" si="250"/>
        <v>0.10777624699929826</v>
      </c>
      <c r="CA154" s="549">
        <f t="shared" si="270"/>
        <v>2.9333333333333347E-2</v>
      </c>
      <c r="CB154" s="147">
        <f t="shared" si="238"/>
        <v>366.64504408467872</v>
      </c>
      <c r="CC154" s="153">
        <f t="shared" si="251"/>
        <v>0.24386533497426924</v>
      </c>
      <c r="CD154" s="5">
        <f t="shared" si="239"/>
        <v>1.5840000000000001</v>
      </c>
      <c r="CE154" s="153">
        <f t="shared" si="240"/>
        <v>0.86658462726538765</v>
      </c>
      <c r="CF154" s="5">
        <f t="shared" si="241"/>
        <v>86.658462726538772</v>
      </c>
      <c r="CG154">
        <f t="shared" si="242"/>
        <v>44</v>
      </c>
      <c r="CI154" s="59">
        <f t="shared" si="271"/>
        <v>-50</v>
      </c>
      <c r="CJ154">
        <f t="shared" si="272"/>
        <v>-50</v>
      </c>
    </row>
    <row r="155" spans="5:88" x14ac:dyDescent="0.25">
      <c r="E155" s="150">
        <v>45</v>
      </c>
      <c r="F155" s="191">
        <f t="shared" si="273"/>
        <v>4.5000000000000005E-2</v>
      </c>
      <c r="G155" s="191">
        <f t="shared" si="252"/>
        <v>4.5000000000000005E-2</v>
      </c>
      <c r="H155" s="191">
        <f t="shared" si="253"/>
        <v>0.90000000000000013</v>
      </c>
      <c r="I155" s="191">
        <f t="shared" si="254"/>
        <v>0.72000000000000008</v>
      </c>
      <c r="J155" s="472">
        <f t="shared" si="186"/>
        <v>9</v>
      </c>
      <c r="K155" s="386">
        <f t="shared" si="187"/>
        <v>20.32</v>
      </c>
      <c r="L155" s="386">
        <f t="shared" si="188"/>
        <v>29.32</v>
      </c>
      <c r="M155" s="386"/>
      <c r="N155" s="191">
        <f t="shared" si="189"/>
        <v>0.69304229195088674</v>
      </c>
      <c r="O155" s="152">
        <f t="shared" si="255"/>
        <v>1.1695088676671213</v>
      </c>
      <c r="P155" s="152">
        <f t="shared" si="256"/>
        <v>1.6840927694406547</v>
      </c>
      <c r="Q155" s="191">
        <f t="shared" si="192"/>
        <v>5.8475443383356064E-2</v>
      </c>
      <c r="R155" s="191">
        <f t="shared" si="257"/>
        <v>7.3094304229195078E-2</v>
      </c>
      <c r="S155" s="191">
        <f t="shared" si="258"/>
        <v>20</v>
      </c>
      <c r="T155" s="191">
        <f t="shared" si="259"/>
        <v>0.5771653543307087</v>
      </c>
      <c r="U155" s="191">
        <f t="shared" si="196"/>
        <v>3.8477690288713915</v>
      </c>
      <c r="V155" s="191">
        <f t="shared" si="197"/>
        <v>1.7042284084568171</v>
      </c>
      <c r="W155" s="175">
        <f t="shared" si="198"/>
        <v>350</v>
      </c>
      <c r="X155" s="386">
        <f t="shared" si="199"/>
        <v>180.1153569122018</v>
      </c>
      <c r="Z155" s="191">
        <f t="shared" si="200"/>
        <v>0.29701812512180864</v>
      </c>
      <c r="AA155" s="153">
        <f t="shared" si="201"/>
        <v>0.87702202299746645</v>
      </c>
      <c r="AB155" s="153">
        <f t="shared" si="260"/>
        <v>2.5325556371231982E-2</v>
      </c>
      <c r="AC155" s="153"/>
      <c r="AD155" s="153">
        <f t="shared" si="203"/>
        <v>0.44291338582677164</v>
      </c>
      <c r="AE155" s="317">
        <f t="shared" si="261"/>
        <v>1354.666666666667</v>
      </c>
      <c r="AF155" s="463">
        <f t="shared" si="262"/>
        <v>1.1626476377952754E-2</v>
      </c>
      <c r="AH155" s="153">
        <f t="shared" si="263"/>
        <v>0.3927922024247863</v>
      </c>
      <c r="AI155" s="153">
        <f t="shared" si="264"/>
        <v>0.5771653543307087</v>
      </c>
      <c r="AJ155" s="153">
        <f t="shared" si="265"/>
        <v>1.5164187809857101</v>
      </c>
      <c r="AL155" s="317">
        <f t="shared" si="266"/>
        <v>45.000000000000007</v>
      </c>
      <c r="AM155" s="147">
        <f t="shared" si="267"/>
        <v>180.1153569122018</v>
      </c>
      <c r="AO155" s="147">
        <f t="shared" si="211"/>
        <v>45.000000000000007</v>
      </c>
      <c r="AP155" s="147">
        <f t="shared" si="212"/>
        <v>180.1153569122018</v>
      </c>
      <c r="AR155" s="5">
        <f t="shared" si="249"/>
        <v>5.5519974373282075</v>
      </c>
      <c r="AS155" s="5">
        <f t="shared" si="246"/>
        <v>3.8477690288713915</v>
      </c>
      <c r="AT155" s="5">
        <f t="shared" si="247"/>
        <v>1.704228408456816</v>
      </c>
      <c r="AU155" s="153">
        <f t="shared" si="248"/>
        <v>0.69304229195088696</v>
      </c>
      <c r="AW155" s="5">
        <f t="shared" si="216"/>
        <v>0.86574803149606316</v>
      </c>
      <c r="AX155" s="5"/>
      <c r="AY155" s="5">
        <f t="shared" si="217"/>
        <v>1.0821850393700791</v>
      </c>
      <c r="AZ155" s="5"/>
      <c r="BA155" s="5">
        <f t="shared" si="218"/>
        <v>0.18935871205075738</v>
      </c>
      <c r="BB155" s="5"/>
      <c r="BC155" s="5"/>
      <c r="BD155" s="153">
        <f t="shared" si="219"/>
        <v>0.27740832824093054</v>
      </c>
      <c r="BE155" s="153">
        <f t="shared" si="220"/>
        <v>0.18462006437312364</v>
      </c>
      <c r="BF155" s="153">
        <f t="shared" si="221"/>
        <v>0.18389606412068005</v>
      </c>
      <c r="BG155" s="153"/>
      <c r="BH155" s="463">
        <f t="shared" si="222"/>
        <v>2.6934383202099749E-2</v>
      </c>
      <c r="BI155" s="463">
        <f t="shared" si="223"/>
        <v>1.5240000000000002E-2</v>
      </c>
      <c r="BJ155" s="463">
        <f t="shared" si="224"/>
        <v>2.2514419614025226E-3</v>
      </c>
      <c r="BK155" s="463">
        <f t="shared" si="225"/>
        <v>7.7419200000000011E-3</v>
      </c>
      <c r="BL155">
        <f t="shared" si="226"/>
        <v>2.6099999999999999E-3</v>
      </c>
      <c r="BM155">
        <f t="shared" si="268"/>
        <v>1.8011535691220181E-6</v>
      </c>
      <c r="BN155">
        <f t="shared" si="269"/>
        <v>5.8707428374106571E-2</v>
      </c>
      <c r="BO155" s="147">
        <f t="shared" si="229"/>
        <v>54.777745163502267</v>
      </c>
      <c r="BP155" s="153">
        <f t="shared" si="230"/>
        <v>1.8000000000000002E-2</v>
      </c>
      <c r="BQ155" s="153">
        <f t="shared" si="231"/>
        <v>1.8000000000000002E-2</v>
      </c>
      <c r="BR155" s="463"/>
      <c r="BT155" s="147">
        <f t="shared" si="232"/>
        <v>36.000000000000007</v>
      </c>
      <c r="BU155" s="463">
        <f t="shared" si="233"/>
        <v>7.6955380577427859E-2</v>
      </c>
      <c r="BV155" s="463">
        <f t="shared" si="234"/>
        <v>3.4084568169136319E-2</v>
      </c>
      <c r="BW155" s="463">
        <f t="shared" si="235"/>
        <v>1.6908881199538634E-3</v>
      </c>
      <c r="BX155" s="463">
        <f t="shared" si="236"/>
        <v>0</v>
      </c>
      <c r="BY155" s="463">
        <f t="shared" si="180"/>
        <v>0.12740755814270394</v>
      </c>
      <c r="BZ155" s="463">
        <f t="shared" si="250"/>
        <v>0.11273083686651804</v>
      </c>
      <c r="CA155" s="549">
        <f t="shared" si="270"/>
        <v>3.0000000000000009E-2</v>
      </c>
      <c r="CB155" s="147">
        <f t="shared" si="238"/>
        <v>382.86923187574001</v>
      </c>
      <c r="CC155" s="153">
        <f t="shared" si="251"/>
        <v>0.25211498651681052</v>
      </c>
      <c r="CD155" s="5">
        <f t="shared" si="239"/>
        <v>1.62</v>
      </c>
      <c r="CE155" s="153">
        <f t="shared" si="240"/>
        <v>0.86533146290021068</v>
      </c>
      <c r="CF155" s="5">
        <f t="shared" si="241"/>
        <v>86.533146290021065</v>
      </c>
      <c r="CG155">
        <f t="shared" si="242"/>
        <v>45</v>
      </c>
      <c r="CI155" s="59">
        <f t="shared" si="271"/>
        <v>-50</v>
      </c>
      <c r="CJ155">
        <f t="shared" si="272"/>
        <v>-50</v>
      </c>
    </row>
    <row r="156" spans="5:88" s="59" customFormat="1" x14ac:dyDescent="0.25">
      <c r="E156" s="150">
        <v>46</v>
      </c>
      <c r="F156" s="191">
        <f t="shared" si="273"/>
        <v>4.6000000000000006E-2</v>
      </c>
      <c r="G156" s="191">
        <f t="shared" si="252"/>
        <v>4.6000000000000006E-2</v>
      </c>
      <c r="H156" s="191">
        <f t="shared" si="253"/>
        <v>0.92000000000000015</v>
      </c>
      <c r="I156" s="191">
        <f t="shared" si="254"/>
        <v>0.7360000000000001</v>
      </c>
      <c r="J156" s="472">
        <f t="shared" si="186"/>
        <v>9</v>
      </c>
      <c r="K156" s="386">
        <f t="shared" si="187"/>
        <v>20.32</v>
      </c>
      <c r="L156" s="386">
        <f t="shared" si="188"/>
        <v>29.32</v>
      </c>
      <c r="M156" s="386"/>
      <c r="N156" s="191">
        <f t="shared" si="189"/>
        <v>0.69304229195088674</v>
      </c>
      <c r="O156" s="152">
        <f t="shared" si="255"/>
        <v>1.1695088676671213</v>
      </c>
      <c r="P156" s="152">
        <f t="shared" si="256"/>
        <v>1.6840927694406547</v>
      </c>
      <c r="Q156" s="191">
        <f t="shared" si="192"/>
        <v>5.8475443383356064E-2</v>
      </c>
      <c r="R156" s="191">
        <f t="shared" si="257"/>
        <v>7.3094304229195078E-2</v>
      </c>
      <c r="S156" s="191">
        <f t="shared" si="258"/>
        <v>20</v>
      </c>
      <c r="T156" s="191">
        <f t="shared" si="259"/>
        <v>0.58999125109361339</v>
      </c>
      <c r="U156" s="191">
        <f t="shared" si="196"/>
        <v>3.9332750072907565</v>
      </c>
      <c r="V156" s="191">
        <f t="shared" si="197"/>
        <v>1.7421001508669689</v>
      </c>
      <c r="W156" s="175">
        <f t="shared" si="198"/>
        <v>350</v>
      </c>
      <c r="X156" s="386">
        <f t="shared" si="199"/>
        <v>176.19980567497998</v>
      </c>
      <c r="Z156" s="191">
        <f t="shared" si="200"/>
        <v>0.29701812512180864</v>
      </c>
      <c r="AA156" s="469">
        <f t="shared" si="201"/>
        <v>0.87702202299746645</v>
      </c>
      <c r="AB156" s="153">
        <f t="shared" si="260"/>
        <v>2.5325556371231982E-2</v>
      </c>
      <c r="AC156" s="469"/>
      <c r="AD156" s="469">
        <f t="shared" si="203"/>
        <v>0.44291338582677164</v>
      </c>
      <c r="AE156" s="317">
        <f t="shared" si="261"/>
        <v>1384.7703703703708</v>
      </c>
      <c r="AF156" s="463">
        <f t="shared" si="262"/>
        <v>1.1626476377952754E-2</v>
      </c>
      <c r="AH156" s="153">
        <f t="shared" si="263"/>
        <v>0.39713257951757841</v>
      </c>
      <c r="AI156" s="469">
        <f t="shared" si="264"/>
        <v>0.58999125109361339</v>
      </c>
      <c r="AJ156" s="469">
        <f t="shared" si="265"/>
        <v>1.5259194452545284</v>
      </c>
      <c r="AL156" s="491">
        <f t="shared" si="266"/>
        <v>46.000000000000007</v>
      </c>
      <c r="AM156" s="492">
        <f t="shared" si="267"/>
        <v>176.19980567497998</v>
      </c>
      <c r="AO156" s="59">
        <f t="shared" si="211"/>
        <v>46.000000000000007</v>
      </c>
      <c r="AP156" s="59">
        <f t="shared" si="212"/>
        <v>176.19980567497998</v>
      </c>
      <c r="AR156" s="170">
        <f t="shared" si="249"/>
        <v>5.6753751581577259</v>
      </c>
      <c r="AS156" s="5">
        <f t="shared" si="246"/>
        <v>3.9332750072907565</v>
      </c>
      <c r="AT156" s="5">
        <f t="shared" si="247"/>
        <v>1.7421001508669693</v>
      </c>
      <c r="AU156" s="153">
        <f t="shared" si="248"/>
        <v>0.69304229195088674</v>
      </c>
      <c r="AW156" s="5">
        <f t="shared" si="216"/>
        <v>0.90465325167687416</v>
      </c>
      <c r="AX156" s="5"/>
      <c r="AY156" s="5">
        <f t="shared" si="217"/>
        <v>1.1308165645960928</v>
      </c>
      <c r="AZ156" s="5"/>
      <c r="BA156" s="5">
        <f t="shared" si="218"/>
        <v>0.19786816528365581</v>
      </c>
      <c r="BB156" s="5"/>
      <c r="BC156" s="5"/>
      <c r="BD156" s="153">
        <f t="shared" si="219"/>
        <v>0.28357295775739561</v>
      </c>
      <c r="BE156" s="153">
        <f t="shared" si="220"/>
        <v>0.18872273247030427</v>
      </c>
      <c r="BF156" s="153">
        <f t="shared" si="221"/>
        <v>0.1879826433233619</v>
      </c>
      <c r="BG156" s="153"/>
      <c r="BH156" s="463">
        <f t="shared" si="222"/>
        <v>2.8144767829947182E-2</v>
      </c>
      <c r="BI156" s="463">
        <f t="shared" si="223"/>
        <v>1.5239999999999998E-2</v>
      </c>
      <c r="BJ156" s="463">
        <f t="shared" si="224"/>
        <v>2.2024975709372496E-3</v>
      </c>
      <c r="BK156" s="463">
        <f t="shared" si="225"/>
        <v>7.5736173913043469E-3</v>
      </c>
      <c r="BL156">
        <f t="shared" si="226"/>
        <v>2.6099999999999999E-3</v>
      </c>
      <c r="BM156">
        <f t="shared" si="268"/>
        <v>1.7619980567497999E-6</v>
      </c>
      <c r="BN156">
        <f t="shared" si="269"/>
        <v>5.9883144229074863E-2</v>
      </c>
      <c r="BO156" s="147">
        <f t="shared" si="229"/>
        <v>55.770882792188772</v>
      </c>
      <c r="BP156" s="153">
        <f t="shared" si="230"/>
        <v>1.8400000000000003E-2</v>
      </c>
      <c r="BQ156" s="153">
        <f t="shared" si="231"/>
        <v>1.8400000000000003E-2</v>
      </c>
      <c r="BR156" s="463"/>
      <c r="BS156"/>
      <c r="BT156" s="147">
        <f t="shared" si="232"/>
        <v>36.800000000000004</v>
      </c>
      <c r="BU156" s="463">
        <f t="shared" si="233"/>
        <v>8.0413622371277665E-2</v>
      </c>
      <c r="BV156" s="463">
        <f t="shared" si="234"/>
        <v>3.5616269751058041E-2</v>
      </c>
      <c r="BW156" s="463">
        <f t="shared" si="235"/>
        <v>1.766873709541915E-3</v>
      </c>
      <c r="BX156" s="463">
        <f t="shared" si="236"/>
        <v>0</v>
      </c>
      <c r="BY156" s="463">
        <f t="shared" si="180"/>
        <v>0.1331875022932526</v>
      </c>
      <c r="BZ156" s="463">
        <f t="shared" si="250"/>
        <v>0.11779676583187762</v>
      </c>
      <c r="CA156" s="549">
        <f t="shared" si="270"/>
        <v>3.0666666666666675E-2</v>
      </c>
      <c r="CB156" s="147">
        <f t="shared" si="238"/>
        <v>399.44770062367445</v>
      </c>
      <c r="CC156" s="153">
        <f t="shared" si="251"/>
        <v>0.26053731318899415</v>
      </c>
      <c r="CD156" s="5">
        <f t="shared" si="239"/>
        <v>1.6560000000000001</v>
      </c>
      <c r="CE156" s="153">
        <f t="shared" si="240"/>
        <v>0.86405831423366508</v>
      </c>
      <c r="CF156" s="5">
        <f t="shared" si="241"/>
        <v>86.405831423366507</v>
      </c>
      <c r="CG156">
        <f t="shared" si="242"/>
        <v>46</v>
      </c>
      <c r="CI156" s="59">
        <f t="shared" si="271"/>
        <v>-50</v>
      </c>
      <c r="CJ156">
        <f t="shared" si="272"/>
        <v>-50</v>
      </c>
    </row>
    <row r="157" spans="5:88" x14ac:dyDescent="0.25">
      <c r="E157" s="150">
        <v>47</v>
      </c>
      <c r="F157" s="191">
        <f t="shared" si="273"/>
        <v>4.7E-2</v>
      </c>
      <c r="G157" s="191">
        <f t="shared" si="252"/>
        <v>4.7E-2</v>
      </c>
      <c r="H157" s="191">
        <f t="shared" si="253"/>
        <v>0.94</v>
      </c>
      <c r="I157" s="191">
        <f t="shared" si="254"/>
        <v>0.752</v>
      </c>
      <c r="J157" s="472">
        <f t="shared" si="186"/>
        <v>9</v>
      </c>
      <c r="K157" s="386">
        <f t="shared" si="187"/>
        <v>20.32</v>
      </c>
      <c r="L157" s="386">
        <f t="shared" si="188"/>
        <v>29.32</v>
      </c>
      <c r="M157" s="386"/>
      <c r="N157" s="191">
        <f t="shared" si="189"/>
        <v>0.69304229195088674</v>
      </c>
      <c r="O157" s="152">
        <f t="shared" si="255"/>
        <v>1.1695088676671213</v>
      </c>
      <c r="P157" s="152">
        <f t="shared" si="256"/>
        <v>1.6840927694406547</v>
      </c>
      <c r="Q157" s="191">
        <f t="shared" si="192"/>
        <v>5.8475443383356064E-2</v>
      </c>
      <c r="R157" s="191">
        <f t="shared" si="257"/>
        <v>7.3094304229195078E-2</v>
      </c>
      <c r="S157" s="191">
        <f t="shared" si="258"/>
        <v>20</v>
      </c>
      <c r="T157" s="191">
        <f t="shared" si="259"/>
        <v>0.60281714785651797</v>
      </c>
      <c r="U157" s="191">
        <f t="shared" si="196"/>
        <v>4.0187809857101193</v>
      </c>
      <c r="V157" s="191">
        <f t="shared" si="197"/>
        <v>1.7799718932771198</v>
      </c>
      <c r="W157" s="175">
        <f t="shared" si="198"/>
        <v>350</v>
      </c>
      <c r="X157" s="386">
        <f t="shared" si="199"/>
        <v>172.45087363934218</v>
      </c>
      <c r="Z157" s="191">
        <f t="shared" si="200"/>
        <v>0.29701812512180864</v>
      </c>
      <c r="AA157" s="153">
        <f t="shared" si="201"/>
        <v>0.87702202299746645</v>
      </c>
      <c r="AB157" s="153">
        <f t="shared" si="260"/>
        <v>2.5325556371231982E-2</v>
      </c>
      <c r="AC157" s="153"/>
      <c r="AD157" s="153">
        <f t="shared" si="203"/>
        <v>0.44291338582677164</v>
      </c>
      <c r="AE157" s="317">
        <f t="shared" si="261"/>
        <v>1414.8740740740743</v>
      </c>
      <c r="AF157" s="463">
        <f t="shared" si="262"/>
        <v>1.1626476377952754E-2</v>
      </c>
      <c r="AH157" s="153">
        <f t="shared" si="263"/>
        <v>0.40142602947847955</v>
      </c>
      <c r="AI157" s="153">
        <f t="shared" si="264"/>
        <v>0.60281714785651797</v>
      </c>
      <c r="AJ157" s="153">
        <f t="shared" si="265"/>
        <v>1.5354201095233466</v>
      </c>
      <c r="AL157" s="317">
        <f t="shared" si="266"/>
        <v>47</v>
      </c>
      <c r="AM157" s="147">
        <f t="shared" si="267"/>
        <v>172.45087363934218</v>
      </c>
      <c r="AO157">
        <f t="shared" si="211"/>
        <v>47</v>
      </c>
      <c r="AP157">
        <f t="shared" si="212"/>
        <v>172.45087363934218</v>
      </c>
      <c r="AR157" s="5">
        <f t="shared" si="249"/>
        <v>5.7987528789872389</v>
      </c>
      <c r="AS157" s="5">
        <f t="shared" si="246"/>
        <v>4.0187809857101193</v>
      </c>
      <c r="AT157" s="5">
        <f t="shared" si="247"/>
        <v>1.7799718932771196</v>
      </c>
      <c r="AU157" s="153">
        <f t="shared" si="248"/>
        <v>0.69304229195088685</v>
      </c>
      <c r="AW157" s="5">
        <f t="shared" si="216"/>
        <v>0.94441353164187802</v>
      </c>
      <c r="AX157" s="5"/>
      <c r="AY157" s="5">
        <f t="shared" si="217"/>
        <v>1.1805169145523478</v>
      </c>
      <c r="AZ157" s="5"/>
      <c r="BA157" s="5">
        <f t="shared" si="218"/>
        <v>0.20656463946672743</v>
      </c>
      <c r="BB157" s="5"/>
      <c r="BC157" s="5"/>
      <c r="BD157" s="153">
        <f t="shared" si="219"/>
        <v>0.28973758727386073</v>
      </c>
      <c r="BE157" s="153">
        <f t="shared" si="220"/>
        <v>0.19282540056748476</v>
      </c>
      <c r="BF157" s="153">
        <f t="shared" si="221"/>
        <v>0.19206922252604364</v>
      </c>
      <c r="BG157" s="153"/>
      <c r="BH157" s="463">
        <f t="shared" si="222"/>
        <v>2.9381754317747321E-2</v>
      </c>
      <c r="BI157" s="463">
        <f t="shared" si="223"/>
        <v>1.5240000000000002E-2</v>
      </c>
      <c r="BJ157" s="463">
        <f t="shared" si="224"/>
        <v>2.1556359204917773E-3</v>
      </c>
      <c r="BK157" s="463">
        <f t="shared" si="225"/>
        <v>7.4124765957446831E-3</v>
      </c>
      <c r="BL157">
        <f t="shared" si="226"/>
        <v>2.6099999999999999E-3</v>
      </c>
      <c r="BM157">
        <f t="shared" si="268"/>
        <v>1.7245087363934217E-6</v>
      </c>
      <c r="BN157">
        <f t="shared" si="269"/>
        <v>6.1099343665003837E-2</v>
      </c>
      <c r="BO157" s="147">
        <f t="shared" si="229"/>
        <v>56.799866833983785</v>
      </c>
      <c r="BP157" s="153">
        <f t="shared" si="230"/>
        <v>1.8800000000000001E-2</v>
      </c>
      <c r="BQ157" s="153">
        <f t="shared" si="231"/>
        <v>1.8800000000000001E-2</v>
      </c>
      <c r="BR157" s="463"/>
      <c r="BT157" s="147">
        <f t="shared" si="232"/>
        <v>37.6</v>
      </c>
      <c r="BU157" s="463">
        <f t="shared" si="233"/>
        <v>8.394786947927807E-2</v>
      </c>
      <c r="BV157" s="463">
        <f t="shared" si="234"/>
        <v>3.718163510401095E-2</v>
      </c>
      <c r="BW157" s="463">
        <f t="shared" si="235"/>
        <v>1.8445293120879433E-3</v>
      </c>
      <c r="BX157" s="463">
        <f t="shared" si="236"/>
        <v>0</v>
      </c>
      <c r="BY157" s="463">
        <f t="shared" si="180"/>
        <v>0.13909936678246482</v>
      </c>
      <c r="BZ157" s="463">
        <f t="shared" si="250"/>
        <v>0.12297403389537698</v>
      </c>
      <c r="CA157" s="549">
        <f t="shared" si="270"/>
        <v>3.1333333333333338E-2</v>
      </c>
      <c r="CB157" s="147">
        <f t="shared" si="238"/>
        <v>416.38076790655208</v>
      </c>
      <c r="CC157" s="153">
        <f t="shared" si="251"/>
        <v>0.26913204378080197</v>
      </c>
      <c r="CD157" s="5">
        <f t="shared" si="239"/>
        <v>1.6919999999999999</v>
      </c>
      <c r="CE157" s="153">
        <f t="shared" si="240"/>
        <v>0.86276699489242381</v>
      </c>
      <c r="CF157" s="5">
        <f t="shared" si="241"/>
        <v>86.276699489242375</v>
      </c>
      <c r="CG157">
        <f t="shared" si="242"/>
        <v>47</v>
      </c>
      <c r="CI157" s="59">
        <f t="shared" si="271"/>
        <v>-50</v>
      </c>
      <c r="CJ157">
        <f t="shared" si="272"/>
        <v>-50</v>
      </c>
    </row>
    <row r="158" spans="5:88" x14ac:dyDescent="0.25">
      <c r="E158" s="150">
        <v>48</v>
      </c>
      <c r="F158" s="191">
        <f t="shared" si="273"/>
        <v>4.8000000000000001E-2</v>
      </c>
      <c r="G158" s="191">
        <f t="shared" si="252"/>
        <v>4.8000000000000001E-2</v>
      </c>
      <c r="H158" s="191">
        <f t="shared" si="253"/>
        <v>0.96</v>
      </c>
      <c r="I158" s="191">
        <f t="shared" si="254"/>
        <v>0.76800000000000002</v>
      </c>
      <c r="J158" s="472">
        <f t="shared" si="186"/>
        <v>9</v>
      </c>
      <c r="K158" s="386">
        <f t="shared" si="187"/>
        <v>20.32</v>
      </c>
      <c r="L158" s="386">
        <f t="shared" si="188"/>
        <v>29.32</v>
      </c>
      <c r="M158" s="386"/>
      <c r="N158" s="191">
        <f t="shared" si="189"/>
        <v>0.69304229195088674</v>
      </c>
      <c r="O158" s="152">
        <f t="shared" si="255"/>
        <v>1.1695088676671213</v>
      </c>
      <c r="P158" s="152">
        <f t="shared" si="256"/>
        <v>1.6840927694406547</v>
      </c>
      <c r="Q158" s="191">
        <f t="shared" si="192"/>
        <v>5.8475443383356064E-2</v>
      </c>
      <c r="R158" s="191">
        <f t="shared" si="257"/>
        <v>7.3094304229195078E-2</v>
      </c>
      <c r="S158" s="191">
        <f t="shared" si="258"/>
        <v>20</v>
      </c>
      <c r="T158" s="191">
        <f t="shared" si="259"/>
        <v>0.61564304461942265</v>
      </c>
      <c r="U158" s="191">
        <f t="shared" si="196"/>
        <v>4.1042869641294848</v>
      </c>
      <c r="V158" s="191">
        <f t="shared" si="197"/>
        <v>1.8178436356872716</v>
      </c>
      <c r="W158" s="175">
        <f t="shared" si="198"/>
        <v>350</v>
      </c>
      <c r="X158" s="386">
        <f t="shared" si="199"/>
        <v>168.85814710518918</v>
      </c>
      <c r="Z158" s="191">
        <f t="shared" si="200"/>
        <v>0.29701812512180864</v>
      </c>
      <c r="AA158" s="153">
        <f t="shared" si="201"/>
        <v>0.87702202299746645</v>
      </c>
      <c r="AB158" s="153">
        <f t="shared" si="260"/>
        <v>2.5325556371231982E-2</v>
      </c>
      <c r="AC158" s="153"/>
      <c r="AD158" s="153">
        <f t="shared" si="203"/>
        <v>0.44291338582677164</v>
      </c>
      <c r="AE158" s="317">
        <f t="shared" si="261"/>
        <v>1444.9777777777779</v>
      </c>
      <c r="AF158" s="463">
        <f t="shared" si="262"/>
        <v>1.1626476377952754E-2</v>
      </c>
      <c r="AH158" s="153">
        <f t="shared" si="263"/>
        <v>0.40567404226968795</v>
      </c>
      <c r="AI158" s="153">
        <f t="shared" si="264"/>
        <v>0.61564304461942265</v>
      </c>
      <c r="AJ158" s="153">
        <f t="shared" si="265"/>
        <v>1.5449207737921649</v>
      </c>
      <c r="AL158" s="317">
        <f t="shared" si="266"/>
        <v>48</v>
      </c>
      <c r="AM158" s="147">
        <f t="shared" si="267"/>
        <v>168.85814710518918</v>
      </c>
      <c r="AO158">
        <f t="shared" si="211"/>
        <v>48</v>
      </c>
      <c r="AP158">
        <f t="shared" si="212"/>
        <v>168.85814710518918</v>
      </c>
      <c r="AR158" s="5">
        <f t="shared" si="249"/>
        <v>5.9221305998167564</v>
      </c>
      <c r="AS158" s="5">
        <f t="shared" si="246"/>
        <v>4.1042869641294848</v>
      </c>
      <c r="AT158" s="5">
        <f t="shared" si="247"/>
        <v>1.8178436356872716</v>
      </c>
      <c r="AU158" s="153">
        <f t="shared" si="248"/>
        <v>0.69304229195088685</v>
      </c>
      <c r="AW158" s="5">
        <f t="shared" si="216"/>
        <v>0.98502887139107642</v>
      </c>
      <c r="AX158" s="5"/>
      <c r="AY158" s="5">
        <f t="shared" si="217"/>
        <v>1.2312860892388455</v>
      </c>
      <c r="AZ158" s="5"/>
      <c r="BA158" s="5">
        <f t="shared" si="218"/>
        <v>0.21544813459997295</v>
      </c>
      <c r="BB158" s="5"/>
      <c r="BC158" s="5"/>
      <c r="BD158" s="153">
        <f t="shared" si="219"/>
        <v>0.29590221679032591</v>
      </c>
      <c r="BE158" s="153">
        <f t="shared" si="220"/>
        <v>0.19692806866466528</v>
      </c>
      <c r="BF158" s="153">
        <f t="shared" si="221"/>
        <v>0.19615580172872543</v>
      </c>
      <c r="BG158" s="153"/>
      <c r="BH158" s="463">
        <f t="shared" si="222"/>
        <v>3.0645342665500157E-2</v>
      </c>
      <c r="BI158" s="463">
        <f t="shared" si="223"/>
        <v>1.5239999999999998E-2</v>
      </c>
      <c r="BJ158" s="463">
        <f t="shared" si="224"/>
        <v>2.1107268388148646E-3</v>
      </c>
      <c r="BK158" s="463">
        <f t="shared" si="225"/>
        <v>7.2580500000000003E-3</v>
      </c>
      <c r="BL158">
        <f t="shared" si="226"/>
        <v>2.6099999999999999E-3</v>
      </c>
      <c r="BM158">
        <f t="shared" si="268"/>
        <v>1.6885814710518918E-6</v>
      </c>
      <c r="BN158">
        <f t="shared" si="269"/>
        <v>6.235549139207356E-2</v>
      </c>
      <c r="BO158" s="147">
        <f t="shared" si="229"/>
        <v>57.864119504315028</v>
      </c>
      <c r="BP158" s="153">
        <f t="shared" si="230"/>
        <v>1.9200000000000002E-2</v>
      </c>
      <c r="BQ158" s="153">
        <f t="shared" si="231"/>
        <v>1.9200000000000002E-2</v>
      </c>
      <c r="BR158" s="463"/>
      <c r="BT158" s="147">
        <f t="shared" si="232"/>
        <v>38.400000000000006</v>
      </c>
      <c r="BU158" s="463">
        <f t="shared" si="233"/>
        <v>8.7558121901429031E-2</v>
      </c>
      <c r="BV158" s="463">
        <f t="shared" si="234"/>
        <v>3.8780664227995122E-2</v>
      </c>
      <c r="BW158" s="463">
        <f t="shared" si="235"/>
        <v>1.923854927591952E-3</v>
      </c>
      <c r="BX158" s="463">
        <f t="shared" si="236"/>
        <v>0</v>
      </c>
      <c r="BY158" s="463">
        <f t="shared" si="180"/>
        <v>0.14514347683756881</v>
      </c>
      <c r="BZ158" s="463">
        <f t="shared" si="250"/>
        <v>0.1282626410570161</v>
      </c>
      <c r="CA158" s="549">
        <f t="shared" si="270"/>
        <v>3.2000000000000008E-2</v>
      </c>
      <c r="CB158" s="147">
        <f t="shared" si="238"/>
        <v>433.66875895160103</v>
      </c>
      <c r="CC158" s="153">
        <f t="shared" si="251"/>
        <v>0.27789896822964238</v>
      </c>
      <c r="CD158" s="5">
        <f t="shared" si="239"/>
        <v>1.728</v>
      </c>
      <c r="CE158" s="153">
        <f t="shared" si="240"/>
        <v>0.86145913995114654</v>
      </c>
      <c r="CF158" s="5">
        <f t="shared" si="241"/>
        <v>86.145913995114654</v>
      </c>
      <c r="CG158">
        <f t="shared" si="242"/>
        <v>48</v>
      </c>
      <c r="CI158" s="59">
        <f t="shared" si="271"/>
        <v>-50</v>
      </c>
      <c r="CJ158">
        <f t="shared" si="272"/>
        <v>-50</v>
      </c>
    </row>
    <row r="159" spans="5:88" x14ac:dyDescent="0.25">
      <c r="E159" s="150">
        <v>49</v>
      </c>
      <c r="F159" s="191">
        <f t="shared" si="273"/>
        <v>4.9000000000000002E-2</v>
      </c>
      <c r="G159" s="191">
        <f t="shared" si="252"/>
        <v>4.9000000000000002E-2</v>
      </c>
      <c r="H159" s="191">
        <f t="shared" si="253"/>
        <v>0.98</v>
      </c>
      <c r="I159" s="191">
        <f t="shared" si="254"/>
        <v>0.78400000000000003</v>
      </c>
      <c r="J159" s="472">
        <f t="shared" si="186"/>
        <v>9</v>
      </c>
      <c r="K159" s="386">
        <f t="shared" si="187"/>
        <v>20.32</v>
      </c>
      <c r="L159" s="386">
        <f t="shared" si="188"/>
        <v>29.32</v>
      </c>
      <c r="M159" s="386"/>
      <c r="N159" s="191">
        <f t="shared" si="189"/>
        <v>0.69304229195088674</v>
      </c>
      <c r="O159" s="152">
        <f t="shared" si="255"/>
        <v>1.1695088676671213</v>
      </c>
      <c r="P159" s="152">
        <f t="shared" si="256"/>
        <v>1.6840927694406547</v>
      </c>
      <c r="Q159" s="191">
        <f t="shared" si="192"/>
        <v>5.8475443383356064E-2</v>
      </c>
      <c r="R159" s="191">
        <f t="shared" si="257"/>
        <v>7.3094304229195078E-2</v>
      </c>
      <c r="S159" s="191">
        <f t="shared" si="258"/>
        <v>20</v>
      </c>
      <c r="T159" s="191">
        <f t="shared" si="259"/>
        <v>0.62846894138232723</v>
      </c>
      <c r="U159" s="191">
        <f t="shared" si="196"/>
        <v>4.1897929425488476</v>
      </c>
      <c r="V159" s="191">
        <f t="shared" si="197"/>
        <v>1.8557153780974229</v>
      </c>
      <c r="W159" s="175">
        <f t="shared" si="198"/>
        <v>350</v>
      </c>
      <c r="X159" s="386">
        <f t="shared" si="199"/>
        <v>165.41206247038946</v>
      </c>
      <c r="Z159" s="191">
        <f t="shared" si="200"/>
        <v>0.29701812512180864</v>
      </c>
      <c r="AA159" s="153">
        <f t="shared" si="201"/>
        <v>0.87702202299746645</v>
      </c>
      <c r="AB159" s="153">
        <f t="shared" si="260"/>
        <v>2.5325556371231982E-2</v>
      </c>
      <c r="AC159" s="153"/>
      <c r="AD159" s="153">
        <f t="shared" si="203"/>
        <v>0.44291338582677164</v>
      </c>
      <c r="AE159" s="317">
        <f t="shared" si="261"/>
        <v>1475.0814814814819</v>
      </c>
      <c r="AF159" s="463">
        <f t="shared" si="262"/>
        <v>1.1626476377952754E-2</v>
      </c>
      <c r="AH159" s="153">
        <f t="shared" si="263"/>
        <v>0.40987803063838396</v>
      </c>
      <c r="AI159" s="153">
        <f t="shared" si="264"/>
        <v>0.62846894138232723</v>
      </c>
      <c r="AJ159" s="153">
        <f t="shared" si="265"/>
        <v>1.5544214380609831</v>
      </c>
      <c r="AL159" s="317">
        <f t="shared" si="266"/>
        <v>49</v>
      </c>
      <c r="AM159" s="147">
        <f t="shared" si="267"/>
        <v>165.41206247038946</v>
      </c>
      <c r="AO159">
        <f t="shared" si="211"/>
        <v>49</v>
      </c>
      <c r="AP159">
        <f t="shared" si="212"/>
        <v>165.41206247038946</v>
      </c>
      <c r="AR159" s="5">
        <f t="shared" si="249"/>
        <v>6.0455083206462694</v>
      </c>
      <c r="AS159" s="5">
        <f t="shared" si="246"/>
        <v>4.1897929425488476</v>
      </c>
      <c r="AT159" s="5">
        <f t="shared" si="247"/>
        <v>1.8557153780974218</v>
      </c>
      <c r="AU159" s="153">
        <f t="shared" si="248"/>
        <v>0.69304229195088685</v>
      </c>
      <c r="AW159" s="5">
        <f t="shared" si="216"/>
        <v>1.0264992709244678</v>
      </c>
      <c r="AX159" s="5"/>
      <c r="AY159" s="5">
        <f t="shared" si="217"/>
        <v>1.2831240886555846</v>
      </c>
      <c r="AZ159" s="5"/>
      <c r="BA159" s="5">
        <f t="shared" si="218"/>
        <v>0.22451865068339175</v>
      </c>
      <c r="BB159" s="5"/>
      <c r="BC159" s="5"/>
      <c r="BD159" s="153">
        <f t="shared" si="219"/>
        <v>0.30206684630679098</v>
      </c>
      <c r="BE159" s="153">
        <f t="shared" si="220"/>
        <v>0.2010307367618458</v>
      </c>
      <c r="BF159" s="153">
        <f t="shared" si="221"/>
        <v>0.20024238093140723</v>
      </c>
      <c r="BG159" s="153"/>
      <c r="BH159" s="463">
        <f t="shared" si="222"/>
        <v>3.1935532873205663E-2</v>
      </c>
      <c r="BI159" s="463">
        <f t="shared" si="223"/>
        <v>1.5240000000000005E-2</v>
      </c>
      <c r="BJ159" s="463">
        <f t="shared" si="224"/>
        <v>2.067650780879868E-3</v>
      </c>
      <c r="BK159" s="463">
        <f t="shared" si="225"/>
        <v>7.1099265306122476E-3</v>
      </c>
      <c r="BL159">
        <f t="shared" si="226"/>
        <v>2.6099999999999999E-3</v>
      </c>
      <c r="BM159">
        <f t="shared" si="268"/>
        <v>1.6541206247038946E-6</v>
      </c>
      <c r="BN159">
        <f t="shared" si="269"/>
        <v>6.3651100261192153E-2</v>
      </c>
      <c r="BO159" s="147">
        <f t="shared" si="229"/>
        <v>58.963110184697783</v>
      </c>
      <c r="BP159" s="153">
        <f t="shared" si="230"/>
        <v>1.9600000000000003E-2</v>
      </c>
      <c r="BQ159" s="153">
        <f t="shared" si="231"/>
        <v>1.9600000000000003E-2</v>
      </c>
      <c r="BR159" s="463"/>
      <c r="BT159" s="147">
        <f t="shared" si="232"/>
        <v>39.200000000000003</v>
      </c>
      <c r="BU159" s="463">
        <f t="shared" si="233"/>
        <v>9.124437963773048E-2</v>
      </c>
      <c r="BV159" s="463">
        <f t="shared" si="234"/>
        <v>4.0413357123010536E-2</v>
      </c>
      <c r="BW159" s="463">
        <f t="shared" si="235"/>
        <v>2.0048505560539402E-3</v>
      </c>
      <c r="BX159" s="463">
        <f t="shared" si="236"/>
        <v>0</v>
      </c>
      <c r="BY159" s="463">
        <f t="shared" si="180"/>
        <v>0.15132016538024468</v>
      </c>
      <c r="BZ159" s="463">
        <f t="shared" si="250"/>
        <v>0.13366258731679495</v>
      </c>
      <c r="CA159" s="549">
        <f t="shared" si="270"/>
        <v>3.2666666666666684E-2</v>
      </c>
      <c r="CB159" s="147">
        <f t="shared" si="238"/>
        <v>451.31200668050127</v>
      </c>
      <c r="CC159" s="153">
        <f t="shared" si="251"/>
        <v>0.2868379323081035</v>
      </c>
      <c r="CD159" s="5">
        <f t="shared" si="239"/>
        <v>1.764</v>
      </c>
      <c r="CE159" s="153">
        <f t="shared" si="240"/>
        <v>0.86013622637392728</v>
      </c>
      <c r="CF159" s="5">
        <f t="shared" si="241"/>
        <v>86.013622637392729</v>
      </c>
      <c r="CG159">
        <f t="shared" si="242"/>
        <v>49</v>
      </c>
      <c r="CI159" s="59">
        <f t="shared" si="271"/>
        <v>-50</v>
      </c>
      <c r="CJ159">
        <f t="shared" si="272"/>
        <v>-50</v>
      </c>
    </row>
    <row r="160" spans="5:88" x14ac:dyDescent="0.25">
      <c r="E160" s="150">
        <v>50</v>
      </c>
      <c r="F160" s="191">
        <f t="shared" si="273"/>
        <v>0.05</v>
      </c>
      <c r="G160" s="191">
        <f t="shared" si="252"/>
        <v>0.05</v>
      </c>
      <c r="H160" s="191">
        <f t="shared" si="253"/>
        <v>1</v>
      </c>
      <c r="I160" s="191">
        <f t="shared" si="254"/>
        <v>0.8</v>
      </c>
      <c r="J160" s="472">
        <f t="shared" si="186"/>
        <v>9</v>
      </c>
      <c r="K160" s="386">
        <f t="shared" si="187"/>
        <v>20.32</v>
      </c>
      <c r="L160" s="386">
        <f t="shared" si="188"/>
        <v>29.32</v>
      </c>
      <c r="M160" s="386"/>
      <c r="N160" s="191">
        <f t="shared" si="189"/>
        <v>0.69304229195088674</v>
      </c>
      <c r="O160" s="152">
        <f t="shared" si="255"/>
        <v>1.1695088676671213</v>
      </c>
      <c r="P160" s="152">
        <f t="shared" si="256"/>
        <v>1.6840927694406547</v>
      </c>
      <c r="Q160" s="191">
        <f t="shared" si="192"/>
        <v>5.8475443383356064E-2</v>
      </c>
      <c r="R160" s="191">
        <f t="shared" si="257"/>
        <v>7.3094304229195078E-2</v>
      </c>
      <c r="S160" s="191">
        <f t="shared" si="258"/>
        <v>20</v>
      </c>
      <c r="T160" s="191">
        <f t="shared" si="259"/>
        <v>0.64129483814523192</v>
      </c>
      <c r="U160" s="191">
        <f t="shared" si="196"/>
        <v>4.2752989209682131</v>
      </c>
      <c r="V160" s="191">
        <f t="shared" si="197"/>
        <v>1.8935871205075745</v>
      </c>
      <c r="W160" s="175">
        <f t="shared" si="198"/>
        <v>350</v>
      </c>
      <c r="X160" s="386">
        <f t="shared" si="199"/>
        <v>162.10382122098162</v>
      </c>
      <c r="Z160" s="191">
        <f t="shared" si="200"/>
        <v>0.29701812512180864</v>
      </c>
      <c r="AA160" s="153">
        <f t="shared" si="201"/>
        <v>0.87702202299746645</v>
      </c>
      <c r="AB160" s="153">
        <f t="shared" si="260"/>
        <v>2.5325556371231982E-2</v>
      </c>
      <c r="AC160" s="153"/>
      <c r="AD160" s="153">
        <f t="shared" si="203"/>
        <v>0.44291338582677164</v>
      </c>
      <c r="AE160" s="317">
        <f t="shared" si="261"/>
        <v>1505.1851851851854</v>
      </c>
      <c r="AF160" s="463">
        <f t="shared" si="262"/>
        <v>1.1626476377952754E-2</v>
      </c>
      <c r="AH160" s="153">
        <f t="shared" si="263"/>
        <v>0.41403933560541251</v>
      </c>
      <c r="AI160" s="153">
        <f t="shared" si="264"/>
        <v>0.64129483814523192</v>
      </c>
      <c r="AJ160" s="153">
        <f t="shared" si="265"/>
        <v>1.5639221023298013</v>
      </c>
      <c r="AL160" s="317">
        <f t="shared" si="266"/>
        <v>50</v>
      </c>
      <c r="AM160" s="147">
        <f t="shared" si="267"/>
        <v>162.10382122098162</v>
      </c>
      <c r="AO160">
        <f t="shared" si="211"/>
        <v>50</v>
      </c>
      <c r="AP160">
        <f t="shared" si="212"/>
        <v>162.10382122098162</v>
      </c>
      <c r="AR160" s="5">
        <f t="shared" si="249"/>
        <v>6.1688860414757878</v>
      </c>
      <c r="AS160" s="5">
        <f t="shared" si="246"/>
        <v>4.2752989209682131</v>
      </c>
      <c r="AT160" s="5">
        <f t="shared" si="247"/>
        <v>1.8935871205075747</v>
      </c>
      <c r="AU160" s="153">
        <f t="shared" si="248"/>
        <v>0.69304229195088674</v>
      </c>
      <c r="AW160" s="5">
        <f t="shared" si="216"/>
        <v>1.0688247302420533</v>
      </c>
      <c r="AX160" s="5"/>
      <c r="AY160" s="5">
        <f t="shared" si="217"/>
        <v>1.3360309128025669</v>
      </c>
      <c r="AZ160" s="5"/>
      <c r="BA160" s="5">
        <f t="shared" si="218"/>
        <v>0.23377618771698455</v>
      </c>
      <c r="BB160" s="5"/>
      <c r="BC160" s="5"/>
      <c r="BD160" s="153">
        <f t="shared" si="219"/>
        <v>0.30823147582325611</v>
      </c>
      <c r="BE160" s="153">
        <f t="shared" si="220"/>
        <v>0.20513340485902637</v>
      </c>
      <c r="BF160" s="153">
        <f t="shared" si="221"/>
        <v>0.20432896013408902</v>
      </c>
      <c r="BG160" s="153"/>
      <c r="BH160" s="463">
        <f t="shared" si="222"/>
        <v>3.325232494086388E-2</v>
      </c>
      <c r="BI160" s="463">
        <f t="shared" si="223"/>
        <v>1.5240000000000002E-2</v>
      </c>
      <c r="BJ160" s="463">
        <f t="shared" si="224"/>
        <v>2.02629776526227E-3</v>
      </c>
      <c r="BK160" s="463">
        <f t="shared" si="225"/>
        <v>6.9677280000000003E-3</v>
      </c>
      <c r="BL160">
        <f t="shared" si="226"/>
        <v>2.6099999999999999E-3</v>
      </c>
      <c r="BM160">
        <f t="shared" si="268"/>
        <v>1.6210382122098161E-6</v>
      </c>
      <c r="BN160">
        <f t="shared" si="269"/>
        <v>6.4985726549821377E-2</v>
      </c>
      <c r="BO160" s="147">
        <f t="shared" si="229"/>
        <v>60.096350706126159</v>
      </c>
      <c r="BP160" s="153">
        <f t="shared" si="230"/>
        <v>2.0000000000000004E-2</v>
      </c>
      <c r="BQ160" s="153">
        <f t="shared" si="231"/>
        <v>2.0000000000000004E-2</v>
      </c>
      <c r="BR160" s="463"/>
      <c r="BT160" s="147">
        <f t="shared" si="232"/>
        <v>40.000000000000007</v>
      </c>
      <c r="BU160" s="463">
        <f t="shared" si="233"/>
        <v>9.5006642688182513E-2</v>
      </c>
      <c r="BV160" s="463">
        <f t="shared" si="234"/>
        <v>4.207971378905722E-2</v>
      </c>
      <c r="BW160" s="463">
        <f t="shared" si="235"/>
        <v>2.0875161974739072E-3</v>
      </c>
      <c r="BX160" s="463">
        <f t="shared" si="236"/>
        <v>0</v>
      </c>
      <c r="BY160" s="463">
        <f t="shared" si="180"/>
        <v>0.15762977307307258</v>
      </c>
      <c r="BZ160" s="463">
        <f t="shared" si="250"/>
        <v>0.13917387267471365</v>
      </c>
      <c r="CA160" s="549">
        <f t="shared" si="270"/>
        <v>3.333333333333334E-2</v>
      </c>
      <c r="CB160" s="147">
        <f t="shared" si="238"/>
        <v>469.3108517558332</v>
      </c>
      <c r="CC160" s="153">
        <f t="shared" si="251"/>
        <v>0.29594883295622731</v>
      </c>
      <c r="CD160" s="5">
        <f t="shared" si="239"/>
        <v>1.8</v>
      </c>
      <c r="CE160" s="153">
        <f t="shared" si="240"/>
        <v>0.85879959076157075</v>
      </c>
      <c r="CF160" s="5">
        <f t="shared" si="241"/>
        <v>85.879959076157078</v>
      </c>
      <c r="CG160">
        <f t="shared" si="242"/>
        <v>50</v>
      </c>
      <c r="CI160" s="59">
        <f t="shared" si="271"/>
        <v>-50</v>
      </c>
      <c r="CJ160">
        <f t="shared" si="272"/>
        <v>-50</v>
      </c>
    </row>
    <row r="161" spans="5:88" x14ac:dyDescent="0.25">
      <c r="E161" s="150">
        <v>51</v>
      </c>
      <c r="F161" s="191">
        <f t="shared" si="273"/>
        <v>5.1000000000000004E-2</v>
      </c>
      <c r="G161" s="191">
        <f t="shared" si="252"/>
        <v>5.1000000000000004E-2</v>
      </c>
      <c r="H161" s="191">
        <f t="shared" si="253"/>
        <v>1.02</v>
      </c>
      <c r="I161" s="191">
        <f t="shared" si="254"/>
        <v>0.81600000000000006</v>
      </c>
      <c r="J161" s="472">
        <f t="shared" si="186"/>
        <v>9</v>
      </c>
      <c r="K161" s="386">
        <f t="shared" si="187"/>
        <v>20.32</v>
      </c>
      <c r="L161" s="386">
        <f t="shared" si="188"/>
        <v>29.32</v>
      </c>
      <c r="M161" s="386"/>
      <c r="N161" s="191">
        <f t="shared" si="189"/>
        <v>0.69304229195088674</v>
      </c>
      <c r="O161" s="152">
        <f t="shared" si="255"/>
        <v>1.1695088676671213</v>
      </c>
      <c r="P161" s="152">
        <f t="shared" si="256"/>
        <v>1.6840927694406547</v>
      </c>
      <c r="Q161" s="191">
        <f t="shared" si="192"/>
        <v>5.8475443383356064E-2</v>
      </c>
      <c r="R161" s="191">
        <f t="shared" si="257"/>
        <v>7.3094304229195078E-2</v>
      </c>
      <c r="S161" s="191">
        <f t="shared" si="258"/>
        <v>20</v>
      </c>
      <c r="T161" s="191">
        <f t="shared" si="259"/>
        <v>0.6541207349081366</v>
      </c>
      <c r="U161" s="191">
        <f t="shared" si="196"/>
        <v>4.3608048993875776</v>
      </c>
      <c r="V161" s="191">
        <f t="shared" si="197"/>
        <v>1.9314588629177265</v>
      </c>
      <c r="W161" s="175">
        <f t="shared" si="198"/>
        <v>350</v>
      </c>
      <c r="X161" s="386">
        <f t="shared" si="199"/>
        <v>158.92531492253096</v>
      </c>
      <c r="Z161" s="191">
        <f t="shared" si="200"/>
        <v>0.29701812512180864</v>
      </c>
      <c r="AA161" s="153">
        <f t="shared" si="201"/>
        <v>0.87702202299746645</v>
      </c>
      <c r="AB161" s="153">
        <f t="shared" si="260"/>
        <v>2.5325556371231982E-2</v>
      </c>
      <c r="AC161" s="153"/>
      <c r="AD161" s="153">
        <f t="shared" si="203"/>
        <v>0.44291338582677164</v>
      </c>
      <c r="AE161" s="317">
        <f t="shared" si="261"/>
        <v>1535.2888888888892</v>
      </c>
      <c r="AF161" s="463">
        <f t="shared" si="262"/>
        <v>1.1626476377952754E-2</v>
      </c>
      <c r="AH161" s="153">
        <f t="shared" si="263"/>
        <v>0.41815923146230177</v>
      </c>
      <c r="AI161" s="153">
        <f t="shared" si="264"/>
        <v>0.6541207349081366</v>
      </c>
      <c r="AJ161" s="153">
        <f t="shared" si="265"/>
        <v>1.5734227665986196</v>
      </c>
      <c r="AL161" s="317">
        <f t="shared" si="266"/>
        <v>51.000000000000007</v>
      </c>
      <c r="AM161" s="147">
        <f t="shared" si="267"/>
        <v>158.92531492253096</v>
      </c>
      <c r="AO161">
        <f t="shared" si="211"/>
        <v>51.000000000000007</v>
      </c>
      <c r="AP161">
        <f t="shared" si="212"/>
        <v>158.92531492253096</v>
      </c>
      <c r="AR161" s="5">
        <f t="shared" si="249"/>
        <v>6.2922637623053044</v>
      </c>
      <c r="AS161" s="5">
        <f t="shared" si="246"/>
        <v>4.3608048993875776</v>
      </c>
      <c r="AT161" s="5">
        <f t="shared" si="247"/>
        <v>1.9314588629177267</v>
      </c>
      <c r="AU161" s="153">
        <f t="shared" si="248"/>
        <v>0.69304229195088674</v>
      </c>
      <c r="AW161" s="5">
        <f t="shared" si="216"/>
        <v>1.1120052493438324</v>
      </c>
      <c r="AX161" s="5"/>
      <c r="AY161" s="5">
        <f t="shared" si="217"/>
        <v>1.3900065616797903</v>
      </c>
      <c r="AZ161" s="5"/>
      <c r="BA161" s="5">
        <f t="shared" si="218"/>
        <v>0.24322074570075075</v>
      </c>
      <c r="BB161" s="5"/>
      <c r="BC161" s="5"/>
      <c r="BD161" s="153">
        <f t="shared" si="219"/>
        <v>0.31439610533972123</v>
      </c>
      <c r="BE161" s="153">
        <f t="shared" si="220"/>
        <v>0.20923607295620691</v>
      </c>
      <c r="BF161" s="153">
        <f t="shared" si="221"/>
        <v>0.20841553933677082</v>
      </c>
      <c r="BG161" s="153"/>
      <c r="BH161" s="463">
        <f t="shared" si="222"/>
        <v>3.4595718868474776E-2</v>
      </c>
      <c r="BI161" s="463">
        <f t="shared" si="223"/>
        <v>1.5239999999999998E-2</v>
      </c>
      <c r="BJ161" s="463">
        <f t="shared" si="224"/>
        <v>1.9865664365316367E-3</v>
      </c>
      <c r="BK161" s="463">
        <f t="shared" si="225"/>
        <v>6.8311058823529395E-3</v>
      </c>
      <c r="BL161">
        <f t="shared" si="226"/>
        <v>2.6099999999999999E-3</v>
      </c>
      <c r="BM161">
        <f t="shared" si="268"/>
        <v>1.5892531492253097E-6</v>
      </c>
      <c r="BN161">
        <f t="shared" si="269"/>
        <v>6.6358965802874023E-2</v>
      </c>
      <c r="BO161" s="147">
        <f t="shared" si="229"/>
        <v>61.263391187359353</v>
      </c>
      <c r="BP161" s="153">
        <f t="shared" si="230"/>
        <v>2.0400000000000001E-2</v>
      </c>
      <c r="BQ161" s="153">
        <f t="shared" si="231"/>
        <v>2.0400000000000001E-2</v>
      </c>
      <c r="BR161" s="463"/>
      <c r="BT161" s="147">
        <f t="shared" si="232"/>
        <v>40.800000000000004</v>
      </c>
      <c r="BU161" s="463">
        <f t="shared" si="233"/>
        <v>9.8844911052785089E-2</v>
      </c>
      <c r="BV161" s="463">
        <f t="shared" si="234"/>
        <v>4.3779734226135139E-2</v>
      </c>
      <c r="BW161" s="463">
        <f t="shared" si="235"/>
        <v>2.1718518518518532E-3</v>
      </c>
      <c r="BX161" s="463">
        <f t="shared" si="236"/>
        <v>0</v>
      </c>
      <c r="BY161" s="463">
        <f t="shared" si="180"/>
        <v>0.16407264836714727</v>
      </c>
      <c r="BZ161" s="463">
        <f t="shared" si="250"/>
        <v>0.14479649713077206</v>
      </c>
      <c r="CA161" s="549">
        <f t="shared" si="270"/>
        <v>3.4000000000000009E-2</v>
      </c>
      <c r="CB161" s="147">
        <f t="shared" si="238"/>
        <v>487.66564262869139</v>
      </c>
      <c r="CC161" s="153">
        <f t="shared" si="251"/>
        <v>0.30523161417002131</v>
      </c>
      <c r="CD161" s="5">
        <f t="shared" si="239"/>
        <v>1.8360000000000001</v>
      </c>
      <c r="CE161" s="153">
        <f t="shared" si="240"/>
        <v>0.85745044480471377</v>
      </c>
      <c r="CF161" s="5">
        <f t="shared" si="241"/>
        <v>85.745044480471378</v>
      </c>
      <c r="CG161">
        <f t="shared" si="242"/>
        <v>51</v>
      </c>
      <c r="CI161" s="59">
        <f t="shared" si="271"/>
        <v>-50</v>
      </c>
      <c r="CJ161">
        <f t="shared" si="272"/>
        <v>-50</v>
      </c>
    </row>
    <row r="162" spans="5:88" x14ac:dyDescent="0.25">
      <c r="E162" s="150">
        <v>52</v>
      </c>
      <c r="F162" s="191">
        <f t="shared" si="273"/>
        <v>5.2000000000000005E-2</v>
      </c>
      <c r="G162" s="191">
        <f t="shared" si="252"/>
        <v>5.2000000000000005E-2</v>
      </c>
      <c r="H162" s="191">
        <f t="shared" si="253"/>
        <v>1.04</v>
      </c>
      <c r="I162" s="191">
        <f t="shared" si="254"/>
        <v>0.83200000000000007</v>
      </c>
      <c r="J162" s="472">
        <f t="shared" si="186"/>
        <v>9</v>
      </c>
      <c r="K162" s="386">
        <f t="shared" si="187"/>
        <v>20.32</v>
      </c>
      <c r="L162" s="386">
        <f t="shared" si="188"/>
        <v>29.32</v>
      </c>
      <c r="M162" s="386"/>
      <c r="N162" s="191">
        <f t="shared" si="189"/>
        <v>0.69304229195088674</v>
      </c>
      <c r="O162" s="152">
        <f t="shared" si="255"/>
        <v>1.1695088676671213</v>
      </c>
      <c r="P162" s="152">
        <f t="shared" si="256"/>
        <v>1.6840927694406547</v>
      </c>
      <c r="Q162" s="191">
        <f t="shared" si="192"/>
        <v>5.8475443383356064E-2</v>
      </c>
      <c r="R162" s="191">
        <f t="shared" si="257"/>
        <v>7.3094304229195078E-2</v>
      </c>
      <c r="S162" s="191">
        <f t="shared" si="258"/>
        <v>20</v>
      </c>
      <c r="T162" s="191">
        <f t="shared" si="259"/>
        <v>0.66694663167104118</v>
      </c>
      <c r="U162" s="191">
        <f t="shared" si="196"/>
        <v>4.4463108778069413</v>
      </c>
      <c r="V162" s="191">
        <f t="shared" si="197"/>
        <v>1.9693306053278774</v>
      </c>
      <c r="W162" s="175">
        <f t="shared" si="198"/>
        <v>350</v>
      </c>
      <c r="X162" s="386">
        <f t="shared" si="199"/>
        <v>155.86905886632849</v>
      </c>
      <c r="Z162" s="191">
        <f t="shared" si="200"/>
        <v>0.29701812512180864</v>
      </c>
      <c r="AA162" s="153">
        <f t="shared" si="201"/>
        <v>0.87702202299746645</v>
      </c>
      <c r="AB162" s="153">
        <f t="shared" si="260"/>
        <v>2.5325556371231982E-2</v>
      </c>
      <c r="AC162" s="153"/>
      <c r="AD162" s="153">
        <f t="shared" si="203"/>
        <v>0.44291338582677164</v>
      </c>
      <c r="AE162" s="317">
        <f t="shared" si="261"/>
        <v>1565.392592592593</v>
      </c>
      <c r="AF162" s="463">
        <f t="shared" si="262"/>
        <v>1.1626476377952754E-2</v>
      </c>
      <c r="AH162" s="153">
        <f t="shared" si="263"/>
        <v>0.42223893032939808</v>
      </c>
      <c r="AI162" s="153">
        <f t="shared" si="264"/>
        <v>0.66694663167104118</v>
      </c>
      <c r="AJ162" s="153">
        <f t="shared" si="265"/>
        <v>1.5829234308674378</v>
      </c>
      <c r="AL162" s="317">
        <f t="shared" si="266"/>
        <v>52.000000000000007</v>
      </c>
      <c r="AM162" s="147">
        <f t="shared" si="267"/>
        <v>155.86905886632849</v>
      </c>
      <c r="AO162">
        <f t="shared" si="211"/>
        <v>52.000000000000007</v>
      </c>
      <c r="AP162">
        <f t="shared" si="212"/>
        <v>155.86905886632849</v>
      </c>
      <c r="AR162" s="5">
        <f t="shared" si="249"/>
        <v>6.4156414831348183</v>
      </c>
      <c r="AS162" s="5">
        <f t="shared" si="246"/>
        <v>4.4463108778069413</v>
      </c>
      <c r="AT162" s="5">
        <f t="shared" si="247"/>
        <v>1.969330605327877</v>
      </c>
      <c r="AU162" s="153">
        <f t="shared" si="248"/>
        <v>0.69304229195088685</v>
      </c>
      <c r="AW162" s="5">
        <f t="shared" si="216"/>
        <v>1.1560408282298049</v>
      </c>
      <c r="AX162" s="5"/>
      <c r="AY162" s="5">
        <f t="shared" si="217"/>
        <v>1.4450510352872561</v>
      </c>
      <c r="AZ162" s="5"/>
      <c r="BA162" s="5">
        <f t="shared" si="218"/>
        <v>0.25285232463469037</v>
      </c>
      <c r="BB162" s="5"/>
      <c r="BC162" s="5"/>
      <c r="BD162" s="153">
        <f t="shared" si="219"/>
        <v>0.32056073485618636</v>
      </c>
      <c r="BE162" s="153">
        <f t="shared" si="220"/>
        <v>0.2133387410533874</v>
      </c>
      <c r="BF162" s="153">
        <f t="shared" si="221"/>
        <v>0.21250211853945256</v>
      </c>
      <c r="BG162" s="153"/>
      <c r="BH162" s="463">
        <f t="shared" si="222"/>
        <v>3.5965714656038372E-2</v>
      </c>
      <c r="BI162" s="463">
        <f t="shared" si="223"/>
        <v>1.5240000000000002E-2</v>
      </c>
      <c r="BJ162" s="463">
        <f t="shared" si="224"/>
        <v>1.9483632358291059E-3</v>
      </c>
      <c r="BK162" s="463">
        <f t="shared" si="225"/>
        <v>6.6997384615384622E-3</v>
      </c>
      <c r="BL162">
        <f t="shared" si="226"/>
        <v>2.6099999999999999E-3</v>
      </c>
      <c r="BM162">
        <f t="shared" si="268"/>
        <v>1.558690588663285E-6</v>
      </c>
      <c r="BN162">
        <f t="shared" si="269"/>
        <v>6.7770449153972512E-2</v>
      </c>
      <c r="BO162" s="147">
        <f t="shared" si="229"/>
        <v>62.463816353405946</v>
      </c>
      <c r="BP162" s="153">
        <f t="shared" si="230"/>
        <v>2.0800000000000003E-2</v>
      </c>
      <c r="BQ162" s="153">
        <f t="shared" si="231"/>
        <v>2.0800000000000003E-2</v>
      </c>
      <c r="BR162" s="463"/>
      <c r="BT162" s="147">
        <f t="shared" si="232"/>
        <v>41.600000000000009</v>
      </c>
      <c r="BU162" s="463">
        <f t="shared" si="233"/>
        <v>0.10275918473153821</v>
      </c>
      <c r="BV162" s="463">
        <f t="shared" si="234"/>
        <v>4.5513418434244286E-2</v>
      </c>
      <c r="BW162" s="463">
        <f t="shared" si="235"/>
        <v>2.2578575191877777E-3</v>
      </c>
      <c r="BX162" s="463">
        <f t="shared" si="236"/>
        <v>0</v>
      </c>
      <c r="BY162" s="463">
        <f t="shared" si="180"/>
        <v>0.17064914755087315</v>
      </c>
      <c r="BZ162" s="463">
        <f t="shared" si="250"/>
        <v>0.15053046068497028</v>
      </c>
      <c r="CA162" s="549">
        <f t="shared" si="270"/>
        <v>3.4666666666666679E-2</v>
      </c>
      <c r="CB162" s="147">
        <f t="shared" si="238"/>
        <v>506.37673558748043</v>
      </c>
      <c r="CC162" s="153">
        <f t="shared" si="251"/>
        <v>0.31468626337151234</v>
      </c>
      <c r="CD162" s="5">
        <f t="shared" si="239"/>
        <v>1.8720000000000001</v>
      </c>
      <c r="CE162" s="153">
        <f t="shared" si="240"/>
        <v>0.8560898887770404</v>
      </c>
      <c r="CF162" s="5">
        <f t="shared" si="241"/>
        <v>85.608988877704036</v>
      </c>
      <c r="CG162">
        <f t="shared" si="242"/>
        <v>52</v>
      </c>
      <c r="CI162" s="59">
        <f t="shared" si="271"/>
        <v>-50</v>
      </c>
      <c r="CJ162">
        <f t="shared" si="272"/>
        <v>-50</v>
      </c>
    </row>
    <row r="163" spans="5:88" x14ac:dyDescent="0.25">
      <c r="E163" s="150">
        <v>53</v>
      </c>
      <c r="F163" s="191">
        <f t="shared" si="273"/>
        <v>5.3000000000000005E-2</v>
      </c>
      <c r="G163" s="191">
        <f t="shared" si="252"/>
        <v>5.3000000000000005E-2</v>
      </c>
      <c r="H163" s="191">
        <f t="shared" si="253"/>
        <v>1.06</v>
      </c>
      <c r="I163" s="191">
        <f t="shared" si="254"/>
        <v>0.84800000000000009</v>
      </c>
      <c r="J163" s="472">
        <f t="shared" si="186"/>
        <v>9</v>
      </c>
      <c r="K163" s="386">
        <f t="shared" si="187"/>
        <v>20.32</v>
      </c>
      <c r="L163" s="386">
        <f t="shared" si="188"/>
        <v>29.32</v>
      </c>
      <c r="M163" s="386"/>
      <c r="N163" s="191">
        <f t="shared" si="189"/>
        <v>0.69304229195088674</v>
      </c>
      <c r="O163" s="152">
        <f t="shared" si="255"/>
        <v>1.1695088676671213</v>
      </c>
      <c r="P163" s="152">
        <f t="shared" si="256"/>
        <v>1.6840927694406547</v>
      </c>
      <c r="Q163" s="191">
        <f t="shared" si="192"/>
        <v>5.8475443383356064E-2</v>
      </c>
      <c r="R163" s="191">
        <f t="shared" si="257"/>
        <v>7.3094304229195078E-2</v>
      </c>
      <c r="S163" s="191">
        <f t="shared" si="258"/>
        <v>20</v>
      </c>
      <c r="T163" s="191">
        <f t="shared" si="259"/>
        <v>0.67977252843394587</v>
      </c>
      <c r="U163" s="191">
        <f t="shared" si="196"/>
        <v>4.5318168562263059</v>
      </c>
      <c r="V163" s="191">
        <f t="shared" si="197"/>
        <v>2.007202347738029</v>
      </c>
      <c r="W163" s="175">
        <f t="shared" si="198"/>
        <v>350</v>
      </c>
      <c r="X163" s="386">
        <f t="shared" si="199"/>
        <v>152.92813322734114</v>
      </c>
      <c r="Z163" s="191">
        <f t="shared" si="200"/>
        <v>0.29701812512180864</v>
      </c>
      <c r="AA163" s="153">
        <f t="shared" si="201"/>
        <v>0.87702202299746645</v>
      </c>
      <c r="AB163" s="153">
        <f t="shared" si="260"/>
        <v>2.5325556371231982E-2</v>
      </c>
      <c r="AC163" s="153"/>
      <c r="AD163" s="153">
        <f t="shared" si="203"/>
        <v>0.44291338582677164</v>
      </c>
      <c r="AE163" s="317">
        <f t="shared" si="261"/>
        <v>1595.4962962962966</v>
      </c>
      <c r="AF163" s="463">
        <f t="shared" si="262"/>
        <v>1.1626476377952754E-2</v>
      </c>
      <c r="AH163" s="153">
        <f t="shared" si="263"/>
        <v>0.42627958632133173</v>
      </c>
      <c r="AI163" s="153">
        <f t="shared" si="264"/>
        <v>0.67977252843394587</v>
      </c>
      <c r="AJ163" s="153">
        <f t="shared" si="265"/>
        <v>1.592424095136256</v>
      </c>
      <c r="AL163" s="317">
        <f t="shared" si="266"/>
        <v>53.000000000000007</v>
      </c>
      <c r="AM163" s="147">
        <f t="shared" si="267"/>
        <v>152.92813322734114</v>
      </c>
      <c r="AO163">
        <f t="shared" si="211"/>
        <v>53.000000000000007</v>
      </c>
      <c r="AP163">
        <f t="shared" si="212"/>
        <v>152.92813322734114</v>
      </c>
      <c r="AR163" s="5">
        <f t="shared" si="249"/>
        <v>6.5390192039643349</v>
      </c>
      <c r="AS163" s="5">
        <f t="shared" si="246"/>
        <v>4.5318168562263059</v>
      </c>
      <c r="AT163" s="5">
        <f t="shared" si="247"/>
        <v>2.007202347738029</v>
      </c>
      <c r="AU163" s="153">
        <f t="shared" si="248"/>
        <v>0.69304229195088685</v>
      </c>
      <c r="AW163" s="5">
        <f t="shared" si="216"/>
        <v>1.2009314668999711</v>
      </c>
      <c r="AX163" s="5"/>
      <c r="AY163" s="5">
        <f t="shared" si="217"/>
        <v>1.501164333624964</v>
      </c>
      <c r="AZ163" s="5"/>
      <c r="BA163" s="5">
        <f t="shared" si="218"/>
        <v>0.26267092451880381</v>
      </c>
      <c r="BB163" s="5"/>
      <c r="BC163" s="5"/>
      <c r="BD163" s="153">
        <f t="shared" si="219"/>
        <v>0.32672536437265154</v>
      </c>
      <c r="BE163" s="153">
        <f t="shared" si="220"/>
        <v>0.21744140915056792</v>
      </c>
      <c r="BF163" s="153">
        <f t="shared" si="221"/>
        <v>0.21658869774213435</v>
      </c>
      <c r="BG163" s="153"/>
      <c r="BH163" s="463">
        <f t="shared" si="222"/>
        <v>3.7362312303554669E-2</v>
      </c>
      <c r="BI163" s="463">
        <f t="shared" si="223"/>
        <v>1.5239999999999998E-2</v>
      </c>
      <c r="BJ163" s="463">
        <f t="shared" si="224"/>
        <v>1.9116016653417643E-3</v>
      </c>
      <c r="BK163" s="463">
        <f t="shared" si="225"/>
        <v>6.5733283018867923E-3</v>
      </c>
      <c r="BL163">
        <f t="shared" si="226"/>
        <v>2.6099999999999999E-3</v>
      </c>
      <c r="BM163">
        <f t="shared" si="268"/>
        <v>1.5292813322734114E-6</v>
      </c>
      <c r="BN163">
        <f t="shared" si="269"/>
        <v>6.9219840063635393E-2</v>
      </c>
      <c r="BO163" s="147">
        <f t="shared" si="229"/>
        <v>63.697242270783214</v>
      </c>
      <c r="BP163" s="153">
        <f t="shared" si="230"/>
        <v>2.1200000000000004E-2</v>
      </c>
      <c r="BQ163" s="153">
        <f t="shared" si="231"/>
        <v>2.1200000000000004E-2</v>
      </c>
      <c r="BR163" s="463"/>
      <c r="BT163" s="147">
        <f t="shared" si="232"/>
        <v>42.400000000000006</v>
      </c>
      <c r="BU163" s="463">
        <f t="shared" si="233"/>
        <v>0.10674946372444191</v>
      </c>
      <c r="BV163" s="463">
        <f t="shared" si="234"/>
        <v>4.7280766413384683E-2</v>
      </c>
      <c r="BW163" s="463">
        <f t="shared" si="235"/>
        <v>2.3455331994816815E-3</v>
      </c>
      <c r="BX163" s="463">
        <f t="shared" si="236"/>
        <v>0</v>
      </c>
      <c r="BY163" s="463">
        <f t="shared" si="180"/>
        <v>0.17735963479995079</v>
      </c>
      <c r="BZ163" s="463">
        <f t="shared" si="250"/>
        <v>0.15637576333730829</v>
      </c>
      <c r="CA163" s="549">
        <f t="shared" si="270"/>
        <v>3.5333333333333342E-2</v>
      </c>
      <c r="CB163" s="147">
        <f t="shared" si="238"/>
        <v>525.4444948079007</v>
      </c>
      <c r="CC163" s="153">
        <f t="shared" si="251"/>
        <v>0.32431280819691954</v>
      </c>
      <c r="CD163" s="5">
        <f t="shared" si="239"/>
        <v>1.9080000000000001</v>
      </c>
      <c r="CE163" s="153">
        <f t="shared" si="240"/>
        <v>0.85471892334888644</v>
      </c>
      <c r="CF163" s="5">
        <f t="shared" si="241"/>
        <v>85.471892334888651</v>
      </c>
      <c r="CG163">
        <f t="shared" si="242"/>
        <v>53</v>
      </c>
      <c r="CI163" s="59">
        <f t="shared" si="271"/>
        <v>-50</v>
      </c>
      <c r="CJ163">
        <f t="shared" si="272"/>
        <v>-50</v>
      </c>
    </row>
    <row r="164" spans="5:88" x14ac:dyDescent="0.25">
      <c r="E164" s="150">
        <v>54</v>
      </c>
      <c r="F164" s="191">
        <f t="shared" si="273"/>
        <v>5.4000000000000006E-2</v>
      </c>
      <c r="G164" s="191">
        <f t="shared" si="252"/>
        <v>5.4000000000000006E-2</v>
      </c>
      <c r="H164" s="191">
        <f t="shared" si="253"/>
        <v>1.08</v>
      </c>
      <c r="I164" s="191">
        <f t="shared" si="254"/>
        <v>0.8640000000000001</v>
      </c>
      <c r="J164" s="472">
        <f t="shared" si="186"/>
        <v>9</v>
      </c>
      <c r="K164" s="386">
        <f t="shared" si="187"/>
        <v>20.32</v>
      </c>
      <c r="L164" s="386">
        <f t="shared" si="188"/>
        <v>29.32</v>
      </c>
      <c r="M164" s="386"/>
      <c r="N164" s="191">
        <f t="shared" si="189"/>
        <v>0.69304229195088674</v>
      </c>
      <c r="O164" s="152">
        <f t="shared" si="255"/>
        <v>1.1695088676671213</v>
      </c>
      <c r="P164" s="152">
        <f t="shared" si="256"/>
        <v>1.6840927694406547</v>
      </c>
      <c r="Q164" s="191">
        <f t="shared" si="192"/>
        <v>5.8475443383356064E-2</v>
      </c>
      <c r="R164" s="191">
        <f t="shared" si="257"/>
        <v>7.3094304229195078E-2</v>
      </c>
      <c r="S164" s="191">
        <f t="shared" si="258"/>
        <v>20</v>
      </c>
      <c r="T164" s="191">
        <f t="shared" si="259"/>
        <v>0.69259842519685055</v>
      </c>
      <c r="U164" s="191">
        <f t="shared" si="196"/>
        <v>4.6173228346456705</v>
      </c>
      <c r="V164" s="191">
        <f t="shared" si="197"/>
        <v>2.0450740901481805</v>
      </c>
      <c r="W164" s="175">
        <f t="shared" si="198"/>
        <v>350</v>
      </c>
      <c r="X164" s="386">
        <f t="shared" si="199"/>
        <v>150.09613076016814</v>
      </c>
      <c r="Z164" s="191">
        <f t="shared" si="200"/>
        <v>0.29701812512180864</v>
      </c>
      <c r="AA164" s="153">
        <f t="shared" si="201"/>
        <v>0.87702202299746645</v>
      </c>
      <c r="AB164" s="153">
        <f t="shared" si="260"/>
        <v>2.5325556371231982E-2</v>
      </c>
      <c r="AC164" s="153"/>
      <c r="AD164" s="153">
        <f t="shared" si="203"/>
        <v>0.44291338582677164</v>
      </c>
      <c r="AE164" s="317">
        <f t="shared" si="261"/>
        <v>1625.6000000000004</v>
      </c>
      <c r="AF164" s="463">
        <f t="shared" si="262"/>
        <v>1.1626476377952754E-2</v>
      </c>
      <c r="AH164" s="153">
        <f t="shared" si="263"/>
        <v>0.43028229936038176</v>
      </c>
      <c r="AI164" s="153">
        <f t="shared" si="264"/>
        <v>0.69259842519685055</v>
      </c>
      <c r="AJ164" s="153">
        <f t="shared" si="265"/>
        <v>1.6019247594050745</v>
      </c>
      <c r="AL164" s="317">
        <f t="shared" si="266"/>
        <v>54.000000000000007</v>
      </c>
      <c r="AM164" s="147">
        <f t="shared" si="267"/>
        <v>150.09613076016814</v>
      </c>
      <c r="AO164">
        <f t="shared" si="211"/>
        <v>54.000000000000007</v>
      </c>
      <c r="AP164">
        <f t="shared" si="212"/>
        <v>150.09613076016814</v>
      </c>
      <c r="AR164" s="5">
        <f t="shared" si="249"/>
        <v>6.6623969247938506</v>
      </c>
      <c r="AS164" s="5">
        <f t="shared" si="246"/>
        <v>4.6173228346456705</v>
      </c>
      <c r="AT164" s="5">
        <f t="shared" si="247"/>
        <v>2.0450740901481801</v>
      </c>
      <c r="AU164" s="153">
        <f t="shared" si="248"/>
        <v>0.69304229195088685</v>
      </c>
      <c r="AW164" s="5">
        <f t="shared" si="216"/>
        <v>1.2466771653543312</v>
      </c>
      <c r="AX164" s="5"/>
      <c r="AY164" s="5">
        <f t="shared" si="217"/>
        <v>1.5583464566929139</v>
      </c>
      <c r="AZ164" s="5"/>
      <c r="BA164" s="5">
        <f t="shared" si="218"/>
        <v>0.27267654535309066</v>
      </c>
      <c r="BB164" s="5"/>
      <c r="BC164" s="5"/>
      <c r="BD164" s="153">
        <f t="shared" si="219"/>
        <v>0.33288999388911666</v>
      </c>
      <c r="BE164" s="153">
        <f t="shared" si="220"/>
        <v>0.22154407724774847</v>
      </c>
      <c r="BF164" s="153">
        <f t="shared" si="221"/>
        <v>0.22067527694481615</v>
      </c>
      <c r="BG164" s="153"/>
      <c r="BH164" s="463">
        <f t="shared" si="222"/>
        <v>3.8785511811023646E-2</v>
      </c>
      <c r="BI164" s="463">
        <f t="shared" si="223"/>
        <v>1.524E-2</v>
      </c>
      <c r="BJ164" s="463">
        <f t="shared" si="224"/>
        <v>1.8762016345021016E-3</v>
      </c>
      <c r="BK164" s="463">
        <f t="shared" si="225"/>
        <v>6.4515999999999992E-3</v>
      </c>
      <c r="BL164">
        <f t="shared" si="226"/>
        <v>2.6099999999999999E-3</v>
      </c>
      <c r="BM164">
        <f t="shared" si="268"/>
        <v>1.5009613076016814E-6</v>
      </c>
      <c r="BN164">
        <f t="shared" si="269"/>
        <v>7.0706831420356206E-2</v>
      </c>
      <c r="BO164" s="147">
        <f t="shared" si="229"/>
        <v>64.963313445525756</v>
      </c>
      <c r="BP164" s="153">
        <f t="shared" si="230"/>
        <v>2.1600000000000005E-2</v>
      </c>
      <c r="BQ164" s="153">
        <f t="shared" si="231"/>
        <v>2.1600000000000005E-2</v>
      </c>
      <c r="BR164" s="463"/>
      <c r="BT164" s="147">
        <f t="shared" si="232"/>
        <v>43.20000000000001</v>
      </c>
      <c r="BU164" s="463">
        <f t="shared" si="233"/>
        <v>0.11081574803149613</v>
      </c>
      <c r="BV164" s="463">
        <f t="shared" si="234"/>
        <v>4.9081778163556342E-2</v>
      </c>
      <c r="BW164" s="463">
        <f t="shared" si="235"/>
        <v>2.4348788927335656E-3</v>
      </c>
      <c r="BX164" s="463">
        <f t="shared" si="236"/>
        <v>0</v>
      </c>
      <c r="BY164" s="463">
        <f t="shared" si="180"/>
        <v>0.18420448222856953</v>
      </c>
      <c r="BZ164" s="463">
        <f t="shared" si="250"/>
        <v>0.16233240508778604</v>
      </c>
      <c r="CA164" s="549">
        <f t="shared" si="270"/>
        <v>3.6000000000000011E-2</v>
      </c>
      <c r="CB164" s="147">
        <f t="shared" si="238"/>
        <v>544.86929240414156</v>
      </c>
      <c r="CC164" s="153">
        <f t="shared" si="251"/>
        <v>0.33411131364892577</v>
      </c>
      <c r="CD164" s="5">
        <f t="shared" si="239"/>
        <v>1.9440000000000002</v>
      </c>
      <c r="CE164" s="153">
        <f t="shared" si="240"/>
        <v>0.85333845995709112</v>
      </c>
      <c r="CF164" s="5">
        <f t="shared" si="241"/>
        <v>85.333845995709112</v>
      </c>
      <c r="CG164">
        <f t="shared" si="242"/>
        <v>54</v>
      </c>
      <c r="CI164" s="59">
        <f t="shared" si="271"/>
        <v>-50</v>
      </c>
      <c r="CJ164">
        <f t="shared" si="272"/>
        <v>-50</v>
      </c>
    </row>
    <row r="165" spans="5:88" x14ac:dyDescent="0.25">
      <c r="E165" s="150">
        <v>55</v>
      </c>
      <c r="F165" s="191">
        <f t="shared" si="273"/>
        <v>5.5000000000000007E-2</v>
      </c>
      <c r="G165" s="191">
        <f t="shared" si="252"/>
        <v>5.5000000000000007E-2</v>
      </c>
      <c r="H165" s="191">
        <f t="shared" si="253"/>
        <v>1.1000000000000001</v>
      </c>
      <c r="I165" s="191">
        <f t="shared" si="254"/>
        <v>0.88000000000000012</v>
      </c>
      <c r="J165" s="472">
        <f t="shared" si="186"/>
        <v>9</v>
      </c>
      <c r="K165" s="386">
        <f t="shared" si="187"/>
        <v>20.32</v>
      </c>
      <c r="L165" s="386">
        <f t="shared" si="188"/>
        <v>29.32</v>
      </c>
      <c r="M165" s="386"/>
      <c r="N165" s="191">
        <f t="shared" si="189"/>
        <v>0.69304229195088674</v>
      </c>
      <c r="O165" s="152">
        <f t="shared" si="255"/>
        <v>1.1695088676671213</v>
      </c>
      <c r="P165" s="152">
        <f t="shared" si="256"/>
        <v>1.6840927694406547</v>
      </c>
      <c r="Q165" s="191">
        <f t="shared" si="192"/>
        <v>5.8475443383356064E-2</v>
      </c>
      <c r="R165" s="191">
        <f t="shared" si="257"/>
        <v>7.3094304229195078E-2</v>
      </c>
      <c r="S165" s="191">
        <f t="shared" si="258"/>
        <v>20</v>
      </c>
      <c r="T165" s="191">
        <f t="shared" si="259"/>
        <v>0.70542432195975513</v>
      </c>
      <c r="U165" s="191">
        <f t="shared" si="196"/>
        <v>4.7028288130650342</v>
      </c>
      <c r="V165" s="191">
        <f t="shared" si="197"/>
        <v>2.0829458325583321</v>
      </c>
      <c r="W165" s="175">
        <f t="shared" si="198"/>
        <v>350</v>
      </c>
      <c r="X165" s="386">
        <f t="shared" si="199"/>
        <v>147.36711020089237</v>
      </c>
      <c r="Z165" s="191">
        <f t="shared" si="200"/>
        <v>0.29701812512180864</v>
      </c>
      <c r="AA165" s="153">
        <f t="shared" si="201"/>
        <v>0.87702202299746645</v>
      </c>
      <c r="AB165" s="153">
        <f t="shared" si="260"/>
        <v>2.5325556371231982E-2</v>
      </c>
      <c r="AC165" s="153"/>
      <c r="AD165" s="153">
        <f t="shared" si="203"/>
        <v>0.44291338582677164</v>
      </c>
      <c r="AE165" s="317">
        <f t="shared" si="261"/>
        <v>1655.7037037037044</v>
      </c>
      <c r="AF165" s="463">
        <f t="shared" si="262"/>
        <v>1.1626476377952754E-2</v>
      </c>
      <c r="AH165" s="153">
        <f t="shared" si="263"/>
        <v>0.43424811867344754</v>
      </c>
      <c r="AI165" s="153">
        <f t="shared" si="264"/>
        <v>0.70542432195975513</v>
      </c>
      <c r="AJ165" s="153">
        <f t="shared" si="265"/>
        <v>1.6114254236738925</v>
      </c>
      <c r="AL165" s="317">
        <f t="shared" si="266"/>
        <v>55.000000000000007</v>
      </c>
      <c r="AM165" s="147">
        <f t="shared" si="267"/>
        <v>147.36711020089237</v>
      </c>
      <c r="AO165">
        <f t="shared" si="211"/>
        <v>55.000000000000007</v>
      </c>
      <c r="AP165">
        <f t="shared" si="212"/>
        <v>147.36711020089237</v>
      </c>
      <c r="AR165" s="5">
        <f t="shared" si="249"/>
        <v>6.7857746456233663</v>
      </c>
      <c r="AS165" s="5">
        <f t="shared" si="246"/>
        <v>4.7028288130650342</v>
      </c>
      <c r="AT165" s="5">
        <f t="shared" si="247"/>
        <v>2.0829458325583321</v>
      </c>
      <c r="AU165" s="153">
        <f t="shared" si="248"/>
        <v>0.69304229195088674</v>
      </c>
      <c r="AW165" s="5">
        <f t="shared" si="216"/>
        <v>1.2932779235928844</v>
      </c>
      <c r="AX165" s="5"/>
      <c r="AY165" s="5">
        <f t="shared" si="217"/>
        <v>1.6165974044911058</v>
      </c>
      <c r="AZ165" s="5"/>
      <c r="BA165" s="5">
        <f t="shared" si="218"/>
        <v>0.28286918713755133</v>
      </c>
      <c r="BB165" s="5"/>
      <c r="BC165" s="5"/>
      <c r="BD165" s="153">
        <f t="shared" si="219"/>
        <v>0.33905462340558173</v>
      </c>
      <c r="BE165" s="153">
        <f t="shared" si="220"/>
        <v>0.22564674534492901</v>
      </c>
      <c r="BF165" s="153">
        <f t="shared" si="221"/>
        <v>0.22476185614749797</v>
      </c>
      <c r="BG165" s="153"/>
      <c r="BH165" s="463">
        <f t="shared" si="222"/>
        <v>4.0235313178445295E-2</v>
      </c>
      <c r="BI165" s="463">
        <f t="shared" si="223"/>
        <v>1.524E-2</v>
      </c>
      <c r="BJ165" s="463">
        <f t="shared" si="224"/>
        <v>1.8420888775111546E-3</v>
      </c>
      <c r="BK165" s="463">
        <f t="shared" si="225"/>
        <v>6.3342981818181815E-3</v>
      </c>
      <c r="BL165">
        <f t="shared" si="226"/>
        <v>2.6099999999999999E-3</v>
      </c>
      <c r="BM165">
        <f t="shared" si="268"/>
        <v>1.4736711020089237E-6</v>
      </c>
      <c r="BN165">
        <f t="shared" si="269"/>
        <v>7.2231142958398803E-2</v>
      </c>
      <c r="BO165" s="147">
        <f t="shared" si="229"/>
        <v>66.261700237774633</v>
      </c>
      <c r="BP165" s="153">
        <f t="shared" si="230"/>
        <v>2.2000000000000006E-2</v>
      </c>
      <c r="BQ165" s="153">
        <f t="shared" si="231"/>
        <v>2.2000000000000006E-2</v>
      </c>
      <c r="BR165" s="463"/>
      <c r="BT165" s="147">
        <f t="shared" si="232"/>
        <v>44.000000000000014</v>
      </c>
      <c r="BU165" s="463">
        <f t="shared" si="233"/>
        <v>0.11495803765270085</v>
      </c>
      <c r="BV165" s="463">
        <f t="shared" si="234"/>
        <v>5.0916453684759243E-2</v>
      </c>
      <c r="BW165" s="463">
        <f t="shared" si="235"/>
        <v>2.5258945989434286E-3</v>
      </c>
      <c r="BX165" s="463">
        <f t="shared" si="236"/>
        <v>0</v>
      </c>
      <c r="BY165" s="463">
        <f t="shared" ref="BY165:BY210" si="274">(BX165+(BU165+BV165+BW165)*(1+Ltc*(Ta-25)))/(1-(BU165+BV165+BW165)*Ltc*ThetaCa)</f>
        <v>0.19118406994181955</v>
      </c>
      <c r="BZ165" s="463">
        <f t="shared" si="250"/>
        <v>0.16840038593640352</v>
      </c>
      <c r="CA165" s="549">
        <f t="shared" si="270"/>
        <v>3.6666666666666681E-2</v>
      </c>
      <c r="CB165" s="147">
        <f t="shared" si="238"/>
        <v>564.65150848129326</v>
      </c>
      <c r="CC165" s="153">
        <f t="shared" si="251"/>
        <v>0.34408187956688502</v>
      </c>
      <c r="CD165" s="5">
        <f t="shared" si="239"/>
        <v>1.9800000000000002</v>
      </c>
      <c r="CE165" s="153">
        <f t="shared" si="240"/>
        <v>0.8519493299302312</v>
      </c>
      <c r="CF165" s="5">
        <f t="shared" si="241"/>
        <v>85.194932993023116</v>
      </c>
      <c r="CG165">
        <f t="shared" si="242"/>
        <v>55.000000000000007</v>
      </c>
      <c r="CI165" s="59">
        <f t="shared" si="271"/>
        <v>-50</v>
      </c>
      <c r="CJ165">
        <f t="shared" si="272"/>
        <v>-50</v>
      </c>
    </row>
    <row r="166" spans="5:88" x14ac:dyDescent="0.25">
      <c r="E166" s="150">
        <v>56</v>
      </c>
      <c r="F166" s="191">
        <f t="shared" si="273"/>
        <v>5.6000000000000008E-2</v>
      </c>
      <c r="G166" s="191">
        <f t="shared" si="252"/>
        <v>5.6000000000000008E-2</v>
      </c>
      <c r="H166" s="191">
        <f t="shared" si="253"/>
        <v>1.1200000000000001</v>
      </c>
      <c r="I166" s="191">
        <f t="shared" si="254"/>
        <v>0.89600000000000013</v>
      </c>
      <c r="J166" s="472">
        <f t="shared" si="186"/>
        <v>9</v>
      </c>
      <c r="K166" s="386">
        <f t="shared" si="187"/>
        <v>20.32</v>
      </c>
      <c r="L166" s="386">
        <f t="shared" si="188"/>
        <v>29.32</v>
      </c>
      <c r="M166" s="386"/>
      <c r="N166" s="191">
        <f t="shared" si="189"/>
        <v>0.69304229195088674</v>
      </c>
      <c r="O166" s="152">
        <f t="shared" si="255"/>
        <v>1.1695088676671213</v>
      </c>
      <c r="P166" s="152">
        <f t="shared" si="256"/>
        <v>1.6840927694406547</v>
      </c>
      <c r="Q166" s="191">
        <f t="shared" si="192"/>
        <v>5.8475443383356064E-2</v>
      </c>
      <c r="R166" s="191">
        <f t="shared" si="257"/>
        <v>7.3094304229195078E-2</v>
      </c>
      <c r="S166" s="191">
        <f t="shared" si="258"/>
        <v>20</v>
      </c>
      <c r="T166" s="191">
        <f t="shared" si="259"/>
        <v>0.71825021872265971</v>
      </c>
      <c r="U166" s="191">
        <f t="shared" si="196"/>
        <v>4.7883347914843979</v>
      </c>
      <c r="V166" s="191">
        <f t="shared" si="197"/>
        <v>2.1208175749684837</v>
      </c>
      <c r="W166" s="175">
        <f t="shared" si="198"/>
        <v>350</v>
      </c>
      <c r="X166" s="386">
        <f t="shared" si="199"/>
        <v>144.73555466159075</v>
      </c>
      <c r="Z166" s="191">
        <f t="shared" si="200"/>
        <v>0.29701812512180864</v>
      </c>
      <c r="AA166" s="153">
        <f t="shared" si="201"/>
        <v>0.87702202299746645</v>
      </c>
      <c r="AB166" s="153">
        <f t="shared" si="260"/>
        <v>2.5325556371231982E-2</v>
      </c>
      <c r="AC166" s="153"/>
      <c r="AD166" s="153">
        <f t="shared" si="203"/>
        <v>0.44291338582677164</v>
      </c>
      <c r="AE166" s="317">
        <f t="shared" si="261"/>
        <v>1685.8074074074079</v>
      </c>
      <c r="AF166" s="463">
        <f t="shared" si="262"/>
        <v>1.1626476377952754E-2</v>
      </c>
      <c r="AH166" s="153">
        <f t="shared" si="263"/>
        <v>0.4381780460041329</v>
      </c>
      <c r="AI166" s="153">
        <f t="shared" si="264"/>
        <v>0.71825021872265971</v>
      </c>
      <c r="AJ166" s="153">
        <f t="shared" si="265"/>
        <v>1.6209260879427108</v>
      </c>
      <c r="AL166" s="317">
        <f t="shared" si="266"/>
        <v>56.000000000000007</v>
      </c>
      <c r="AM166" s="147">
        <f t="shared" si="267"/>
        <v>144.73555466159075</v>
      </c>
      <c r="AO166">
        <f t="shared" si="211"/>
        <v>56.000000000000007</v>
      </c>
      <c r="AP166">
        <f t="shared" si="212"/>
        <v>144.73555466159075</v>
      </c>
      <c r="AR166" s="5">
        <f t="shared" si="249"/>
        <v>6.9091523664528802</v>
      </c>
      <c r="AS166" s="5">
        <f t="shared" si="246"/>
        <v>4.7883347914843979</v>
      </c>
      <c r="AT166" s="5">
        <f t="shared" si="247"/>
        <v>2.1208175749684823</v>
      </c>
      <c r="AU166" s="153">
        <f t="shared" si="248"/>
        <v>0.69304229195088685</v>
      </c>
      <c r="AW166" s="5">
        <f t="shared" si="216"/>
        <v>1.3407337416156315</v>
      </c>
      <c r="AX166" s="5"/>
      <c r="AY166" s="5">
        <f t="shared" si="217"/>
        <v>1.6759171770195394</v>
      </c>
      <c r="AZ166" s="5"/>
      <c r="BA166" s="5">
        <f t="shared" si="218"/>
        <v>0.29324884987218525</v>
      </c>
      <c r="BB166" s="5"/>
      <c r="BC166" s="5"/>
      <c r="BD166" s="153">
        <f t="shared" si="219"/>
        <v>0.34521925292204686</v>
      </c>
      <c r="BE166" s="153">
        <f t="shared" si="220"/>
        <v>0.2297494134421095</v>
      </c>
      <c r="BF166" s="153">
        <f t="shared" si="221"/>
        <v>0.22884843535017968</v>
      </c>
      <c r="BG166" s="153"/>
      <c r="BH166" s="463">
        <f t="shared" si="222"/>
        <v>4.1711716405819652E-2</v>
      </c>
      <c r="BI166" s="463">
        <f t="shared" si="223"/>
        <v>1.5240000000000002E-2</v>
      </c>
      <c r="BJ166" s="463">
        <f t="shared" si="224"/>
        <v>1.8091944332698845E-3</v>
      </c>
      <c r="BK166" s="463">
        <f t="shared" si="225"/>
        <v>6.2211857142857154E-3</v>
      </c>
      <c r="BL166">
        <f t="shared" si="226"/>
        <v>2.6099999999999999E-3</v>
      </c>
      <c r="BM166">
        <f t="shared" si="268"/>
        <v>1.4473555466159075E-6</v>
      </c>
      <c r="BN166">
        <f t="shared" si="269"/>
        <v>7.3792518952729855E-2</v>
      </c>
      <c r="BO166" s="147">
        <f t="shared" si="229"/>
        <v>67.592096553375256</v>
      </c>
      <c r="BP166" s="153">
        <f t="shared" si="230"/>
        <v>2.2400000000000003E-2</v>
      </c>
      <c r="BQ166" s="153">
        <f t="shared" si="231"/>
        <v>2.2400000000000003E-2</v>
      </c>
      <c r="BR166" s="463"/>
      <c r="BT166" s="147">
        <f t="shared" si="232"/>
        <v>44.800000000000004</v>
      </c>
      <c r="BU166" s="463">
        <f t="shared" si="233"/>
        <v>0.11917633258805616</v>
      </c>
      <c r="BV166" s="463">
        <f t="shared" si="234"/>
        <v>5.2784792976993365E-2</v>
      </c>
      <c r="BW166" s="463">
        <f t="shared" si="235"/>
        <v>2.6185803181112688E-3</v>
      </c>
      <c r="BX166" s="463">
        <f t="shared" si="236"/>
        <v>0</v>
      </c>
      <c r="BY166" s="463">
        <f t="shared" si="274"/>
        <v>0.19829878608933726</v>
      </c>
      <c r="BZ166" s="463">
        <f t="shared" si="250"/>
        <v>0.1745797058831608</v>
      </c>
      <c r="CA166" s="549">
        <f t="shared" si="270"/>
        <v>3.7333333333333343E-2</v>
      </c>
      <c r="CB166" s="147">
        <f t="shared" si="238"/>
        <v>584.79153118899217</v>
      </c>
      <c r="CC166" s="153">
        <f t="shared" si="251"/>
        <v>0.35422463837540047</v>
      </c>
      <c r="CD166" s="5">
        <f t="shared" si="239"/>
        <v>2.016</v>
      </c>
      <c r="CE166" s="153">
        <f t="shared" si="240"/>
        <v>0.85055229253789499</v>
      </c>
      <c r="CF166" s="5">
        <f t="shared" si="241"/>
        <v>85.055229253789506</v>
      </c>
      <c r="CG166">
        <f t="shared" si="242"/>
        <v>56.000000000000007</v>
      </c>
      <c r="CI166" s="59">
        <f t="shared" si="271"/>
        <v>-50</v>
      </c>
      <c r="CJ166">
        <f t="shared" si="272"/>
        <v>-50</v>
      </c>
    </row>
    <row r="167" spans="5:88" x14ac:dyDescent="0.25">
      <c r="E167" s="150">
        <v>57</v>
      </c>
      <c r="F167" s="191">
        <f t="shared" si="273"/>
        <v>5.6999999999999995E-2</v>
      </c>
      <c r="G167" s="191">
        <f t="shared" si="252"/>
        <v>5.6999999999999995E-2</v>
      </c>
      <c r="H167" s="191">
        <f t="shared" si="253"/>
        <v>1.1399999999999999</v>
      </c>
      <c r="I167" s="191">
        <f t="shared" si="254"/>
        <v>0.91199999999999992</v>
      </c>
      <c r="J167" s="472">
        <f t="shared" si="186"/>
        <v>9</v>
      </c>
      <c r="K167" s="386">
        <f t="shared" si="187"/>
        <v>20.32</v>
      </c>
      <c r="L167" s="386">
        <f t="shared" si="188"/>
        <v>29.32</v>
      </c>
      <c r="M167" s="386"/>
      <c r="N167" s="191">
        <f t="shared" si="189"/>
        <v>0.69304229195088674</v>
      </c>
      <c r="O167" s="152">
        <f t="shared" si="255"/>
        <v>1.1695088676671213</v>
      </c>
      <c r="P167" s="152">
        <f t="shared" si="256"/>
        <v>1.6840927694406547</v>
      </c>
      <c r="Q167" s="191">
        <f t="shared" si="192"/>
        <v>5.8475443383356064E-2</v>
      </c>
      <c r="R167" s="191">
        <f t="shared" si="257"/>
        <v>7.3094304229195078E-2</v>
      </c>
      <c r="S167" s="191">
        <f t="shared" si="258"/>
        <v>20</v>
      </c>
      <c r="T167" s="191">
        <f t="shared" si="259"/>
        <v>0.73107611548556417</v>
      </c>
      <c r="U167" s="191">
        <f t="shared" si="196"/>
        <v>4.8738407699037607</v>
      </c>
      <c r="V167" s="191">
        <f t="shared" si="197"/>
        <v>2.1586893173786348</v>
      </c>
      <c r="W167" s="175">
        <f t="shared" si="198"/>
        <v>350</v>
      </c>
      <c r="X167" s="386">
        <f t="shared" si="199"/>
        <v>142.19633440436988</v>
      </c>
      <c r="Z167" s="191">
        <f t="shared" si="200"/>
        <v>0.29701812512180864</v>
      </c>
      <c r="AA167" s="153">
        <f t="shared" si="201"/>
        <v>0.87702202299746645</v>
      </c>
      <c r="AB167" s="153">
        <f t="shared" si="260"/>
        <v>2.5325556371231982E-2</v>
      </c>
      <c r="AC167" s="153"/>
      <c r="AD167" s="153">
        <f t="shared" si="203"/>
        <v>0.44291338582677164</v>
      </c>
      <c r="AE167" s="317">
        <f t="shared" si="261"/>
        <v>1715.9111111111113</v>
      </c>
      <c r="AF167" s="463">
        <f t="shared" si="262"/>
        <v>1.1626476377952754E-2</v>
      </c>
      <c r="AH167" s="153">
        <f t="shared" si="263"/>
        <v>0.44207303856780433</v>
      </c>
      <c r="AI167" s="153">
        <f t="shared" si="264"/>
        <v>0.73107611548556417</v>
      </c>
      <c r="AJ167" s="153">
        <f t="shared" si="265"/>
        <v>1.630426752211529</v>
      </c>
      <c r="AL167" s="317">
        <f t="shared" si="266"/>
        <v>56.999999999999993</v>
      </c>
      <c r="AM167" s="147">
        <f t="shared" si="267"/>
        <v>142.19633440436988</v>
      </c>
      <c r="AO167">
        <f t="shared" si="211"/>
        <v>56.999999999999993</v>
      </c>
      <c r="AP167">
        <f t="shared" si="212"/>
        <v>142.19633440436988</v>
      </c>
      <c r="AR167" s="5">
        <f t="shared" si="249"/>
        <v>7.032530087282395</v>
      </c>
      <c r="AS167" s="5">
        <f t="shared" si="246"/>
        <v>4.8738407699037607</v>
      </c>
      <c r="AT167" s="5">
        <f t="shared" si="247"/>
        <v>2.1586893173786343</v>
      </c>
      <c r="AU167" s="153">
        <f t="shared" si="248"/>
        <v>0.69304229195088674</v>
      </c>
      <c r="AW167" s="5">
        <f t="shared" si="216"/>
        <v>1.3890446194225716</v>
      </c>
      <c r="AX167" s="5"/>
      <c r="AY167" s="5">
        <f t="shared" si="217"/>
        <v>1.7363057742782144</v>
      </c>
      <c r="AZ167" s="5"/>
      <c r="BA167" s="5">
        <f t="shared" si="218"/>
        <v>0.30381553355699292</v>
      </c>
      <c r="BB167" s="5"/>
      <c r="BC167" s="5"/>
      <c r="BD167" s="153">
        <f t="shared" si="219"/>
        <v>0.35138388243851187</v>
      </c>
      <c r="BE167" s="153">
        <f t="shared" si="220"/>
        <v>0.23385208153928999</v>
      </c>
      <c r="BF167" s="153">
        <f t="shared" si="221"/>
        <v>0.23293501455286145</v>
      </c>
      <c r="BG167" s="153"/>
      <c r="BH167" s="463">
        <f t="shared" si="222"/>
        <v>4.3214721493146674E-2</v>
      </c>
      <c r="BI167" s="463">
        <f t="shared" si="223"/>
        <v>1.524E-2</v>
      </c>
      <c r="BJ167" s="463">
        <f t="shared" si="224"/>
        <v>1.7774541800546235E-3</v>
      </c>
      <c r="BK167" s="463">
        <f t="shared" si="225"/>
        <v>6.11204210526316E-3</v>
      </c>
      <c r="BL167">
        <f t="shared" si="226"/>
        <v>2.6099999999999999E-3</v>
      </c>
      <c r="BM167">
        <f t="shared" si="268"/>
        <v>1.4219633440436988E-6</v>
      </c>
      <c r="BN167">
        <f t="shared" si="269"/>
        <v>7.5390726157064353E-2</v>
      </c>
      <c r="BO167" s="147">
        <f t="shared" si="229"/>
        <v>68.954217778464454</v>
      </c>
      <c r="BP167" s="153">
        <f t="shared" si="230"/>
        <v>2.2800000000000001E-2</v>
      </c>
      <c r="BQ167" s="153">
        <f t="shared" si="231"/>
        <v>2.2800000000000001E-2</v>
      </c>
      <c r="BR167" s="463"/>
      <c r="BT167" s="147">
        <f t="shared" si="232"/>
        <v>45.6</v>
      </c>
      <c r="BU167" s="463">
        <f t="shared" si="233"/>
        <v>0.12347063283756193</v>
      </c>
      <c r="BV167" s="463">
        <f t="shared" si="234"/>
        <v>5.4686796040258737E-2</v>
      </c>
      <c r="BW167" s="463">
        <f t="shared" si="235"/>
        <v>2.7129360502370888E-3</v>
      </c>
      <c r="BX167" s="463">
        <f t="shared" si="236"/>
        <v>0</v>
      </c>
      <c r="BY167" s="463">
        <f t="shared" si="274"/>
        <v>0.20554902692019777</v>
      </c>
      <c r="BZ167" s="463">
        <f t="shared" si="250"/>
        <v>0.18087036492805775</v>
      </c>
      <c r="CA167" s="549">
        <f t="shared" si="270"/>
        <v>3.7999999999999992E-2</v>
      </c>
      <c r="CB167" s="147">
        <f t="shared" si="238"/>
        <v>605.28975677631331</v>
      </c>
      <c r="CC167" s="153">
        <f t="shared" si="251"/>
        <v>0.36453975307726211</v>
      </c>
      <c r="CD167" s="5">
        <f t="shared" si="239"/>
        <v>2.0519999999999996</v>
      </c>
      <c r="CE167" s="153">
        <f t="shared" si="240"/>
        <v>0.84914804210729367</v>
      </c>
      <c r="CF167" s="5">
        <f t="shared" si="241"/>
        <v>84.914804210729372</v>
      </c>
      <c r="CG167">
        <f t="shared" si="242"/>
        <v>56.999999999999993</v>
      </c>
      <c r="CI167" s="59">
        <f t="shared" si="271"/>
        <v>-50</v>
      </c>
      <c r="CJ167">
        <f t="shared" si="272"/>
        <v>-50</v>
      </c>
    </row>
    <row r="168" spans="5:88" x14ac:dyDescent="0.25">
      <c r="E168" s="150">
        <v>58</v>
      </c>
      <c r="F168" s="191">
        <f t="shared" si="273"/>
        <v>5.7999999999999996E-2</v>
      </c>
      <c r="G168" s="191">
        <f t="shared" si="252"/>
        <v>5.7999999999999996E-2</v>
      </c>
      <c r="H168" s="191">
        <f t="shared" si="253"/>
        <v>1.1599999999999999</v>
      </c>
      <c r="I168" s="191">
        <f t="shared" si="254"/>
        <v>0.92799999999999994</v>
      </c>
      <c r="J168" s="472">
        <f t="shared" si="186"/>
        <v>9</v>
      </c>
      <c r="K168" s="386">
        <f t="shared" si="187"/>
        <v>20.32</v>
      </c>
      <c r="L168" s="386">
        <f t="shared" si="188"/>
        <v>29.32</v>
      </c>
      <c r="M168" s="386"/>
      <c r="N168" s="191">
        <f t="shared" si="189"/>
        <v>0.69304229195088674</v>
      </c>
      <c r="O168" s="152">
        <f t="shared" si="255"/>
        <v>1.1695088676671213</v>
      </c>
      <c r="P168" s="152">
        <f t="shared" si="256"/>
        <v>1.6840927694406547</v>
      </c>
      <c r="Q168" s="191">
        <f t="shared" si="192"/>
        <v>5.8475443383356064E-2</v>
      </c>
      <c r="R168" s="191">
        <f t="shared" si="257"/>
        <v>7.3094304229195078E-2</v>
      </c>
      <c r="S168" s="191">
        <f t="shared" si="258"/>
        <v>20</v>
      </c>
      <c r="T168" s="191">
        <f t="shared" si="259"/>
        <v>0.74390201224846908</v>
      </c>
      <c r="U168" s="191">
        <f t="shared" si="196"/>
        <v>4.9593467483231279</v>
      </c>
      <c r="V168" s="191">
        <f t="shared" si="197"/>
        <v>2.1965610597887868</v>
      </c>
      <c r="W168" s="175">
        <f t="shared" si="198"/>
        <v>350</v>
      </c>
      <c r="X168" s="386">
        <f t="shared" si="199"/>
        <v>139.74467346636342</v>
      </c>
      <c r="Z168" s="191">
        <f t="shared" si="200"/>
        <v>0.29701812512180864</v>
      </c>
      <c r="AA168" s="153">
        <f t="shared" si="201"/>
        <v>0.87702202299746645</v>
      </c>
      <c r="AB168" s="153">
        <f t="shared" si="260"/>
        <v>2.5325556371231982E-2</v>
      </c>
      <c r="AC168" s="153"/>
      <c r="AD168" s="153">
        <f t="shared" si="203"/>
        <v>0.44291338582677164</v>
      </c>
      <c r="AE168" s="317">
        <f t="shared" si="261"/>
        <v>1746.0148148148151</v>
      </c>
      <c r="AF168" s="463">
        <f t="shared" si="262"/>
        <v>1.1626476377952754E-2</v>
      </c>
      <c r="AH168" s="153">
        <f t="shared" si="263"/>
        <v>0.4459340117743239</v>
      </c>
      <c r="AI168" s="153">
        <f t="shared" si="264"/>
        <v>0.74390201224846908</v>
      </c>
      <c r="AJ168" s="153">
        <f t="shared" si="265"/>
        <v>1.6399274164803475</v>
      </c>
      <c r="AL168" s="317">
        <f t="shared" si="266"/>
        <v>57.999999999999993</v>
      </c>
      <c r="AM168" s="147">
        <f t="shared" si="267"/>
        <v>139.74467346636342</v>
      </c>
      <c r="AO168">
        <f t="shared" si="211"/>
        <v>57.999999999999993</v>
      </c>
      <c r="AP168">
        <f t="shared" si="212"/>
        <v>139.74467346636342</v>
      </c>
      <c r="AR168" s="5">
        <f t="shared" si="249"/>
        <v>7.1559078081119152</v>
      </c>
      <c r="AS168" s="5">
        <f t="shared" si="246"/>
        <v>4.9593467483231279</v>
      </c>
      <c r="AT168" s="5">
        <f t="shared" si="247"/>
        <v>2.1965610597887872</v>
      </c>
      <c r="AU168" s="153">
        <f t="shared" si="248"/>
        <v>0.69304229195088674</v>
      </c>
      <c r="AW168" s="5">
        <f t="shared" si="216"/>
        <v>1.4382105570137069</v>
      </c>
      <c r="AX168" s="5"/>
      <c r="AY168" s="5">
        <f t="shared" si="217"/>
        <v>1.7977631962671337</v>
      </c>
      <c r="AZ168" s="5"/>
      <c r="BA168" s="5">
        <f t="shared" si="218"/>
        <v>0.31456923819197441</v>
      </c>
      <c r="BB168" s="5"/>
      <c r="BC168" s="5"/>
      <c r="BD168" s="153">
        <f t="shared" si="219"/>
        <v>0.35754851195497711</v>
      </c>
      <c r="BE168" s="153">
        <f t="shared" si="220"/>
        <v>0.23795474963647062</v>
      </c>
      <c r="BF168" s="153">
        <f t="shared" si="221"/>
        <v>0.2370215937555433</v>
      </c>
      <c r="BG168" s="153"/>
      <c r="BH168" s="463">
        <f t="shared" si="222"/>
        <v>4.4744328440426438E-2</v>
      </c>
      <c r="BI168" s="463">
        <f t="shared" si="223"/>
        <v>1.5239999999999998E-2</v>
      </c>
      <c r="BJ168" s="463">
        <f t="shared" si="224"/>
        <v>1.7468084183295427E-3</v>
      </c>
      <c r="BK168" s="463">
        <f t="shared" si="225"/>
        <v>6.0066620689655159E-3</v>
      </c>
      <c r="BL168">
        <f t="shared" si="226"/>
        <v>2.6099999999999999E-3</v>
      </c>
      <c r="BM168">
        <f t="shared" si="268"/>
        <v>1.3974467346636343E-6</v>
      </c>
      <c r="BN168">
        <f t="shared" si="269"/>
        <v>7.7025551955693203E-2</v>
      </c>
      <c r="BO168" s="147">
        <f t="shared" si="229"/>
        <v>70.347798927721485</v>
      </c>
      <c r="BP168" s="153">
        <f t="shared" si="230"/>
        <v>2.3199999999999998E-2</v>
      </c>
      <c r="BQ168" s="153">
        <f t="shared" si="231"/>
        <v>2.3199999999999998E-2</v>
      </c>
      <c r="BR168" s="463"/>
      <c r="BT168" s="147">
        <f t="shared" si="232"/>
        <v>46.4</v>
      </c>
      <c r="BU168" s="463">
        <f t="shared" si="233"/>
        <v>0.12784093840121841</v>
      </c>
      <c r="BV168" s="463">
        <f t="shared" si="234"/>
        <v>5.6622462874555413E-2</v>
      </c>
      <c r="BW168" s="463">
        <f t="shared" si="235"/>
        <v>2.8089617953208903E-3</v>
      </c>
      <c r="BX168" s="463">
        <f t="shared" si="236"/>
        <v>0</v>
      </c>
      <c r="BY168" s="463">
        <f t="shared" si="274"/>
        <v>0.21293519683907103</v>
      </c>
      <c r="BZ168" s="463">
        <f t="shared" si="250"/>
        <v>0.18727236307109471</v>
      </c>
      <c r="CA168" s="549">
        <f t="shared" si="270"/>
        <v>3.8666666666666676E-2</v>
      </c>
      <c r="CB168" s="147">
        <f t="shared" si="238"/>
        <v>626.14658964792716</v>
      </c>
      <c r="CC168" s="153">
        <f t="shared" si="251"/>
        <v>0.37502741546143092</v>
      </c>
      <c r="CD168" s="5">
        <f t="shared" si="239"/>
        <v>2.0880000000000001</v>
      </c>
      <c r="CE168" s="153">
        <f t="shared" si="240"/>
        <v>0.8477372143293127</v>
      </c>
      <c r="CF168" s="5">
        <f t="shared" si="241"/>
        <v>84.773721432931268</v>
      </c>
      <c r="CG168">
        <f t="shared" si="242"/>
        <v>57.999999999999993</v>
      </c>
      <c r="CI168" s="59">
        <f t="shared" si="271"/>
        <v>139.74467346636342</v>
      </c>
      <c r="CJ168">
        <f t="shared" si="272"/>
        <v>2.419104302647312</v>
      </c>
    </row>
    <row r="169" spans="5:88" x14ac:dyDescent="0.25">
      <c r="E169" s="150">
        <v>59</v>
      </c>
      <c r="F169" s="191">
        <f t="shared" si="273"/>
        <v>5.8999999999999997E-2</v>
      </c>
      <c r="G169" s="191">
        <f t="shared" si="252"/>
        <v>5.8999999999999997E-2</v>
      </c>
      <c r="H169" s="191">
        <f t="shared" si="253"/>
        <v>1.18</v>
      </c>
      <c r="I169" s="191">
        <f t="shared" si="254"/>
        <v>0.94399999999999995</v>
      </c>
      <c r="J169" s="472">
        <f t="shared" si="186"/>
        <v>9</v>
      </c>
      <c r="K169" s="386">
        <f t="shared" si="187"/>
        <v>20.14218419774782</v>
      </c>
      <c r="L169" s="386">
        <f t="shared" si="188"/>
        <v>29.32</v>
      </c>
      <c r="M169" s="386"/>
      <c r="N169" s="191">
        <f t="shared" si="189"/>
        <v>0.69304229195088674</v>
      </c>
      <c r="O169" s="152">
        <f t="shared" si="255"/>
        <v>1.1695088676671213</v>
      </c>
      <c r="P169" s="152">
        <f t="shared" si="256"/>
        <v>1.6840927694406547</v>
      </c>
      <c r="Q169" s="191">
        <f t="shared" si="192"/>
        <v>5.8475443383356064E-2</v>
      </c>
      <c r="R169" s="191">
        <f t="shared" si="257"/>
        <v>7.3094304229195078E-2</v>
      </c>
      <c r="S169" s="191">
        <f t="shared" si="258"/>
        <v>19.82218419774782</v>
      </c>
      <c r="T169" s="191">
        <f t="shared" si="259"/>
        <v>0.75</v>
      </c>
      <c r="U169" s="191">
        <f t="shared" si="196"/>
        <v>5</v>
      </c>
      <c r="V169" s="191">
        <f t="shared" si="197"/>
        <v>2.2341171919692622</v>
      </c>
      <c r="W169" s="175">
        <f t="shared" si="198"/>
        <v>350</v>
      </c>
      <c r="X169" s="386">
        <f t="shared" si="199"/>
        <v>138.23386786021658</v>
      </c>
      <c r="Z169" s="191">
        <f t="shared" si="200"/>
        <v>0.29621543112903553</v>
      </c>
      <c r="AA169" s="153">
        <f t="shared" si="201"/>
        <v>0.88237331628262028</v>
      </c>
      <c r="AB169" s="153">
        <f t="shared" si="260"/>
        <v>2.5411224251331837E-2</v>
      </c>
      <c r="AC169" s="153"/>
      <c r="AD169" s="153">
        <f t="shared" si="203"/>
        <v>0.44682343839385236</v>
      </c>
      <c r="AE169" s="317">
        <f t="shared" si="261"/>
        <v>1760.576100247587</v>
      </c>
      <c r="AF169" s="463">
        <f t="shared" si="262"/>
        <v>1.1729115257838625E-2</v>
      </c>
      <c r="AH169" s="153">
        <f t="shared" si="263"/>
        <v>0.44976184174039741</v>
      </c>
      <c r="AI169" s="153">
        <f t="shared" si="264"/>
        <v>0.75</v>
      </c>
      <c r="AJ169" s="153">
        <f t="shared" si="265"/>
        <v>1.6444444444444444</v>
      </c>
      <c r="AL169" s="317">
        <f t="shared" si="266"/>
        <v>59</v>
      </c>
      <c r="AM169" s="147">
        <f t="shared" si="267"/>
        <v>138.23386786021658</v>
      </c>
      <c r="AO169" t="str">
        <f t="shared" si="211"/>
        <v/>
      </c>
      <c r="AP169" t="str">
        <f t="shared" si="212"/>
        <v/>
      </c>
      <c r="AR169" s="5">
        <f t="shared" si="249"/>
        <v>7.2341171919692622</v>
      </c>
      <c r="AS169" s="5">
        <f t="shared" si="246"/>
        <v>5</v>
      </c>
      <c r="AT169" s="5">
        <f t="shared" si="247"/>
        <v>2.2341171919692622</v>
      </c>
      <c r="AU169" s="153">
        <f t="shared" si="248"/>
        <v>0.69116933930108293</v>
      </c>
      <c r="AW169" s="5">
        <f t="shared" si="216"/>
        <v>1.4749999999999999</v>
      </c>
      <c r="AX169" s="5"/>
      <c r="AY169" s="5">
        <f t="shared" si="217"/>
        <v>1.84375</v>
      </c>
      <c r="AZ169" s="5"/>
      <c r="BA169" s="5">
        <f t="shared" si="218"/>
        <v>0.32546398599058385</v>
      </c>
      <c r="BB169" s="5"/>
      <c r="BC169" s="5"/>
      <c r="BD169" s="153">
        <f t="shared" si="219"/>
        <v>0.35999201535444236</v>
      </c>
      <c r="BE169" s="153">
        <f t="shared" si="220"/>
        <v>0.24063613378095766</v>
      </c>
      <c r="BF169" s="153">
        <f t="shared" si="221"/>
        <v>0.23969246266809116</v>
      </c>
      <c r="BG169" s="153"/>
      <c r="BH169" s="463">
        <f t="shared" si="222"/>
        <v>4.5357987891633568E-2</v>
      </c>
      <c r="BI169" s="463">
        <f t="shared" si="223"/>
        <v>1.5198813771230814E-2</v>
      </c>
      <c r="BJ169" s="463">
        <f t="shared" si="224"/>
        <v>1.7279233482527072E-3</v>
      </c>
      <c r="BK169" s="463">
        <f t="shared" si="225"/>
        <v>5.9417229302998337E-3</v>
      </c>
      <c r="BL169">
        <f t="shared" si="226"/>
        <v>2.6099999999999999E-3</v>
      </c>
      <c r="BM169">
        <f t="shared" si="268"/>
        <v>1.3823386786021659E-6</v>
      </c>
      <c r="BN169">
        <f t="shared" si="269"/>
        <v>7.7610647130740978E-2</v>
      </c>
      <c r="BO169" s="147">
        <f t="shared" si="229"/>
        <v>70.836447941416921</v>
      </c>
      <c r="BP169" s="153">
        <f t="shared" si="230"/>
        <v>2.3599999999999999E-2</v>
      </c>
      <c r="BQ169" s="153">
        <f t="shared" si="231"/>
        <v>2.3599999999999999E-2</v>
      </c>
      <c r="BR169" s="463"/>
      <c r="BT169" s="147">
        <f t="shared" si="232"/>
        <v>47.199999999999996</v>
      </c>
      <c r="BU169" s="463">
        <f t="shared" si="233"/>
        <v>0.12959425111895306</v>
      </c>
      <c r="BV169" s="463">
        <f t="shared" si="234"/>
        <v>5.7905748881046951E-2</v>
      </c>
      <c r="BW169" s="463">
        <f t="shared" si="235"/>
        <v>2.8726238329947139E-3</v>
      </c>
      <c r="BX169" s="463">
        <f t="shared" si="236"/>
        <v>0</v>
      </c>
      <c r="BY169" s="463">
        <f t="shared" si="274"/>
        <v>0.2165148182163599</v>
      </c>
      <c r="BZ169" s="463">
        <f t="shared" si="250"/>
        <v>0.19037262383299472</v>
      </c>
      <c r="CA169" s="549">
        <f t="shared" si="270"/>
        <v>3.887827533568592E-2</v>
      </c>
      <c r="CB169" s="147">
        <f t="shared" si="238"/>
        <v>636.13834121803529</v>
      </c>
      <c r="CC169" s="153">
        <f t="shared" si="251"/>
        <v>0.38020374068278678</v>
      </c>
      <c r="CD169" s="5">
        <f t="shared" si="239"/>
        <v>2.1239999999999997</v>
      </c>
      <c r="CE169" s="153">
        <f t="shared" si="240"/>
        <v>0.84817379891816547</v>
      </c>
      <c r="CF169" s="5">
        <f t="shared" si="241"/>
        <v>84.817379891816543</v>
      </c>
      <c r="CG169">
        <f t="shared" si="242"/>
        <v>59</v>
      </c>
      <c r="CI169" s="59">
        <f t="shared" si="271"/>
        <v>-50</v>
      </c>
      <c r="CJ169">
        <f t="shared" si="272"/>
        <v>-50</v>
      </c>
    </row>
    <row r="170" spans="5:88" x14ac:dyDescent="0.25">
      <c r="E170" s="150">
        <v>60</v>
      </c>
      <c r="F170" s="191">
        <f t="shared" si="273"/>
        <v>0.06</v>
      </c>
      <c r="G170" s="191">
        <f t="shared" si="252"/>
        <v>0.06</v>
      </c>
      <c r="H170" s="191">
        <f t="shared" si="253"/>
        <v>1.2</v>
      </c>
      <c r="I170" s="191">
        <f t="shared" si="254"/>
        <v>0.96</v>
      </c>
      <c r="J170" s="472">
        <f t="shared" si="186"/>
        <v>9</v>
      </c>
      <c r="K170" s="386">
        <f t="shared" si="187"/>
        <v>19.81181446111869</v>
      </c>
      <c r="L170" s="386">
        <f t="shared" si="188"/>
        <v>29.32</v>
      </c>
      <c r="M170" s="386"/>
      <c r="N170" s="191">
        <f t="shared" si="189"/>
        <v>0.69304229195088674</v>
      </c>
      <c r="O170" s="152">
        <f t="shared" si="255"/>
        <v>1.1695088676671213</v>
      </c>
      <c r="P170" s="152">
        <f t="shared" si="256"/>
        <v>1.6840927694406547</v>
      </c>
      <c r="Q170" s="191">
        <f t="shared" si="192"/>
        <v>5.8475443383356064E-2</v>
      </c>
      <c r="R170" s="191">
        <f t="shared" si="257"/>
        <v>7.3094304229195078E-2</v>
      </c>
      <c r="S170" s="191">
        <f t="shared" si="258"/>
        <v>19.49181446111869</v>
      </c>
      <c r="T170" s="191">
        <f t="shared" si="259"/>
        <v>0.75</v>
      </c>
      <c r="U170" s="191">
        <f t="shared" si="196"/>
        <v>5</v>
      </c>
      <c r="V170" s="191">
        <f t="shared" si="197"/>
        <v>2.2713719678888533</v>
      </c>
      <c r="W170" s="175">
        <f t="shared" si="198"/>
        <v>350</v>
      </c>
      <c r="X170" s="386">
        <f t="shared" si="199"/>
        <v>137.52562850808701</v>
      </c>
      <c r="Z170" s="191">
        <f t="shared" si="200"/>
        <v>0.29469777537447217</v>
      </c>
      <c r="AA170" s="153">
        <f t="shared" si="201"/>
        <v>0.89249102131304281</v>
      </c>
      <c r="AB170" s="153">
        <f t="shared" si="260"/>
        <v>2.5570914300812649E-2</v>
      </c>
      <c r="AC170" s="153"/>
      <c r="AD170" s="153">
        <f t="shared" si="203"/>
        <v>0.45427439357777066</v>
      </c>
      <c r="AE170" s="317">
        <f t="shared" si="261"/>
        <v>1761.0501743216614</v>
      </c>
      <c r="AF170" s="463">
        <f t="shared" si="262"/>
        <v>1.1924702831416478E-2</v>
      </c>
      <c r="AH170" s="153">
        <f t="shared" si="263"/>
        <v>0.45355736761107268</v>
      </c>
      <c r="AI170" s="153">
        <f t="shared" si="264"/>
        <v>0.75</v>
      </c>
      <c r="AJ170" s="153">
        <f t="shared" si="265"/>
        <v>1.6444444444444444</v>
      </c>
      <c r="AL170" s="317">
        <f t="shared" si="266"/>
        <v>60</v>
      </c>
      <c r="AM170" s="147">
        <f t="shared" si="267"/>
        <v>137.52562850808701</v>
      </c>
      <c r="AO170" t="str">
        <f t="shared" si="211"/>
        <v/>
      </c>
      <c r="AP170" t="str">
        <f t="shared" si="212"/>
        <v/>
      </c>
      <c r="AR170" s="5">
        <f t="shared" si="249"/>
        <v>7.2713719678888529</v>
      </c>
      <c r="AS170" s="5">
        <f t="shared" si="246"/>
        <v>5</v>
      </c>
      <c r="AT170" s="5">
        <f t="shared" si="247"/>
        <v>2.2713719678888529</v>
      </c>
      <c r="AU170" s="153">
        <f t="shared" si="248"/>
        <v>0.68762814254043503</v>
      </c>
      <c r="AW170" s="5">
        <f t="shared" ref="AW170:AW210" si="275">F170*AS170/Vout_ripple*1000</f>
        <v>1.5</v>
      </c>
      <c r="AX170" s="5"/>
      <c r="AY170" s="5">
        <f t="shared" ref="AY170:AY210" si="276">G170*AS170/Vout_ripple2*1000</f>
        <v>1.875</v>
      </c>
      <c r="AZ170" s="5"/>
      <c r="BA170" s="5">
        <f t="shared" ref="BA170:BA210" si="277">H170/Efficiency/J170*AT170/Vinripple1</f>
        <v>0.33649955079834853</v>
      </c>
      <c r="BB170" s="5"/>
      <c r="BC170" s="5"/>
      <c r="BD170" s="153">
        <f t="shared" ref="BD170:BD210" si="278">AI170*SQRT(AU170/3)</f>
        <v>0.35906862397922146</v>
      </c>
      <c r="BE170" s="153">
        <f t="shared" ref="BE170:BE210" si="279">AI170*Npri_sec1*SQRT((1-AU170)/3)*(Pout/Pout_total)</f>
        <v>0.24201182465670645</v>
      </c>
      <c r="BF170" s="153">
        <f t="shared" ref="BF170:BF210" si="280">AI170*Npri_sec2*SQRT((1-AU170)/3)*(Pout2/Pout_total)</f>
        <v>0.24106275867766055</v>
      </c>
      <c r="BG170" s="153"/>
      <c r="BH170" s="463">
        <f t="shared" ref="BH170:BH210" si="281">Rdson*BD170^2</f>
        <v>4.5125596854216035E-2</v>
      </c>
      <c r="BI170" s="463">
        <f t="shared" ref="BI170:BI210" si="282">0.5*L170*AI170*AM170*1000*Trise</f>
        <v>1.5120942854464168E-2</v>
      </c>
      <c r="BJ170" s="463">
        <f t="shared" ref="BJ170:BJ210" si="283">Qg*Vdd*AM170*1000</f>
        <v>1.7190703563510876E-3</v>
      </c>
      <c r="BK170" s="463">
        <f t="shared" ref="BK170:BK210" si="284">0.5*(Coss+Csw)*L170^2*AM170*1000</f>
        <v>5.9112805932385257E-3</v>
      </c>
      <c r="BL170">
        <f t="shared" ref="BL170:BL210" si="285">J170*IQ</f>
        <v>2.6099999999999999E-3</v>
      </c>
      <c r="BM170">
        <f t="shared" si="268"/>
        <v>1.3752562850808702E-6</v>
      </c>
      <c r="BN170">
        <f t="shared" si="269"/>
        <v>7.7223156207106888E-2</v>
      </c>
      <c r="BO170" s="147">
        <f t="shared" ref="BO170:BO210" si="286">SUM(BH170:BL170)*1000</f>
        <v>70.486890658269829</v>
      </c>
      <c r="BP170" s="153">
        <f t="shared" ref="BP170:BP210" si="287">Vfwd2*F170</f>
        <v>2.4E-2</v>
      </c>
      <c r="BQ170" s="153">
        <f t="shared" ref="BQ170:BQ210" si="288">Vfwd2*G170</f>
        <v>2.4E-2</v>
      </c>
      <c r="BR170" s="463"/>
      <c r="BT170" s="147">
        <f t="shared" ref="BT170:BT210" si="289">SUM(BP170:BS170)*1000</f>
        <v>48</v>
      </c>
      <c r="BU170" s="463">
        <f t="shared" ref="BU170:BU210" si="290">Rdcr_pri*BD170^2</f>
        <v>0.12893027672633153</v>
      </c>
      <c r="BV170" s="463">
        <f t="shared" ref="BV170:BV210" si="291">Rdcr_sec*BE170^2</f>
        <v>5.8569723273668432E-2</v>
      </c>
      <c r="BW170" s="463">
        <f t="shared" ref="BW170:BW210" si="292">Rdcr_sec2*BF170^2</f>
        <v>2.9055626810642007E-3</v>
      </c>
      <c r="BX170" s="463">
        <f t="shared" ref="BX170:BX210" si="293">AI170^2.5*AM170^2.5*k_core</f>
        <v>0</v>
      </c>
      <c r="BY170" s="463">
        <f t="shared" si="274"/>
        <v>0.21655285973137967</v>
      </c>
      <c r="BZ170" s="463">
        <f t="shared" si="250"/>
        <v>0.19040556268106418</v>
      </c>
      <c r="CA170" s="549">
        <f t="shared" si="270"/>
        <v>3.8679083017899483E-2</v>
      </c>
      <c r="CB170" s="147">
        <f t="shared" ref="CB170:CB192" si="294">SUM(BU170:CA170)*1000</f>
        <v>636.04306811140748</v>
      </c>
      <c r="CC170" s="153">
        <f t="shared" si="251"/>
        <v>0.38045509895638602</v>
      </c>
      <c r="CD170" s="5">
        <f t="shared" ref="CD170:CD192" si="295">MIN(H170+I170,O170+P170)</f>
        <v>2.16</v>
      </c>
      <c r="CE170" s="153">
        <f t="shared" ref="CE170:CE192" si="296">CD170/(CD170+CC170)</f>
        <v>0.85024136064728073</v>
      </c>
      <c r="CF170" s="5">
        <f t="shared" ref="CF170:CF192" si="297">CE170*100</f>
        <v>85.024136064728069</v>
      </c>
      <c r="CG170">
        <f t="shared" ref="CG170:CG192" si="298">F170/Iout*100</f>
        <v>60</v>
      </c>
      <c r="CI170" s="59">
        <f t="shared" si="271"/>
        <v>-50</v>
      </c>
      <c r="CJ170">
        <f t="shared" si="272"/>
        <v>-50</v>
      </c>
    </row>
    <row r="171" spans="5:88" x14ac:dyDescent="0.25">
      <c r="E171" s="150">
        <v>61</v>
      </c>
      <c r="F171" s="191">
        <f t="shared" si="273"/>
        <v>6.0999999999999999E-2</v>
      </c>
      <c r="G171" s="191">
        <f t="shared" si="252"/>
        <v>6.0999999999999999E-2</v>
      </c>
      <c r="H171" s="191">
        <f t="shared" si="253"/>
        <v>1.22</v>
      </c>
      <c r="I171" s="191">
        <f t="shared" si="254"/>
        <v>0.97599999999999998</v>
      </c>
      <c r="J171" s="472">
        <f t="shared" si="186"/>
        <v>9</v>
      </c>
      <c r="K171" s="386">
        <f t="shared" si="187"/>
        <v>19.492276519133135</v>
      </c>
      <c r="L171" s="386">
        <f t="shared" si="188"/>
        <v>29.32</v>
      </c>
      <c r="M171" s="386"/>
      <c r="N171" s="191">
        <f t="shared" si="189"/>
        <v>0.69304229195088674</v>
      </c>
      <c r="O171" s="152">
        <f t="shared" si="255"/>
        <v>1.1695088676671213</v>
      </c>
      <c r="P171" s="152">
        <f t="shared" si="256"/>
        <v>1.6840927694406547</v>
      </c>
      <c r="Q171" s="191">
        <f t="shared" si="192"/>
        <v>5.8475443383356064E-2</v>
      </c>
      <c r="R171" s="191">
        <f t="shared" si="257"/>
        <v>7.3094304229195078E-2</v>
      </c>
      <c r="S171" s="191">
        <f t="shared" si="258"/>
        <v>19.172276519133135</v>
      </c>
      <c r="T171" s="191">
        <f t="shared" si="259"/>
        <v>0.75</v>
      </c>
      <c r="U171" s="191">
        <f t="shared" si="196"/>
        <v>5</v>
      </c>
      <c r="V171" s="191">
        <f t="shared" si="197"/>
        <v>2.3086066912620042</v>
      </c>
      <c r="W171" s="175">
        <f t="shared" si="198"/>
        <v>350</v>
      </c>
      <c r="X171" s="386">
        <f t="shared" si="199"/>
        <v>136.82498487647121</v>
      </c>
      <c r="Z171" s="191">
        <f t="shared" si="200"/>
        <v>0.29319639616386689</v>
      </c>
      <c r="AA171" s="153">
        <f t="shared" si="201"/>
        <v>0.9025002160504112</v>
      </c>
      <c r="AB171" s="153">
        <f t="shared" si="260"/>
        <v>2.5725953835856151E-2</v>
      </c>
      <c r="AC171" s="153"/>
      <c r="AD171" s="153">
        <f t="shared" si="203"/>
        <v>0.4617213382524008</v>
      </c>
      <c r="AE171" s="317">
        <f t="shared" si="261"/>
        <v>1761.5242483957352</v>
      </c>
      <c r="AF171" s="463">
        <f t="shared" si="262"/>
        <v>1.2120185129125521E-2</v>
      </c>
      <c r="AH171" s="153">
        <f t="shared" si="263"/>
        <v>0.45732139370781366</v>
      </c>
      <c r="AI171" s="153">
        <f t="shared" si="264"/>
        <v>0.75</v>
      </c>
      <c r="AJ171" s="153">
        <f t="shared" si="265"/>
        <v>1.6444444444444444</v>
      </c>
      <c r="AL171" s="317">
        <f t="shared" si="266"/>
        <v>61</v>
      </c>
      <c r="AM171" s="147">
        <f t="shared" si="267"/>
        <v>136.82498487647121</v>
      </c>
      <c r="AO171" t="str">
        <f t="shared" si="211"/>
        <v/>
      </c>
      <c r="AP171" t="str">
        <f t="shared" si="212"/>
        <v/>
      </c>
      <c r="AR171" s="5">
        <f t="shared" si="249"/>
        <v>7.3086066912620051</v>
      </c>
      <c r="AS171" s="5">
        <f t="shared" si="246"/>
        <v>5</v>
      </c>
      <c r="AT171" s="5">
        <f t="shared" si="247"/>
        <v>2.3086066912620051</v>
      </c>
      <c r="AU171" s="153">
        <f t="shared" si="248"/>
        <v>0.68412492438235595</v>
      </c>
      <c r="AW171" s="5">
        <f t="shared" si="275"/>
        <v>1.5249999999999999</v>
      </c>
      <c r="AX171" s="5"/>
      <c r="AY171" s="5">
        <f t="shared" si="276"/>
        <v>1.90625</v>
      </c>
      <c r="AZ171" s="5"/>
      <c r="BA171" s="5">
        <f t="shared" si="277"/>
        <v>0.34771606954810447</v>
      </c>
      <c r="BB171" s="5"/>
      <c r="BC171" s="5"/>
      <c r="BD171" s="153">
        <f t="shared" si="278"/>
        <v>0.35815279326244509</v>
      </c>
      <c r="BE171" s="153">
        <f t="shared" si="279"/>
        <v>0.24336510982124832</v>
      </c>
      <c r="BF171" s="153">
        <f t="shared" si="280"/>
        <v>0.24241073684155717</v>
      </c>
      <c r="BG171" s="153"/>
      <c r="BH171" s="463">
        <f t="shared" si="281"/>
        <v>4.4895698162592104E-2</v>
      </c>
      <c r="BI171" s="463">
        <f t="shared" si="282"/>
        <v>1.5043907087168011E-2</v>
      </c>
      <c r="BJ171" s="463">
        <f t="shared" si="283"/>
        <v>1.71031231095589E-3</v>
      </c>
      <c r="BK171" s="463">
        <f t="shared" si="284"/>
        <v>5.8811647439435486E-3</v>
      </c>
      <c r="BL171">
        <f t="shared" si="285"/>
        <v>2.6099999999999999E-3</v>
      </c>
      <c r="BM171">
        <f t="shared" si="268"/>
        <v>1.368249848764712E-6</v>
      </c>
      <c r="BN171">
        <f t="shared" si="269"/>
        <v>7.6839854012140496E-2</v>
      </c>
      <c r="BO171" s="147">
        <f t="shared" si="286"/>
        <v>70.141082304659548</v>
      </c>
      <c r="BP171" s="153">
        <f t="shared" si="287"/>
        <v>2.4400000000000002E-2</v>
      </c>
      <c r="BQ171" s="153">
        <f t="shared" si="288"/>
        <v>2.4400000000000002E-2</v>
      </c>
      <c r="BR171" s="463"/>
      <c r="BT171" s="147">
        <f t="shared" si="289"/>
        <v>48.800000000000004</v>
      </c>
      <c r="BU171" s="463">
        <f t="shared" si="290"/>
        <v>0.12827342332169173</v>
      </c>
      <c r="BV171" s="463">
        <f t="shared" si="291"/>
        <v>5.9226576678308253E-2</v>
      </c>
      <c r="BW171" s="463">
        <f t="shared" si="292"/>
        <v>2.9381482668033344E-3</v>
      </c>
      <c r="BX171" s="463">
        <f t="shared" si="293"/>
        <v>0</v>
      </c>
      <c r="BY171" s="463">
        <f t="shared" si="274"/>
        <v>0.216590493459347</v>
      </c>
      <c r="BZ171" s="463">
        <f t="shared" si="250"/>
        <v>0.1904381482668033</v>
      </c>
      <c r="CA171" s="549">
        <f t="shared" si="270"/>
        <v>3.8482026996507539E-2</v>
      </c>
      <c r="CB171" s="147">
        <f t="shared" si="294"/>
        <v>635.94881698946108</v>
      </c>
      <c r="CC171" s="153">
        <f t="shared" si="251"/>
        <v>0.38071237446799505</v>
      </c>
      <c r="CD171" s="5">
        <f t="shared" si="295"/>
        <v>2.1959999999999997</v>
      </c>
      <c r="CE171" s="153">
        <f t="shared" si="296"/>
        <v>0.8522487887121668</v>
      </c>
      <c r="CF171" s="5">
        <f t="shared" si="297"/>
        <v>85.224878871216674</v>
      </c>
      <c r="CG171">
        <f t="shared" si="298"/>
        <v>61</v>
      </c>
      <c r="CI171" s="59">
        <f t="shared" si="271"/>
        <v>-50</v>
      </c>
      <c r="CJ171">
        <f t="shared" si="272"/>
        <v>-50</v>
      </c>
    </row>
    <row r="172" spans="5:88" x14ac:dyDescent="0.25">
      <c r="E172" s="150">
        <v>62</v>
      </c>
      <c r="F172" s="191">
        <f t="shared" si="273"/>
        <v>6.2E-2</v>
      </c>
      <c r="G172" s="191">
        <f t="shared" si="252"/>
        <v>6.2E-2</v>
      </c>
      <c r="H172" s="191">
        <f t="shared" si="253"/>
        <v>1.24</v>
      </c>
      <c r="I172" s="191">
        <f t="shared" si="254"/>
        <v>0.99199999999999999</v>
      </c>
      <c r="J172" s="472">
        <f t="shared" si="186"/>
        <v>9</v>
      </c>
      <c r="K172" s="386">
        <f t="shared" si="187"/>
        <v>19.183046252695505</v>
      </c>
      <c r="L172" s="386">
        <f t="shared" si="188"/>
        <v>29.32</v>
      </c>
      <c r="M172" s="386"/>
      <c r="N172" s="191">
        <f t="shared" si="189"/>
        <v>0.69304229195088674</v>
      </c>
      <c r="O172" s="152">
        <f t="shared" si="255"/>
        <v>1.1695088676671213</v>
      </c>
      <c r="P172" s="152">
        <f t="shared" si="256"/>
        <v>1.6840927694406547</v>
      </c>
      <c r="Q172" s="191">
        <f t="shared" si="192"/>
        <v>5.8475443383356064E-2</v>
      </c>
      <c r="R172" s="191">
        <f t="shared" si="257"/>
        <v>7.3094304229195078E-2</v>
      </c>
      <c r="S172" s="191">
        <f t="shared" si="258"/>
        <v>18.863046252695504</v>
      </c>
      <c r="T172" s="191">
        <f t="shared" si="259"/>
        <v>0.75</v>
      </c>
      <c r="U172" s="191">
        <f t="shared" si="196"/>
        <v>5</v>
      </c>
      <c r="V172" s="191">
        <f t="shared" si="197"/>
        <v>2.3458213782744139</v>
      </c>
      <c r="W172" s="175">
        <f t="shared" si="198"/>
        <v>350</v>
      </c>
      <c r="X172" s="386">
        <f t="shared" si="199"/>
        <v>136.13181542332944</v>
      </c>
      <c r="Z172" s="191">
        <f t="shared" si="200"/>
        <v>0.29171103304999169</v>
      </c>
      <c r="AA172" s="153">
        <f t="shared" si="201"/>
        <v>0.91240263680957945</v>
      </c>
      <c r="AB172" s="153">
        <f t="shared" si="260"/>
        <v>2.5876464030400163E-2</v>
      </c>
      <c r="AC172" s="153"/>
      <c r="AD172" s="153">
        <f t="shared" si="203"/>
        <v>0.46916427565488278</v>
      </c>
      <c r="AE172" s="317">
        <f t="shared" si="261"/>
        <v>1761.9983224698096</v>
      </c>
      <c r="AF172" s="463">
        <f t="shared" si="262"/>
        <v>1.2315562235940672E-2</v>
      </c>
      <c r="AH172" s="153">
        <f t="shared" si="263"/>
        <v>0.46105469151872708</v>
      </c>
      <c r="AI172" s="153">
        <f t="shared" si="264"/>
        <v>0.75</v>
      </c>
      <c r="AJ172" s="153">
        <f t="shared" si="265"/>
        <v>1.6444444444444444</v>
      </c>
      <c r="AL172" s="317">
        <f t="shared" si="266"/>
        <v>62</v>
      </c>
      <c r="AM172" s="147">
        <f t="shared" si="267"/>
        <v>136.13181542332944</v>
      </c>
      <c r="AO172" t="str">
        <f t="shared" si="211"/>
        <v/>
      </c>
      <c r="AP172" t="str">
        <f t="shared" si="212"/>
        <v/>
      </c>
      <c r="AR172" s="5">
        <f t="shared" si="249"/>
        <v>7.3458213782744144</v>
      </c>
      <c r="AS172" s="5">
        <f t="shared" si="246"/>
        <v>5</v>
      </c>
      <c r="AT172" s="5">
        <f t="shared" si="247"/>
        <v>2.3458213782744144</v>
      </c>
      <c r="AU172" s="153">
        <f t="shared" si="248"/>
        <v>0.68065907711664719</v>
      </c>
      <c r="AW172" s="5">
        <f t="shared" si="275"/>
        <v>1.55</v>
      </c>
      <c r="AX172" s="5"/>
      <c r="AY172" s="5">
        <f t="shared" si="276"/>
        <v>1.9375</v>
      </c>
      <c r="AZ172" s="5"/>
      <c r="BA172" s="5">
        <f t="shared" si="277"/>
        <v>0.35911339618028076</v>
      </c>
      <c r="BB172" s="5"/>
      <c r="BC172" s="5"/>
      <c r="BD172" s="153">
        <f t="shared" si="278"/>
        <v>0.35724442187299627</v>
      </c>
      <c r="BE172" s="153">
        <f t="shared" si="279"/>
        <v>0.24469659384762316</v>
      </c>
      <c r="BF172" s="153">
        <f t="shared" si="280"/>
        <v>0.24373699936194623</v>
      </c>
      <c r="BG172" s="153"/>
      <c r="BH172" s="463">
        <f t="shared" si="281"/>
        <v>4.466825193577996E-2</v>
      </c>
      <c r="BI172" s="463">
        <f t="shared" si="282"/>
        <v>1.4967693105795075E-2</v>
      </c>
      <c r="BJ172" s="463">
        <f t="shared" si="283"/>
        <v>1.7016476927916178E-3</v>
      </c>
      <c r="BK172" s="463">
        <f t="shared" si="284"/>
        <v>5.8513701581588209E-3</v>
      </c>
      <c r="BL172">
        <f t="shared" si="285"/>
        <v>2.6099999999999999E-3</v>
      </c>
      <c r="BM172">
        <f t="shared" si="268"/>
        <v>1.3613181542332945E-6</v>
      </c>
      <c r="BN172">
        <f t="shared" si="269"/>
        <v>7.6460672991515211E-2</v>
      </c>
      <c r="BO172" s="147">
        <f t="shared" si="286"/>
        <v>69.798962892525466</v>
      </c>
      <c r="BP172" s="153">
        <f t="shared" si="287"/>
        <v>2.4800000000000003E-2</v>
      </c>
      <c r="BQ172" s="153">
        <f t="shared" si="288"/>
        <v>2.4800000000000003E-2</v>
      </c>
      <c r="BR172" s="463"/>
      <c r="BT172" s="147">
        <f t="shared" si="289"/>
        <v>49.600000000000009</v>
      </c>
      <c r="BU172" s="463">
        <f t="shared" si="290"/>
        <v>0.12762357695937132</v>
      </c>
      <c r="BV172" s="463">
        <f t="shared" si="291"/>
        <v>5.9876423040628644E-2</v>
      </c>
      <c r="BW172" s="463">
        <f t="shared" si="292"/>
        <v>2.9703862428982694E-3</v>
      </c>
      <c r="BX172" s="463">
        <f t="shared" si="293"/>
        <v>0</v>
      </c>
      <c r="BY172" s="463">
        <f t="shared" si="274"/>
        <v>0.21662772592223231</v>
      </c>
      <c r="BZ172" s="463">
        <f t="shared" si="250"/>
        <v>0.19047038624289825</v>
      </c>
      <c r="CA172" s="549">
        <f t="shared" si="270"/>
        <v>3.8287073087811409E-2</v>
      </c>
      <c r="CB172" s="147">
        <f t="shared" si="294"/>
        <v>635.85557149584031</v>
      </c>
      <c r="CC172" s="153">
        <f t="shared" si="251"/>
        <v>0.38097547200155896</v>
      </c>
      <c r="CD172" s="5">
        <f t="shared" si="295"/>
        <v>2.2320000000000002</v>
      </c>
      <c r="CE172" s="153">
        <f t="shared" si="296"/>
        <v>0.8541986038201389</v>
      </c>
      <c r="CF172" s="5">
        <f t="shared" si="297"/>
        <v>85.419860382013894</v>
      </c>
      <c r="CG172">
        <f t="shared" si="298"/>
        <v>62</v>
      </c>
      <c r="CI172" s="59">
        <f t="shared" si="271"/>
        <v>-50</v>
      </c>
      <c r="CJ172">
        <f t="shared" si="272"/>
        <v>-50</v>
      </c>
    </row>
    <row r="173" spans="5:88" x14ac:dyDescent="0.25">
      <c r="E173" s="150">
        <v>63</v>
      </c>
      <c r="F173" s="191">
        <f t="shared" si="273"/>
        <v>6.3E-2</v>
      </c>
      <c r="G173" s="191">
        <f t="shared" si="252"/>
        <v>6.3E-2</v>
      </c>
      <c r="H173" s="191">
        <f t="shared" si="253"/>
        <v>1.26</v>
      </c>
      <c r="I173" s="191">
        <f t="shared" si="254"/>
        <v>1.008</v>
      </c>
      <c r="J173" s="472">
        <f t="shared" si="186"/>
        <v>9</v>
      </c>
      <c r="K173" s="386">
        <f t="shared" si="187"/>
        <v>18.883632820113036</v>
      </c>
      <c r="L173" s="386">
        <f t="shared" si="188"/>
        <v>29.32</v>
      </c>
      <c r="M173" s="386"/>
      <c r="N173" s="191">
        <f t="shared" si="189"/>
        <v>0.69304229195088674</v>
      </c>
      <c r="O173" s="152">
        <f t="shared" si="255"/>
        <v>1.1695088676671213</v>
      </c>
      <c r="P173" s="152">
        <f t="shared" si="256"/>
        <v>1.6840927694406547</v>
      </c>
      <c r="Q173" s="191">
        <f t="shared" si="192"/>
        <v>5.8475443383356064E-2</v>
      </c>
      <c r="R173" s="191">
        <f t="shared" si="257"/>
        <v>7.3094304229195078E-2</v>
      </c>
      <c r="S173" s="191">
        <f t="shared" si="258"/>
        <v>18.563632820113035</v>
      </c>
      <c r="T173" s="191">
        <f t="shared" si="259"/>
        <v>0.75</v>
      </c>
      <c r="U173" s="191">
        <f t="shared" si="196"/>
        <v>5</v>
      </c>
      <c r="V173" s="191">
        <f t="shared" si="197"/>
        <v>2.3830160450943696</v>
      </c>
      <c r="W173" s="175">
        <f t="shared" si="198"/>
        <v>350</v>
      </c>
      <c r="X173" s="386">
        <f t="shared" si="199"/>
        <v>135.44600118598524</v>
      </c>
      <c r="Z173" s="191">
        <f t="shared" si="200"/>
        <v>0.29024143111282547</v>
      </c>
      <c r="AA173" s="153">
        <f t="shared" si="201"/>
        <v>0.92219998305735362</v>
      </c>
      <c r="AB173" s="153">
        <f t="shared" si="260"/>
        <v>2.602256249977122E-2</v>
      </c>
      <c r="AC173" s="153"/>
      <c r="AD173" s="153">
        <f t="shared" si="203"/>
        <v>0.47660320901887393</v>
      </c>
      <c r="AE173" s="317">
        <f t="shared" si="261"/>
        <v>1762.4723965438832</v>
      </c>
      <c r="AF173" s="463">
        <f t="shared" si="262"/>
        <v>1.2510834236745439E-2</v>
      </c>
      <c r="AH173" s="153">
        <f t="shared" si="263"/>
        <v>0.46475800154489</v>
      </c>
      <c r="AI173" s="153">
        <f t="shared" si="264"/>
        <v>0.75</v>
      </c>
      <c r="AJ173" s="153">
        <f t="shared" si="265"/>
        <v>1.6444444444444444</v>
      </c>
      <c r="AL173" s="317">
        <f t="shared" si="266"/>
        <v>63</v>
      </c>
      <c r="AM173" s="147">
        <f t="shared" si="267"/>
        <v>135.44600118598524</v>
      </c>
      <c r="AO173" t="str">
        <f t="shared" si="211"/>
        <v/>
      </c>
      <c r="AP173" t="str">
        <f t="shared" si="212"/>
        <v/>
      </c>
      <c r="AR173" s="5">
        <f t="shared" si="249"/>
        <v>7.3830160450943696</v>
      </c>
      <c r="AS173" s="5">
        <f t="shared" si="246"/>
        <v>5</v>
      </c>
      <c r="AT173" s="5">
        <f t="shared" si="247"/>
        <v>2.3830160450943696</v>
      </c>
      <c r="AU173" s="153">
        <f t="shared" si="248"/>
        <v>0.67723000592992622</v>
      </c>
      <c r="AW173" s="5">
        <f t="shared" si="275"/>
        <v>1.575</v>
      </c>
      <c r="AX173" s="5"/>
      <c r="AY173" s="5">
        <f t="shared" si="276"/>
        <v>1.96875</v>
      </c>
      <c r="AZ173" s="5"/>
      <c r="BA173" s="5">
        <f t="shared" si="277"/>
        <v>0.3706913847924575</v>
      </c>
      <c r="BB173" s="5"/>
      <c r="BC173" s="5"/>
      <c r="BD173" s="153">
        <f t="shared" si="278"/>
        <v>0.35634341036682743</v>
      </c>
      <c r="BE173" s="153">
        <f t="shared" si="279"/>
        <v>0.24600685740064004</v>
      </c>
      <c r="BF173" s="153">
        <f t="shared" si="280"/>
        <v>0.24504212462651989</v>
      </c>
      <c r="BG173" s="153"/>
      <c r="BH173" s="463">
        <f t="shared" si="281"/>
        <v>4.4443219139151405E-2</v>
      </c>
      <c r="BI173" s="463">
        <f t="shared" si="282"/>
        <v>1.4892287830399076E-2</v>
      </c>
      <c r="BJ173" s="463">
        <f t="shared" si="283"/>
        <v>1.6930750148248155E-3</v>
      </c>
      <c r="BK173" s="463">
        <f t="shared" si="284"/>
        <v>5.8218917224973467E-3</v>
      </c>
      <c r="BL173">
        <f t="shared" si="285"/>
        <v>2.6099999999999999E-3</v>
      </c>
      <c r="BM173">
        <f t="shared" si="268"/>
        <v>1.3544600118598524E-6</v>
      </c>
      <c r="BN173">
        <f t="shared" si="269"/>
        <v>7.6085547035793108E-2</v>
      </c>
      <c r="BO173" s="147">
        <f t="shared" si="286"/>
        <v>69.460473706872634</v>
      </c>
      <c r="BP173" s="153">
        <f t="shared" si="287"/>
        <v>2.52E-2</v>
      </c>
      <c r="BQ173" s="153">
        <f t="shared" si="288"/>
        <v>2.52E-2</v>
      </c>
      <c r="BR173" s="463"/>
      <c r="BT173" s="147">
        <f t="shared" si="289"/>
        <v>50.4</v>
      </c>
      <c r="BU173" s="463">
        <f t="shared" si="290"/>
        <v>0.12698062611186117</v>
      </c>
      <c r="BV173" s="463">
        <f t="shared" si="291"/>
        <v>6.0519373888138848E-2</v>
      </c>
      <c r="BW173" s="463">
        <f t="shared" si="292"/>
        <v>3.0022821420739453E-3</v>
      </c>
      <c r="BX173" s="463">
        <f t="shared" si="293"/>
        <v>0</v>
      </c>
      <c r="BY173" s="463">
        <f t="shared" si="274"/>
        <v>0.21666456350366403</v>
      </c>
      <c r="BZ173" s="463">
        <f t="shared" si="250"/>
        <v>0.19050228214207399</v>
      </c>
      <c r="CA173" s="549">
        <f t="shared" si="270"/>
        <v>3.8094187833558356E-2</v>
      </c>
      <c r="CB173" s="147">
        <f t="shared" si="294"/>
        <v>635.76331562137034</v>
      </c>
      <c r="CC173" s="153">
        <f t="shared" si="251"/>
        <v>0.38124429837301549</v>
      </c>
      <c r="CD173" s="5">
        <f t="shared" si="295"/>
        <v>2.2679999999999998</v>
      </c>
      <c r="CE173" s="153">
        <f t="shared" si="296"/>
        <v>0.85609318906257548</v>
      </c>
      <c r="CF173" s="5">
        <f t="shared" si="297"/>
        <v>85.609318906257542</v>
      </c>
      <c r="CG173">
        <f t="shared" si="298"/>
        <v>63</v>
      </c>
      <c r="CI173" s="59">
        <f t="shared" si="271"/>
        <v>-50</v>
      </c>
      <c r="CJ173">
        <f t="shared" si="272"/>
        <v>-50</v>
      </c>
    </row>
    <row r="174" spans="5:88" x14ac:dyDescent="0.25">
      <c r="E174" s="150">
        <v>64</v>
      </c>
      <c r="F174" s="191">
        <f t="shared" si="273"/>
        <v>6.4000000000000001E-2</v>
      </c>
      <c r="G174" s="191">
        <f t="shared" ref="G174:G210" si="299">IF(PLOT_TYPE=1, E174/100*Iout2, min_I*EXP(Q174*rr/100))</f>
        <v>6.4000000000000001E-2</v>
      </c>
      <c r="H174" s="191">
        <f t="shared" ref="H174:H210" si="300">F174*Vout</f>
        <v>1.28</v>
      </c>
      <c r="I174" s="191">
        <f t="shared" ref="I174:I210" si="301">Vout2*G174</f>
        <v>1.024</v>
      </c>
      <c r="J174" s="472">
        <f t="shared" ref="J174:J210" si="302">VIN_min</f>
        <v>9</v>
      </c>
      <c r="K174" s="386">
        <f t="shared" ref="K174:K210" si="303">(S174+Vfwd1)*Nps</f>
        <v>18.593576057298769</v>
      </c>
      <c r="L174" s="386">
        <f t="shared" ref="L174:L210" si="304">(Vout+Vfwd1)*Nps+J174</f>
        <v>29.32</v>
      </c>
      <c r="M174" s="386"/>
      <c r="N174" s="191">
        <f t="shared" ref="N174:N210" si="305">(Vout+Vfwd1)*Nps/((Vout+Vfwd1)*Nps+J174)</f>
        <v>0.69304229195088674</v>
      </c>
      <c r="O174" s="152">
        <f t="shared" ref="O174:O205" si="306">N174*J174*Isw_max*0.5*Efficiency*Pout/(Pout+Pout2)</f>
        <v>1.1695088676671213</v>
      </c>
      <c r="P174" s="152">
        <f t="shared" ref="P174:P210" si="307">N174*J174*Isw_max*0.5*Efficiency*(Pout2/Pout_total)</f>
        <v>1.6840927694406547</v>
      </c>
      <c r="Q174" s="191">
        <f t="shared" ref="Q174:Q210" si="308">O174/Vout</f>
        <v>5.8475443383356064E-2</v>
      </c>
      <c r="R174" s="191">
        <f t="shared" ref="R174:R210" si="309">O174/Vout2</f>
        <v>7.3094304229195078E-2</v>
      </c>
      <c r="S174" s="191">
        <f t="shared" ref="S174:S210" si="310">MIN(Vout,O174/F174)</f>
        <v>18.273576057298769</v>
      </c>
      <c r="T174" s="191">
        <f t="shared" ref="T174:T210" si="311">MIN(2*(Vout*F174+Vout2*G174)/(Efficiency*J174*N174), Isw_max)</f>
        <v>0.75</v>
      </c>
      <c r="U174" s="191">
        <f t="shared" ref="U174:U210" si="312">L*T174/J174*1000000</f>
        <v>5</v>
      </c>
      <c r="V174" s="191">
        <f t="shared" ref="V174:V210" si="313">L*T174/K174*1000000</f>
        <v>2.4201907078727651</v>
      </c>
      <c r="W174" s="175">
        <f t="shared" ref="W174:W210" si="314">IF(1/((350000*L)*(1/J174+1/K174))&gt;Isw_min, 350, 0.001/((Isw_min*L)*(1/J174+1/K174)))</f>
        <v>350</v>
      </c>
      <c r="X174" s="386">
        <f t="shared" ref="X174:X210" si="315">MIN(1/(U174+V174)*1000, 350)</f>
        <v>134.76742571306258</v>
      </c>
      <c r="Z174" s="191">
        <f t="shared" ref="Z174:Z210" si="316">1/((W174*1000*L)*(1/J174+1/K174))</f>
        <v>0.2887873408137055</v>
      </c>
      <c r="AA174" s="153">
        <f t="shared" ref="AA174:AA210" si="317">L*Z174/K174*1000000</f>
        <v>0.93189391838482039</v>
      </c>
      <c r="AB174" s="153">
        <f t="shared" ref="AB174:AB205" si="318">0.5*AA174*Z174*Nps*W174/1000*(Pout/(Pout+Pout2))</f>
        <v>2.6164363420496061E-2</v>
      </c>
      <c r="AC174" s="153"/>
      <c r="AD174" s="153">
        <f t="shared" ref="AD174:AD210" si="319">L*Isw_min/K174*1000000</f>
        <v>0.48403814157455294</v>
      </c>
      <c r="AE174" s="317">
        <f t="shared" ref="AE174:AE205" si="320">MAX(10, F174/(0.5*AD174/1000000*Isw_min*Nps)/1000*Pout_total/Pout)</f>
        <v>1762.9464706179576</v>
      </c>
      <c r="AF174" s="463">
        <f t="shared" ref="AF174:AF210" si="321">0.5*AD174/1000000*Isw_min*Nps*W174*1000*(Pout/Pout_total)</f>
        <v>1.2706001216332015E-2</v>
      </c>
      <c r="AH174" s="153">
        <f t="shared" ref="AH174:AH210" si="322">SQRT((H174+I174)/(0.5*L*Fsw_DCM))</f>
        <v>0.46843203501529596</v>
      </c>
      <c r="AI174" s="153">
        <f t="shared" ref="AI174:AI205" si="323">MAX(IF(F174&gt;AB174,T174,AH174),Isw_min)</f>
        <v>0.75</v>
      </c>
      <c r="AJ174" s="153">
        <f t="shared" ref="AJ174:AJ205" si="324">IF(F174&gt;AF174, (AI174-Isw_min)/1.08*0.8+1.2, AE174*0.2/350+1)</f>
        <v>1.6444444444444444</v>
      </c>
      <c r="AL174" s="317">
        <f t="shared" ref="AL174:AL210" si="325">F174*1000</f>
        <v>64</v>
      </c>
      <c r="AM174" s="147">
        <f t="shared" ref="AM174:AM210" si="326">IF(F174&gt;AF174, X174, AE174)</f>
        <v>134.76742571306258</v>
      </c>
      <c r="AO174" t="str">
        <f t="shared" ref="AO174:AO210" si="327">IF(H174&gt;O174, "",AL174)</f>
        <v/>
      </c>
      <c r="AP174" t="str">
        <f t="shared" ref="AP174:AP210" si="328">IF(H174&gt;O174, "",AM174)</f>
        <v/>
      </c>
      <c r="AR174" s="5">
        <f t="shared" si="249"/>
        <v>7.4201907078727638</v>
      </c>
      <c r="AS174" s="5">
        <f t="shared" si="246"/>
        <v>5</v>
      </c>
      <c r="AT174" s="5">
        <f t="shared" si="247"/>
        <v>2.4201907078727638</v>
      </c>
      <c r="AU174" s="153">
        <f t="shared" si="248"/>
        <v>0.67383712856531297</v>
      </c>
      <c r="AW174" s="5">
        <f t="shared" si="275"/>
        <v>1.6</v>
      </c>
      <c r="AX174" s="5"/>
      <c r="AY174" s="5">
        <f t="shared" si="276"/>
        <v>2</v>
      </c>
      <c r="AZ174" s="5"/>
      <c r="BA174" s="5">
        <f t="shared" si="277"/>
        <v>0.38244988963915277</v>
      </c>
      <c r="BB174" s="5"/>
      <c r="BC174" s="5"/>
      <c r="BD174" s="153">
        <f t="shared" si="278"/>
        <v>0.35544966114204724</v>
      </c>
      <c r="BE174" s="153">
        <f t="shared" si="279"/>
        <v>0.24729645851488416</v>
      </c>
      <c r="BF174" s="153">
        <f t="shared" si="280"/>
        <v>0.24632666848149248</v>
      </c>
      <c r="BG174" s="153"/>
      <c r="BH174" s="463">
        <f t="shared" si="281"/>
        <v>4.4220561562098672E-2</v>
      </c>
      <c r="BI174" s="463">
        <f t="shared" si="282"/>
        <v>1.4817678457151233E-2</v>
      </c>
      <c r="BJ174" s="463">
        <f t="shared" si="283"/>
        <v>1.6845928214132822E-3</v>
      </c>
      <c r="BK174" s="463">
        <f t="shared" si="284"/>
        <v>5.7927244315156556E-3</v>
      </c>
      <c r="BL174">
        <f t="shared" si="285"/>
        <v>2.6099999999999999E-3</v>
      </c>
      <c r="BM174">
        <f t="shared" ref="BM174:BM210" si="329">(J174-Vdd)*Qg*AM174</f>
        <v>1.3476742571306257E-6</v>
      </c>
      <c r="BN174">
        <f t="shared" ref="BN174:BN205" si="330">(BI174+BJ174+BK174+BL174+BM174+BH174*(1+RdsonTC*(Ta-25)))/(1-BH174*RdsonTC*ThetaJA)</f>
        <v>7.5714411442000307E-2</v>
      </c>
      <c r="BO174" s="147">
        <f t="shared" si="286"/>
        <v>69.125557272178838</v>
      </c>
      <c r="BP174" s="153">
        <f t="shared" si="287"/>
        <v>2.5600000000000001E-2</v>
      </c>
      <c r="BQ174" s="153">
        <f t="shared" si="288"/>
        <v>2.5600000000000001E-2</v>
      </c>
      <c r="BR174" s="463"/>
      <c r="BT174" s="147">
        <f t="shared" si="289"/>
        <v>51.2</v>
      </c>
      <c r="BU174" s="463">
        <f t="shared" si="290"/>
        <v>0.12634446160599622</v>
      </c>
      <c r="BV174" s="463">
        <f t="shared" si="291"/>
        <v>6.1155538394003825E-2</v>
      </c>
      <c r="BW174" s="463">
        <f t="shared" si="292"/>
        <v>3.0338413802595554E-3</v>
      </c>
      <c r="BX174" s="463">
        <f t="shared" si="293"/>
        <v>0</v>
      </c>
      <c r="BY174" s="463">
        <f t="shared" si="274"/>
        <v>0.21670101245257728</v>
      </c>
      <c r="BZ174" s="463">
        <f t="shared" si="250"/>
        <v>0.19053384138025961</v>
      </c>
      <c r="CA174" s="549">
        <f t="shared" ref="CA174:CA210" si="331">0.5*Lleak*0.000000001*AI174^2*AM174*1000</f>
        <v>3.7903338481798859E-2</v>
      </c>
      <c r="CB174" s="147">
        <f t="shared" si="294"/>
        <v>635.67203369489539</v>
      </c>
      <c r="CC174" s="153">
        <f t="shared" si="251"/>
        <v>0.38151876237637639</v>
      </c>
      <c r="CD174" s="5">
        <f t="shared" si="295"/>
        <v>2.3040000000000003</v>
      </c>
      <c r="CE174" s="153">
        <f t="shared" si="296"/>
        <v>0.85793479914518411</v>
      </c>
      <c r="CF174" s="5">
        <f t="shared" si="297"/>
        <v>85.793479914518414</v>
      </c>
      <c r="CG174">
        <f t="shared" si="298"/>
        <v>64</v>
      </c>
      <c r="CI174" s="59">
        <f t="shared" ref="CI174:CI210" si="332">IF(ABS(F174-Ioutmax_Vinmin)&lt;Iout/200, AM174, -50)</f>
        <v>-50</v>
      </c>
      <c r="CJ174">
        <f t="shared" ref="CJ174:CJ210" si="333">IF(ABS(F174-Ioutmax_Vinmin)&lt;Iout/200, (O174+P174)*CE174, -50)</f>
        <v>-50</v>
      </c>
    </row>
    <row r="175" spans="5:88" x14ac:dyDescent="0.25">
      <c r="E175" s="150">
        <v>65</v>
      </c>
      <c r="F175" s="191">
        <f t="shared" ref="F175:F206" si="334">IF(PLOT_TYPE=1, E175/100*Iout_max, min_I*EXP(O175*rr/100))</f>
        <v>6.5000000000000002E-2</v>
      </c>
      <c r="G175" s="191">
        <f t="shared" si="299"/>
        <v>6.5000000000000002E-2</v>
      </c>
      <c r="H175" s="191">
        <f t="shared" si="300"/>
        <v>1.3</v>
      </c>
      <c r="I175" s="191">
        <f t="shared" si="301"/>
        <v>1.04</v>
      </c>
      <c r="J175" s="472">
        <f t="shared" si="302"/>
        <v>9</v>
      </c>
      <c r="K175" s="386">
        <f t="shared" si="303"/>
        <v>18.31244411795571</v>
      </c>
      <c r="L175" s="386">
        <f t="shared" si="304"/>
        <v>29.32</v>
      </c>
      <c r="M175" s="386"/>
      <c r="N175" s="191">
        <f t="shared" si="305"/>
        <v>0.69304229195088674</v>
      </c>
      <c r="O175" s="152">
        <f t="shared" si="306"/>
        <v>1.1695088676671213</v>
      </c>
      <c r="P175" s="152">
        <f t="shared" si="307"/>
        <v>1.6840927694406547</v>
      </c>
      <c r="Q175" s="191">
        <f t="shared" si="308"/>
        <v>5.8475443383356064E-2</v>
      </c>
      <c r="R175" s="191">
        <f t="shared" si="309"/>
        <v>7.3094304229195078E-2</v>
      </c>
      <c r="S175" s="191">
        <f t="shared" si="310"/>
        <v>17.99244411795571</v>
      </c>
      <c r="T175" s="191">
        <f t="shared" si="311"/>
        <v>0.75</v>
      </c>
      <c r="U175" s="191">
        <f t="shared" si="312"/>
        <v>5</v>
      </c>
      <c r="V175" s="191">
        <f t="shared" si="313"/>
        <v>2.4573453827431271</v>
      </c>
      <c r="W175" s="175">
        <f t="shared" si="314"/>
        <v>350</v>
      </c>
      <c r="X175" s="386">
        <f t="shared" si="315"/>
        <v>134.09597499856682</v>
      </c>
      <c r="Z175" s="191">
        <f t="shared" si="316"/>
        <v>0.28734851785407173</v>
      </c>
      <c r="AA175" s="153">
        <f t="shared" si="317"/>
        <v>0.9414860714490455</v>
      </c>
      <c r="AB175" s="153">
        <f t="shared" si="318"/>
        <v>2.6301977645527101E-2</v>
      </c>
      <c r="AC175" s="153"/>
      <c r="AD175" s="153">
        <f t="shared" si="319"/>
        <v>0.49146907654862537</v>
      </c>
      <c r="AE175" s="317">
        <f t="shared" si="320"/>
        <v>1763.4205446920314</v>
      </c>
      <c r="AF175" s="463">
        <f t="shared" si="321"/>
        <v>1.2901063259401418E-2</v>
      </c>
      <c r="AH175" s="153">
        <f t="shared" si="322"/>
        <v>0.47207747548166584</v>
      </c>
      <c r="AI175" s="153">
        <f t="shared" si="323"/>
        <v>0.75</v>
      </c>
      <c r="AJ175" s="153">
        <f t="shared" si="324"/>
        <v>1.6444444444444444</v>
      </c>
      <c r="AL175" s="317">
        <f t="shared" si="325"/>
        <v>65</v>
      </c>
      <c r="AM175" s="147">
        <f t="shared" si="326"/>
        <v>134.09597499856682</v>
      </c>
      <c r="AO175" t="str">
        <f t="shared" si="327"/>
        <v/>
      </c>
      <c r="AP175" t="str">
        <f t="shared" si="328"/>
        <v/>
      </c>
      <c r="AR175" s="5">
        <f t="shared" si="249"/>
        <v>7.4573453827431271</v>
      </c>
      <c r="AS175" s="5">
        <f t="shared" si="246"/>
        <v>5</v>
      </c>
      <c r="AT175" s="5">
        <f t="shared" si="247"/>
        <v>2.4573453827431271</v>
      </c>
      <c r="AU175" s="153">
        <f t="shared" si="248"/>
        <v>0.67047987499283401</v>
      </c>
      <c r="AW175" s="5">
        <f t="shared" si="275"/>
        <v>1.6250000000000002</v>
      </c>
      <c r="AX175" s="5"/>
      <c r="AY175" s="5">
        <f t="shared" si="276"/>
        <v>2.03125</v>
      </c>
      <c r="AZ175" s="5"/>
      <c r="BA175" s="5">
        <f t="shared" si="277"/>
        <v>0.39438876513161297</v>
      </c>
      <c r="BB175" s="5"/>
      <c r="BC175" s="5"/>
      <c r="BD175" s="153">
        <f t="shared" si="278"/>
        <v>0.35456307839530665</v>
      </c>
      <c r="BE175" s="153">
        <f t="shared" si="279"/>
        <v>0.24856593378587424</v>
      </c>
      <c r="BF175" s="153">
        <f t="shared" si="280"/>
        <v>0.24759116541808651</v>
      </c>
      <c r="BG175" s="153"/>
      <c r="BH175" s="463">
        <f t="shared" si="281"/>
        <v>4.4000241796404729E-2</v>
      </c>
      <c r="BI175" s="463">
        <f t="shared" si="282"/>
        <v>1.4743852451092424E-2</v>
      </c>
      <c r="BJ175" s="463">
        <f t="shared" si="283"/>
        <v>1.6761996874820851E-3</v>
      </c>
      <c r="BK175" s="463">
        <f t="shared" si="284"/>
        <v>5.7638633848803985E-3</v>
      </c>
      <c r="BL175">
        <f t="shared" si="285"/>
        <v>2.6099999999999999E-3</v>
      </c>
      <c r="BM175">
        <f t="shared" si="329"/>
        <v>1.3409597499856683E-6</v>
      </c>
      <c r="BN175">
        <f t="shared" si="330"/>
        <v>7.5347202876422034E-2</v>
      </c>
      <c r="BO175" s="147">
        <f t="shared" si="286"/>
        <v>68.794157319859636</v>
      </c>
      <c r="BP175" s="153">
        <f t="shared" si="287"/>
        <v>2.6000000000000002E-2</v>
      </c>
      <c r="BQ175" s="153">
        <f t="shared" si="288"/>
        <v>2.6000000000000002E-2</v>
      </c>
      <c r="BR175" s="463"/>
      <c r="BT175" s="147">
        <f t="shared" si="289"/>
        <v>52.000000000000007</v>
      </c>
      <c r="BU175" s="463">
        <f t="shared" si="290"/>
        <v>0.12571497656115638</v>
      </c>
      <c r="BV175" s="463">
        <f t="shared" si="291"/>
        <v>6.1785023438843616E-2</v>
      </c>
      <c r="BW175" s="463">
        <f t="shared" si="292"/>
        <v>3.0650692596543138E-3</v>
      </c>
      <c r="BX175" s="463">
        <f t="shared" si="293"/>
        <v>0</v>
      </c>
      <c r="BY175" s="463">
        <f t="shared" si="274"/>
        <v>0.2167370788867479</v>
      </c>
      <c r="BZ175" s="463">
        <f t="shared" si="250"/>
        <v>0.1905650692596543</v>
      </c>
      <c r="CA175" s="549">
        <f t="shared" si="331"/>
        <v>3.7714492968346926E-2</v>
      </c>
      <c r="CB175" s="147">
        <f t="shared" si="294"/>
        <v>635.58171037440343</v>
      </c>
      <c r="CC175" s="153">
        <f t="shared" si="251"/>
        <v>0.38179877473151691</v>
      </c>
      <c r="CD175" s="5">
        <f t="shared" si="295"/>
        <v>2.34</v>
      </c>
      <c r="CE175" s="153">
        <f t="shared" si="296"/>
        <v>0.85972556888626772</v>
      </c>
      <c r="CF175" s="5">
        <f t="shared" si="297"/>
        <v>85.972556888626769</v>
      </c>
      <c r="CG175">
        <f t="shared" si="298"/>
        <v>65</v>
      </c>
      <c r="CI175" s="59">
        <f t="shared" si="332"/>
        <v>-50</v>
      </c>
      <c r="CJ175">
        <f t="shared" si="333"/>
        <v>-50</v>
      </c>
    </row>
    <row r="176" spans="5:88" x14ac:dyDescent="0.25">
      <c r="E176" s="150">
        <v>66</v>
      </c>
      <c r="F176" s="191">
        <f t="shared" si="334"/>
        <v>6.6000000000000003E-2</v>
      </c>
      <c r="G176" s="191">
        <f t="shared" si="299"/>
        <v>6.6000000000000003E-2</v>
      </c>
      <c r="H176" s="191">
        <f t="shared" si="300"/>
        <v>1.32</v>
      </c>
      <c r="I176" s="191">
        <f t="shared" si="301"/>
        <v>1.056</v>
      </c>
      <c r="J176" s="472">
        <f t="shared" si="302"/>
        <v>9</v>
      </c>
      <c r="K176" s="386">
        <f t="shared" si="303"/>
        <v>18.039831328289715</v>
      </c>
      <c r="L176" s="386">
        <f t="shared" si="304"/>
        <v>29.32</v>
      </c>
      <c r="M176" s="386"/>
      <c r="N176" s="191">
        <f t="shared" si="305"/>
        <v>0.69304229195088674</v>
      </c>
      <c r="O176" s="152">
        <f t="shared" si="306"/>
        <v>1.1695088676671213</v>
      </c>
      <c r="P176" s="152">
        <f t="shared" si="307"/>
        <v>1.6840927694406547</v>
      </c>
      <c r="Q176" s="191">
        <f t="shared" si="308"/>
        <v>5.8475443383356064E-2</v>
      </c>
      <c r="R176" s="191">
        <f t="shared" si="309"/>
        <v>7.3094304229195078E-2</v>
      </c>
      <c r="S176" s="191">
        <f t="shared" si="310"/>
        <v>17.719831328289715</v>
      </c>
      <c r="T176" s="191">
        <f t="shared" si="311"/>
        <v>0.75</v>
      </c>
      <c r="U176" s="191">
        <f t="shared" si="312"/>
        <v>5</v>
      </c>
      <c r="V176" s="191">
        <f t="shared" si="313"/>
        <v>2.494480085821638</v>
      </c>
      <c r="W176" s="175">
        <f t="shared" si="314"/>
        <v>350</v>
      </c>
      <c r="X176" s="386">
        <f t="shared" si="315"/>
        <v>133.43153741803127</v>
      </c>
      <c r="Z176" s="191">
        <f t="shared" si="316"/>
        <v>0.28592472303863842</v>
      </c>
      <c r="AA176" s="153">
        <f t="shared" si="317"/>
        <v>0.95097803688526772</v>
      </c>
      <c r="AB176" s="153">
        <f t="shared" si="318"/>
        <v>2.6435512815079693E-2</v>
      </c>
      <c r="AC176" s="153"/>
      <c r="AD176" s="153">
        <f t="shared" si="319"/>
        <v>0.49889601716432763</v>
      </c>
      <c r="AE176" s="317">
        <f t="shared" si="320"/>
        <v>1763.8946187661052</v>
      </c>
      <c r="AF176" s="463">
        <f t="shared" si="321"/>
        <v>1.30960204505636E-2</v>
      </c>
      <c r="AH176" s="153">
        <f t="shared" si="322"/>
        <v>0.47569498030325513</v>
      </c>
      <c r="AI176" s="153">
        <f t="shared" si="323"/>
        <v>0.75</v>
      </c>
      <c r="AJ176" s="153">
        <f t="shared" si="324"/>
        <v>1.6444444444444444</v>
      </c>
      <c r="AL176" s="317">
        <f t="shared" si="325"/>
        <v>66</v>
      </c>
      <c r="AM176" s="147">
        <f t="shared" si="326"/>
        <v>133.43153741803127</v>
      </c>
      <c r="AO176" t="str">
        <f t="shared" si="327"/>
        <v/>
      </c>
      <c r="AP176" t="str">
        <f t="shared" si="328"/>
        <v/>
      </c>
      <c r="AR176" s="5">
        <f t="shared" si="249"/>
        <v>7.4944800858216372</v>
      </c>
      <c r="AS176" s="5">
        <f t="shared" si="246"/>
        <v>5</v>
      </c>
      <c r="AT176" s="5">
        <f t="shared" si="247"/>
        <v>2.4944800858216372</v>
      </c>
      <c r="AU176" s="153">
        <f t="shared" si="248"/>
        <v>0.66715768709015633</v>
      </c>
      <c r="AW176" s="5">
        <f t="shared" si="275"/>
        <v>1.65</v>
      </c>
      <c r="AX176" s="5"/>
      <c r="AY176" s="5">
        <f t="shared" si="276"/>
        <v>2.0625</v>
      </c>
      <c r="AZ176" s="5"/>
      <c r="BA176" s="5">
        <f t="shared" si="277"/>
        <v>0.40650786583760018</v>
      </c>
      <c r="BB176" s="5"/>
      <c r="BC176" s="5"/>
      <c r="BD176" s="153">
        <f t="shared" si="278"/>
        <v>0.35368356807944062</v>
      </c>
      <c r="BE176" s="153">
        <f t="shared" si="279"/>
        <v>0.24981579948152938</v>
      </c>
      <c r="BF176" s="153">
        <f t="shared" si="280"/>
        <v>0.24883612967964105</v>
      </c>
      <c r="BG176" s="153"/>
      <c r="BH176" s="463">
        <f t="shared" si="281"/>
        <v>4.3782223215291509E-2</v>
      </c>
      <c r="BI176" s="463">
        <f t="shared" si="282"/>
        <v>1.4670797539112539E-2</v>
      </c>
      <c r="BJ176" s="463">
        <f t="shared" si="283"/>
        <v>1.6678942177253907E-3</v>
      </c>
      <c r="BK176" s="463">
        <f t="shared" si="284"/>
        <v>5.7353037846237286E-3</v>
      </c>
      <c r="BL176">
        <f t="shared" si="285"/>
        <v>2.6099999999999999E-3</v>
      </c>
      <c r="BM176">
        <f t="shared" si="329"/>
        <v>1.3343153741803127E-6</v>
      </c>
      <c r="BN176">
        <f t="shared" si="330"/>
        <v>7.4983859338572642E-2</v>
      </c>
      <c r="BO176" s="147">
        <f t="shared" si="286"/>
        <v>68.466218756753165</v>
      </c>
      <c r="BP176" s="153">
        <f t="shared" si="287"/>
        <v>2.6400000000000003E-2</v>
      </c>
      <c r="BQ176" s="153">
        <f t="shared" si="288"/>
        <v>2.6400000000000003E-2</v>
      </c>
      <c r="BR176" s="463"/>
      <c r="BT176" s="147">
        <f t="shared" si="289"/>
        <v>52.800000000000004</v>
      </c>
      <c r="BU176" s="463">
        <f t="shared" si="290"/>
        <v>0.12509206632940431</v>
      </c>
      <c r="BV176" s="463">
        <f t="shared" si="291"/>
        <v>6.2407933670595696E-2</v>
      </c>
      <c r="BW176" s="463">
        <f t="shared" si="292"/>
        <v>3.0959709716971572E-3</v>
      </c>
      <c r="BX176" s="463">
        <f t="shared" si="293"/>
        <v>0</v>
      </c>
      <c r="BY176" s="463">
        <f t="shared" si="274"/>
        <v>0.2167727687962159</v>
      </c>
      <c r="BZ176" s="463">
        <f t="shared" si="250"/>
        <v>0.19059597097169717</v>
      </c>
      <c r="CA176" s="549">
        <f t="shared" si="331"/>
        <v>3.75276198988213E-2</v>
      </c>
      <c r="CB176" s="147">
        <f t="shared" si="294"/>
        <v>635.49233063843144</v>
      </c>
      <c r="CC176" s="153">
        <f t="shared" si="251"/>
        <v>0.38208424803360985</v>
      </c>
      <c r="CD176" s="5">
        <f t="shared" si="295"/>
        <v>2.3760000000000003</v>
      </c>
      <c r="CE176" s="153">
        <f t="shared" si="296"/>
        <v>0.86146752104979429</v>
      </c>
      <c r="CF176" s="5">
        <f t="shared" si="297"/>
        <v>86.146752104979427</v>
      </c>
      <c r="CG176">
        <f t="shared" si="298"/>
        <v>66</v>
      </c>
      <c r="CI176" s="59">
        <f t="shared" si="332"/>
        <v>-50</v>
      </c>
      <c r="CJ176">
        <f t="shared" si="333"/>
        <v>-50</v>
      </c>
    </row>
    <row r="177" spans="5:88" x14ac:dyDescent="0.25">
      <c r="E177" s="150">
        <v>67</v>
      </c>
      <c r="F177" s="191">
        <f t="shared" si="334"/>
        <v>6.7000000000000004E-2</v>
      </c>
      <c r="G177" s="191">
        <f t="shared" si="299"/>
        <v>6.7000000000000004E-2</v>
      </c>
      <c r="H177" s="191">
        <f t="shared" si="300"/>
        <v>1.34</v>
      </c>
      <c r="I177" s="191">
        <f t="shared" si="301"/>
        <v>1.0720000000000001</v>
      </c>
      <c r="J177" s="472">
        <f t="shared" si="302"/>
        <v>9</v>
      </c>
      <c r="K177" s="386">
        <f t="shared" si="303"/>
        <v>17.775356233837631</v>
      </c>
      <c r="L177" s="386">
        <f t="shared" si="304"/>
        <v>29.32</v>
      </c>
      <c r="M177" s="386"/>
      <c r="N177" s="191">
        <f t="shared" si="305"/>
        <v>0.69304229195088674</v>
      </c>
      <c r="O177" s="152">
        <f t="shared" si="306"/>
        <v>1.1695088676671213</v>
      </c>
      <c r="P177" s="152">
        <f t="shared" si="307"/>
        <v>1.6840927694406547</v>
      </c>
      <c r="Q177" s="191">
        <f t="shared" si="308"/>
        <v>5.8475443383356064E-2</v>
      </c>
      <c r="R177" s="191">
        <f t="shared" si="309"/>
        <v>7.3094304229195078E-2</v>
      </c>
      <c r="S177" s="191">
        <f t="shared" si="310"/>
        <v>17.45535623383763</v>
      </c>
      <c r="T177" s="191">
        <f t="shared" si="311"/>
        <v>0.75</v>
      </c>
      <c r="U177" s="191">
        <f t="shared" si="312"/>
        <v>5</v>
      </c>
      <c r="V177" s="191">
        <f t="shared" si="313"/>
        <v>2.5315948332071585</v>
      </c>
      <c r="W177" s="175">
        <f t="shared" si="314"/>
        <v>350</v>
      </c>
      <c r="X177" s="386">
        <f t="shared" si="315"/>
        <v>132.77400366665407</v>
      </c>
      <c r="Z177" s="191">
        <f t="shared" si="316"/>
        <v>0.28451572214283011</v>
      </c>
      <c r="AA177" s="153">
        <f t="shared" si="317"/>
        <v>0.96037137619065638</v>
      </c>
      <c r="AB177" s="153">
        <f t="shared" si="318"/>
        <v>2.6565073463268293E-2</v>
      </c>
      <c r="AC177" s="153"/>
      <c r="AD177" s="153">
        <f t="shared" si="319"/>
        <v>0.50631896664143172</v>
      </c>
      <c r="AE177" s="317">
        <f t="shared" si="320"/>
        <v>1764.3686928401798</v>
      </c>
      <c r="AF177" s="463">
        <f t="shared" si="321"/>
        <v>1.3290872874337582E-2</v>
      </c>
      <c r="AH177" s="153">
        <f t="shared" si="322"/>
        <v>0.47928518203078813</v>
      </c>
      <c r="AI177" s="153">
        <f t="shared" si="323"/>
        <v>0.75</v>
      </c>
      <c r="AJ177" s="153">
        <f t="shared" si="324"/>
        <v>1.6444444444444444</v>
      </c>
      <c r="AL177" s="317">
        <f t="shared" si="325"/>
        <v>67</v>
      </c>
      <c r="AM177" s="147">
        <f t="shared" si="326"/>
        <v>132.77400366665407</v>
      </c>
      <c r="AO177" t="str">
        <f t="shared" si="327"/>
        <v/>
      </c>
      <c r="AP177" t="str">
        <f t="shared" si="328"/>
        <v/>
      </c>
      <c r="AR177" s="5">
        <f t="shared" si="249"/>
        <v>7.5315948332071576</v>
      </c>
      <c r="AS177" s="5">
        <f t="shared" si="246"/>
        <v>5</v>
      </c>
      <c r="AT177" s="5">
        <f t="shared" si="247"/>
        <v>2.5315948332071576</v>
      </c>
      <c r="AU177" s="153">
        <f t="shared" si="248"/>
        <v>0.66387001833327031</v>
      </c>
      <c r="AW177" s="5">
        <f t="shared" si="275"/>
        <v>1.675</v>
      </c>
      <c r="AX177" s="5"/>
      <c r="AY177" s="5">
        <f t="shared" si="276"/>
        <v>2.09375</v>
      </c>
      <c r="AZ177" s="5"/>
      <c r="BA177" s="5">
        <f t="shared" si="277"/>
        <v>0.41880704648118411</v>
      </c>
      <c r="BB177" s="5"/>
      <c r="BC177" s="5"/>
      <c r="BD177" s="153">
        <f t="shared" si="278"/>
        <v>0.3528110378623211</v>
      </c>
      <c r="BE177" s="153">
        <f t="shared" si="279"/>
        <v>0.25104655258041647</v>
      </c>
      <c r="BF177" s="153">
        <f t="shared" si="280"/>
        <v>0.25006205629578743</v>
      </c>
      <c r="BG177" s="153"/>
      <c r="BH177" s="463">
        <f t="shared" si="281"/>
        <v>4.3566469953120857E-2</v>
      </c>
      <c r="BI177" s="463">
        <f t="shared" si="282"/>
        <v>1.4598501703148616E-2</v>
      </c>
      <c r="BJ177" s="463">
        <f t="shared" si="283"/>
        <v>1.6596750458331756E-3</v>
      </c>
      <c r="BK177" s="463">
        <f t="shared" si="284"/>
        <v>5.7070409324842331E-3</v>
      </c>
      <c r="BL177">
        <f t="shared" si="285"/>
        <v>2.6099999999999999E-3</v>
      </c>
      <c r="BM177">
        <f t="shared" si="329"/>
        <v>1.3277400366665408E-6</v>
      </c>
      <c r="BN177">
        <f t="shared" si="330"/>
        <v>7.4624320126297147E-2</v>
      </c>
      <c r="BO177" s="147">
        <f t="shared" si="286"/>
        <v>68.141687634586887</v>
      </c>
      <c r="BP177" s="153">
        <f t="shared" si="287"/>
        <v>2.6800000000000004E-2</v>
      </c>
      <c r="BQ177" s="153">
        <f t="shared" si="288"/>
        <v>2.6800000000000004E-2</v>
      </c>
      <c r="BR177" s="463"/>
      <c r="BT177" s="147">
        <f t="shared" si="289"/>
        <v>53.600000000000009</v>
      </c>
      <c r="BU177" s="463">
        <f t="shared" si="290"/>
        <v>0.12447562843748818</v>
      </c>
      <c r="BV177" s="463">
        <f t="shared" si="291"/>
        <v>6.3024371562511811E-2</v>
      </c>
      <c r="BW177" s="463">
        <f t="shared" si="292"/>
        <v>3.1265515999438784E-3</v>
      </c>
      <c r="BX177" s="463">
        <f t="shared" si="293"/>
        <v>0</v>
      </c>
      <c r="BY177" s="463">
        <f t="shared" si="274"/>
        <v>0.21680808804660121</v>
      </c>
      <c r="BZ177" s="463">
        <f t="shared" si="250"/>
        <v>0.19062655159994388</v>
      </c>
      <c r="CA177" s="549">
        <f t="shared" si="331"/>
        <v>3.7342688531246462E-2</v>
      </c>
      <c r="CB177" s="147">
        <f t="shared" si="294"/>
        <v>635.40387977773537</v>
      </c>
      <c r="CC177" s="153">
        <f t="shared" si="251"/>
        <v>0.38237509670414482</v>
      </c>
      <c r="CD177" s="5">
        <f t="shared" si="295"/>
        <v>2.4119999999999999</v>
      </c>
      <c r="CE177" s="153">
        <f t="shared" si="296"/>
        <v>0.8631625735731967</v>
      </c>
      <c r="CF177" s="5">
        <f t="shared" si="297"/>
        <v>86.316257357319671</v>
      </c>
      <c r="CG177">
        <f t="shared" si="298"/>
        <v>67</v>
      </c>
      <c r="CI177" s="59">
        <f t="shared" si="332"/>
        <v>-50</v>
      </c>
      <c r="CJ177">
        <f t="shared" si="333"/>
        <v>-50</v>
      </c>
    </row>
    <row r="178" spans="5:88" x14ac:dyDescent="0.25">
      <c r="E178" s="150">
        <v>68</v>
      </c>
      <c r="F178" s="191">
        <f t="shared" si="334"/>
        <v>6.8000000000000005E-2</v>
      </c>
      <c r="G178" s="191">
        <f t="shared" si="299"/>
        <v>6.8000000000000005E-2</v>
      </c>
      <c r="H178" s="191">
        <f t="shared" si="300"/>
        <v>1.36</v>
      </c>
      <c r="I178" s="191">
        <f t="shared" si="301"/>
        <v>1.0880000000000001</v>
      </c>
      <c r="J178" s="472">
        <f t="shared" si="302"/>
        <v>9</v>
      </c>
      <c r="K178" s="386">
        <f t="shared" si="303"/>
        <v>17.518659818634134</v>
      </c>
      <c r="L178" s="386">
        <f t="shared" si="304"/>
        <v>29.32</v>
      </c>
      <c r="M178" s="386"/>
      <c r="N178" s="191">
        <f t="shared" si="305"/>
        <v>0.69304229195088674</v>
      </c>
      <c r="O178" s="152">
        <f t="shared" si="306"/>
        <v>1.1695088676671213</v>
      </c>
      <c r="P178" s="152">
        <f t="shared" si="307"/>
        <v>1.6840927694406547</v>
      </c>
      <c r="Q178" s="191">
        <f t="shared" si="308"/>
        <v>5.8475443383356064E-2</v>
      </c>
      <c r="R178" s="191">
        <f t="shared" si="309"/>
        <v>7.3094304229195078E-2</v>
      </c>
      <c r="S178" s="191">
        <f t="shared" si="310"/>
        <v>17.198659818634134</v>
      </c>
      <c r="T178" s="191">
        <f t="shared" si="311"/>
        <v>0.75</v>
      </c>
      <c r="U178" s="191">
        <f t="shared" si="312"/>
        <v>5</v>
      </c>
      <c r="V178" s="191">
        <f t="shared" si="313"/>
        <v>2.5686896409812521</v>
      </c>
      <c r="W178" s="175">
        <f t="shared" si="314"/>
        <v>350</v>
      </c>
      <c r="X178" s="386">
        <f t="shared" si="315"/>
        <v>132.12326669935348</v>
      </c>
      <c r="Z178" s="191">
        <f t="shared" si="316"/>
        <v>0.28312128578432888</v>
      </c>
      <c r="AA178" s="153">
        <f t="shared" si="317"/>
        <v>0.96966761858066419</v>
      </c>
      <c r="AB178" s="153">
        <f t="shared" si="318"/>
        <v>2.669076112072085E-2</v>
      </c>
      <c r="AC178" s="153"/>
      <c r="AD178" s="153">
        <f t="shared" si="319"/>
        <v>0.51373792819625042</v>
      </c>
      <c r="AE178" s="317">
        <f t="shared" si="320"/>
        <v>1764.8427669142536</v>
      </c>
      <c r="AF178" s="463">
        <f t="shared" si="321"/>
        <v>1.3485620615151574E-2</v>
      </c>
      <c r="AH178" s="153">
        <f t="shared" si="322"/>
        <v>0.48284868969777395</v>
      </c>
      <c r="AI178" s="153">
        <f t="shared" si="323"/>
        <v>0.75</v>
      </c>
      <c r="AJ178" s="153">
        <f t="shared" si="324"/>
        <v>1.6444444444444444</v>
      </c>
      <c r="AL178" s="317">
        <f t="shared" si="325"/>
        <v>68</v>
      </c>
      <c r="AM178" s="147">
        <f t="shared" si="326"/>
        <v>132.12326669935348</v>
      </c>
      <c r="AO178" t="str">
        <f t="shared" si="327"/>
        <v/>
      </c>
      <c r="AP178" t="str">
        <f t="shared" si="328"/>
        <v/>
      </c>
      <c r="AR178" s="5">
        <f t="shared" si="249"/>
        <v>7.5686896409812521</v>
      </c>
      <c r="AS178" s="5">
        <f t="shared" si="246"/>
        <v>5</v>
      </c>
      <c r="AT178" s="5">
        <f t="shared" si="247"/>
        <v>2.5686896409812521</v>
      </c>
      <c r="AU178" s="153">
        <f t="shared" si="248"/>
        <v>0.66061633349676741</v>
      </c>
      <c r="AW178" s="5">
        <f t="shared" si="275"/>
        <v>1.7000000000000002</v>
      </c>
      <c r="AX178" s="5"/>
      <c r="AY178" s="5">
        <f t="shared" si="276"/>
        <v>2.125</v>
      </c>
      <c r="AZ178" s="5"/>
      <c r="BA178" s="5">
        <f t="shared" si="277"/>
        <v>0.43128616194253122</v>
      </c>
      <c r="BB178" s="5"/>
      <c r="BC178" s="5"/>
      <c r="BD178" s="153">
        <f t="shared" si="278"/>
        <v>0.35194539708688316</v>
      </c>
      <c r="BE178" s="153">
        <f t="shared" si="279"/>
        <v>0.25225867174263028</v>
      </c>
      <c r="BF178" s="153">
        <f t="shared" si="280"/>
        <v>0.25126942204952196</v>
      </c>
      <c r="BG178" s="153"/>
      <c r="BH178" s="463">
        <f t="shared" si="281"/>
        <v>4.3352946885725351E-2</v>
      </c>
      <c r="BI178" s="463">
        <f t="shared" si="282"/>
        <v>1.4526953173593916E-2</v>
      </c>
      <c r="BJ178" s="463">
        <f t="shared" si="283"/>
        <v>1.6515408337419186E-3</v>
      </c>
      <c r="BK178" s="463">
        <f t="shared" si="284"/>
        <v>5.6790702273303156E-3</v>
      </c>
      <c r="BL178">
        <f t="shared" si="285"/>
        <v>2.6099999999999999E-3</v>
      </c>
      <c r="BM178">
        <f t="shared" si="329"/>
        <v>1.3212326669935348E-6</v>
      </c>
      <c r="BN178">
        <f t="shared" si="330"/>
        <v>7.4268525801963345E-2</v>
      </c>
      <c r="BO178" s="147">
        <f t="shared" si="286"/>
        <v>67.820511120391501</v>
      </c>
      <c r="BP178" s="153">
        <f t="shared" si="287"/>
        <v>2.7200000000000002E-2</v>
      </c>
      <c r="BQ178" s="153">
        <f t="shared" si="288"/>
        <v>2.7200000000000002E-2</v>
      </c>
      <c r="BR178" s="463"/>
      <c r="BT178" s="147">
        <f t="shared" si="289"/>
        <v>54.400000000000006</v>
      </c>
      <c r="BU178" s="463">
        <f t="shared" si="290"/>
        <v>0.12386556253064386</v>
      </c>
      <c r="BV178" s="463">
        <f t="shared" si="291"/>
        <v>6.3634437469356098E-2</v>
      </c>
      <c r="BW178" s="463">
        <f t="shared" si="292"/>
        <v>3.1568161228550402E-3</v>
      </c>
      <c r="BX178" s="463">
        <f t="shared" si="293"/>
        <v>0</v>
      </c>
      <c r="BY178" s="463">
        <f t="shared" si="274"/>
        <v>0.21684304238231808</v>
      </c>
      <c r="BZ178" s="463">
        <f t="shared" si="250"/>
        <v>0.19065681612285498</v>
      </c>
      <c r="CA178" s="549">
        <f t="shared" si="331"/>
        <v>3.7159668759193173E-2</v>
      </c>
      <c r="CB178" s="147">
        <f t="shared" si="294"/>
        <v>635.3163433872212</v>
      </c>
      <c r="CC178" s="153">
        <f t="shared" si="251"/>
        <v>0.3826712369434746</v>
      </c>
      <c r="CD178" s="5">
        <f t="shared" si="295"/>
        <v>2.4480000000000004</v>
      </c>
      <c r="CE178" s="153">
        <f t="shared" si="296"/>
        <v>0.86481254624373882</v>
      </c>
      <c r="CF178" s="5">
        <f t="shared" si="297"/>
        <v>86.481254624373889</v>
      </c>
      <c r="CG178">
        <f t="shared" si="298"/>
        <v>68</v>
      </c>
      <c r="CI178" s="59">
        <f t="shared" si="332"/>
        <v>-50</v>
      </c>
      <c r="CJ178">
        <f t="shared" si="333"/>
        <v>-50</v>
      </c>
    </row>
    <row r="179" spans="5:88" x14ac:dyDescent="0.25">
      <c r="E179" s="150">
        <v>69</v>
      </c>
      <c r="F179" s="191">
        <f t="shared" si="334"/>
        <v>6.8999999999999992E-2</v>
      </c>
      <c r="G179" s="191">
        <f t="shared" si="299"/>
        <v>6.8999999999999992E-2</v>
      </c>
      <c r="H179" s="191">
        <f t="shared" si="300"/>
        <v>1.38</v>
      </c>
      <c r="I179" s="191">
        <f t="shared" si="301"/>
        <v>1.1039999999999999</v>
      </c>
      <c r="J179" s="472">
        <f t="shared" si="302"/>
        <v>9</v>
      </c>
      <c r="K179" s="386">
        <f t="shared" si="303"/>
        <v>17.269403879233643</v>
      </c>
      <c r="L179" s="386">
        <f t="shared" si="304"/>
        <v>29.32</v>
      </c>
      <c r="M179" s="386"/>
      <c r="N179" s="191">
        <f t="shared" si="305"/>
        <v>0.69304229195088674</v>
      </c>
      <c r="O179" s="152">
        <f t="shared" si="306"/>
        <v>1.1695088676671213</v>
      </c>
      <c r="P179" s="152">
        <f t="shared" si="307"/>
        <v>1.6840927694406547</v>
      </c>
      <c r="Q179" s="191">
        <f t="shared" si="308"/>
        <v>5.8475443383356064E-2</v>
      </c>
      <c r="R179" s="191">
        <f t="shared" si="309"/>
        <v>7.3094304229195078E-2</v>
      </c>
      <c r="S179" s="191">
        <f t="shared" si="310"/>
        <v>16.949403879233643</v>
      </c>
      <c r="T179" s="191">
        <f t="shared" si="311"/>
        <v>0.75</v>
      </c>
      <c r="U179" s="191">
        <f t="shared" si="312"/>
        <v>5</v>
      </c>
      <c r="V179" s="191">
        <f t="shared" si="313"/>
        <v>2.605764525208206</v>
      </c>
      <c r="W179" s="175">
        <f t="shared" si="314"/>
        <v>350</v>
      </c>
      <c r="X179" s="386">
        <f t="shared" si="315"/>
        <v>131.47922167267271</v>
      </c>
      <c r="Z179" s="191">
        <f t="shared" si="316"/>
        <v>0.28174118929858438</v>
      </c>
      <c r="AA179" s="153">
        <f t="shared" si="317"/>
        <v>0.97886826181896125</v>
      </c>
      <c r="AB179" s="153">
        <f t="shared" si="318"/>
        <v>2.6812674413341467E-2</v>
      </c>
      <c r="AC179" s="153"/>
      <c r="AD179" s="153">
        <f t="shared" si="319"/>
        <v>0.52115290504164113</v>
      </c>
      <c r="AE179" s="317">
        <f t="shared" si="320"/>
        <v>1765.3168409883281</v>
      </c>
      <c r="AF179" s="463">
        <f t="shared" si="321"/>
        <v>1.3680263757343079E-2</v>
      </c>
      <c r="AH179" s="153">
        <f t="shared" si="322"/>
        <v>0.48638609002666655</v>
      </c>
      <c r="AI179" s="153">
        <f t="shared" si="323"/>
        <v>0.75</v>
      </c>
      <c r="AJ179" s="153">
        <f t="shared" si="324"/>
        <v>1.6444444444444444</v>
      </c>
      <c r="AL179" s="317">
        <f t="shared" si="325"/>
        <v>68.999999999999986</v>
      </c>
      <c r="AM179" s="147">
        <f t="shared" si="326"/>
        <v>131.47922167267271</v>
      </c>
      <c r="AO179" t="str">
        <f t="shared" si="327"/>
        <v/>
      </c>
      <c r="AP179" t="str">
        <f t="shared" si="328"/>
        <v/>
      </c>
      <c r="AR179" s="5">
        <f t="shared" si="249"/>
        <v>7.6057645252082065</v>
      </c>
      <c r="AS179" s="5">
        <f t="shared" ref="AS179:AS242" si="335">L*AI179/J179*1000000</f>
        <v>5</v>
      </c>
      <c r="AT179" s="5">
        <f t="shared" ref="AT179:AT242" si="336">AR179-AS179</f>
        <v>2.6057645252082065</v>
      </c>
      <c r="AU179" s="153">
        <f t="shared" ref="AU179:AU242" si="337">AS179/AR179</f>
        <v>0.65739610836336348</v>
      </c>
      <c r="AW179" s="5">
        <f t="shared" si="275"/>
        <v>1.7249999999999999</v>
      </c>
      <c r="AX179" s="5"/>
      <c r="AY179" s="5">
        <f t="shared" si="276"/>
        <v>2.1562499999999996</v>
      </c>
      <c r="AZ179" s="5"/>
      <c r="BA179" s="5">
        <f t="shared" si="277"/>
        <v>0.44394506725769445</v>
      </c>
      <c r="BB179" s="5"/>
      <c r="BC179" s="5"/>
      <c r="BD179" s="153">
        <f t="shared" si="278"/>
        <v>0.35108655673228312</v>
      </c>
      <c r="BE179" s="153">
        <f t="shared" si="279"/>
        <v>0.25345261821861176</v>
      </c>
      <c r="BF179" s="153">
        <f t="shared" si="280"/>
        <v>0.25245868638246033</v>
      </c>
      <c r="BG179" s="153"/>
      <c r="BH179" s="463">
        <f t="shared" si="281"/>
        <v>4.3141619611345723E-2</v>
      </c>
      <c r="BI179" s="463">
        <f t="shared" si="282"/>
        <v>1.4456140422910366E-2</v>
      </c>
      <c r="BJ179" s="463">
        <f t="shared" si="283"/>
        <v>1.6434902709084088E-3</v>
      </c>
      <c r="BK179" s="463">
        <f t="shared" si="284"/>
        <v>5.651387162663093E-3</v>
      </c>
      <c r="BL179">
        <f t="shared" si="285"/>
        <v>2.6099999999999999E-3</v>
      </c>
      <c r="BM179">
        <f t="shared" si="329"/>
        <v>1.3147922167267272E-6</v>
      </c>
      <c r="BN179">
        <f t="shared" si="330"/>
        <v>7.3916418159704983E-2</v>
      </c>
      <c r="BO179" s="147">
        <f t="shared" si="286"/>
        <v>67.502637467827597</v>
      </c>
      <c r="BP179" s="153">
        <f t="shared" si="287"/>
        <v>2.76E-2</v>
      </c>
      <c r="BQ179" s="153">
        <f t="shared" si="288"/>
        <v>2.76E-2</v>
      </c>
      <c r="BR179" s="463"/>
      <c r="BT179" s="147">
        <f t="shared" si="289"/>
        <v>55.199999999999996</v>
      </c>
      <c r="BU179" s="463">
        <f t="shared" si="290"/>
        <v>0.12326177031813065</v>
      </c>
      <c r="BV179" s="463">
        <f t="shared" si="291"/>
        <v>6.4238229681869374E-2</v>
      </c>
      <c r="BW179" s="463">
        <f t="shared" si="292"/>
        <v>3.186769416497873E-3</v>
      </c>
      <c r="BX179" s="463">
        <f t="shared" si="293"/>
        <v>0</v>
      </c>
      <c r="BY179" s="463">
        <f t="shared" si="274"/>
        <v>0.21687763742968966</v>
      </c>
      <c r="BZ179" s="463">
        <f t="shared" si="250"/>
        <v>0.1906867694164979</v>
      </c>
      <c r="CA179" s="549">
        <f t="shared" si="331"/>
        <v>3.6978531095439207E-2</v>
      </c>
      <c r="CB179" s="147">
        <f t="shared" si="294"/>
        <v>635.22970735812464</v>
      </c>
      <c r="CC179" s="153">
        <f t="shared" si="251"/>
        <v>0.38297258668483386</v>
      </c>
      <c r="CD179" s="5">
        <f t="shared" si="295"/>
        <v>2.484</v>
      </c>
      <c r="CE179" s="153">
        <f t="shared" si="296"/>
        <v>0.8664191668718827</v>
      </c>
      <c r="CF179" s="5">
        <f t="shared" si="297"/>
        <v>86.641916687188271</v>
      </c>
      <c r="CG179">
        <f t="shared" si="298"/>
        <v>68.999999999999986</v>
      </c>
      <c r="CI179" s="59">
        <f t="shared" si="332"/>
        <v>-50</v>
      </c>
      <c r="CJ179">
        <f t="shared" si="333"/>
        <v>-50</v>
      </c>
    </row>
    <row r="180" spans="5:88" x14ac:dyDescent="0.25">
      <c r="E180" s="150">
        <v>70</v>
      </c>
      <c r="F180" s="191">
        <f t="shared" si="334"/>
        <v>6.9999999999999993E-2</v>
      </c>
      <c r="G180" s="191">
        <f t="shared" si="299"/>
        <v>6.9999999999999993E-2</v>
      </c>
      <c r="H180" s="191">
        <f t="shared" si="300"/>
        <v>1.4</v>
      </c>
      <c r="I180" s="191">
        <f t="shared" si="301"/>
        <v>1.1199999999999999</v>
      </c>
      <c r="J180" s="472">
        <f t="shared" si="302"/>
        <v>9</v>
      </c>
      <c r="K180" s="386">
        <f t="shared" si="303"/>
        <v>17.027269538101734</v>
      </c>
      <c r="L180" s="386">
        <f t="shared" si="304"/>
        <v>29.32</v>
      </c>
      <c r="M180" s="386"/>
      <c r="N180" s="191">
        <f t="shared" si="305"/>
        <v>0.69304229195088674</v>
      </c>
      <c r="O180" s="152">
        <f t="shared" si="306"/>
        <v>1.1695088676671213</v>
      </c>
      <c r="P180" s="152">
        <f t="shared" si="307"/>
        <v>1.6840927694406547</v>
      </c>
      <c r="Q180" s="191">
        <f t="shared" si="308"/>
        <v>5.8475443383356064E-2</v>
      </c>
      <c r="R180" s="191">
        <f t="shared" si="309"/>
        <v>7.3094304229195078E-2</v>
      </c>
      <c r="S180" s="191">
        <f t="shared" si="310"/>
        <v>16.707269538101734</v>
      </c>
      <c r="T180" s="191">
        <f t="shared" si="311"/>
        <v>0.75</v>
      </c>
      <c r="U180" s="191">
        <f t="shared" si="312"/>
        <v>5</v>
      </c>
      <c r="V180" s="191">
        <f t="shared" si="313"/>
        <v>2.6428195019350578</v>
      </c>
      <c r="W180" s="175">
        <f t="shared" si="314"/>
        <v>350</v>
      </c>
      <c r="X180" s="386">
        <f t="shared" si="315"/>
        <v>130.84176588846742</v>
      </c>
      <c r="Z180" s="191">
        <f t="shared" si="316"/>
        <v>0.28037521261814452</v>
      </c>
      <c r="AA180" s="153">
        <f t="shared" si="317"/>
        <v>0.98797477302189407</v>
      </c>
      <c r="AB180" s="153">
        <f t="shared" si="318"/>
        <v>2.6930909157383841E-2</v>
      </c>
      <c r="AC180" s="153"/>
      <c r="AD180" s="153">
        <f t="shared" si="319"/>
        <v>0.52856390038701151</v>
      </c>
      <c r="AE180" s="317">
        <f t="shared" si="320"/>
        <v>1765.7909150624018</v>
      </c>
      <c r="AF180" s="463">
        <f t="shared" si="321"/>
        <v>1.3874802385159051E-2</v>
      </c>
      <c r="AH180" s="153">
        <f t="shared" si="322"/>
        <v>0.4898979485566356</v>
      </c>
      <c r="AI180" s="153">
        <f t="shared" si="323"/>
        <v>0.75</v>
      </c>
      <c r="AJ180" s="153">
        <f t="shared" si="324"/>
        <v>1.6444444444444444</v>
      </c>
      <c r="AL180" s="317">
        <f t="shared" si="325"/>
        <v>69.999999999999986</v>
      </c>
      <c r="AM180" s="147">
        <f t="shared" si="326"/>
        <v>130.84176588846742</v>
      </c>
      <c r="AO180" t="str">
        <f t="shared" si="327"/>
        <v/>
      </c>
      <c r="AP180" t="str">
        <f t="shared" si="328"/>
        <v/>
      </c>
      <c r="AR180" s="5">
        <f t="shared" si="249"/>
        <v>7.6428195019350582</v>
      </c>
      <c r="AS180" s="5">
        <f t="shared" si="335"/>
        <v>5</v>
      </c>
      <c r="AT180" s="5">
        <f t="shared" si="336"/>
        <v>2.6428195019350582</v>
      </c>
      <c r="AU180" s="153">
        <f t="shared" si="337"/>
        <v>0.65420882944233705</v>
      </c>
      <c r="AW180" s="5">
        <f t="shared" si="275"/>
        <v>1.7499999999999998</v>
      </c>
      <c r="AX180" s="5"/>
      <c r="AY180" s="5">
        <f t="shared" si="276"/>
        <v>2.1874999999999996</v>
      </c>
      <c r="AZ180" s="5"/>
      <c r="BA180" s="5">
        <f t="shared" si="277"/>
        <v>0.45678361761840508</v>
      </c>
      <c r="BB180" s="5"/>
      <c r="BC180" s="5"/>
      <c r="BD180" s="153">
        <f t="shared" si="278"/>
        <v>0.35023442937615112</v>
      </c>
      <c r="BE180" s="153">
        <f t="shared" si="279"/>
        <v>0.25462883670071973</v>
      </c>
      <c r="BF180" s="153">
        <f t="shared" si="280"/>
        <v>0.25363029224306988</v>
      </c>
      <c r="BG180" s="153"/>
      <c r="BH180" s="463">
        <f t="shared" si="281"/>
        <v>4.2932454432153364E-2</v>
      </c>
      <c r="BI180" s="463">
        <f t="shared" si="282"/>
        <v>1.4386052159436995E-2</v>
      </c>
      <c r="BJ180" s="463">
        <f t="shared" si="283"/>
        <v>1.6355220736058427E-3</v>
      </c>
      <c r="BK180" s="463">
        <f t="shared" si="284"/>
        <v>5.6239873241959023E-3</v>
      </c>
      <c r="BL180">
        <f t="shared" si="285"/>
        <v>2.6099999999999999E-3</v>
      </c>
      <c r="BM180">
        <f t="shared" si="329"/>
        <v>1.3084176588846742E-6</v>
      </c>
      <c r="BN180">
        <f t="shared" si="330"/>
        <v>7.3567940193677683E-2</v>
      </c>
      <c r="BO180" s="147">
        <f t="shared" si="286"/>
        <v>67.188015989392099</v>
      </c>
      <c r="BP180" s="153">
        <f t="shared" si="287"/>
        <v>2.7999999999999997E-2</v>
      </c>
      <c r="BQ180" s="153">
        <f t="shared" si="288"/>
        <v>2.7999999999999997E-2</v>
      </c>
      <c r="BR180" s="463"/>
      <c r="BT180" s="147">
        <f t="shared" si="289"/>
        <v>55.999999999999993</v>
      </c>
      <c r="BU180" s="463">
        <f t="shared" si="290"/>
        <v>0.12266415552043819</v>
      </c>
      <c r="BV180" s="463">
        <f t="shared" si="291"/>
        <v>6.4835844479561797E-2</v>
      </c>
      <c r="BW180" s="463">
        <f t="shared" si="292"/>
        <v>3.2164162571652515E-3</v>
      </c>
      <c r="BX180" s="463">
        <f t="shared" si="293"/>
        <v>0</v>
      </c>
      <c r="BY180" s="463">
        <f t="shared" si="274"/>
        <v>0.21691187869996642</v>
      </c>
      <c r="BZ180" s="463">
        <f t="shared" si="250"/>
        <v>0.19071641625716526</v>
      </c>
      <c r="CA180" s="549">
        <f t="shared" si="331"/>
        <v>3.6799246656131469E-2</v>
      </c>
      <c r="CB180" s="147">
        <f t="shared" si="294"/>
        <v>635.14395787042838</v>
      </c>
      <c r="CC180" s="153">
        <f t="shared" si="251"/>
        <v>0.38327906554977559</v>
      </c>
      <c r="CD180" s="5">
        <f t="shared" si="295"/>
        <v>2.5199999999999996</v>
      </c>
      <c r="CE180" s="153">
        <f t="shared" si="296"/>
        <v>0.86798407700528901</v>
      </c>
      <c r="CF180" s="5">
        <f t="shared" si="297"/>
        <v>86.798407700528898</v>
      </c>
      <c r="CG180">
        <f t="shared" si="298"/>
        <v>69.999999999999986</v>
      </c>
      <c r="CI180" s="59">
        <f t="shared" si="332"/>
        <v>-50</v>
      </c>
      <c r="CJ180">
        <f t="shared" si="333"/>
        <v>-50</v>
      </c>
    </row>
    <row r="181" spans="5:88" x14ac:dyDescent="0.25">
      <c r="E181" s="150">
        <v>71</v>
      </c>
      <c r="F181" s="191">
        <f t="shared" si="334"/>
        <v>7.0999999999999994E-2</v>
      </c>
      <c r="G181" s="191">
        <f t="shared" si="299"/>
        <v>7.0999999999999994E-2</v>
      </c>
      <c r="H181" s="191">
        <f t="shared" si="300"/>
        <v>1.42</v>
      </c>
      <c r="I181" s="191">
        <f t="shared" si="301"/>
        <v>1.1359999999999999</v>
      </c>
      <c r="J181" s="472">
        <f t="shared" si="302"/>
        <v>9</v>
      </c>
      <c r="K181" s="386">
        <f t="shared" si="303"/>
        <v>16.791955882635513</v>
      </c>
      <c r="L181" s="386">
        <f t="shared" si="304"/>
        <v>29.32</v>
      </c>
      <c r="M181" s="386"/>
      <c r="N181" s="191">
        <f t="shared" si="305"/>
        <v>0.69304229195088674</v>
      </c>
      <c r="O181" s="152">
        <f t="shared" si="306"/>
        <v>1.1695088676671213</v>
      </c>
      <c r="P181" s="152">
        <f t="shared" si="307"/>
        <v>1.6840927694406547</v>
      </c>
      <c r="Q181" s="191">
        <f t="shared" si="308"/>
        <v>5.8475443383356064E-2</v>
      </c>
      <c r="R181" s="191">
        <f t="shared" si="309"/>
        <v>7.3094304229195078E-2</v>
      </c>
      <c r="S181" s="191">
        <f t="shared" si="310"/>
        <v>16.471955882635513</v>
      </c>
      <c r="T181" s="191">
        <f t="shared" si="311"/>
        <v>0.75</v>
      </c>
      <c r="U181" s="191">
        <f t="shared" si="312"/>
        <v>5</v>
      </c>
      <c r="V181" s="191">
        <f t="shared" si="313"/>
        <v>2.6798545871916151</v>
      </c>
      <c r="W181" s="175">
        <f t="shared" si="314"/>
        <v>350</v>
      </c>
      <c r="X181" s="386">
        <f t="shared" si="315"/>
        <v>130.21079873931339</v>
      </c>
      <c r="Z181" s="191">
        <f t="shared" si="316"/>
        <v>0.27902314015567153</v>
      </c>
      <c r="AA181" s="153">
        <f t="shared" si="317"/>
        <v>0.99698858943838031</v>
      </c>
      <c r="AB181" s="153">
        <f t="shared" si="318"/>
        <v>2.7045558450990187E-2</v>
      </c>
      <c r="AC181" s="153"/>
      <c r="AD181" s="153">
        <f t="shared" si="319"/>
        <v>0.53597091743832304</v>
      </c>
      <c r="AE181" s="317">
        <f t="shared" si="320"/>
        <v>1766.2649891364758</v>
      </c>
      <c r="AF181" s="463">
        <f t="shared" si="321"/>
        <v>1.4069236582755978E-2</v>
      </c>
      <c r="AH181" s="153">
        <f t="shared" si="322"/>
        <v>0.49338481069908446</v>
      </c>
      <c r="AI181" s="153">
        <f t="shared" si="323"/>
        <v>0.75</v>
      </c>
      <c r="AJ181" s="153">
        <f t="shared" si="324"/>
        <v>1.6444444444444444</v>
      </c>
      <c r="AL181" s="317">
        <f t="shared" si="325"/>
        <v>71</v>
      </c>
      <c r="AM181" s="147">
        <f t="shared" si="326"/>
        <v>130.21079873931339</v>
      </c>
      <c r="AO181" t="str">
        <f t="shared" si="327"/>
        <v/>
      </c>
      <c r="AP181" t="str">
        <f t="shared" si="328"/>
        <v/>
      </c>
      <c r="AR181" s="5">
        <f t="shared" si="249"/>
        <v>7.6798545871916151</v>
      </c>
      <c r="AS181" s="5">
        <f t="shared" si="335"/>
        <v>5</v>
      </c>
      <c r="AT181" s="5">
        <f t="shared" si="336"/>
        <v>2.6798545871916151</v>
      </c>
      <c r="AU181" s="153">
        <f t="shared" si="337"/>
        <v>0.65105399369656691</v>
      </c>
      <c r="AW181" s="5">
        <f t="shared" si="275"/>
        <v>1.7749999999999999</v>
      </c>
      <c r="AX181" s="5"/>
      <c r="AY181" s="5">
        <f t="shared" si="276"/>
        <v>2.21875</v>
      </c>
      <c r="AZ181" s="5"/>
      <c r="BA181" s="5">
        <f t="shared" si="277"/>
        <v>0.46980166837186332</v>
      </c>
      <c r="BB181" s="5"/>
      <c r="BC181" s="5"/>
      <c r="BD181" s="153">
        <f t="shared" si="278"/>
        <v>0.34938892915790321</v>
      </c>
      <c r="BE181" s="153">
        <f t="shared" si="279"/>
        <v>0.2557877561219335</v>
      </c>
      <c r="BF181" s="153">
        <f t="shared" si="280"/>
        <v>0.25478466688223961</v>
      </c>
      <c r="BG181" s="153"/>
      <c r="BH181" s="463">
        <f t="shared" si="281"/>
        <v>4.2725418336337209E-2</v>
      </c>
      <c r="BI181" s="463">
        <f t="shared" si="282"/>
        <v>1.4316677321387508E-2</v>
      </c>
      <c r="BJ181" s="463">
        <f t="shared" si="283"/>
        <v>1.6276349842414173E-3</v>
      </c>
      <c r="BK181" s="463">
        <f t="shared" si="284"/>
        <v>5.5968663875077575E-3</v>
      </c>
      <c r="BL181">
        <f t="shared" si="285"/>
        <v>2.6099999999999999E-3</v>
      </c>
      <c r="BM181">
        <f t="shared" si="329"/>
        <v>1.3021079873931339E-6</v>
      </c>
      <c r="BN181">
        <f t="shared" si="330"/>
        <v>7.3223036067291775E-2</v>
      </c>
      <c r="BO181" s="147">
        <f t="shared" si="286"/>
        <v>66.876597029473885</v>
      </c>
      <c r="BP181" s="153">
        <f t="shared" si="287"/>
        <v>2.8399999999999998E-2</v>
      </c>
      <c r="BQ181" s="153">
        <f t="shared" si="288"/>
        <v>2.8399999999999998E-2</v>
      </c>
      <c r="BR181" s="463"/>
      <c r="BT181" s="147">
        <f t="shared" si="289"/>
        <v>56.8</v>
      </c>
      <c r="BU181" s="463">
        <f t="shared" si="290"/>
        <v>0.12207262381810631</v>
      </c>
      <c r="BV181" s="463">
        <f t="shared" si="291"/>
        <v>6.5427376181893732E-2</v>
      </c>
      <c r="BW181" s="463">
        <f t="shared" si="292"/>
        <v>3.24576132391469E-3</v>
      </c>
      <c r="BX181" s="463">
        <f t="shared" si="293"/>
        <v>0</v>
      </c>
      <c r="BY181" s="463">
        <f t="shared" si="274"/>
        <v>0.21694577159225401</v>
      </c>
      <c r="BZ181" s="463">
        <f t="shared" si="250"/>
        <v>0.19074576132391474</v>
      </c>
      <c r="CA181" s="549">
        <f t="shared" si="331"/>
        <v>3.6621787145431899E-2</v>
      </c>
      <c r="CB181" s="147">
        <f t="shared" si="294"/>
        <v>635.05908138551536</v>
      </c>
      <c r="CC181" s="153">
        <f t="shared" si="251"/>
        <v>0.38359059480497765</v>
      </c>
      <c r="CD181" s="5">
        <f t="shared" si="295"/>
        <v>2.556</v>
      </c>
      <c r="CE181" s="153">
        <f t="shared" si="296"/>
        <v>0.86950883722281525</v>
      </c>
      <c r="CF181" s="5">
        <f t="shared" si="297"/>
        <v>86.950883722281532</v>
      </c>
      <c r="CG181">
        <f t="shared" si="298"/>
        <v>70.999999999999986</v>
      </c>
      <c r="CI181" s="59">
        <f t="shared" si="332"/>
        <v>-50</v>
      </c>
      <c r="CJ181">
        <f t="shared" si="333"/>
        <v>-50</v>
      </c>
    </row>
    <row r="182" spans="5:88" x14ac:dyDescent="0.25">
      <c r="E182" s="150">
        <v>72</v>
      </c>
      <c r="F182" s="191">
        <f t="shared" si="334"/>
        <v>7.1999999999999995E-2</v>
      </c>
      <c r="G182" s="191">
        <f t="shared" si="299"/>
        <v>7.1999999999999995E-2</v>
      </c>
      <c r="H182" s="191">
        <f t="shared" si="300"/>
        <v>1.44</v>
      </c>
      <c r="I182" s="191">
        <f t="shared" si="301"/>
        <v>1.1519999999999999</v>
      </c>
      <c r="J182" s="472">
        <f t="shared" si="302"/>
        <v>9</v>
      </c>
      <c r="K182" s="386">
        <f t="shared" si="303"/>
        <v>16.563178717598909</v>
      </c>
      <c r="L182" s="386">
        <f t="shared" si="304"/>
        <v>29.32</v>
      </c>
      <c r="M182" s="386"/>
      <c r="N182" s="191">
        <f t="shared" si="305"/>
        <v>0.69304229195088674</v>
      </c>
      <c r="O182" s="152">
        <f t="shared" si="306"/>
        <v>1.1695088676671213</v>
      </c>
      <c r="P182" s="152">
        <f t="shared" si="307"/>
        <v>1.6840927694406547</v>
      </c>
      <c r="Q182" s="191">
        <f t="shared" si="308"/>
        <v>5.8475443383356064E-2</v>
      </c>
      <c r="R182" s="191">
        <f t="shared" si="309"/>
        <v>7.3094304229195078E-2</v>
      </c>
      <c r="S182" s="191">
        <f t="shared" si="310"/>
        <v>16.243178717598909</v>
      </c>
      <c r="T182" s="191">
        <f t="shared" si="311"/>
        <v>0.75</v>
      </c>
      <c r="U182" s="191">
        <f t="shared" si="312"/>
        <v>5</v>
      </c>
      <c r="V182" s="191">
        <f t="shared" si="313"/>
        <v>2.7168697969904807</v>
      </c>
      <c r="W182" s="175">
        <f t="shared" si="314"/>
        <v>350</v>
      </c>
      <c r="X182" s="386">
        <f t="shared" si="315"/>
        <v>129.58622165557236</v>
      </c>
      <c r="Z182" s="191">
        <f t="shared" si="316"/>
        <v>0.27768476069051218</v>
      </c>
      <c r="AA182" s="153">
        <f t="shared" si="317"/>
        <v>1.0059111192061094</v>
      </c>
      <c r="AB182" s="153">
        <f t="shared" si="318"/>
        <v>2.7156712762343285E-2</v>
      </c>
      <c r="AC182" s="153"/>
      <c r="AD182" s="153">
        <f t="shared" si="319"/>
        <v>0.54337395939809618</v>
      </c>
      <c r="AE182" s="317">
        <f t="shared" si="320"/>
        <v>1766.7390632105501</v>
      </c>
      <c r="AF182" s="463">
        <f t="shared" si="321"/>
        <v>1.4263566434200025E-2</v>
      </c>
      <c r="AH182" s="153">
        <f t="shared" si="322"/>
        <v>0.49684720272649502</v>
      </c>
      <c r="AI182" s="153">
        <f t="shared" si="323"/>
        <v>0.75</v>
      </c>
      <c r="AJ182" s="153">
        <f t="shared" si="324"/>
        <v>1.6444444444444444</v>
      </c>
      <c r="AL182" s="317">
        <f t="shared" si="325"/>
        <v>72</v>
      </c>
      <c r="AM182" s="147">
        <f t="shared" si="326"/>
        <v>129.58622165557236</v>
      </c>
      <c r="AO182" t="str">
        <f t="shared" si="327"/>
        <v/>
      </c>
      <c r="AP182" t="str">
        <f t="shared" si="328"/>
        <v/>
      </c>
      <c r="AR182" s="5">
        <f t="shared" si="249"/>
        <v>7.7168697969904798</v>
      </c>
      <c r="AS182" s="5">
        <f t="shared" si="335"/>
        <v>5</v>
      </c>
      <c r="AT182" s="5">
        <f t="shared" si="336"/>
        <v>2.7168697969904798</v>
      </c>
      <c r="AU182" s="153">
        <f t="shared" si="337"/>
        <v>0.64793110827786182</v>
      </c>
      <c r="AW182" s="5">
        <f t="shared" si="275"/>
        <v>1.8</v>
      </c>
      <c r="AX182" s="5"/>
      <c r="AY182" s="5">
        <f t="shared" si="276"/>
        <v>2.25</v>
      </c>
      <c r="AZ182" s="5"/>
      <c r="BA182" s="5">
        <f t="shared" si="277"/>
        <v>0.48299907502052969</v>
      </c>
      <c r="BB182" s="5"/>
      <c r="BC182" s="5"/>
      <c r="BD182" s="153">
        <f t="shared" si="278"/>
        <v>0.348549971743076</v>
      </c>
      <c r="BE182" s="153">
        <f t="shared" si="279"/>
        <v>0.25692979040566882</v>
      </c>
      <c r="BF182" s="153">
        <f t="shared" si="280"/>
        <v>0.2559222226001564</v>
      </c>
      <c r="BG182" s="153"/>
      <c r="BH182" s="463">
        <f t="shared" si="281"/>
        <v>4.2520478980734674E-2</v>
      </c>
      <c r="BI182" s="463">
        <f t="shared" si="282"/>
        <v>1.4248005071030183E-2</v>
      </c>
      <c r="BJ182" s="463">
        <f t="shared" si="283"/>
        <v>1.6198277706946543E-3</v>
      </c>
      <c r="BK182" s="463">
        <f t="shared" si="284"/>
        <v>5.5700201157680663E-3</v>
      </c>
      <c r="BL182">
        <f t="shared" si="285"/>
        <v>2.6099999999999999E-3</v>
      </c>
      <c r="BM182">
        <f t="shared" si="329"/>
        <v>1.2958622165557236E-6</v>
      </c>
      <c r="BN182">
        <f t="shared" si="330"/>
        <v>7.288165108338672E-2</v>
      </c>
      <c r="BO182" s="147">
        <f t="shared" si="286"/>
        <v>66.568331938227573</v>
      </c>
      <c r="BP182" s="153">
        <f t="shared" si="287"/>
        <v>2.8799999999999999E-2</v>
      </c>
      <c r="BQ182" s="153">
        <f t="shared" si="288"/>
        <v>2.8799999999999999E-2</v>
      </c>
      <c r="BR182" s="463"/>
      <c r="BT182" s="147">
        <f t="shared" si="289"/>
        <v>57.6</v>
      </c>
      <c r="BU182" s="463">
        <f t="shared" si="290"/>
        <v>0.12148708280209908</v>
      </c>
      <c r="BV182" s="463">
        <f t="shared" si="291"/>
        <v>6.6012917197900908E-2</v>
      </c>
      <c r="BW182" s="463">
        <f t="shared" si="292"/>
        <v>3.2748092010302004E-3</v>
      </c>
      <c r="BX182" s="463">
        <f t="shared" si="293"/>
        <v>0</v>
      </c>
      <c r="BY182" s="463">
        <f t="shared" si="274"/>
        <v>0.21697932139635046</v>
      </c>
      <c r="BZ182" s="463">
        <f t="shared" si="250"/>
        <v>0.19077480920103021</v>
      </c>
      <c r="CA182" s="549">
        <f t="shared" si="331"/>
        <v>3.6446124840629736E-2</v>
      </c>
      <c r="CB182" s="147">
        <f t="shared" si="294"/>
        <v>634.97506463904051</v>
      </c>
      <c r="CC182" s="153">
        <f t="shared" si="251"/>
        <v>0.38390709732036693</v>
      </c>
      <c r="CD182" s="5">
        <f t="shared" si="295"/>
        <v>2.5919999999999996</v>
      </c>
      <c r="CE182" s="153">
        <f t="shared" si="296"/>
        <v>0.87099493204406364</v>
      </c>
      <c r="CF182" s="5">
        <f t="shared" si="297"/>
        <v>87.099493204406357</v>
      </c>
      <c r="CG182">
        <f t="shared" si="298"/>
        <v>71.999999999999986</v>
      </c>
      <c r="CI182" s="59">
        <f t="shared" si="332"/>
        <v>-50</v>
      </c>
      <c r="CJ182">
        <f t="shared" si="333"/>
        <v>-50</v>
      </c>
    </row>
    <row r="183" spans="5:88" x14ac:dyDescent="0.25">
      <c r="E183" s="150">
        <v>73</v>
      </c>
      <c r="F183" s="191">
        <f t="shared" si="334"/>
        <v>7.2999999999999995E-2</v>
      </c>
      <c r="G183" s="191">
        <f t="shared" si="299"/>
        <v>7.2999999999999995E-2</v>
      </c>
      <c r="H183" s="191">
        <f t="shared" si="300"/>
        <v>1.46</v>
      </c>
      <c r="I183" s="191">
        <f t="shared" si="301"/>
        <v>1.1679999999999999</v>
      </c>
      <c r="J183" s="472">
        <f t="shared" si="302"/>
        <v>9</v>
      </c>
      <c r="K183" s="386">
        <f t="shared" si="303"/>
        <v>16.340669420097552</v>
      </c>
      <c r="L183" s="386">
        <f t="shared" si="304"/>
        <v>29.32</v>
      </c>
      <c r="M183" s="386"/>
      <c r="N183" s="191">
        <f t="shared" si="305"/>
        <v>0.69304229195088674</v>
      </c>
      <c r="O183" s="152">
        <f t="shared" si="306"/>
        <v>1.1695088676671213</v>
      </c>
      <c r="P183" s="152">
        <f t="shared" si="307"/>
        <v>1.6840927694406547</v>
      </c>
      <c r="Q183" s="191">
        <f t="shared" si="308"/>
        <v>5.8475443383356064E-2</v>
      </c>
      <c r="R183" s="191">
        <f t="shared" si="309"/>
        <v>7.3094304229195078E-2</v>
      </c>
      <c r="S183" s="191">
        <f t="shared" si="310"/>
        <v>16.020669420097551</v>
      </c>
      <c r="T183" s="191">
        <f t="shared" si="311"/>
        <v>0.75</v>
      </c>
      <c r="U183" s="191">
        <f t="shared" si="312"/>
        <v>5</v>
      </c>
      <c r="V183" s="191">
        <f t="shared" si="313"/>
        <v>2.753865147327077</v>
      </c>
      <c r="W183" s="175">
        <f t="shared" si="314"/>
        <v>350</v>
      </c>
      <c r="X183" s="386">
        <f t="shared" si="315"/>
        <v>128.96793805405829</v>
      </c>
      <c r="Z183" s="191">
        <f t="shared" si="316"/>
        <v>0.27635986725869632</v>
      </c>
      <c r="AA183" s="153">
        <f t="shared" si="317"/>
        <v>1.0147437420848815</v>
      </c>
      <c r="AB183" s="153">
        <f t="shared" si="318"/>
        <v>2.7264460014572146E-2</v>
      </c>
      <c r="AC183" s="153"/>
      <c r="AD183" s="153">
        <f t="shared" si="319"/>
        <v>0.5507730294654154</v>
      </c>
      <c r="AE183" s="317">
        <f t="shared" si="320"/>
        <v>1767.2131372846238</v>
      </c>
      <c r="AF183" s="463">
        <f t="shared" si="321"/>
        <v>1.4457792023467154E-2</v>
      </c>
      <c r="AH183" s="153">
        <f t="shared" si="322"/>
        <v>0.50028563269967519</v>
      </c>
      <c r="AI183" s="153">
        <f t="shared" si="323"/>
        <v>0.75</v>
      </c>
      <c r="AJ183" s="153">
        <f t="shared" si="324"/>
        <v>1.6444444444444444</v>
      </c>
      <c r="AL183" s="317">
        <f t="shared" si="325"/>
        <v>73</v>
      </c>
      <c r="AM183" s="147">
        <f t="shared" si="326"/>
        <v>128.96793805405829</v>
      </c>
      <c r="AO183" t="str">
        <f t="shared" si="327"/>
        <v/>
      </c>
      <c r="AP183" t="str">
        <f t="shared" si="328"/>
        <v/>
      </c>
      <c r="AR183" s="5">
        <f t="shared" si="249"/>
        <v>7.7538651473270761</v>
      </c>
      <c r="AS183" s="5">
        <f t="shared" si="335"/>
        <v>5</v>
      </c>
      <c r="AT183" s="5">
        <f t="shared" si="336"/>
        <v>2.7538651473270761</v>
      </c>
      <c r="AU183" s="153">
        <f t="shared" si="337"/>
        <v>0.64483969027029153</v>
      </c>
      <c r="AW183" s="5">
        <f t="shared" si="275"/>
        <v>1.825</v>
      </c>
      <c r="AX183" s="5"/>
      <c r="AY183" s="5">
        <f t="shared" si="276"/>
        <v>2.28125</v>
      </c>
      <c r="AZ183" s="5"/>
      <c r="BA183" s="5">
        <f t="shared" si="277"/>
        <v>0.49637569322191744</v>
      </c>
      <c r="BB183" s="5"/>
      <c r="BC183" s="5"/>
      <c r="BD183" s="153">
        <f t="shared" si="278"/>
        <v>0.34771747428865246</v>
      </c>
      <c r="BE183" s="153">
        <f t="shared" si="279"/>
        <v>0.25805533917034218</v>
      </c>
      <c r="BF183" s="153">
        <f t="shared" si="280"/>
        <v>0.25704335744810558</v>
      </c>
      <c r="BG183" s="153"/>
      <c r="BH183" s="463">
        <f t="shared" si="281"/>
        <v>4.2317604673987888E-2</v>
      </c>
      <c r="BI183" s="463">
        <f t="shared" si="282"/>
        <v>1.4180024789043712E-2</v>
      </c>
      <c r="BJ183" s="463">
        <f t="shared" si="283"/>
        <v>1.6120992256757286E-3</v>
      </c>
      <c r="BK183" s="463">
        <f t="shared" si="284"/>
        <v>5.5434443575301555E-3</v>
      </c>
      <c r="BL183">
        <f t="shared" si="285"/>
        <v>2.6099999999999999E-3</v>
      </c>
      <c r="BM183">
        <f t="shared" si="329"/>
        <v>1.2896793805405831E-6</v>
      </c>
      <c r="BN183">
        <f t="shared" si="330"/>
        <v>7.2543731655314109E-2</v>
      </c>
      <c r="BO183" s="147">
        <f t="shared" si="286"/>
        <v>66.263173046237483</v>
      </c>
      <c r="BP183" s="153">
        <f t="shared" si="287"/>
        <v>2.92E-2</v>
      </c>
      <c r="BQ183" s="153">
        <f t="shared" si="288"/>
        <v>2.92E-2</v>
      </c>
      <c r="BR183" s="463"/>
      <c r="BT183" s="147">
        <f t="shared" si="289"/>
        <v>58.4</v>
      </c>
      <c r="BU183" s="463">
        <f t="shared" si="290"/>
        <v>0.12090744192567969</v>
      </c>
      <c r="BV183" s="463">
        <f t="shared" si="291"/>
        <v>6.6592558074320338E-2</v>
      </c>
      <c r="BW183" s="463">
        <f t="shared" si="292"/>
        <v>3.3035643804097286E-3</v>
      </c>
      <c r="BX183" s="463">
        <f t="shared" si="293"/>
        <v>0</v>
      </c>
      <c r="BY183" s="463">
        <f t="shared" si="274"/>
        <v>0.21701253329549927</v>
      </c>
      <c r="BZ183" s="463">
        <f t="shared" si="250"/>
        <v>0.19080356438040977</v>
      </c>
      <c r="CA183" s="549">
        <f t="shared" si="331"/>
        <v>3.62722325777039E-2</v>
      </c>
      <c r="CB183" s="147">
        <f t="shared" si="294"/>
        <v>634.89189463402272</v>
      </c>
      <c r="CC183" s="153">
        <f t="shared" si="251"/>
        <v>0.38422849752851729</v>
      </c>
      <c r="CD183" s="5">
        <f t="shared" si="295"/>
        <v>2.6280000000000001</v>
      </c>
      <c r="CE183" s="153">
        <f t="shared" si="296"/>
        <v>0.8724437744866399</v>
      </c>
      <c r="CF183" s="5">
        <f t="shared" si="297"/>
        <v>87.244377448663997</v>
      </c>
      <c r="CG183">
        <f t="shared" si="298"/>
        <v>72.999999999999986</v>
      </c>
      <c r="CI183" s="59">
        <f t="shared" si="332"/>
        <v>-50</v>
      </c>
      <c r="CJ183">
        <f t="shared" si="333"/>
        <v>-50</v>
      </c>
    </row>
    <row r="184" spans="5:88" x14ac:dyDescent="0.25">
      <c r="E184" s="150">
        <v>74</v>
      </c>
      <c r="F184" s="191">
        <f t="shared" si="334"/>
        <v>7.3999999999999996E-2</v>
      </c>
      <c r="G184" s="191">
        <f t="shared" si="299"/>
        <v>7.3999999999999996E-2</v>
      </c>
      <c r="H184" s="191">
        <f t="shared" si="300"/>
        <v>1.48</v>
      </c>
      <c r="I184" s="191">
        <f t="shared" si="301"/>
        <v>1.1839999999999999</v>
      </c>
      <c r="J184" s="472">
        <f t="shared" si="302"/>
        <v>9</v>
      </c>
      <c r="K184" s="386">
        <f t="shared" si="303"/>
        <v>16.124173887393532</v>
      </c>
      <c r="L184" s="386">
        <f t="shared" si="304"/>
        <v>29.32</v>
      </c>
      <c r="M184" s="386"/>
      <c r="N184" s="191">
        <f t="shared" si="305"/>
        <v>0.69304229195088674</v>
      </c>
      <c r="O184" s="152">
        <f t="shared" si="306"/>
        <v>1.1695088676671213</v>
      </c>
      <c r="P184" s="152">
        <f t="shared" si="307"/>
        <v>1.6840927694406547</v>
      </c>
      <c r="Q184" s="191">
        <f t="shared" si="308"/>
        <v>5.8475443383356064E-2</v>
      </c>
      <c r="R184" s="191">
        <f t="shared" si="309"/>
        <v>7.3094304229195078E-2</v>
      </c>
      <c r="S184" s="191">
        <f t="shared" si="310"/>
        <v>15.804173887393532</v>
      </c>
      <c r="T184" s="191">
        <f t="shared" si="311"/>
        <v>0.75</v>
      </c>
      <c r="U184" s="191">
        <f t="shared" si="312"/>
        <v>5</v>
      </c>
      <c r="V184" s="191">
        <f t="shared" si="313"/>
        <v>2.7908406541796626</v>
      </c>
      <c r="W184" s="175">
        <f t="shared" si="314"/>
        <v>350</v>
      </c>
      <c r="X184" s="386">
        <f t="shared" si="315"/>
        <v>128.35585328824763</v>
      </c>
      <c r="Z184" s="191">
        <f t="shared" si="316"/>
        <v>0.27504825704624492</v>
      </c>
      <c r="AA184" s="153">
        <f t="shared" si="317"/>
        <v>1.023487810167891</v>
      </c>
      <c r="AB184" s="153">
        <f t="shared" si="318"/>
        <v>2.7368885667545761E-2</v>
      </c>
      <c r="AC184" s="153"/>
      <c r="AD184" s="153">
        <f t="shared" si="319"/>
        <v>0.55816813083593264</v>
      </c>
      <c r="AE184" s="317">
        <f t="shared" si="320"/>
        <v>1767.6872113586981</v>
      </c>
      <c r="AF184" s="463">
        <f t="shared" si="321"/>
        <v>1.465191343444323E-2</v>
      </c>
      <c r="AH184" s="153">
        <f t="shared" si="322"/>
        <v>0.50370059133803458</v>
      </c>
      <c r="AI184" s="153">
        <f t="shared" si="323"/>
        <v>0.75</v>
      </c>
      <c r="AJ184" s="153">
        <f t="shared" si="324"/>
        <v>1.6444444444444444</v>
      </c>
      <c r="AL184" s="317">
        <f t="shared" si="325"/>
        <v>74</v>
      </c>
      <c r="AM184" s="147">
        <f t="shared" si="326"/>
        <v>128.35585328824763</v>
      </c>
      <c r="AO184" t="str">
        <f t="shared" si="327"/>
        <v/>
      </c>
      <c r="AP184" t="str">
        <f t="shared" si="328"/>
        <v/>
      </c>
      <c r="AR184" s="5">
        <f t="shared" si="249"/>
        <v>7.7908406541796626</v>
      </c>
      <c r="AS184" s="5">
        <f t="shared" si="335"/>
        <v>5</v>
      </c>
      <c r="AT184" s="5">
        <f t="shared" si="336"/>
        <v>2.7908406541796626</v>
      </c>
      <c r="AU184" s="153">
        <f t="shared" si="337"/>
        <v>0.64177926644123817</v>
      </c>
      <c r="AW184" s="5">
        <f t="shared" si="275"/>
        <v>1.85</v>
      </c>
      <c r="AX184" s="5"/>
      <c r="AY184" s="5">
        <f t="shared" si="276"/>
        <v>2.3125</v>
      </c>
      <c r="AZ184" s="5"/>
      <c r="BA184" s="5">
        <f t="shared" si="277"/>
        <v>0.50993137878838279</v>
      </c>
      <c r="BB184" s="5"/>
      <c r="BC184" s="5"/>
      <c r="BD184" s="153">
        <f t="shared" si="278"/>
        <v>0.34689135540934452</v>
      </c>
      <c r="BE184" s="153">
        <f t="shared" si="279"/>
        <v>0.25916478839199558</v>
      </c>
      <c r="BF184" s="153">
        <f t="shared" si="280"/>
        <v>0.25814845588849761</v>
      </c>
      <c r="BG184" s="153"/>
      <c r="BH184" s="463">
        <f t="shared" si="281"/>
        <v>4.2116764360206262E-2</v>
      </c>
      <c r="BI184" s="463">
        <f t="shared" si="282"/>
        <v>1.411272606904283E-2</v>
      </c>
      <c r="BJ184" s="463">
        <f t="shared" si="283"/>
        <v>1.6044481661030951E-3</v>
      </c>
      <c r="BK184" s="463">
        <f t="shared" si="284"/>
        <v>5.5171350445911435E-3</v>
      </c>
      <c r="BL184">
        <f t="shared" si="285"/>
        <v>2.6099999999999999E-3</v>
      </c>
      <c r="BM184">
        <f t="shared" si="329"/>
        <v>1.2835585328824764E-6</v>
      </c>
      <c r="BN184">
        <f t="shared" si="330"/>
        <v>7.2209225278896505E-2</v>
      </c>
      <c r="BO184" s="147">
        <f t="shared" si="286"/>
        <v>65.961073639943336</v>
      </c>
      <c r="BP184" s="153">
        <f t="shared" si="287"/>
        <v>2.9600000000000001E-2</v>
      </c>
      <c r="BQ184" s="153">
        <f t="shared" si="288"/>
        <v>2.9600000000000001E-2</v>
      </c>
      <c r="BR184" s="463"/>
      <c r="BT184" s="147">
        <f t="shared" si="289"/>
        <v>59.2</v>
      </c>
      <c r="BU184" s="463">
        <f t="shared" si="290"/>
        <v>0.12033361245773218</v>
      </c>
      <c r="BV184" s="463">
        <f t="shared" si="291"/>
        <v>6.716638754226785E-2</v>
      </c>
      <c r="BW184" s="463">
        <f t="shared" si="292"/>
        <v>3.3320312638807797E-3</v>
      </c>
      <c r="BX184" s="463">
        <f t="shared" si="293"/>
        <v>0</v>
      </c>
      <c r="BY184" s="463">
        <f t="shared" si="274"/>
        <v>0.21704541236905806</v>
      </c>
      <c r="BZ184" s="463">
        <f t="shared" si="250"/>
        <v>0.19083203126388082</v>
      </c>
      <c r="CA184" s="549">
        <f t="shared" si="331"/>
        <v>3.6100083737319655E-2</v>
      </c>
      <c r="CB184" s="147">
        <f t="shared" si="294"/>
        <v>634.80955863413931</v>
      </c>
      <c r="CC184" s="153">
        <f t="shared" si="251"/>
        <v>0.38455472138527425</v>
      </c>
      <c r="CD184" s="5">
        <f t="shared" si="295"/>
        <v>2.6639999999999997</v>
      </c>
      <c r="CE184" s="153">
        <f t="shared" si="296"/>
        <v>0.87385671030023981</v>
      </c>
      <c r="CF184" s="5">
        <f t="shared" si="297"/>
        <v>87.385671030023985</v>
      </c>
      <c r="CG184">
        <f t="shared" si="298"/>
        <v>73.999999999999986</v>
      </c>
      <c r="CI184" s="59">
        <f t="shared" si="332"/>
        <v>-50</v>
      </c>
      <c r="CJ184">
        <f t="shared" si="333"/>
        <v>-50</v>
      </c>
    </row>
    <row r="185" spans="5:88" x14ac:dyDescent="0.25">
      <c r="E185" s="150">
        <v>75</v>
      </c>
      <c r="F185" s="191">
        <f t="shared" si="334"/>
        <v>7.5000000000000011E-2</v>
      </c>
      <c r="G185" s="191">
        <f t="shared" si="299"/>
        <v>7.5000000000000011E-2</v>
      </c>
      <c r="H185" s="191">
        <f t="shared" si="300"/>
        <v>1.5000000000000002</v>
      </c>
      <c r="I185" s="191">
        <f t="shared" si="301"/>
        <v>1.2000000000000002</v>
      </c>
      <c r="J185" s="472">
        <f t="shared" si="302"/>
        <v>9</v>
      </c>
      <c r="K185" s="386">
        <f t="shared" si="303"/>
        <v>15.913451568894947</v>
      </c>
      <c r="L185" s="386">
        <f t="shared" si="304"/>
        <v>29.32</v>
      </c>
      <c r="M185" s="386"/>
      <c r="N185" s="191">
        <f t="shared" si="305"/>
        <v>0.69304229195088674</v>
      </c>
      <c r="O185" s="152">
        <f t="shared" si="306"/>
        <v>1.1695088676671213</v>
      </c>
      <c r="P185" s="152">
        <f t="shared" si="307"/>
        <v>1.6840927694406547</v>
      </c>
      <c r="Q185" s="191">
        <f t="shared" si="308"/>
        <v>5.8475443383356064E-2</v>
      </c>
      <c r="R185" s="191">
        <f t="shared" si="309"/>
        <v>7.3094304229195078E-2</v>
      </c>
      <c r="S185" s="191">
        <f t="shared" si="310"/>
        <v>15.593451568894947</v>
      </c>
      <c r="T185" s="191">
        <f t="shared" si="311"/>
        <v>0.75</v>
      </c>
      <c r="U185" s="191">
        <f t="shared" si="312"/>
        <v>5</v>
      </c>
      <c r="V185" s="191">
        <f t="shared" si="313"/>
        <v>2.8277963335093661</v>
      </c>
      <c r="W185" s="175">
        <f t="shared" si="314"/>
        <v>350</v>
      </c>
      <c r="X185" s="386">
        <f t="shared" si="315"/>
        <v>127.74987459997938</v>
      </c>
      <c r="Z185" s="191">
        <f t="shared" si="316"/>
        <v>0.27374973128567009</v>
      </c>
      <c r="AA185" s="153">
        <f t="shared" si="317"/>
        <v>1.0321446485717227</v>
      </c>
      <c r="AB185" s="153">
        <f t="shared" si="318"/>
        <v>2.7470072796682787E-2</v>
      </c>
      <c r="AC185" s="153"/>
      <c r="AD185" s="153">
        <f t="shared" si="319"/>
        <v>0.56555926670187318</v>
      </c>
      <c r="AE185" s="317">
        <f t="shared" si="320"/>
        <v>1768.1612854327723</v>
      </c>
      <c r="AF185" s="463">
        <f t="shared" si="321"/>
        <v>1.484593075092417E-2</v>
      </c>
      <c r="AH185" s="153">
        <f t="shared" si="322"/>
        <v>0.50709255283710997</v>
      </c>
      <c r="AI185" s="153">
        <f t="shared" si="323"/>
        <v>0.75</v>
      </c>
      <c r="AJ185" s="153">
        <f t="shared" si="324"/>
        <v>1.6444444444444444</v>
      </c>
      <c r="AL185" s="317">
        <f t="shared" si="325"/>
        <v>75.000000000000014</v>
      </c>
      <c r="AM185" s="147">
        <f t="shared" si="326"/>
        <v>127.74987459997938</v>
      </c>
      <c r="AO185" t="str">
        <f t="shared" si="327"/>
        <v/>
      </c>
      <c r="AP185" t="str">
        <f t="shared" si="328"/>
        <v/>
      </c>
      <c r="AR185" s="5">
        <f t="shared" si="249"/>
        <v>7.827796333509367</v>
      </c>
      <c r="AS185" s="5">
        <f t="shared" si="335"/>
        <v>5</v>
      </c>
      <c r="AT185" s="5">
        <f t="shared" si="336"/>
        <v>2.827796333509367</v>
      </c>
      <c r="AU185" s="153">
        <f t="shared" si="337"/>
        <v>0.63874937299989687</v>
      </c>
      <c r="AW185" s="5">
        <f t="shared" si="275"/>
        <v>1.8750000000000004</v>
      </c>
      <c r="AX185" s="5"/>
      <c r="AY185" s="5">
        <f t="shared" si="276"/>
        <v>2.3437500000000004</v>
      </c>
      <c r="AZ185" s="5"/>
      <c r="BA185" s="5">
        <f t="shared" si="277"/>
        <v>0.52366598768691996</v>
      </c>
      <c r="BB185" s="5"/>
      <c r="BC185" s="5"/>
      <c r="BD185" s="153">
        <f t="shared" si="278"/>
        <v>0.34607153514480304</v>
      </c>
      <c r="BE185" s="153">
        <f t="shared" si="279"/>
        <v>0.26025851102801489</v>
      </c>
      <c r="BF185" s="153">
        <f t="shared" si="280"/>
        <v>0.25923788941614034</v>
      </c>
      <c r="BG185" s="153"/>
      <c r="BH185" s="463">
        <f t="shared" si="281"/>
        <v>4.1917927603118223E-2</v>
      </c>
      <c r="BI185" s="463">
        <f t="shared" si="282"/>
        <v>1.4046098712267734E-2</v>
      </c>
      <c r="BJ185" s="463">
        <f t="shared" si="283"/>
        <v>1.5968734324997421E-3</v>
      </c>
      <c r="BK185" s="463">
        <f t="shared" si="284"/>
        <v>5.4910881899158659E-3</v>
      </c>
      <c r="BL185">
        <f t="shared" si="285"/>
        <v>2.6099999999999999E-3</v>
      </c>
      <c r="BM185">
        <f t="shared" si="329"/>
        <v>1.2774987459997939E-6</v>
      </c>
      <c r="BN185">
        <f t="shared" si="330"/>
        <v>7.1878080505231937E-2</v>
      </c>
      <c r="BO185" s="147">
        <f t="shared" si="286"/>
        <v>65.66198793780157</v>
      </c>
      <c r="BP185" s="153">
        <f t="shared" si="287"/>
        <v>3.0000000000000006E-2</v>
      </c>
      <c r="BQ185" s="153">
        <f t="shared" si="288"/>
        <v>3.0000000000000006E-2</v>
      </c>
      <c r="BR185" s="463"/>
      <c r="BT185" s="147">
        <f t="shared" si="289"/>
        <v>60.000000000000014</v>
      </c>
      <c r="BU185" s="463">
        <f t="shared" si="290"/>
        <v>0.11976550743748064</v>
      </c>
      <c r="BV185" s="463">
        <f t="shared" si="291"/>
        <v>6.7734492562519344E-2</v>
      </c>
      <c r="BW185" s="463">
        <f t="shared" si="292"/>
        <v>3.3602141654467503E-3</v>
      </c>
      <c r="BX185" s="463">
        <f t="shared" si="293"/>
        <v>0</v>
      </c>
      <c r="BY185" s="463">
        <f t="shared" si="274"/>
        <v>0.21707796359508896</v>
      </c>
      <c r="BZ185" s="463">
        <f t="shared" si="250"/>
        <v>0.19086021416544674</v>
      </c>
      <c r="CA185" s="549">
        <f t="shared" si="331"/>
        <v>3.5929652231244211E-2</v>
      </c>
      <c r="CB185" s="147">
        <f t="shared" si="294"/>
        <v>634.72804415722669</v>
      </c>
      <c r="CC185" s="153">
        <f t="shared" si="251"/>
        <v>0.38488569633156511</v>
      </c>
      <c r="CD185" s="5">
        <f t="shared" si="295"/>
        <v>2.7</v>
      </c>
      <c r="CE185" s="153">
        <f t="shared" si="296"/>
        <v>0.87523502190396962</v>
      </c>
      <c r="CF185" s="5">
        <f t="shared" si="297"/>
        <v>87.523502190396968</v>
      </c>
      <c r="CG185">
        <f t="shared" si="298"/>
        <v>75.000000000000014</v>
      </c>
      <c r="CI185" s="59">
        <f t="shared" si="332"/>
        <v>-50</v>
      </c>
      <c r="CJ185">
        <f t="shared" si="333"/>
        <v>-50</v>
      </c>
    </row>
    <row r="186" spans="5:88" x14ac:dyDescent="0.25">
      <c r="E186" s="150">
        <v>76</v>
      </c>
      <c r="F186" s="191">
        <f t="shared" si="334"/>
        <v>7.6000000000000012E-2</v>
      </c>
      <c r="G186" s="191">
        <f t="shared" si="299"/>
        <v>7.6000000000000012E-2</v>
      </c>
      <c r="H186" s="191">
        <f t="shared" si="300"/>
        <v>1.5200000000000002</v>
      </c>
      <c r="I186" s="191">
        <f t="shared" si="301"/>
        <v>1.2160000000000002</v>
      </c>
      <c r="J186" s="472">
        <f t="shared" si="302"/>
        <v>9</v>
      </c>
      <c r="K186" s="386">
        <f t="shared" si="303"/>
        <v>15.708274574567383</v>
      </c>
      <c r="L186" s="386">
        <f t="shared" si="304"/>
        <v>29.32</v>
      </c>
      <c r="M186" s="386"/>
      <c r="N186" s="191">
        <f t="shared" si="305"/>
        <v>0.69304229195088674</v>
      </c>
      <c r="O186" s="152">
        <f t="shared" si="306"/>
        <v>1.1695088676671213</v>
      </c>
      <c r="P186" s="152">
        <f t="shared" si="307"/>
        <v>1.6840927694406547</v>
      </c>
      <c r="Q186" s="191">
        <f t="shared" si="308"/>
        <v>5.8475443383356064E-2</v>
      </c>
      <c r="R186" s="191">
        <f t="shared" si="309"/>
        <v>7.3094304229195078E-2</v>
      </c>
      <c r="S186" s="191">
        <f t="shared" si="310"/>
        <v>15.388274574567383</v>
      </c>
      <c r="T186" s="191">
        <f t="shared" si="311"/>
        <v>0.75</v>
      </c>
      <c r="U186" s="191">
        <f t="shared" si="312"/>
        <v>5</v>
      </c>
      <c r="V186" s="191">
        <f t="shared" si="313"/>
        <v>2.8647322012601966</v>
      </c>
      <c r="W186" s="175">
        <f t="shared" si="314"/>
        <v>350</v>
      </c>
      <c r="X186" s="386">
        <f t="shared" si="315"/>
        <v>127.14991107259397</v>
      </c>
      <c r="Z186" s="191">
        <f t="shared" si="316"/>
        <v>0.27246409515555847</v>
      </c>
      <c r="AA186" s="153">
        <f t="shared" si="317"/>
        <v>1.040715556105801</v>
      </c>
      <c r="AB186" s="153">
        <f t="shared" si="318"/>
        <v>2.7568102168899534E-2</v>
      </c>
      <c r="AC186" s="153"/>
      <c r="AD186" s="153">
        <f t="shared" si="319"/>
        <v>0.57294644025203934</v>
      </c>
      <c r="AE186" s="317">
        <f t="shared" si="320"/>
        <v>1768.6353595068465</v>
      </c>
      <c r="AF186" s="463">
        <f t="shared" si="321"/>
        <v>1.5039844056616033E-2</v>
      </c>
      <c r="AH186" s="153">
        <f t="shared" si="322"/>
        <v>0.51046197563719531</v>
      </c>
      <c r="AI186" s="153">
        <f t="shared" si="323"/>
        <v>0.75</v>
      </c>
      <c r="AJ186" s="153">
        <f t="shared" si="324"/>
        <v>1.6444444444444444</v>
      </c>
      <c r="AL186" s="317">
        <f t="shared" si="325"/>
        <v>76.000000000000014</v>
      </c>
      <c r="AM186" s="147">
        <f t="shared" si="326"/>
        <v>127.14991107259397</v>
      </c>
      <c r="AO186" t="str">
        <f t="shared" si="327"/>
        <v/>
      </c>
      <c r="AP186" t="str">
        <f t="shared" si="328"/>
        <v/>
      </c>
      <c r="AR186" s="5">
        <f t="shared" si="249"/>
        <v>7.8647322012601952</v>
      </c>
      <c r="AS186" s="5">
        <f t="shared" si="335"/>
        <v>5</v>
      </c>
      <c r="AT186" s="5">
        <f t="shared" si="336"/>
        <v>2.8647322012601952</v>
      </c>
      <c r="AU186" s="153">
        <f t="shared" si="337"/>
        <v>0.63574955536296984</v>
      </c>
      <c r="AW186" s="5">
        <f t="shared" si="275"/>
        <v>1.9000000000000001</v>
      </c>
      <c r="AX186" s="5"/>
      <c r="AY186" s="5">
        <f t="shared" si="276"/>
        <v>2.3750000000000004</v>
      </c>
      <c r="AZ186" s="5"/>
      <c r="BA186" s="5">
        <f t="shared" si="277"/>
        <v>0.53757937603895023</v>
      </c>
      <c r="BB186" s="5"/>
      <c r="BC186" s="5"/>
      <c r="BD186" s="153">
        <f t="shared" si="278"/>
        <v>0.3452579349277245</v>
      </c>
      <c r="BE186" s="153">
        <f t="shared" si="279"/>
        <v>0.26133686760471275</v>
      </c>
      <c r="BF186" s="153">
        <f t="shared" si="280"/>
        <v>0.26031201714351776</v>
      </c>
      <c r="BG186" s="153"/>
      <c r="BH186" s="463">
        <f t="shared" si="281"/>
        <v>4.1721064570694889E-2</v>
      </c>
      <c r="BI186" s="463">
        <f t="shared" si="282"/>
        <v>1.3980132722431707E-2</v>
      </c>
      <c r="BJ186" s="463">
        <f t="shared" si="283"/>
        <v>1.5893738884074245E-3</v>
      </c>
      <c r="BK186" s="463">
        <f t="shared" si="284"/>
        <v>5.4652998856226358E-3</v>
      </c>
      <c r="BL186">
        <f t="shared" si="285"/>
        <v>2.6099999999999999E-3</v>
      </c>
      <c r="BM186">
        <f t="shared" si="329"/>
        <v>1.2714991107259396E-6</v>
      </c>
      <c r="BN186">
        <f t="shared" si="330"/>
        <v>7.1550246914314247E-2</v>
      </c>
      <c r="BO186" s="147">
        <f t="shared" si="286"/>
        <v>65.365871067156661</v>
      </c>
      <c r="BP186" s="153">
        <f t="shared" si="287"/>
        <v>3.0400000000000007E-2</v>
      </c>
      <c r="BQ186" s="153">
        <f t="shared" si="288"/>
        <v>3.0400000000000007E-2</v>
      </c>
      <c r="BR186" s="463"/>
      <c r="BT186" s="147">
        <f t="shared" si="289"/>
        <v>60.800000000000011</v>
      </c>
      <c r="BU186" s="463">
        <f t="shared" si="290"/>
        <v>0.11920304163055684</v>
      </c>
      <c r="BV186" s="463">
        <f t="shared" si="291"/>
        <v>6.8296958369443161E-2</v>
      </c>
      <c r="BW186" s="463">
        <f t="shared" si="292"/>
        <v>3.3881173134663548E-3</v>
      </c>
      <c r="BX186" s="463">
        <f t="shared" si="293"/>
        <v>0</v>
      </c>
      <c r="BY186" s="463">
        <f t="shared" si="274"/>
        <v>0.21711019185287114</v>
      </c>
      <c r="BZ186" s="463">
        <f t="shared" si="250"/>
        <v>0.19088811731346636</v>
      </c>
      <c r="CA186" s="549">
        <f t="shared" si="331"/>
        <v>3.576091248916706E-2</v>
      </c>
      <c r="CB186" s="147">
        <f t="shared" si="294"/>
        <v>634.64733896897087</v>
      </c>
      <c r="CC186" s="153">
        <f t="shared" si="251"/>
        <v>0.38522135125635248</v>
      </c>
      <c r="CD186" s="5">
        <f t="shared" si="295"/>
        <v>2.7360000000000007</v>
      </c>
      <c r="CE186" s="153">
        <f t="shared" si="296"/>
        <v>0.87657993205086426</v>
      </c>
      <c r="CF186" s="5">
        <f t="shared" si="297"/>
        <v>87.657993205086427</v>
      </c>
      <c r="CG186">
        <f t="shared" si="298"/>
        <v>76.000000000000014</v>
      </c>
      <c r="CI186" s="59">
        <f t="shared" si="332"/>
        <v>-50</v>
      </c>
      <c r="CJ186">
        <f t="shared" si="333"/>
        <v>-50</v>
      </c>
    </row>
    <row r="187" spans="5:88" x14ac:dyDescent="0.25">
      <c r="E187" s="150">
        <v>77</v>
      </c>
      <c r="F187" s="191">
        <f t="shared" si="334"/>
        <v>7.7000000000000013E-2</v>
      </c>
      <c r="G187" s="191">
        <f t="shared" si="299"/>
        <v>7.7000000000000013E-2</v>
      </c>
      <c r="H187" s="191">
        <f t="shared" si="300"/>
        <v>1.5400000000000003</v>
      </c>
      <c r="I187" s="191">
        <f t="shared" si="301"/>
        <v>1.2320000000000002</v>
      </c>
      <c r="J187" s="472">
        <f t="shared" si="302"/>
        <v>9</v>
      </c>
      <c r="K187" s="386">
        <f t="shared" si="303"/>
        <v>15.508426852819754</v>
      </c>
      <c r="L187" s="386">
        <f t="shared" si="304"/>
        <v>29.32</v>
      </c>
      <c r="M187" s="386"/>
      <c r="N187" s="191">
        <f t="shared" si="305"/>
        <v>0.69304229195088674</v>
      </c>
      <c r="O187" s="152">
        <f t="shared" si="306"/>
        <v>1.1695088676671213</v>
      </c>
      <c r="P187" s="152">
        <f t="shared" si="307"/>
        <v>1.6840927694406547</v>
      </c>
      <c r="Q187" s="191">
        <f t="shared" si="308"/>
        <v>5.8475443383356064E-2</v>
      </c>
      <c r="R187" s="191">
        <f t="shared" si="309"/>
        <v>7.3094304229195078E-2</v>
      </c>
      <c r="S187" s="191">
        <f t="shared" si="310"/>
        <v>15.188426852819754</v>
      </c>
      <c r="T187" s="191">
        <f t="shared" si="311"/>
        <v>0.75</v>
      </c>
      <c r="U187" s="191">
        <f t="shared" si="312"/>
        <v>5</v>
      </c>
      <c r="V187" s="191">
        <f t="shared" si="313"/>
        <v>2.9016482733590778</v>
      </c>
      <c r="W187" s="175">
        <f t="shared" si="314"/>
        <v>350</v>
      </c>
      <c r="X187" s="386">
        <f t="shared" si="315"/>
        <v>126.55587358546002</v>
      </c>
      <c r="Z187" s="191">
        <f t="shared" si="316"/>
        <v>0.27119115768312868</v>
      </c>
      <c r="AA187" s="153">
        <f t="shared" si="317"/>
        <v>1.0492018059219996</v>
      </c>
      <c r="AB187" s="153">
        <f t="shared" si="318"/>
        <v>2.7663052315812703E-2</v>
      </c>
      <c r="AC187" s="153"/>
      <c r="AD187" s="153">
        <f t="shared" si="319"/>
        <v>0.58032965467181563</v>
      </c>
      <c r="AE187" s="317">
        <f t="shared" si="320"/>
        <v>1769.10943358092</v>
      </c>
      <c r="AF187" s="463">
        <f t="shared" si="321"/>
        <v>1.523365343513516E-2</v>
      </c>
      <c r="AH187" s="153">
        <f t="shared" si="322"/>
        <v>0.51380930314660522</v>
      </c>
      <c r="AI187" s="153">
        <f t="shared" si="323"/>
        <v>0.75</v>
      </c>
      <c r="AJ187" s="153">
        <f t="shared" si="324"/>
        <v>1.6444444444444444</v>
      </c>
      <c r="AL187" s="317">
        <f t="shared" si="325"/>
        <v>77.000000000000014</v>
      </c>
      <c r="AM187" s="147">
        <f t="shared" si="326"/>
        <v>126.55587358546002</v>
      </c>
      <c r="AO187" t="str">
        <f t="shared" si="327"/>
        <v/>
      </c>
      <c r="AP187" t="str">
        <f t="shared" si="328"/>
        <v/>
      </c>
      <c r="AR187" s="5">
        <f t="shared" si="249"/>
        <v>7.9016482733590792</v>
      </c>
      <c r="AS187" s="5">
        <f t="shared" si="335"/>
        <v>5</v>
      </c>
      <c r="AT187" s="5">
        <f t="shared" si="336"/>
        <v>2.9016482733590792</v>
      </c>
      <c r="AU187" s="153">
        <f t="shared" si="337"/>
        <v>0.63277936792730005</v>
      </c>
      <c r="AW187" s="5">
        <f t="shared" si="275"/>
        <v>1.9250000000000003</v>
      </c>
      <c r="AX187" s="5"/>
      <c r="AY187" s="5">
        <f t="shared" si="276"/>
        <v>2.4062500000000004</v>
      </c>
      <c r="AZ187" s="5"/>
      <c r="BA187" s="5">
        <f t="shared" si="277"/>
        <v>0.55167140012012128</v>
      </c>
      <c r="BB187" s="5"/>
      <c r="BC187" s="5"/>
      <c r="BD187" s="153">
        <f t="shared" si="278"/>
        <v>0.34445047755282437</v>
      </c>
      <c r="BE187" s="153">
        <f t="shared" si="279"/>
        <v>0.26240020677131953</v>
      </c>
      <c r="BF187" s="153">
        <f t="shared" si="280"/>
        <v>0.26137118635260848</v>
      </c>
      <c r="BG187" s="153"/>
      <c r="BH187" s="463">
        <f t="shared" si="281"/>
        <v>4.1526146020229068E-2</v>
      </c>
      <c r="BI187" s="463">
        <f t="shared" si="282"/>
        <v>1.3914818300721332E-2</v>
      </c>
      <c r="BJ187" s="463">
        <f t="shared" si="283"/>
        <v>1.5819484198182502E-3</v>
      </c>
      <c r="BK187" s="463">
        <f t="shared" si="284"/>
        <v>5.439766301028659E-3</v>
      </c>
      <c r="BL187">
        <f t="shared" si="285"/>
        <v>2.6099999999999999E-3</v>
      </c>
      <c r="BM187">
        <f t="shared" si="329"/>
        <v>1.2655587358546003E-6</v>
      </c>
      <c r="BN187">
        <f t="shared" si="330"/>
        <v>7.1225675089440416E-2</v>
      </c>
      <c r="BO187" s="147">
        <f t="shared" si="286"/>
        <v>65.072679041797315</v>
      </c>
      <c r="BP187" s="153">
        <f t="shared" si="287"/>
        <v>3.0800000000000008E-2</v>
      </c>
      <c r="BQ187" s="153">
        <f t="shared" si="288"/>
        <v>3.0800000000000008E-2</v>
      </c>
      <c r="BR187" s="463"/>
      <c r="BT187" s="147">
        <f t="shared" si="289"/>
        <v>61.600000000000016</v>
      </c>
      <c r="BU187" s="463">
        <f t="shared" si="290"/>
        <v>0.11864613148636877</v>
      </c>
      <c r="BV187" s="463">
        <f t="shared" si="291"/>
        <v>6.8853868513631247E-2</v>
      </c>
      <c r="BW187" s="463">
        <f t="shared" si="292"/>
        <v>3.4157448527684996E-3</v>
      </c>
      <c r="BX187" s="463">
        <f t="shared" si="293"/>
        <v>0</v>
      </c>
      <c r="BY187" s="463">
        <f t="shared" si="274"/>
        <v>0.21714210192533848</v>
      </c>
      <c r="BZ187" s="463">
        <f t="shared" si="250"/>
        <v>0.19091574485276849</v>
      </c>
      <c r="CA187" s="549">
        <f t="shared" si="331"/>
        <v>3.5593839445910637E-2</v>
      </c>
      <c r="CB187" s="147">
        <f t="shared" si="294"/>
        <v>634.56743107678619</v>
      </c>
      <c r="CC187" s="153">
        <f t="shared" si="251"/>
        <v>0.38556161646068954</v>
      </c>
      <c r="CD187" s="5">
        <f t="shared" si="295"/>
        <v>2.7720000000000002</v>
      </c>
      <c r="CE187" s="153">
        <f t="shared" si="296"/>
        <v>0.87789260724138596</v>
      </c>
      <c r="CF187" s="5">
        <f t="shared" si="297"/>
        <v>87.7892607241386</v>
      </c>
      <c r="CG187">
        <f t="shared" si="298"/>
        <v>77.000000000000014</v>
      </c>
      <c r="CI187" s="59">
        <f t="shared" si="332"/>
        <v>-50</v>
      </c>
      <c r="CJ187">
        <f t="shared" si="333"/>
        <v>-50</v>
      </c>
    </row>
    <row r="188" spans="5:88" x14ac:dyDescent="0.25">
      <c r="E188" s="150">
        <v>78</v>
      </c>
      <c r="F188" s="191">
        <f t="shared" si="334"/>
        <v>7.8000000000000014E-2</v>
      </c>
      <c r="G188" s="191">
        <f t="shared" si="299"/>
        <v>7.8000000000000014E-2</v>
      </c>
      <c r="H188" s="191">
        <f t="shared" si="300"/>
        <v>1.5600000000000003</v>
      </c>
      <c r="I188" s="191">
        <f t="shared" si="301"/>
        <v>1.2480000000000002</v>
      </c>
      <c r="J188" s="472">
        <f t="shared" si="302"/>
        <v>9</v>
      </c>
      <c r="K188" s="386">
        <f t="shared" si="303"/>
        <v>15.313703431629758</v>
      </c>
      <c r="L188" s="386">
        <f t="shared" si="304"/>
        <v>29.32</v>
      </c>
      <c r="M188" s="386"/>
      <c r="N188" s="191">
        <f t="shared" si="305"/>
        <v>0.69304229195088674</v>
      </c>
      <c r="O188" s="152">
        <f t="shared" si="306"/>
        <v>1.1695088676671213</v>
      </c>
      <c r="P188" s="152">
        <f t="shared" si="307"/>
        <v>1.6840927694406547</v>
      </c>
      <c r="Q188" s="191">
        <f t="shared" si="308"/>
        <v>5.8475443383356064E-2</v>
      </c>
      <c r="R188" s="191">
        <f t="shared" si="309"/>
        <v>7.3094304229195078E-2</v>
      </c>
      <c r="S188" s="191">
        <f t="shared" si="310"/>
        <v>14.993703431629758</v>
      </c>
      <c r="T188" s="191">
        <f t="shared" si="311"/>
        <v>0.75</v>
      </c>
      <c r="U188" s="191">
        <f t="shared" si="312"/>
        <v>5</v>
      </c>
      <c r="V188" s="191">
        <f t="shared" si="313"/>
        <v>2.9385445657158642</v>
      </c>
      <c r="W188" s="175">
        <f t="shared" si="314"/>
        <v>350</v>
      </c>
      <c r="X188" s="386">
        <f t="shared" si="315"/>
        <v>125.96767476984294</v>
      </c>
      <c r="Z188" s="191">
        <f t="shared" si="316"/>
        <v>0.26993073164966347</v>
      </c>
      <c r="AA188" s="153">
        <f t="shared" si="317"/>
        <v>1.0576046461451012</v>
      </c>
      <c r="AB188" s="153">
        <f t="shared" si="318"/>
        <v>2.7754999604308529E-2</v>
      </c>
      <c r="AC188" s="153"/>
      <c r="AD188" s="153">
        <f t="shared" si="319"/>
        <v>0.58770891314317275</v>
      </c>
      <c r="AE188" s="317">
        <f t="shared" si="320"/>
        <v>1769.5835076549947</v>
      </c>
      <c r="AF188" s="463">
        <f t="shared" si="321"/>
        <v>1.5427358970008282E-2</v>
      </c>
      <c r="AH188" s="153">
        <f t="shared" si="322"/>
        <v>0.51713496442280082</v>
      </c>
      <c r="AI188" s="153">
        <f t="shared" si="323"/>
        <v>0.75</v>
      </c>
      <c r="AJ188" s="153">
        <f t="shared" si="324"/>
        <v>1.6444444444444444</v>
      </c>
      <c r="AL188" s="317">
        <f t="shared" si="325"/>
        <v>78.000000000000014</v>
      </c>
      <c r="AM188" s="147">
        <f t="shared" si="326"/>
        <v>125.96767476984294</v>
      </c>
      <c r="AO188" t="str">
        <f t="shared" si="327"/>
        <v/>
      </c>
      <c r="AP188" t="str">
        <f t="shared" si="328"/>
        <v/>
      </c>
      <c r="AR188" s="5">
        <f t="shared" si="249"/>
        <v>7.9385445657158638</v>
      </c>
      <c r="AS188" s="5">
        <f t="shared" si="335"/>
        <v>5</v>
      </c>
      <c r="AT188" s="5">
        <f t="shared" si="336"/>
        <v>2.9385445657158638</v>
      </c>
      <c r="AU188" s="153">
        <f t="shared" si="337"/>
        <v>0.62983837384921471</v>
      </c>
      <c r="AW188" s="5">
        <f t="shared" si="275"/>
        <v>1.9500000000000004</v>
      </c>
      <c r="AX188" s="5"/>
      <c r="AY188" s="5">
        <f t="shared" si="276"/>
        <v>2.4375000000000004</v>
      </c>
      <c r="AZ188" s="5"/>
      <c r="BA188" s="5">
        <f t="shared" si="277"/>
        <v>0.56594191636009239</v>
      </c>
      <c r="BB188" s="5"/>
      <c r="BC188" s="5"/>
      <c r="BD188" s="153">
        <f t="shared" si="278"/>
        <v>0.34364908714665277</v>
      </c>
      <c r="BE188" s="153">
        <f t="shared" si="279"/>
        <v>0.26344886582270999</v>
      </c>
      <c r="BF188" s="153">
        <f t="shared" si="280"/>
        <v>0.26241573301556209</v>
      </c>
      <c r="BG188" s="153"/>
      <c r="BH188" s="463">
        <f t="shared" si="281"/>
        <v>4.1333143283854713E-2</v>
      </c>
      <c r="BI188" s="463">
        <f t="shared" si="282"/>
        <v>1.3850145840944234E-2</v>
      </c>
      <c r="BJ188" s="463">
        <f t="shared" si="283"/>
        <v>1.5745959346230368E-3</v>
      </c>
      <c r="BK188" s="463">
        <f t="shared" si="284"/>
        <v>5.4144836807531321E-3</v>
      </c>
      <c r="BL188">
        <f t="shared" si="285"/>
        <v>2.6099999999999999E-3</v>
      </c>
      <c r="BM188">
        <f t="shared" si="329"/>
        <v>1.2596767476984295E-6</v>
      </c>
      <c r="BN188">
        <f t="shared" si="330"/>
        <v>7.0904316592378586E-2</v>
      </c>
      <c r="BO188" s="147">
        <f t="shared" si="286"/>
        <v>64.782368740175102</v>
      </c>
      <c r="BP188" s="153">
        <f t="shared" si="287"/>
        <v>3.1200000000000006E-2</v>
      </c>
      <c r="BQ188" s="153">
        <f t="shared" si="288"/>
        <v>3.1200000000000006E-2</v>
      </c>
      <c r="BR188" s="463"/>
      <c r="BT188" s="147">
        <f t="shared" si="289"/>
        <v>62.400000000000013</v>
      </c>
      <c r="BU188" s="463">
        <f t="shared" si="290"/>
        <v>0.11809469509672775</v>
      </c>
      <c r="BV188" s="463">
        <f t="shared" si="291"/>
        <v>6.940530490327225E-2</v>
      </c>
      <c r="BW188" s="463">
        <f t="shared" si="292"/>
        <v>3.4431008467047382E-3</v>
      </c>
      <c r="BX188" s="463">
        <f t="shared" si="293"/>
        <v>0</v>
      </c>
      <c r="BY188" s="463">
        <f t="shared" si="274"/>
        <v>0.21717369850144641</v>
      </c>
      <c r="BZ188" s="463">
        <f t="shared" si="250"/>
        <v>0.19094310084670474</v>
      </c>
      <c r="CA188" s="549">
        <f t="shared" si="331"/>
        <v>3.5428408529018331E-2</v>
      </c>
      <c r="CB188" s="147">
        <f t="shared" si="294"/>
        <v>634.48830872387418</v>
      </c>
      <c r="CC188" s="153">
        <f t="shared" si="251"/>
        <v>0.38590642362284339</v>
      </c>
      <c r="CD188" s="5">
        <f t="shared" si="295"/>
        <v>2.8080000000000007</v>
      </c>
      <c r="CE188" s="153">
        <f t="shared" si="296"/>
        <v>0.87917416090571932</v>
      </c>
      <c r="CF188" s="5">
        <f t="shared" si="297"/>
        <v>87.917416090571933</v>
      </c>
      <c r="CG188">
        <f t="shared" si="298"/>
        <v>78.000000000000014</v>
      </c>
      <c r="CI188" s="59">
        <f t="shared" si="332"/>
        <v>-50</v>
      </c>
      <c r="CJ188">
        <f t="shared" si="333"/>
        <v>-50</v>
      </c>
    </row>
    <row r="189" spans="5:88" x14ac:dyDescent="0.25">
      <c r="E189" s="150">
        <v>79</v>
      </c>
      <c r="F189" s="191">
        <f t="shared" si="334"/>
        <v>7.9000000000000015E-2</v>
      </c>
      <c r="G189" s="191">
        <f t="shared" si="299"/>
        <v>7.9000000000000015E-2</v>
      </c>
      <c r="H189" s="191">
        <f t="shared" si="300"/>
        <v>1.5800000000000003</v>
      </c>
      <c r="I189" s="191">
        <f t="shared" si="301"/>
        <v>1.2640000000000002</v>
      </c>
      <c r="J189" s="472">
        <f t="shared" si="302"/>
        <v>9</v>
      </c>
      <c r="K189" s="386">
        <f t="shared" si="303"/>
        <v>15.123909717305329</v>
      </c>
      <c r="L189" s="386">
        <f t="shared" si="304"/>
        <v>29.32</v>
      </c>
      <c r="M189" s="386"/>
      <c r="N189" s="191">
        <f t="shared" si="305"/>
        <v>0.69304229195088674</v>
      </c>
      <c r="O189" s="152">
        <f t="shared" si="306"/>
        <v>1.1695088676671213</v>
      </c>
      <c r="P189" s="152">
        <f t="shared" si="307"/>
        <v>1.6840927694406547</v>
      </c>
      <c r="Q189" s="191">
        <f t="shared" si="308"/>
        <v>5.8475443383356064E-2</v>
      </c>
      <c r="R189" s="191">
        <f t="shared" si="309"/>
        <v>7.3094304229195078E-2</v>
      </c>
      <c r="S189" s="191">
        <f t="shared" si="310"/>
        <v>14.803909717305329</v>
      </c>
      <c r="T189" s="191">
        <f t="shared" si="311"/>
        <v>0.75</v>
      </c>
      <c r="U189" s="191">
        <f t="shared" si="312"/>
        <v>5</v>
      </c>
      <c r="V189" s="191">
        <f t="shared" si="313"/>
        <v>2.9754210942233645</v>
      </c>
      <c r="W189" s="175">
        <f t="shared" si="314"/>
        <v>350</v>
      </c>
      <c r="X189" s="386">
        <f t="shared" si="315"/>
        <v>125.38522896606736</v>
      </c>
      <c r="Z189" s="191">
        <f t="shared" si="316"/>
        <v>0.26868263349871574</v>
      </c>
      <c r="AA189" s="153">
        <f t="shared" si="317"/>
        <v>1.0659253004847522</v>
      </c>
      <c r="AB189" s="153">
        <f t="shared" si="318"/>
        <v>2.7844018304584332E-2</v>
      </c>
      <c r="AC189" s="153"/>
      <c r="AD189" s="153">
        <f t="shared" si="319"/>
        <v>0.595084218844673</v>
      </c>
      <c r="AE189" s="317">
        <f t="shared" si="320"/>
        <v>1770.0575817290685</v>
      </c>
      <c r="AF189" s="463">
        <f t="shared" si="321"/>
        <v>1.5620960744672664E-2</v>
      </c>
      <c r="AH189" s="153">
        <f t="shared" si="322"/>
        <v>0.52043937481434177</v>
      </c>
      <c r="AI189" s="153">
        <f t="shared" si="323"/>
        <v>0.75</v>
      </c>
      <c r="AJ189" s="153">
        <f t="shared" si="324"/>
        <v>1.6444444444444444</v>
      </c>
      <c r="AL189" s="317">
        <f t="shared" si="325"/>
        <v>79.000000000000014</v>
      </c>
      <c r="AM189" s="147">
        <f t="shared" si="326"/>
        <v>125.38522896606736</v>
      </c>
      <c r="AO189" t="str">
        <f t="shared" si="327"/>
        <v/>
      </c>
      <c r="AP189" t="str">
        <f t="shared" si="328"/>
        <v/>
      </c>
      <c r="AR189" s="5">
        <f t="shared" si="249"/>
        <v>7.9754210942233632</v>
      </c>
      <c r="AS189" s="5">
        <f t="shared" si="335"/>
        <v>5</v>
      </c>
      <c r="AT189" s="5">
        <f t="shared" si="336"/>
        <v>2.9754210942233632</v>
      </c>
      <c r="AU189" s="153">
        <f t="shared" si="337"/>
        <v>0.62692614483033693</v>
      </c>
      <c r="AW189" s="5">
        <f t="shared" si="275"/>
        <v>1.9750000000000001</v>
      </c>
      <c r="AX189" s="5"/>
      <c r="AY189" s="5">
        <f t="shared" si="276"/>
        <v>2.4687500000000004</v>
      </c>
      <c r="AZ189" s="5"/>
      <c r="BA189" s="5">
        <f t="shared" si="277"/>
        <v>0.58039078134233513</v>
      </c>
      <c r="BB189" s="5"/>
      <c r="BC189" s="5"/>
      <c r="BD189" s="153">
        <f t="shared" si="278"/>
        <v>0.3428536891382214</v>
      </c>
      <c r="BE189" s="153">
        <f t="shared" si="279"/>
        <v>0.26448317119301146</v>
      </c>
      <c r="BF189" s="153">
        <f t="shared" si="280"/>
        <v>0.26344598228637223</v>
      </c>
      <c r="BG189" s="153"/>
      <c r="BH189" s="463">
        <f t="shared" si="281"/>
        <v>4.1142028254490849E-2</v>
      </c>
      <c r="BI189" s="463">
        <f t="shared" si="282"/>
        <v>1.3786105924819107E-2</v>
      </c>
      <c r="BJ189" s="463">
        <f t="shared" si="283"/>
        <v>1.5673153620758419E-3</v>
      </c>
      <c r="BK189" s="463">
        <f t="shared" si="284"/>
        <v>5.3894483428759505E-3</v>
      </c>
      <c r="BL189">
        <f t="shared" si="285"/>
        <v>2.6099999999999999E-3</v>
      </c>
      <c r="BM189">
        <f t="shared" si="329"/>
        <v>1.2538522896606736E-6</v>
      </c>
      <c r="BN189">
        <f t="shared" si="330"/>
        <v>7.0586123939269552E-2</v>
      </c>
      <c r="BO189" s="147">
        <f t="shared" si="286"/>
        <v>64.494897884261746</v>
      </c>
      <c r="BP189" s="153">
        <f t="shared" si="287"/>
        <v>3.160000000000001E-2</v>
      </c>
      <c r="BQ189" s="153">
        <f t="shared" si="288"/>
        <v>3.160000000000001E-2</v>
      </c>
      <c r="BR189" s="463"/>
      <c r="BT189" s="147">
        <f t="shared" si="289"/>
        <v>63.200000000000017</v>
      </c>
      <c r="BU189" s="463">
        <f t="shared" si="290"/>
        <v>0.11754865215568815</v>
      </c>
      <c r="BV189" s="463">
        <f t="shared" si="291"/>
        <v>6.9951347844311812E-2</v>
      </c>
      <c r="BW189" s="463">
        <f t="shared" si="292"/>
        <v>3.4701892791415773E-3</v>
      </c>
      <c r="BX189" s="463">
        <f t="shared" si="293"/>
        <v>0</v>
      </c>
      <c r="BY189" s="463">
        <f t="shared" si="274"/>
        <v>0.21720498617846856</v>
      </c>
      <c r="BZ189" s="463">
        <f t="shared" si="250"/>
        <v>0.19097018927914153</v>
      </c>
      <c r="CA189" s="549">
        <f t="shared" si="331"/>
        <v>3.5264595646706448E-2</v>
      </c>
      <c r="CB189" s="147">
        <f t="shared" si="294"/>
        <v>634.40996038345804</v>
      </c>
      <c r="CC189" s="153">
        <f t="shared" si="251"/>
        <v>0.38625570576444457</v>
      </c>
      <c r="CD189" s="5">
        <f t="shared" si="295"/>
        <v>2.8440000000000003</v>
      </c>
      <c r="CE189" s="153">
        <f t="shared" si="296"/>
        <v>0.88042565637291048</v>
      </c>
      <c r="CF189" s="5">
        <f t="shared" si="297"/>
        <v>88.042565637291048</v>
      </c>
      <c r="CG189">
        <f t="shared" si="298"/>
        <v>79.000000000000014</v>
      </c>
      <c r="CI189" s="59">
        <f t="shared" si="332"/>
        <v>-50</v>
      </c>
      <c r="CJ189">
        <f t="shared" si="333"/>
        <v>-50</v>
      </c>
    </row>
    <row r="190" spans="5:88" x14ac:dyDescent="0.25">
      <c r="E190" s="150">
        <v>80</v>
      </c>
      <c r="F190" s="191">
        <f t="shared" si="334"/>
        <v>8.0000000000000016E-2</v>
      </c>
      <c r="G190" s="191">
        <f t="shared" si="299"/>
        <v>8.0000000000000016E-2</v>
      </c>
      <c r="H190" s="191">
        <f t="shared" si="300"/>
        <v>1.6000000000000003</v>
      </c>
      <c r="I190" s="191">
        <f t="shared" si="301"/>
        <v>1.2800000000000002</v>
      </c>
      <c r="J190" s="472">
        <f t="shared" si="302"/>
        <v>9</v>
      </c>
      <c r="K190" s="386">
        <f t="shared" si="303"/>
        <v>14.938860845839013</v>
      </c>
      <c r="L190" s="386">
        <f t="shared" si="304"/>
        <v>29.32</v>
      </c>
      <c r="M190" s="386"/>
      <c r="N190" s="191">
        <f t="shared" si="305"/>
        <v>0.69304229195088674</v>
      </c>
      <c r="O190" s="152">
        <f t="shared" si="306"/>
        <v>1.1695088676671213</v>
      </c>
      <c r="P190" s="152">
        <f t="shared" si="307"/>
        <v>1.6840927694406547</v>
      </c>
      <c r="Q190" s="191">
        <f t="shared" si="308"/>
        <v>5.8475443383356064E-2</v>
      </c>
      <c r="R190" s="191">
        <f t="shared" si="309"/>
        <v>7.3094304229195078E-2</v>
      </c>
      <c r="S190" s="191">
        <f t="shared" si="310"/>
        <v>14.618860845839013</v>
      </c>
      <c r="T190" s="191">
        <f t="shared" si="311"/>
        <v>0.75</v>
      </c>
      <c r="U190" s="191">
        <f t="shared" si="312"/>
        <v>5</v>
      </c>
      <c r="V190" s="191">
        <f t="shared" si="313"/>
        <v>3.012277874757368</v>
      </c>
      <c r="W190" s="175">
        <f t="shared" si="314"/>
        <v>350</v>
      </c>
      <c r="X190" s="386">
        <f t="shared" si="315"/>
        <v>124.80845218193116</v>
      </c>
      <c r="Z190" s="191">
        <f t="shared" si="316"/>
        <v>0.26744668324699539</v>
      </c>
      <c r="AA190" s="153">
        <f t="shared" si="317"/>
        <v>1.0741649688295549</v>
      </c>
      <c r="AB190" s="153">
        <f t="shared" si="318"/>
        <v>2.79301806557644E-2</v>
      </c>
      <c r="AC190" s="153"/>
      <c r="AD190" s="153">
        <f t="shared" si="319"/>
        <v>0.60245557495147362</v>
      </c>
      <c r="AE190" s="317">
        <f t="shared" si="320"/>
        <v>1770.5316558031425</v>
      </c>
      <c r="AF190" s="463">
        <f t="shared" si="321"/>
        <v>1.5814458842476183E-2</v>
      </c>
      <c r="AH190" s="153">
        <f t="shared" si="322"/>
        <v>0.5237229365663818</v>
      </c>
      <c r="AI190" s="153">
        <f t="shared" si="323"/>
        <v>0.75</v>
      </c>
      <c r="AJ190" s="153">
        <f t="shared" si="324"/>
        <v>1.6444444444444444</v>
      </c>
      <c r="AL190" s="317">
        <f t="shared" si="325"/>
        <v>80.000000000000014</v>
      </c>
      <c r="AM190" s="147">
        <f t="shared" si="326"/>
        <v>124.80845218193116</v>
      </c>
      <c r="AO190" t="str">
        <f t="shared" si="327"/>
        <v/>
      </c>
      <c r="AP190" t="str">
        <f t="shared" si="328"/>
        <v/>
      </c>
      <c r="AR190" s="5">
        <f t="shared" si="249"/>
        <v>8.0122778747573697</v>
      </c>
      <c r="AS190" s="5">
        <f t="shared" si="335"/>
        <v>5</v>
      </c>
      <c r="AT190" s="5">
        <f t="shared" si="336"/>
        <v>3.0122778747573697</v>
      </c>
      <c r="AU190" s="153">
        <f t="shared" si="337"/>
        <v>0.62404226090965564</v>
      </c>
      <c r="AW190" s="5">
        <f t="shared" si="275"/>
        <v>2.0000000000000004</v>
      </c>
      <c r="AX190" s="5"/>
      <c r="AY190" s="5">
        <f t="shared" si="276"/>
        <v>2.5000000000000004</v>
      </c>
      <c r="AZ190" s="5"/>
      <c r="BA190" s="5">
        <f t="shared" si="277"/>
        <v>0.59501785180392497</v>
      </c>
      <c r="BB190" s="5"/>
      <c r="BC190" s="5"/>
      <c r="BD190" s="153">
        <f t="shared" si="278"/>
        <v>0.34206421023041922</v>
      </c>
      <c r="BE190" s="153">
        <f t="shared" si="279"/>
        <v>0.26550343892205908</v>
      </c>
      <c r="BF190" s="153">
        <f t="shared" si="280"/>
        <v>0.26446224896550202</v>
      </c>
      <c r="BG190" s="153"/>
      <c r="BH190" s="463">
        <f t="shared" si="281"/>
        <v>4.0952773372196147E-2</v>
      </c>
      <c r="BI190" s="463">
        <f t="shared" si="282"/>
        <v>1.3722689317403334E-2</v>
      </c>
      <c r="BJ190" s="463">
        <f t="shared" si="283"/>
        <v>1.5601056522741392E-3</v>
      </c>
      <c r="BK190" s="463">
        <f t="shared" si="284"/>
        <v>5.3646566771502098E-3</v>
      </c>
      <c r="BL190">
        <f t="shared" si="285"/>
        <v>2.6099999999999999E-3</v>
      </c>
      <c r="BM190">
        <f t="shared" si="329"/>
        <v>1.2480845218193117E-6</v>
      </c>
      <c r="BN190">
        <f t="shared" si="330"/>
        <v>7.0271050577237065E-2</v>
      </c>
      <c r="BO190" s="147">
        <f t="shared" si="286"/>
        <v>64.210225019023838</v>
      </c>
      <c r="BP190" s="153">
        <f t="shared" si="287"/>
        <v>3.2000000000000008E-2</v>
      </c>
      <c r="BQ190" s="153">
        <f t="shared" si="288"/>
        <v>3.2000000000000008E-2</v>
      </c>
      <c r="BR190" s="463"/>
      <c r="BT190" s="147">
        <f t="shared" si="289"/>
        <v>64.000000000000014</v>
      </c>
      <c r="BU190" s="463">
        <f t="shared" si="290"/>
        <v>0.11700792392056043</v>
      </c>
      <c r="BV190" s="463">
        <f t="shared" si="291"/>
        <v>7.0492076079439553E-2</v>
      </c>
      <c r="BW190" s="463">
        <f t="shared" si="292"/>
        <v>3.4970140563945588E-3</v>
      </c>
      <c r="BX190" s="463">
        <f t="shared" si="293"/>
        <v>0</v>
      </c>
      <c r="BY190" s="463">
        <f t="shared" si="274"/>
        <v>0.21723596946422699</v>
      </c>
      <c r="BZ190" s="463">
        <f t="shared" si="250"/>
        <v>0.19099701405639455</v>
      </c>
      <c r="CA190" s="549">
        <f t="shared" si="331"/>
        <v>3.5102377176168147E-2</v>
      </c>
      <c r="CB190" s="147">
        <f t="shared" si="294"/>
        <v>634.33237475318424</v>
      </c>
      <c r="CC190" s="153">
        <f t="shared" si="251"/>
        <v>0.38660939721763221</v>
      </c>
      <c r="CD190" s="5">
        <f t="shared" si="295"/>
        <v>2.8536016371077757</v>
      </c>
      <c r="CE190" s="153">
        <f t="shared" si="296"/>
        <v>0.88068388351188931</v>
      </c>
      <c r="CF190" s="5">
        <f t="shared" si="297"/>
        <v>88.068388351188929</v>
      </c>
      <c r="CG190">
        <f t="shared" si="298"/>
        <v>80.000000000000014</v>
      </c>
      <c r="CI190" s="59">
        <f t="shared" si="332"/>
        <v>-50</v>
      </c>
      <c r="CJ190">
        <f t="shared" si="333"/>
        <v>-50</v>
      </c>
    </row>
    <row r="191" spans="5:88" x14ac:dyDescent="0.25">
      <c r="E191" s="150">
        <v>81</v>
      </c>
      <c r="F191" s="191">
        <f t="shared" si="334"/>
        <v>8.1000000000000016E-2</v>
      </c>
      <c r="G191" s="191">
        <f t="shared" si="299"/>
        <v>8.1000000000000016E-2</v>
      </c>
      <c r="H191" s="191">
        <f t="shared" si="300"/>
        <v>1.6200000000000003</v>
      </c>
      <c r="I191" s="191">
        <f t="shared" si="301"/>
        <v>1.2960000000000003</v>
      </c>
      <c r="J191" s="472">
        <f t="shared" si="302"/>
        <v>9</v>
      </c>
      <c r="K191" s="386">
        <f t="shared" si="303"/>
        <v>14.758381082310136</v>
      </c>
      <c r="L191" s="386">
        <f t="shared" si="304"/>
        <v>29.32</v>
      </c>
      <c r="M191" s="386"/>
      <c r="N191" s="191">
        <f t="shared" si="305"/>
        <v>0.69304229195088674</v>
      </c>
      <c r="O191" s="152">
        <f t="shared" si="306"/>
        <v>1.1695088676671213</v>
      </c>
      <c r="P191" s="152">
        <f t="shared" si="307"/>
        <v>1.6840927694406547</v>
      </c>
      <c r="Q191" s="191">
        <f t="shared" si="308"/>
        <v>5.8475443383356064E-2</v>
      </c>
      <c r="R191" s="191">
        <f t="shared" si="309"/>
        <v>7.3094304229195078E-2</v>
      </c>
      <c r="S191" s="191">
        <f t="shared" si="310"/>
        <v>14.438381082310135</v>
      </c>
      <c r="T191" s="191">
        <f t="shared" si="311"/>
        <v>0.75</v>
      </c>
      <c r="U191" s="191">
        <f t="shared" si="312"/>
        <v>5</v>
      </c>
      <c r="V191" s="191">
        <f t="shared" si="313"/>
        <v>3.0491149231766643</v>
      </c>
      <c r="W191" s="175">
        <f t="shared" si="314"/>
        <v>350</v>
      </c>
      <c r="X191" s="386">
        <f t="shared" si="315"/>
        <v>124.23726205232762</v>
      </c>
      <c r="Z191" s="191">
        <f t="shared" si="316"/>
        <v>0.2662227043978449</v>
      </c>
      <c r="AA191" s="153">
        <f t="shared" si="317"/>
        <v>1.0823248278238913</v>
      </c>
      <c r="AB191" s="153">
        <f t="shared" si="318"/>
        <v>2.801355692918691E-2</v>
      </c>
      <c r="AC191" s="153"/>
      <c r="AD191" s="153">
        <f t="shared" si="319"/>
        <v>0.6098229846353328</v>
      </c>
      <c r="AE191" s="317">
        <f t="shared" si="320"/>
        <v>1771.0057298772169</v>
      </c>
      <c r="AF191" s="463">
        <f t="shared" si="321"/>
        <v>1.6007853346677484E-2</v>
      </c>
      <c r="AH191" s="153">
        <f t="shared" si="322"/>
        <v>0.52698603939220789</v>
      </c>
      <c r="AI191" s="153">
        <f t="shared" si="323"/>
        <v>0.75</v>
      </c>
      <c r="AJ191" s="153">
        <f t="shared" si="324"/>
        <v>1.6444444444444444</v>
      </c>
      <c r="AL191" s="317">
        <f t="shared" si="325"/>
        <v>81.000000000000014</v>
      </c>
      <c r="AM191" s="147">
        <f t="shared" si="326"/>
        <v>124.23726205232762</v>
      </c>
      <c r="AO191" t="str">
        <f t="shared" si="327"/>
        <v/>
      </c>
      <c r="AP191" t="str">
        <f t="shared" si="328"/>
        <v/>
      </c>
      <c r="AR191" s="5">
        <f t="shared" si="249"/>
        <v>8.0491149231766634</v>
      </c>
      <c r="AS191" s="5">
        <f t="shared" si="335"/>
        <v>5</v>
      </c>
      <c r="AT191" s="5">
        <f t="shared" si="336"/>
        <v>3.0491149231766634</v>
      </c>
      <c r="AU191" s="153">
        <f t="shared" si="337"/>
        <v>0.62118631026163806</v>
      </c>
      <c r="AW191" s="5">
        <f t="shared" si="275"/>
        <v>2.0250000000000004</v>
      </c>
      <c r="AX191" s="5"/>
      <c r="AY191" s="5">
        <f t="shared" si="276"/>
        <v>2.5312500000000004</v>
      </c>
      <c r="AZ191" s="5"/>
      <c r="BA191" s="5">
        <f t="shared" si="277"/>
        <v>0.6098229846353328</v>
      </c>
      <c r="BB191" s="5"/>
      <c r="BC191" s="5"/>
      <c r="BD191" s="153">
        <f t="shared" si="278"/>
        <v>0.34128057837219089</v>
      </c>
      <c r="BE191" s="153">
        <f t="shared" si="279"/>
        <v>0.26650997509651086</v>
      </c>
      <c r="BF191" s="153">
        <f t="shared" si="280"/>
        <v>0.26546483793926967</v>
      </c>
      <c r="BG191" s="153"/>
      <c r="BH191" s="463">
        <f t="shared" si="281"/>
        <v>4.0765351610919993E-2</v>
      </c>
      <c r="BI191" s="463">
        <f t="shared" si="282"/>
        <v>1.3659886962653422E-2</v>
      </c>
      <c r="BJ191" s="463">
        <f t="shared" si="283"/>
        <v>1.5529657756540951E-3</v>
      </c>
      <c r="BK191" s="463">
        <f t="shared" si="284"/>
        <v>5.3401051432666454E-3</v>
      </c>
      <c r="BL191">
        <f t="shared" si="285"/>
        <v>2.6099999999999999E-3</v>
      </c>
      <c r="BM191">
        <f t="shared" si="329"/>
        <v>1.2423726205232762E-6</v>
      </c>
      <c r="BN191">
        <f t="shared" si="330"/>
        <v>6.9959050861682914E-2</v>
      </c>
      <c r="BO191" s="147">
        <f t="shared" si="286"/>
        <v>63.928309492494144</v>
      </c>
      <c r="BP191" s="153">
        <f t="shared" si="287"/>
        <v>3.2400000000000005E-2</v>
      </c>
      <c r="BQ191" s="153">
        <f t="shared" si="288"/>
        <v>3.2400000000000005E-2</v>
      </c>
      <c r="BR191" s="463"/>
      <c r="BT191" s="147">
        <f t="shared" si="289"/>
        <v>64.800000000000011</v>
      </c>
      <c r="BU191" s="463">
        <f t="shared" si="290"/>
        <v>0.11647243317405713</v>
      </c>
      <c r="BV191" s="463">
        <f t="shared" si="291"/>
        <v>7.1027566825942842E-2</v>
      </c>
      <c r="BW191" s="463">
        <f t="shared" si="292"/>
        <v>3.5235790091061358E-3</v>
      </c>
      <c r="BX191" s="463">
        <f t="shared" si="293"/>
        <v>0</v>
      </c>
      <c r="BY191" s="463">
        <f t="shared" si="274"/>
        <v>0.21726665277925664</v>
      </c>
      <c r="BZ191" s="463">
        <f t="shared" si="250"/>
        <v>0.1910235790091061</v>
      </c>
      <c r="CA191" s="549">
        <f t="shared" si="331"/>
        <v>3.494172995221715E-2</v>
      </c>
      <c r="CB191" s="147">
        <f t="shared" si="294"/>
        <v>634.25554074968602</v>
      </c>
      <c r="CC191" s="153">
        <f t="shared" si="251"/>
        <v>0.38696743359315672</v>
      </c>
      <c r="CD191" s="5">
        <f t="shared" si="295"/>
        <v>2.8536016371077757</v>
      </c>
      <c r="CE191" s="153">
        <f t="shared" si="296"/>
        <v>0.88058658058183092</v>
      </c>
      <c r="CF191" s="5">
        <f t="shared" si="297"/>
        <v>88.058658058183099</v>
      </c>
      <c r="CG191">
        <f t="shared" si="298"/>
        <v>81.000000000000014</v>
      </c>
      <c r="CI191" s="59">
        <f t="shared" si="332"/>
        <v>-50</v>
      </c>
      <c r="CJ191">
        <f t="shared" si="333"/>
        <v>-50</v>
      </c>
    </row>
    <row r="192" spans="5:88" x14ac:dyDescent="0.25">
      <c r="E192" s="150">
        <v>82</v>
      </c>
      <c r="F192" s="191">
        <f t="shared" si="334"/>
        <v>8.2000000000000003E-2</v>
      </c>
      <c r="G192" s="191">
        <f t="shared" si="299"/>
        <v>8.2000000000000003E-2</v>
      </c>
      <c r="H192" s="191">
        <f t="shared" si="300"/>
        <v>1.6400000000000001</v>
      </c>
      <c r="I192" s="191">
        <f t="shared" si="301"/>
        <v>1.3120000000000001</v>
      </c>
      <c r="J192" s="472">
        <f t="shared" si="302"/>
        <v>9</v>
      </c>
      <c r="K192" s="386">
        <f t="shared" si="303"/>
        <v>14.582303264233186</v>
      </c>
      <c r="L192" s="386">
        <f t="shared" si="304"/>
        <v>29.32</v>
      </c>
      <c r="M192" s="386"/>
      <c r="N192" s="191">
        <f t="shared" si="305"/>
        <v>0.69304229195088674</v>
      </c>
      <c r="O192" s="152">
        <f t="shared" si="306"/>
        <v>1.1695088676671213</v>
      </c>
      <c r="P192" s="152">
        <f t="shared" si="307"/>
        <v>1.6840927694406547</v>
      </c>
      <c r="Q192" s="191">
        <f t="shared" si="308"/>
        <v>5.8475443383356064E-2</v>
      </c>
      <c r="R192" s="191">
        <f t="shared" si="309"/>
        <v>7.3094304229195078E-2</v>
      </c>
      <c r="S192" s="191">
        <f t="shared" si="310"/>
        <v>14.262303264233186</v>
      </c>
      <c r="T192" s="191">
        <f t="shared" si="311"/>
        <v>0.75</v>
      </c>
      <c r="U192" s="191">
        <f t="shared" si="312"/>
        <v>5</v>
      </c>
      <c r="V192" s="191">
        <f t="shared" si="313"/>
        <v>3.0859322553230646</v>
      </c>
      <c r="W192" s="175">
        <f t="shared" si="314"/>
        <v>350</v>
      </c>
      <c r="X192" s="386">
        <f t="shared" si="315"/>
        <v>123.67157780003512</v>
      </c>
      <c r="Z192" s="191">
        <f t="shared" si="316"/>
        <v>0.26501052385721818</v>
      </c>
      <c r="AA192" s="153">
        <f t="shared" si="317"/>
        <v>1.0904060314280695</v>
      </c>
      <c r="AB192" s="153">
        <f t="shared" si="318"/>
        <v>2.809421548945502E-2</v>
      </c>
      <c r="AC192" s="153"/>
      <c r="AD192" s="153">
        <f t="shared" si="319"/>
        <v>0.6171864510646129</v>
      </c>
      <c r="AE192" s="317">
        <f t="shared" si="320"/>
        <v>1771.4798039512907</v>
      </c>
      <c r="AF192" s="463">
        <f t="shared" si="321"/>
        <v>1.6201144340446089E-2</v>
      </c>
      <c r="AH192" s="153">
        <f t="shared" si="322"/>
        <v>0.53022906101312206</v>
      </c>
      <c r="AI192" s="153">
        <f t="shared" si="323"/>
        <v>0.75</v>
      </c>
      <c r="AJ192" s="153">
        <f t="shared" si="324"/>
        <v>1.6444444444444444</v>
      </c>
      <c r="AL192" s="317">
        <f t="shared" si="325"/>
        <v>82</v>
      </c>
      <c r="AM192" s="147">
        <f t="shared" si="326"/>
        <v>123.67157780003512</v>
      </c>
      <c r="AO192" t="str">
        <f t="shared" si="327"/>
        <v/>
      </c>
      <c r="AP192" t="str">
        <f t="shared" si="328"/>
        <v/>
      </c>
      <c r="AR192" s="5">
        <f t="shared" si="249"/>
        <v>8.0859322553230655</v>
      </c>
      <c r="AS192" s="5">
        <f t="shared" si="335"/>
        <v>5</v>
      </c>
      <c r="AT192" s="5">
        <f t="shared" si="336"/>
        <v>3.0859322553230655</v>
      </c>
      <c r="AU192" s="153">
        <f t="shared" si="337"/>
        <v>0.61835788900017563</v>
      </c>
      <c r="AW192" s="5">
        <f t="shared" si="275"/>
        <v>2.0500000000000003</v>
      </c>
      <c r="AX192" s="5"/>
      <c r="AY192" s="5">
        <f t="shared" si="276"/>
        <v>2.5625</v>
      </c>
      <c r="AZ192" s="5"/>
      <c r="BA192" s="5">
        <f t="shared" si="277"/>
        <v>0.62480603688022573</v>
      </c>
      <c r="BB192" s="5"/>
      <c r="BC192" s="5"/>
      <c r="BD192" s="153">
        <f t="shared" si="278"/>
        <v>0.34050272273145327</v>
      </c>
      <c r="BE192" s="153">
        <f t="shared" si="279"/>
        <v>0.26750307626729652</v>
      </c>
      <c r="BF192" s="153">
        <f t="shared" si="280"/>
        <v>0.26645404459566008</v>
      </c>
      <c r="BG192" s="153"/>
      <c r="BH192" s="463">
        <f t="shared" si="281"/>
        <v>4.0579736465636528E-2</v>
      </c>
      <c r="BI192" s="463">
        <f t="shared" si="282"/>
        <v>1.3597689979113864E-2</v>
      </c>
      <c r="BJ192" s="463">
        <f t="shared" si="283"/>
        <v>1.5458947225004389E-3</v>
      </c>
      <c r="BK192" s="463">
        <f t="shared" si="284"/>
        <v>5.3157902691682466E-3</v>
      </c>
      <c r="BL192">
        <f t="shared" si="285"/>
        <v>2.6099999999999999E-3</v>
      </c>
      <c r="BM192">
        <f t="shared" si="329"/>
        <v>1.2367157780003513E-6</v>
      </c>
      <c r="BN192">
        <f t="shared" si="330"/>
        <v>6.9650080034242723E-2</v>
      </c>
      <c r="BO192" s="147">
        <f t="shared" si="286"/>
        <v>63.649111436419076</v>
      </c>
      <c r="BP192" s="153">
        <f t="shared" si="287"/>
        <v>3.2800000000000003E-2</v>
      </c>
      <c r="BQ192" s="153">
        <f t="shared" si="288"/>
        <v>3.2800000000000003E-2</v>
      </c>
      <c r="BR192" s="463"/>
      <c r="BT192" s="147">
        <f t="shared" si="289"/>
        <v>65.600000000000009</v>
      </c>
      <c r="BU192" s="463">
        <f t="shared" si="290"/>
        <v>0.11594210418753294</v>
      </c>
      <c r="BV192" s="463">
        <f t="shared" si="291"/>
        <v>7.1557895812467062E-2</v>
      </c>
      <c r="BW192" s="463">
        <f t="shared" si="292"/>
        <v>3.5498878940693011E-3</v>
      </c>
      <c r="BX192" s="463">
        <f t="shared" si="293"/>
        <v>0</v>
      </c>
      <c r="BY192" s="463">
        <f t="shared" si="274"/>
        <v>0.21729704045890863</v>
      </c>
      <c r="BZ192" s="463">
        <f t="shared" si="250"/>
        <v>0.19104988789406929</v>
      </c>
      <c r="CA192" s="549">
        <f t="shared" si="331"/>
        <v>3.4782631256259883E-2</v>
      </c>
      <c r="CB192" s="147">
        <f t="shared" si="294"/>
        <v>634.17944750330707</v>
      </c>
      <c r="CC192" s="153">
        <f t="shared" si="251"/>
        <v>0.3873297517494112</v>
      </c>
      <c r="CD192" s="5">
        <f t="shared" si="295"/>
        <v>2.8536016371077757</v>
      </c>
      <c r="CE192" s="153">
        <f t="shared" si="296"/>
        <v>0.88048813588553287</v>
      </c>
      <c r="CF192" s="5">
        <f t="shared" si="297"/>
        <v>88.048813588553287</v>
      </c>
      <c r="CG192">
        <f t="shared" si="298"/>
        <v>82</v>
      </c>
      <c r="CI192" s="59">
        <f t="shared" si="332"/>
        <v>-50</v>
      </c>
      <c r="CJ192">
        <f t="shared" si="333"/>
        <v>-50</v>
      </c>
    </row>
    <row r="193" spans="5:88" x14ac:dyDescent="0.25">
      <c r="E193" s="150">
        <v>83</v>
      </c>
      <c r="F193" s="191">
        <f t="shared" si="334"/>
        <v>8.3000000000000004E-2</v>
      </c>
      <c r="G193" s="191">
        <f t="shared" si="299"/>
        <v>8.3000000000000004E-2</v>
      </c>
      <c r="H193" s="191">
        <f t="shared" si="300"/>
        <v>1.6600000000000001</v>
      </c>
      <c r="I193" s="191">
        <f t="shared" si="301"/>
        <v>1.3280000000000001</v>
      </c>
      <c r="J193" s="472">
        <f t="shared" si="302"/>
        <v>9</v>
      </c>
      <c r="K193" s="386">
        <f t="shared" si="303"/>
        <v>14.410468285146038</v>
      </c>
      <c r="L193" s="386">
        <f t="shared" si="304"/>
        <v>29.32</v>
      </c>
      <c r="M193" s="386"/>
      <c r="N193" s="191">
        <f t="shared" si="305"/>
        <v>0.69304229195088674</v>
      </c>
      <c r="O193" s="152">
        <f t="shared" si="306"/>
        <v>1.1695088676671213</v>
      </c>
      <c r="P193" s="152">
        <f t="shared" si="307"/>
        <v>1.6840927694406547</v>
      </c>
      <c r="Q193" s="191">
        <f t="shared" si="308"/>
        <v>5.8475443383356064E-2</v>
      </c>
      <c r="R193" s="191">
        <f t="shared" si="309"/>
        <v>7.3094304229195078E-2</v>
      </c>
      <c r="S193" s="191">
        <f t="shared" si="310"/>
        <v>14.090468285146038</v>
      </c>
      <c r="T193" s="191">
        <f t="shared" si="311"/>
        <v>0.75</v>
      </c>
      <c r="U193" s="191">
        <f t="shared" si="312"/>
        <v>5</v>
      </c>
      <c r="V193" s="191">
        <f t="shared" si="313"/>
        <v>3.1227298870214311</v>
      </c>
      <c r="W193" s="175">
        <f t="shared" si="314"/>
        <v>350</v>
      </c>
      <c r="X193" s="386">
        <f t="shared" si="315"/>
        <v>123.11132019763561</v>
      </c>
      <c r="Z193" s="191">
        <f t="shared" si="316"/>
        <v>0.26380997185207633</v>
      </c>
      <c r="AA193" s="153">
        <f t="shared" si="317"/>
        <v>1.0984097114623481</v>
      </c>
      <c r="AB193" s="153">
        <f t="shared" si="318"/>
        <v>2.8172222853340353E-2</v>
      </c>
      <c r="AC193" s="153"/>
      <c r="AD193" s="153">
        <f t="shared" si="319"/>
        <v>0.62454597740428619</v>
      </c>
      <c r="AE193" s="317">
        <f t="shared" si="320"/>
        <v>1771.9538780253649</v>
      </c>
      <c r="AF193" s="463">
        <f t="shared" si="321"/>
        <v>1.639433190686251E-2</v>
      </c>
      <c r="AH193" s="153">
        <f t="shared" si="322"/>
        <v>0.53345236766878124</v>
      </c>
      <c r="AI193" s="153">
        <f t="shared" si="323"/>
        <v>0.75</v>
      </c>
      <c r="AJ193" s="153">
        <f t="shared" si="324"/>
        <v>1.6444444444444444</v>
      </c>
      <c r="AL193" s="317">
        <f t="shared" si="325"/>
        <v>83</v>
      </c>
      <c r="AM193" s="147">
        <f t="shared" si="326"/>
        <v>123.11132019763561</v>
      </c>
      <c r="AO193" t="str">
        <f t="shared" si="327"/>
        <v/>
      </c>
      <c r="AP193" t="str">
        <f t="shared" si="328"/>
        <v/>
      </c>
      <c r="AR193" s="5">
        <f t="shared" si="249"/>
        <v>8.1227298870214319</v>
      </c>
      <c r="AS193" s="5">
        <f t="shared" si="335"/>
        <v>5</v>
      </c>
      <c r="AT193" s="5">
        <f t="shared" si="336"/>
        <v>3.1227298870214319</v>
      </c>
      <c r="AU193" s="153">
        <f t="shared" si="337"/>
        <v>0.61555660098817799</v>
      </c>
      <c r="AW193" s="5">
        <f t="shared" si="275"/>
        <v>2.0750000000000002</v>
      </c>
      <c r="AX193" s="5"/>
      <c r="AY193" s="5">
        <f t="shared" si="276"/>
        <v>2.59375</v>
      </c>
      <c r="AZ193" s="5"/>
      <c r="BA193" s="5">
        <f t="shared" si="277"/>
        <v>0.63996686573525641</v>
      </c>
      <c r="BB193" s="5"/>
      <c r="BC193" s="5"/>
      <c r="BD193" s="153">
        <f t="shared" si="278"/>
        <v>0.3397305736687285</v>
      </c>
      <c r="BE193" s="153">
        <f t="shared" si="279"/>
        <v>0.26848302984493566</v>
      </c>
      <c r="BF193" s="153">
        <f t="shared" si="280"/>
        <v>0.26743015521809282</v>
      </c>
      <c r="BG193" s="153"/>
      <c r="BH193" s="463">
        <f t="shared" si="281"/>
        <v>4.0395901939849176E-2</v>
      </c>
      <c r="BI193" s="463">
        <f t="shared" si="282"/>
        <v>1.3536089655730036E-2</v>
      </c>
      <c r="BJ193" s="463">
        <f t="shared" si="283"/>
        <v>1.5388915024704449E-3</v>
      </c>
      <c r="BK193" s="463">
        <f t="shared" si="284"/>
        <v>5.2917086494133963E-3</v>
      </c>
      <c r="BL193">
        <f t="shared" si="285"/>
        <v>2.6099999999999999E-3</v>
      </c>
      <c r="BM193">
        <f t="shared" si="329"/>
        <v>1.2311132019763561E-6</v>
      </c>
      <c r="BN193">
        <f t="shared" si="330"/>
        <v>6.9344094201381268E-2</v>
      </c>
      <c r="BO193" s="147">
        <f t="shared" si="286"/>
        <v>63.372591747463055</v>
      </c>
      <c r="BP193" s="153">
        <f t="shared" si="287"/>
        <v>3.32E-2</v>
      </c>
      <c r="BQ193" s="153">
        <f t="shared" si="288"/>
        <v>3.32E-2</v>
      </c>
      <c r="BR193" s="463"/>
      <c r="BT193" s="147">
        <f t="shared" si="289"/>
        <v>66.400000000000006</v>
      </c>
      <c r="BU193" s="463">
        <f t="shared" si="290"/>
        <v>0.11541686268528337</v>
      </c>
      <c r="BV193" s="463">
        <f t="shared" si="291"/>
        <v>7.2083137314716619E-2</v>
      </c>
      <c r="BW193" s="463">
        <f t="shared" si="292"/>
        <v>3.5759443959986616E-3</v>
      </c>
      <c r="BX193" s="463">
        <f t="shared" si="293"/>
        <v>0</v>
      </c>
      <c r="BY193" s="463">
        <f t="shared" si="274"/>
        <v>0.2173271367553917</v>
      </c>
      <c r="BZ193" s="463">
        <f t="shared" si="250"/>
        <v>0.19107594439599865</v>
      </c>
      <c r="CA193" s="549">
        <f t="shared" si="331"/>
        <v>3.4625058805585023E-2</v>
      </c>
      <c r="CB193" s="147">
        <f t="shared" ref="CB193:CB210" si="338">SUM(BU193:CA193)*1000</f>
        <v>634.10408435297393</v>
      </c>
      <c r="CC193" s="153">
        <f t="shared" si="251"/>
        <v>0.38769628976235798</v>
      </c>
      <c r="CD193" s="5">
        <f t="shared" ref="CD193:CD210" si="339">MIN(H193+I193,O193+P193)</f>
        <v>2.8536016371077757</v>
      </c>
      <c r="CE193" s="153">
        <f t="shared" ref="CE193:CE210" si="340">CD193/(CD193+CC193)</f>
        <v>0.88038856701558255</v>
      </c>
      <c r="CF193" s="5">
        <f t="shared" ref="CF193:CF210" si="341">CE193*100</f>
        <v>88.038856701558259</v>
      </c>
      <c r="CG193">
        <f t="shared" ref="CG193:CG210" si="342">F193/Iout*100</f>
        <v>83</v>
      </c>
      <c r="CI193" s="59">
        <f t="shared" si="332"/>
        <v>-50</v>
      </c>
      <c r="CJ193">
        <f t="shared" si="333"/>
        <v>-50</v>
      </c>
    </row>
    <row r="194" spans="5:88" x14ac:dyDescent="0.25">
      <c r="E194" s="150">
        <v>84</v>
      </c>
      <c r="F194" s="191">
        <f t="shared" si="334"/>
        <v>8.4000000000000005E-2</v>
      </c>
      <c r="G194" s="191">
        <f t="shared" si="299"/>
        <v>8.4000000000000005E-2</v>
      </c>
      <c r="H194" s="191">
        <f t="shared" si="300"/>
        <v>1.6800000000000002</v>
      </c>
      <c r="I194" s="191">
        <f t="shared" si="301"/>
        <v>1.3440000000000001</v>
      </c>
      <c r="J194" s="472">
        <f t="shared" si="302"/>
        <v>9</v>
      </c>
      <c r="K194" s="386">
        <f t="shared" si="303"/>
        <v>14.242724615084777</v>
      </c>
      <c r="L194" s="386">
        <f t="shared" si="304"/>
        <v>29.32</v>
      </c>
      <c r="M194" s="386"/>
      <c r="N194" s="191">
        <f t="shared" si="305"/>
        <v>0.69304229195088674</v>
      </c>
      <c r="O194" s="152">
        <f t="shared" si="306"/>
        <v>1.1695088676671213</v>
      </c>
      <c r="P194" s="152">
        <f t="shared" si="307"/>
        <v>1.6840927694406547</v>
      </c>
      <c r="Q194" s="191">
        <f t="shared" si="308"/>
        <v>5.8475443383356064E-2</v>
      </c>
      <c r="R194" s="191">
        <f t="shared" si="309"/>
        <v>7.3094304229195078E-2</v>
      </c>
      <c r="S194" s="191">
        <f t="shared" si="310"/>
        <v>13.922724615084777</v>
      </c>
      <c r="T194" s="191">
        <f t="shared" si="311"/>
        <v>0.75</v>
      </c>
      <c r="U194" s="191">
        <f t="shared" si="312"/>
        <v>5</v>
      </c>
      <c r="V194" s="191">
        <f t="shared" si="313"/>
        <v>3.1595078340796907</v>
      </c>
      <c r="W194" s="175">
        <f t="shared" si="314"/>
        <v>350</v>
      </c>
      <c r="X194" s="386">
        <f t="shared" si="315"/>
        <v>122.55641153052338</v>
      </c>
      <c r="Z194" s="191">
        <f t="shared" si="316"/>
        <v>0.26262088185112153</v>
      </c>
      <c r="AA194" s="153">
        <f t="shared" si="317"/>
        <v>1.1063369781353807</v>
      </c>
      <c r="AB194" s="153">
        <f t="shared" si="318"/>
        <v>2.8247643746624036E-2</v>
      </c>
      <c r="AC194" s="153"/>
      <c r="AD194" s="153">
        <f t="shared" si="319"/>
        <v>0.63190156681593812</v>
      </c>
      <c r="AE194" s="317">
        <f t="shared" si="320"/>
        <v>1772.4279520994389</v>
      </c>
      <c r="AF194" s="463">
        <f t="shared" si="321"/>
        <v>1.6587416128918377E-2</v>
      </c>
      <c r="AH194" s="153">
        <f t="shared" si="322"/>
        <v>0.53665631459994956</v>
      </c>
      <c r="AI194" s="153">
        <f t="shared" si="323"/>
        <v>0.75</v>
      </c>
      <c r="AJ194" s="153">
        <f t="shared" si="324"/>
        <v>1.6444444444444444</v>
      </c>
      <c r="AL194" s="317">
        <f t="shared" si="325"/>
        <v>84</v>
      </c>
      <c r="AM194" s="147">
        <f t="shared" si="326"/>
        <v>122.55641153052338</v>
      </c>
      <c r="AO194" t="str">
        <f t="shared" si="327"/>
        <v/>
      </c>
      <c r="AP194" t="str">
        <f t="shared" si="328"/>
        <v/>
      </c>
      <c r="AR194" s="5">
        <f t="shared" si="249"/>
        <v>8.1595078340796903</v>
      </c>
      <c r="AS194" s="5">
        <f t="shared" si="335"/>
        <v>5</v>
      </c>
      <c r="AT194" s="5">
        <f t="shared" si="336"/>
        <v>3.1595078340796903</v>
      </c>
      <c r="AU194" s="153">
        <f t="shared" si="337"/>
        <v>0.61278205765261695</v>
      </c>
      <c r="AW194" s="5">
        <f t="shared" si="275"/>
        <v>2.1</v>
      </c>
      <c r="AX194" s="5"/>
      <c r="AY194" s="5">
        <f t="shared" si="276"/>
        <v>2.625</v>
      </c>
      <c r="AZ194" s="5"/>
      <c r="BA194" s="5">
        <f t="shared" si="277"/>
        <v>0.65530532854986168</v>
      </c>
      <c r="BB194" s="5"/>
      <c r="BC194" s="5"/>
      <c r="BD194" s="153">
        <f t="shared" si="278"/>
        <v>0.33896406271147045</v>
      </c>
      <c r="BE194" s="153">
        <f t="shared" si="279"/>
        <v>0.26945011447415335</v>
      </c>
      <c r="BF194" s="153">
        <f t="shared" si="280"/>
        <v>0.26839344735856846</v>
      </c>
      <c r="BG194" s="153"/>
      <c r="BH194" s="463">
        <f t="shared" si="281"/>
        <v>4.0213822533452979E-2</v>
      </c>
      <c r="BI194" s="463">
        <f t="shared" si="282"/>
        <v>1.3475077447781047E-2</v>
      </c>
      <c r="BJ194" s="463">
        <f t="shared" si="283"/>
        <v>1.5319551441315422E-3</v>
      </c>
      <c r="BK194" s="463">
        <f t="shared" si="284"/>
        <v>5.2678569435858705E-3</v>
      </c>
      <c r="BL194">
        <f t="shared" si="285"/>
        <v>2.6099999999999999E-3</v>
      </c>
      <c r="BM194">
        <f t="shared" si="329"/>
        <v>1.2255641153052337E-6</v>
      </c>
      <c r="BN194">
        <f t="shared" si="330"/>
        <v>6.9041050313604857E-2</v>
      </c>
      <c r="BO194" s="147">
        <f t="shared" si="286"/>
        <v>63.098712068951428</v>
      </c>
      <c r="BP194" s="153">
        <f t="shared" si="287"/>
        <v>3.3600000000000005E-2</v>
      </c>
      <c r="BQ194" s="153">
        <f t="shared" si="288"/>
        <v>3.3600000000000005E-2</v>
      </c>
      <c r="BR194" s="463"/>
      <c r="BT194" s="147">
        <f t="shared" si="289"/>
        <v>67.2</v>
      </c>
      <c r="BU194" s="463">
        <f t="shared" si="290"/>
        <v>0.11489663580986567</v>
      </c>
      <c r="BV194" s="463">
        <f t="shared" si="291"/>
        <v>7.2603364190134342E-2</v>
      </c>
      <c r="BW194" s="463">
        <f t="shared" si="292"/>
        <v>3.6017521292508329E-3</v>
      </c>
      <c r="BX194" s="463">
        <f t="shared" si="293"/>
        <v>0</v>
      </c>
      <c r="BY194" s="463">
        <f t="shared" si="274"/>
        <v>0.21735694583975618</v>
      </c>
      <c r="BZ194" s="463">
        <f t="shared" si="250"/>
        <v>0.19110175212925085</v>
      </c>
      <c r="CA194" s="549">
        <f t="shared" si="331"/>
        <v>3.4468990742959706E-2</v>
      </c>
      <c r="CB194" s="147">
        <f t="shared" si="338"/>
        <v>634.02944084121759</v>
      </c>
      <c r="CC194" s="153">
        <f t="shared" si="251"/>
        <v>0.3880669868963208</v>
      </c>
      <c r="CD194" s="5">
        <f t="shared" si="339"/>
        <v>2.8536016371077757</v>
      </c>
      <c r="CE194" s="153">
        <f t="shared" si="340"/>
        <v>0.88028789123516826</v>
      </c>
      <c r="CF194" s="5">
        <f t="shared" si="341"/>
        <v>88.02878912351683</v>
      </c>
      <c r="CG194">
        <f t="shared" si="342"/>
        <v>84</v>
      </c>
      <c r="CI194" s="59">
        <f t="shared" si="332"/>
        <v>-50</v>
      </c>
      <c r="CJ194">
        <f t="shared" si="333"/>
        <v>-50</v>
      </c>
    </row>
    <row r="195" spans="5:88" x14ac:dyDescent="0.25">
      <c r="E195" s="150">
        <v>85</v>
      </c>
      <c r="F195" s="191">
        <f t="shared" si="334"/>
        <v>8.5000000000000006E-2</v>
      </c>
      <c r="G195" s="191">
        <f t="shared" si="299"/>
        <v>8.5000000000000006E-2</v>
      </c>
      <c r="H195" s="191">
        <f t="shared" si="300"/>
        <v>1.7000000000000002</v>
      </c>
      <c r="I195" s="191">
        <f t="shared" si="301"/>
        <v>1.36</v>
      </c>
      <c r="J195" s="472">
        <f t="shared" si="302"/>
        <v>9</v>
      </c>
      <c r="K195" s="386">
        <f t="shared" si="303"/>
        <v>14.078927854907308</v>
      </c>
      <c r="L195" s="386">
        <f t="shared" si="304"/>
        <v>29.32</v>
      </c>
      <c r="M195" s="386"/>
      <c r="N195" s="191">
        <f t="shared" si="305"/>
        <v>0.69304229195088674</v>
      </c>
      <c r="O195" s="152">
        <f t="shared" si="306"/>
        <v>1.1695088676671213</v>
      </c>
      <c r="P195" s="152">
        <f t="shared" si="307"/>
        <v>1.6840927694406547</v>
      </c>
      <c r="Q195" s="191">
        <f t="shared" si="308"/>
        <v>5.8475443383356064E-2</v>
      </c>
      <c r="R195" s="191">
        <f t="shared" si="309"/>
        <v>7.3094304229195078E-2</v>
      </c>
      <c r="S195" s="191">
        <f t="shared" si="310"/>
        <v>13.758927854907308</v>
      </c>
      <c r="T195" s="191">
        <f t="shared" si="311"/>
        <v>0.75</v>
      </c>
      <c r="U195" s="191">
        <f t="shared" si="312"/>
        <v>5</v>
      </c>
      <c r="V195" s="191">
        <f t="shared" si="313"/>
        <v>3.1962661122888658</v>
      </c>
      <c r="W195" s="175">
        <f t="shared" si="314"/>
        <v>350</v>
      </c>
      <c r="X195" s="386">
        <f t="shared" si="315"/>
        <v>122.00677556096856</v>
      </c>
      <c r="Z195" s="191">
        <f t="shared" si="316"/>
        <v>0.2614430904877898</v>
      </c>
      <c r="AA195" s="153">
        <f t="shared" si="317"/>
        <v>1.1141889205575921</v>
      </c>
      <c r="AB195" s="153">
        <f t="shared" si="318"/>
        <v>2.8320541158955832E-2</v>
      </c>
      <c r="AC195" s="153"/>
      <c r="AD195" s="153">
        <f t="shared" si="319"/>
        <v>0.63925322245777316</v>
      </c>
      <c r="AE195" s="317">
        <f t="shared" si="320"/>
        <v>1772.9020261735131</v>
      </c>
      <c r="AF195" s="463">
        <f t="shared" si="321"/>
        <v>1.6780397089516542E-2</v>
      </c>
      <c r="AH195" s="153">
        <f t="shared" si="322"/>
        <v>0.5398412465054625</v>
      </c>
      <c r="AI195" s="153">
        <f t="shared" si="323"/>
        <v>0.75</v>
      </c>
      <c r="AJ195" s="153">
        <f t="shared" si="324"/>
        <v>1.6444444444444444</v>
      </c>
      <c r="AL195" s="317">
        <f t="shared" si="325"/>
        <v>85</v>
      </c>
      <c r="AM195" s="147">
        <f t="shared" si="326"/>
        <v>122.00677556096856</v>
      </c>
      <c r="AO195" t="str">
        <f t="shared" si="327"/>
        <v/>
      </c>
      <c r="AP195" t="str">
        <f t="shared" si="328"/>
        <v/>
      </c>
      <c r="AR195" s="5">
        <f t="shared" si="249"/>
        <v>8.1962661122888658</v>
      </c>
      <c r="AS195" s="5">
        <f t="shared" si="335"/>
        <v>5</v>
      </c>
      <c r="AT195" s="5">
        <f t="shared" si="336"/>
        <v>3.1962661122888658</v>
      </c>
      <c r="AU195" s="153">
        <f t="shared" si="337"/>
        <v>0.61003387780484286</v>
      </c>
      <c r="AW195" s="5">
        <f t="shared" si="275"/>
        <v>2.125</v>
      </c>
      <c r="AX195" s="5"/>
      <c r="AY195" s="5">
        <f t="shared" si="276"/>
        <v>2.65625</v>
      </c>
      <c r="AZ195" s="5"/>
      <c r="BA195" s="5">
        <f t="shared" si="277"/>
        <v>0.67082128282605835</v>
      </c>
      <c r="BB195" s="5"/>
      <c r="BC195" s="5"/>
      <c r="BD195" s="153">
        <f t="shared" si="278"/>
        <v>0.33820312252906248</v>
      </c>
      <c r="BE195" s="153">
        <f t="shared" si="279"/>
        <v>0.27040460038910574</v>
      </c>
      <c r="BF195" s="153">
        <f t="shared" si="280"/>
        <v>0.26934419019150141</v>
      </c>
      <c r="BG195" s="153"/>
      <c r="BH195" s="463">
        <f t="shared" si="281"/>
        <v>4.0033473230942813E-2</v>
      </c>
      <c r="BI195" s="463">
        <f t="shared" si="282"/>
        <v>1.3414644972928495E-2</v>
      </c>
      <c r="BJ195" s="463">
        <f t="shared" si="283"/>
        <v>1.525084694512107E-3</v>
      </c>
      <c r="BK195" s="463">
        <f t="shared" si="284"/>
        <v>5.2442318747501796E-3</v>
      </c>
      <c r="BL195">
        <f t="shared" si="285"/>
        <v>2.6099999999999999E-3</v>
      </c>
      <c r="BM195">
        <f t="shared" si="329"/>
        <v>1.2200677556096856E-6</v>
      </c>
      <c r="BN195">
        <f t="shared" si="330"/>
        <v>6.8740906145270383E-2</v>
      </c>
      <c r="BO195" s="147">
        <f t="shared" si="286"/>
        <v>62.827434773133604</v>
      </c>
      <c r="BP195" s="153">
        <f t="shared" si="287"/>
        <v>3.4000000000000002E-2</v>
      </c>
      <c r="BQ195" s="153">
        <f t="shared" si="288"/>
        <v>3.4000000000000002E-2</v>
      </c>
      <c r="BR195" s="463"/>
      <c r="BT195" s="147">
        <f t="shared" si="289"/>
        <v>68</v>
      </c>
      <c r="BU195" s="463">
        <f t="shared" si="290"/>
        <v>0.11438135208840805</v>
      </c>
      <c r="BV195" s="463">
        <f t="shared" si="291"/>
        <v>7.3118647911591964E-2</v>
      </c>
      <c r="BW195" s="463">
        <f t="shared" si="292"/>
        <v>3.6273146394957844E-3</v>
      </c>
      <c r="BX195" s="463">
        <f t="shared" si="293"/>
        <v>0</v>
      </c>
      <c r="BY195" s="463">
        <f t="shared" si="274"/>
        <v>0.21738647180382079</v>
      </c>
      <c r="BZ195" s="463">
        <f t="shared" si="250"/>
        <v>0.19112731463949578</v>
      </c>
      <c r="CA195" s="549">
        <f t="shared" si="331"/>
        <v>3.4314405626522416E-2</v>
      </c>
      <c r="CB195" s="147">
        <f t="shared" si="338"/>
        <v>633.95550670933483</v>
      </c>
      <c r="CC195" s="153">
        <f t="shared" si="251"/>
        <v>0.38844178357561365</v>
      </c>
      <c r="CD195" s="5">
        <f t="shared" si="339"/>
        <v>2.8536016371077757</v>
      </c>
      <c r="CE195" s="153">
        <f t="shared" si="340"/>
        <v>0.88018612548571784</v>
      </c>
      <c r="CF195" s="5">
        <f t="shared" si="341"/>
        <v>88.018612548571781</v>
      </c>
      <c r="CG195">
        <f t="shared" si="342"/>
        <v>85</v>
      </c>
      <c r="CI195" s="59">
        <f t="shared" si="332"/>
        <v>-50</v>
      </c>
      <c r="CJ195">
        <f t="shared" si="333"/>
        <v>-50</v>
      </c>
    </row>
    <row r="196" spans="5:88" x14ac:dyDescent="0.25">
      <c r="E196" s="150">
        <v>86</v>
      </c>
      <c r="F196" s="191">
        <f t="shared" si="334"/>
        <v>8.6000000000000007E-2</v>
      </c>
      <c r="G196" s="191">
        <f t="shared" si="299"/>
        <v>8.6000000000000007E-2</v>
      </c>
      <c r="H196" s="191">
        <f t="shared" si="300"/>
        <v>1.7200000000000002</v>
      </c>
      <c r="I196" s="191">
        <f t="shared" si="301"/>
        <v>1.3760000000000001</v>
      </c>
      <c r="J196" s="472">
        <f t="shared" si="302"/>
        <v>9</v>
      </c>
      <c r="K196" s="386">
        <f t="shared" si="303"/>
        <v>13.918940321710711</v>
      </c>
      <c r="L196" s="386">
        <f t="shared" si="304"/>
        <v>29.32</v>
      </c>
      <c r="M196" s="386"/>
      <c r="N196" s="191">
        <f t="shared" si="305"/>
        <v>0.69304229195088674</v>
      </c>
      <c r="O196" s="152">
        <f t="shared" si="306"/>
        <v>1.1695088676671213</v>
      </c>
      <c r="P196" s="152">
        <f t="shared" si="307"/>
        <v>1.6840927694406547</v>
      </c>
      <c r="Q196" s="191">
        <f t="shared" si="308"/>
        <v>5.8475443383356064E-2</v>
      </c>
      <c r="R196" s="191">
        <f t="shared" si="309"/>
        <v>7.3094304229195078E-2</v>
      </c>
      <c r="S196" s="191">
        <f t="shared" si="310"/>
        <v>13.59894032171071</v>
      </c>
      <c r="T196" s="191">
        <f t="shared" si="311"/>
        <v>0.75</v>
      </c>
      <c r="U196" s="191">
        <f t="shared" si="312"/>
        <v>5</v>
      </c>
      <c r="V196" s="191">
        <f t="shared" si="313"/>
        <v>3.2330047374230904</v>
      </c>
      <c r="W196" s="175">
        <f t="shared" si="314"/>
        <v>350</v>
      </c>
      <c r="X196" s="386">
        <f t="shared" si="315"/>
        <v>121.46233749320025</v>
      </c>
      <c r="Z196" s="191">
        <f t="shared" si="316"/>
        <v>0.26027643748542911</v>
      </c>
      <c r="AA196" s="153">
        <f t="shared" si="317"/>
        <v>1.1219666072399961</v>
      </c>
      <c r="AB196" s="153">
        <f t="shared" si="318"/>
        <v>2.8390976396809427E-2</v>
      </c>
      <c r="AC196" s="153"/>
      <c r="AD196" s="153">
        <f t="shared" si="319"/>
        <v>0.64660094748461805</v>
      </c>
      <c r="AE196" s="317">
        <f t="shared" si="320"/>
        <v>1773.3761002475871</v>
      </c>
      <c r="AF196" s="463">
        <f t="shared" si="321"/>
        <v>1.6973274871471225E-2</v>
      </c>
      <c r="AH196" s="153">
        <f t="shared" si="322"/>
        <v>0.54300749797506742</v>
      </c>
      <c r="AI196" s="153">
        <f t="shared" si="323"/>
        <v>0.75</v>
      </c>
      <c r="AJ196" s="153">
        <f t="shared" si="324"/>
        <v>1.6444444444444444</v>
      </c>
      <c r="AL196" s="317">
        <f t="shared" si="325"/>
        <v>86</v>
      </c>
      <c r="AM196" s="147">
        <f t="shared" si="326"/>
        <v>121.46233749320025</v>
      </c>
      <c r="AO196" t="str">
        <f t="shared" si="327"/>
        <v/>
      </c>
      <c r="AP196" t="str">
        <f t="shared" si="328"/>
        <v/>
      </c>
      <c r="AR196" s="5">
        <f t="shared" si="249"/>
        <v>8.2330047374230926</v>
      </c>
      <c r="AS196" s="5">
        <f t="shared" si="335"/>
        <v>5</v>
      </c>
      <c r="AT196" s="5">
        <f t="shared" si="336"/>
        <v>3.2330047374230926</v>
      </c>
      <c r="AU196" s="153">
        <f t="shared" si="337"/>
        <v>0.60731168746600117</v>
      </c>
      <c r="AW196" s="5">
        <f t="shared" si="275"/>
        <v>2.1500000000000004</v>
      </c>
      <c r="AX196" s="5"/>
      <c r="AY196" s="5">
        <f t="shared" si="276"/>
        <v>2.6875</v>
      </c>
      <c r="AZ196" s="5"/>
      <c r="BA196" s="5">
        <f t="shared" si="277"/>
        <v>0.68651458621823702</v>
      </c>
      <c r="BB196" s="5"/>
      <c r="BC196" s="5"/>
      <c r="BD196" s="153">
        <f t="shared" si="278"/>
        <v>0.33744768690846766</v>
      </c>
      <c r="BE196" s="153">
        <f t="shared" si="279"/>
        <v>0.27134674975043421</v>
      </c>
      <c r="BF196" s="153">
        <f t="shared" si="280"/>
        <v>0.27028264484945214</v>
      </c>
      <c r="BG196" s="153"/>
      <c r="BH196" s="463">
        <f t="shared" si="281"/>
        <v>3.9854829489956327E-2</v>
      </c>
      <c r="BI196" s="463">
        <f t="shared" si="282"/>
        <v>1.3354784007377369E-2</v>
      </c>
      <c r="BJ196" s="463">
        <f t="shared" si="283"/>
        <v>1.5182792186650032E-3</v>
      </c>
      <c r="BK196" s="463">
        <f t="shared" si="284"/>
        <v>5.2208302279507261E-3</v>
      </c>
      <c r="BL196">
        <f t="shared" si="285"/>
        <v>2.6099999999999999E-3</v>
      </c>
      <c r="BM196">
        <f t="shared" si="329"/>
        <v>1.2146233749320025E-6</v>
      </c>
      <c r="BN196">
        <f t="shared" si="330"/>
        <v>6.8443620274971431E-2</v>
      </c>
      <c r="BO196" s="147">
        <f t="shared" si="286"/>
        <v>62.558722943949412</v>
      </c>
      <c r="BP196" s="153">
        <f t="shared" si="287"/>
        <v>3.4400000000000007E-2</v>
      </c>
      <c r="BQ196" s="153">
        <f t="shared" si="288"/>
        <v>3.4400000000000007E-2</v>
      </c>
      <c r="BR196" s="463"/>
      <c r="BT196" s="147">
        <f t="shared" si="289"/>
        <v>68.800000000000011</v>
      </c>
      <c r="BU196" s="463">
        <f t="shared" si="290"/>
        <v>0.11387094139987522</v>
      </c>
      <c r="BV196" s="463">
        <f t="shared" si="291"/>
        <v>7.3629058600124767E-2</v>
      </c>
      <c r="BW196" s="463">
        <f t="shared" si="292"/>
        <v>3.652635405340754E-3</v>
      </c>
      <c r="BX196" s="463">
        <f t="shared" si="293"/>
        <v>0</v>
      </c>
      <c r="BY196" s="463">
        <f t="shared" si="274"/>
        <v>0.21741571866204534</v>
      </c>
      <c r="BZ196" s="463">
        <f t="shared" si="250"/>
        <v>0.19115263540534075</v>
      </c>
      <c r="CA196" s="549">
        <f t="shared" si="331"/>
        <v>3.416128241996258E-2</v>
      </c>
      <c r="CB196" s="147">
        <f t="shared" si="338"/>
        <v>633.88227189268957</v>
      </c>
      <c r="CC196" s="153">
        <f t="shared" si="251"/>
        <v>0.38882062135697937</v>
      </c>
      <c r="CD196" s="5">
        <f t="shared" si="339"/>
        <v>2.8536016371077757</v>
      </c>
      <c r="CE196" s="153">
        <f t="shared" si="340"/>
        <v>0.88008328639432643</v>
      </c>
      <c r="CF196" s="5">
        <f t="shared" si="341"/>
        <v>88.008328639432648</v>
      </c>
      <c r="CG196">
        <f t="shared" si="342"/>
        <v>86</v>
      </c>
      <c r="CI196" s="59">
        <f t="shared" si="332"/>
        <v>-50</v>
      </c>
      <c r="CJ196">
        <f t="shared" si="333"/>
        <v>-50</v>
      </c>
    </row>
    <row r="197" spans="5:88" x14ac:dyDescent="0.25">
      <c r="E197" s="150">
        <v>87</v>
      </c>
      <c r="F197" s="191">
        <f t="shared" si="334"/>
        <v>8.7000000000000008E-2</v>
      </c>
      <c r="G197" s="191">
        <f t="shared" si="299"/>
        <v>8.7000000000000008E-2</v>
      </c>
      <c r="H197" s="191">
        <f t="shared" si="300"/>
        <v>1.7400000000000002</v>
      </c>
      <c r="I197" s="191">
        <f t="shared" si="301"/>
        <v>1.3920000000000001</v>
      </c>
      <c r="J197" s="472">
        <f t="shared" si="302"/>
        <v>9</v>
      </c>
      <c r="K197" s="386">
        <f t="shared" si="303"/>
        <v>13.762630662840474</v>
      </c>
      <c r="L197" s="386">
        <f t="shared" si="304"/>
        <v>29.32</v>
      </c>
      <c r="M197" s="386"/>
      <c r="N197" s="191">
        <f t="shared" si="305"/>
        <v>0.69304229195088674</v>
      </c>
      <c r="O197" s="152">
        <f t="shared" si="306"/>
        <v>1.1695088676671213</v>
      </c>
      <c r="P197" s="152">
        <f t="shared" si="307"/>
        <v>1.6840927694406547</v>
      </c>
      <c r="Q197" s="191">
        <f t="shared" si="308"/>
        <v>5.8475443383356064E-2</v>
      </c>
      <c r="R197" s="191">
        <f t="shared" si="309"/>
        <v>7.3094304229195078E-2</v>
      </c>
      <c r="S197" s="191">
        <f t="shared" si="310"/>
        <v>13.442630662840473</v>
      </c>
      <c r="T197" s="191">
        <f t="shared" si="311"/>
        <v>0.75</v>
      </c>
      <c r="U197" s="191">
        <f t="shared" si="312"/>
        <v>5</v>
      </c>
      <c r="V197" s="191">
        <f t="shared" si="313"/>
        <v>3.2697237252396363</v>
      </c>
      <c r="W197" s="175">
        <f t="shared" si="314"/>
        <v>350</v>
      </c>
      <c r="X197" s="386">
        <f t="shared" si="315"/>
        <v>120.92302393947537</v>
      </c>
      <c r="Z197" s="191">
        <f t="shared" si="316"/>
        <v>0.25912076558459013</v>
      </c>
      <c r="AA197" s="153">
        <f t="shared" si="317"/>
        <v>1.1296710865789235</v>
      </c>
      <c r="AB197" s="153">
        <f t="shared" si="318"/>
        <v>2.8459009134607572E-2</v>
      </c>
      <c r="AC197" s="153"/>
      <c r="AD197" s="153">
        <f t="shared" si="319"/>
        <v>0.65394474504792732</v>
      </c>
      <c r="AE197" s="317">
        <f t="shared" si="320"/>
        <v>1773.8501743216609</v>
      </c>
      <c r="AF197" s="463">
        <f t="shared" si="321"/>
        <v>1.7166049557508091E-2</v>
      </c>
      <c r="AH197" s="153">
        <f t="shared" si="322"/>
        <v>0.54615539389967971</v>
      </c>
      <c r="AI197" s="153">
        <f t="shared" si="323"/>
        <v>0.75</v>
      </c>
      <c r="AJ197" s="153">
        <f t="shared" si="324"/>
        <v>1.6444444444444444</v>
      </c>
      <c r="AL197" s="317">
        <f t="shared" si="325"/>
        <v>87.000000000000014</v>
      </c>
      <c r="AM197" s="147">
        <f t="shared" si="326"/>
        <v>120.92302393947537</v>
      </c>
      <c r="AO197" t="str">
        <f t="shared" si="327"/>
        <v/>
      </c>
      <c r="AP197" t="str">
        <f t="shared" si="328"/>
        <v/>
      </c>
      <c r="AR197" s="5">
        <f t="shared" si="249"/>
        <v>8.2697237252396363</v>
      </c>
      <c r="AS197" s="5">
        <f t="shared" si="335"/>
        <v>5</v>
      </c>
      <c r="AT197" s="5">
        <f t="shared" si="336"/>
        <v>3.2697237252396363</v>
      </c>
      <c r="AU197" s="153">
        <f t="shared" si="337"/>
        <v>0.60461511969737691</v>
      </c>
      <c r="AW197" s="5">
        <f t="shared" si="275"/>
        <v>2.1750000000000003</v>
      </c>
      <c r="AX197" s="5"/>
      <c r="AY197" s="5">
        <f t="shared" si="276"/>
        <v>2.7187500000000004</v>
      </c>
      <c r="AZ197" s="5"/>
      <c r="BA197" s="5">
        <f t="shared" si="277"/>
        <v>0.702385096532959</v>
      </c>
      <c r="BB197" s="5"/>
      <c r="BC197" s="5"/>
      <c r="BD197" s="153">
        <f t="shared" si="278"/>
        <v>0.33669769073051004</v>
      </c>
      <c r="BE197" s="153">
        <f t="shared" si="279"/>
        <v>0.27227681696527495</v>
      </c>
      <c r="BF197" s="153">
        <f t="shared" si="280"/>
        <v>0.27120906474188172</v>
      </c>
      <c r="BG197" s="153"/>
      <c r="BH197" s="463">
        <f t="shared" si="281"/>
        <v>3.9677867230140357E-2</v>
      </c>
      <c r="BI197" s="463">
        <f t="shared" si="282"/>
        <v>1.3295486482145319E-2</v>
      </c>
      <c r="BJ197" s="463">
        <f t="shared" si="283"/>
        <v>1.5115377992434419E-3</v>
      </c>
      <c r="BK197" s="463">
        <f t="shared" si="284"/>
        <v>5.1976488487533437E-3</v>
      </c>
      <c r="BL197">
        <f t="shared" si="285"/>
        <v>2.6099999999999999E-3</v>
      </c>
      <c r="BM197">
        <f t="shared" si="329"/>
        <v>1.2092302393947537E-6</v>
      </c>
      <c r="BN197">
        <f t="shared" si="330"/>
        <v>6.8149152066482033E-2</v>
      </c>
      <c r="BO197" s="147">
        <f t="shared" si="286"/>
        <v>62.292540360282466</v>
      </c>
      <c r="BP197" s="153">
        <f t="shared" si="287"/>
        <v>3.4800000000000005E-2</v>
      </c>
      <c r="BQ197" s="153">
        <f t="shared" si="288"/>
        <v>3.4800000000000005E-2</v>
      </c>
      <c r="BR197" s="463"/>
      <c r="BT197" s="147">
        <f t="shared" si="289"/>
        <v>69.600000000000009</v>
      </c>
      <c r="BU197" s="463">
        <f t="shared" si="290"/>
        <v>0.11336533494325818</v>
      </c>
      <c r="BV197" s="463">
        <f t="shared" si="291"/>
        <v>7.4134665056741836E-2</v>
      </c>
      <c r="BW197" s="463">
        <f t="shared" si="292"/>
        <v>3.6777178399083096E-3</v>
      </c>
      <c r="BX197" s="463">
        <f t="shared" si="293"/>
        <v>0</v>
      </c>
      <c r="BY197" s="463">
        <f t="shared" si="274"/>
        <v>0.21744469035335001</v>
      </c>
      <c r="BZ197" s="463">
        <f t="shared" si="250"/>
        <v>0.19117771783990831</v>
      </c>
      <c r="CA197" s="549">
        <f t="shared" si="331"/>
        <v>3.4009600482977458E-2</v>
      </c>
      <c r="CB197" s="147">
        <f t="shared" si="338"/>
        <v>633.80972651614411</v>
      </c>
      <c r="CC197" s="153">
        <f t="shared" si="251"/>
        <v>0.3892034429028095</v>
      </c>
      <c r="CD197" s="5">
        <f t="shared" si="339"/>
        <v>2.8536016371077757</v>
      </c>
      <c r="CE197" s="153">
        <f t="shared" si="340"/>
        <v>0.87997939028097882</v>
      </c>
      <c r="CF197" s="5">
        <f t="shared" si="341"/>
        <v>87.997939028097889</v>
      </c>
      <c r="CG197">
        <f t="shared" si="342"/>
        <v>87</v>
      </c>
      <c r="CI197" s="59">
        <f t="shared" si="332"/>
        <v>-50</v>
      </c>
      <c r="CJ197">
        <f t="shared" si="333"/>
        <v>-50</v>
      </c>
    </row>
    <row r="198" spans="5:88" x14ac:dyDescent="0.25">
      <c r="E198" s="150">
        <v>88</v>
      </c>
      <c r="F198" s="191">
        <f t="shared" si="334"/>
        <v>8.8000000000000009E-2</v>
      </c>
      <c r="G198" s="191">
        <f t="shared" si="299"/>
        <v>8.8000000000000009E-2</v>
      </c>
      <c r="H198" s="191">
        <f t="shared" si="300"/>
        <v>1.7600000000000002</v>
      </c>
      <c r="I198" s="191">
        <f t="shared" si="301"/>
        <v>1.4080000000000001</v>
      </c>
      <c r="J198" s="472">
        <f t="shared" si="302"/>
        <v>9</v>
      </c>
      <c r="K198" s="386">
        <f t="shared" si="303"/>
        <v>13.609873496217286</v>
      </c>
      <c r="L198" s="386">
        <f t="shared" si="304"/>
        <v>29.32</v>
      </c>
      <c r="M198" s="386"/>
      <c r="N198" s="191">
        <f t="shared" si="305"/>
        <v>0.69304229195088674</v>
      </c>
      <c r="O198" s="152">
        <f t="shared" si="306"/>
        <v>1.1695088676671213</v>
      </c>
      <c r="P198" s="152">
        <f t="shared" si="307"/>
        <v>1.6840927694406547</v>
      </c>
      <c r="Q198" s="191">
        <f t="shared" si="308"/>
        <v>5.8475443383356064E-2</v>
      </c>
      <c r="R198" s="191">
        <f t="shared" si="309"/>
        <v>7.3094304229195078E-2</v>
      </c>
      <c r="S198" s="191">
        <f t="shared" si="310"/>
        <v>13.289873496217286</v>
      </c>
      <c r="T198" s="191">
        <f t="shared" si="311"/>
        <v>0.75</v>
      </c>
      <c r="U198" s="191">
        <f t="shared" si="312"/>
        <v>5</v>
      </c>
      <c r="V198" s="191">
        <f t="shared" si="313"/>
        <v>3.3064230914789365</v>
      </c>
      <c r="W198" s="175">
        <f t="shared" si="314"/>
        <v>350</v>
      </c>
      <c r="X198" s="386">
        <f t="shared" si="315"/>
        <v>120.38876288710122</v>
      </c>
      <c r="Z198" s="191">
        <f t="shared" si="316"/>
        <v>0.25797592047235973</v>
      </c>
      <c r="AA198" s="153">
        <f t="shared" si="317"/>
        <v>1.1373033873271252</v>
      </c>
      <c r="AB198" s="153">
        <f t="shared" si="318"/>
        <v>2.8524697464087981E-2</v>
      </c>
      <c r="AC198" s="153"/>
      <c r="AD198" s="153">
        <f t="shared" si="319"/>
        <v>0.66128461829578733</v>
      </c>
      <c r="AE198" s="317">
        <f t="shared" si="320"/>
        <v>1774.3242483957351</v>
      </c>
      <c r="AF198" s="463">
        <f t="shared" si="321"/>
        <v>1.7358721230264416E-2</v>
      </c>
      <c r="AH198" s="153">
        <f t="shared" si="322"/>
        <v>0.54928524986047611</v>
      </c>
      <c r="AI198" s="153">
        <f t="shared" si="323"/>
        <v>0.75</v>
      </c>
      <c r="AJ198" s="153">
        <f t="shared" si="324"/>
        <v>1.6444444444444444</v>
      </c>
      <c r="AL198" s="317">
        <f t="shared" si="325"/>
        <v>88.000000000000014</v>
      </c>
      <c r="AM198" s="147">
        <f t="shared" si="326"/>
        <v>120.38876288710122</v>
      </c>
      <c r="AO198" t="str">
        <f t="shared" si="327"/>
        <v/>
      </c>
      <c r="AP198" t="str">
        <f t="shared" si="328"/>
        <v/>
      </c>
      <c r="AR198" s="5">
        <f t="shared" ref="AR198:AR262" si="343">1/AM198*1000</f>
        <v>8.3064230914789352</v>
      </c>
      <c r="AS198" s="5">
        <f t="shared" si="335"/>
        <v>5</v>
      </c>
      <c r="AT198" s="5">
        <f t="shared" si="336"/>
        <v>3.3064230914789352</v>
      </c>
      <c r="AU198" s="153">
        <f t="shared" si="337"/>
        <v>0.60194381443550626</v>
      </c>
      <c r="AW198" s="5">
        <f t="shared" si="275"/>
        <v>2.2000000000000002</v>
      </c>
      <c r="AX198" s="5"/>
      <c r="AY198" s="5">
        <f t="shared" si="276"/>
        <v>2.7500000000000004</v>
      </c>
      <c r="AZ198" s="5"/>
      <c r="BA198" s="5">
        <f t="shared" si="277"/>
        <v>0.71843267172875636</v>
      </c>
      <c r="BB198" s="5"/>
      <c r="BC198" s="5"/>
      <c r="BD198" s="153">
        <f t="shared" si="278"/>
        <v>0.33595306994676716</v>
      </c>
      <c r="BE198" s="153">
        <f t="shared" si="279"/>
        <v>0.27319504899127034</v>
      </c>
      <c r="BF198" s="153">
        <f t="shared" si="280"/>
        <v>0.27212369585797125</v>
      </c>
      <c r="BG198" s="153"/>
      <c r="BH198" s="463">
        <f t="shared" si="281"/>
        <v>3.9502562822330098E-2</v>
      </c>
      <c r="BI198" s="463">
        <f t="shared" si="282"/>
        <v>1.3236744479436782E-2</v>
      </c>
      <c r="BJ198" s="463">
        <f t="shared" si="283"/>
        <v>1.5048595360887653E-3</v>
      </c>
      <c r="BK198" s="463">
        <f t="shared" si="284"/>
        <v>5.1746846418278189E-3</v>
      </c>
      <c r="BL198">
        <f t="shared" si="285"/>
        <v>2.6099999999999999E-3</v>
      </c>
      <c r="BM198">
        <f t="shared" si="329"/>
        <v>1.2038876288710123E-6</v>
      </c>
      <c r="BN198">
        <f t="shared" si="330"/>
        <v>6.7857461650239453E-2</v>
      </c>
      <c r="BO198" s="147">
        <f t="shared" si="286"/>
        <v>62.028851479683468</v>
      </c>
      <c r="BP198" s="153">
        <f t="shared" si="287"/>
        <v>3.5200000000000002E-2</v>
      </c>
      <c r="BQ198" s="153">
        <f t="shared" si="288"/>
        <v>3.5200000000000002E-2</v>
      </c>
      <c r="BR198" s="463"/>
      <c r="BT198" s="147">
        <f t="shared" si="289"/>
        <v>70.400000000000006</v>
      </c>
      <c r="BU198" s="463">
        <f t="shared" si="290"/>
        <v>0.11286446520665742</v>
      </c>
      <c r="BV198" s="463">
        <f t="shared" si="291"/>
        <v>7.4635534793342603E-2</v>
      </c>
      <c r="BW198" s="463">
        <f t="shared" si="292"/>
        <v>3.7025652923700818E-3</v>
      </c>
      <c r="BX198" s="463">
        <f t="shared" si="293"/>
        <v>0</v>
      </c>
      <c r="BY198" s="463">
        <f t="shared" si="274"/>
        <v>0.2174733907428841</v>
      </c>
      <c r="BZ198" s="463">
        <f t="shared" ref="BZ198:BZ210" si="344">SUM(BU198:BX198)</f>
        <v>0.19120256529237012</v>
      </c>
      <c r="CA198" s="549">
        <f t="shared" si="331"/>
        <v>3.3859339561997229E-2</v>
      </c>
      <c r="CB198" s="147">
        <f t="shared" si="338"/>
        <v>633.73786088962163</v>
      </c>
      <c r="CC198" s="153">
        <f t="shared" ref="CC198:CC210" si="345">SUM(BN198,BP198:BS198,BY198, CA198)</f>
        <v>0.38959019195512079</v>
      </c>
      <c r="CD198" s="5">
        <f t="shared" si="339"/>
        <v>2.8536016371077757</v>
      </c>
      <c r="CE198" s="153">
        <f t="shared" si="340"/>
        <v>0.87987445316557455</v>
      </c>
      <c r="CF198" s="5">
        <f t="shared" si="341"/>
        <v>87.987445316557455</v>
      </c>
      <c r="CG198">
        <f t="shared" si="342"/>
        <v>88</v>
      </c>
      <c r="CI198" s="59">
        <f t="shared" si="332"/>
        <v>-50</v>
      </c>
      <c r="CJ198">
        <f t="shared" si="333"/>
        <v>-50</v>
      </c>
    </row>
    <row r="199" spans="5:88" x14ac:dyDescent="0.25">
      <c r="E199" s="150">
        <v>89</v>
      </c>
      <c r="F199" s="191">
        <f t="shared" si="334"/>
        <v>8.900000000000001E-2</v>
      </c>
      <c r="G199" s="191">
        <f t="shared" si="299"/>
        <v>8.900000000000001E-2</v>
      </c>
      <c r="H199" s="191">
        <f t="shared" si="300"/>
        <v>1.7800000000000002</v>
      </c>
      <c r="I199" s="191">
        <f t="shared" si="301"/>
        <v>1.4240000000000002</v>
      </c>
      <c r="J199" s="472">
        <f t="shared" si="302"/>
        <v>9</v>
      </c>
      <c r="K199" s="386">
        <f t="shared" si="303"/>
        <v>13.460549074911473</v>
      </c>
      <c r="L199" s="386">
        <f t="shared" si="304"/>
        <v>29.32</v>
      </c>
      <c r="M199" s="386"/>
      <c r="N199" s="191">
        <f t="shared" si="305"/>
        <v>0.69304229195088674</v>
      </c>
      <c r="O199" s="152">
        <f t="shared" si="306"/>
        <v>1.1695088676671213</v>
      </c>
      <c r="P199" s="152">
        <f t="shared" si="307"/>
        <v>1.6840927694406547</v>
      </c>
      <c r="Q199" s="191">
        <f t="shared" si="308"/>
        <v>5.8475443383356064E-2</v>
      </c>
      <c r="R199" s="191">
        <f t="shared" si="309"/>
        <v>7.3094304229195078E-2</v>
      </c>
      <c r="S199" s="191">
        <f t="shared" si="310"/>
        <v>13.140549074911473</v>
      </c>
      <c r="T199" s="191">
        <f t="shared" si="311"/>
        <v>0.75</v>
      </c>
      <c r="U199" s="191">
        <f t="shared" si="312"/>
        <v>5</v>
      </c>
      <c r="V199" s="191">
        <f t="shared" si="313"/>
        <v>3.3431028518646038</v>
      </c>
      <c r="W199" s="175">
        <f t="shared" si="314"/>
        <v>350</v>
      </c>
      <c r="X199" s="386">
        <f t="shared" si="315"/>
        <v>119.85948366638073</v>
      </c>
      <c r="Z199" s="191">
        <f t="shared" si="316"/>
        <v>0.25684175071367304</v>
      </c>
      <c r="AA199" s="153">
        <f t="shared" si="317"/>
        <v>1.1448645190517042</v>
      </c>
      <c r="AB199" s="153">
        <f t="shared" si="318"/>
        <v>2.8588097941978457E-2</v>
      </c>
      <c r="AC199" s="153"/>
      <c r="AD199" s="153">
        <f t="shared" si="319"/>
        <v>0.66862057037292077</v>
      </c>
      <c r="AE199" s="317">
        <f t="shared" si="320"/>
        <v>1774.7983224698094</v>
      </c>
      <c r="AF199" s="463">
        <f t="shared" si="321"/>
        <v>1.755128997228917E-2</v>
      </c>
      <c r="AH199" s="153">
        <f t="shared" si="322"/>
        <v>0.55239737249814758</v>
      </c>
      <c r="AI199" s="153">
        <f t="shared" si="323"/>
        <v>0.75</v>
      </c>
      <c r="AJ199" s="153">
        <f t="shared" si="324"/>
        <v>1.6444444444444444</v>
      </c>
      <c r="AL199" s="317">
        <f t="shared" si="325"/>
        <v>89.000000000000014</v>
      </c>
      <c r="AM199" s="147">
        <f t="shared" si="326"/>
        <v>119.85948366638073</v>
      </c>
      <c r="AO199" t="str">
        <f t="shared" si="327"/>
        <v/>
      </c>
      <c r="AP199" t="str">
        <f t="shared" si="328"/>
        <v/>
      </c>
      <c r="AR199" s="5">
        <f t="shared" si="343"/>
        <v>8.3431028518646055</v>
      </c>
      <c r="AS199" s="5">
        <f t="shared" si="335"/>
        <v>5</v>
      </c>
      <c r="AT199" s="5">
        <f t="shared" si="336"/>
        <v>3.3431028518646055</v>
      </c>
      <c r="AU199" s="153">
        <f t="shared" si="337"/>
        <v>0.59929741833190353</v>
      </c>
      <c r="AW199" s="5">
        <f t="shared" si="275"/>
        <v>2.2250000000000005</v>
      </c>
      <c r="AX199" s="5"/>
      <c r="AY199" s="5">
        <f t="shared" si="276"/>
        <v>2.7812500000000004</v>
      </c>
      <c r="AZ199" s="5"/>
      <c r="BA199" s="5">
        <f t="shared" si="277"/>
        <v>0.73465716991592578</v>
      </c>
      <c r="BB199" s="5"/>
      <c r="BC199" s="5"/>
      <c r="BD199" s="153">
        <f t="shared" si="278"/>
        <v>0.33521376155705768</v>
      </c>
      <c r="BE199" s="153">
        <f t="shared" si="279"/>
        <v>0.27410168562555043</v>
      </c>
      <c r="BF199" s="153">
        <f t="shared" si="280"/>
        <v>0.27302677705446982</v>
      </c>
      <c r="BG199" s="153"/>
      <c r="BH199" s="463">
        <f t="shared" si="281"/>
        <v>3.9328893078031169E-2</v>
      </c>
      <c r="BI199" s="463">
        <f t="shared" si="282"/>
        <v>1.3178550229118562E-2</v>
      </c>
      <c r="BJ199" s="463">
        <f t="shared" si="283"/>
        <v>1.498243545829759E-3</v>
      </c>
      <c r="BK199" s="463">
        <f t="shared" si="284"/>
        <v>5.1519345695700842E-3</v>
      </c>
      <c r="BL199">
        <f t="shared" si="285"/>
        <v>2.6099999999999999E-3</v>
      </c>
      <c r="BM199">
        <f t="shared" si="329"/>
        <v>1.1985948366638072E-6</v>
      </c>
      <c r="BN199">
        <f t="shared" si="330"/>
        <v>6.756850990534892E-2</v>
      </c>
      <c r="BO199" s="147">
        <f t="shared" si="286"/>
        <v>61.767621422549574</v>
      </c>
      <c r="BP199" s="153">
        <f t="shared" si="287"/>
        <v>3.5600000000000007E-2</v>
      </c>
      <c r="BQ199" s="153">
        <f t="shared" si="288"/>
        <v>3.5600000000000007E-2</v>
      </c>
      <c r="BR199" s="463"/>
      <c r="BT199" s="147">
        <f t="shared" si="289"/>
        <v>71.200000000000017</v>
      </c>
      <c r="BU199" s="463">
        <f t="shared" si="290"/>
        <v>0.11236826593723193</v>
      </c>
      <c r="BV199" s="463">
        <f t="shared" si="291"/>
        <v>7.5131734062768074E-2</v>
      </c>
      <c r="BW199" s="463">
        <f t="shared" si="292"/>
        <v>3.7271810494375586E-3</v>
      </c>
      <c r="BX199" s="463">
        <f t="shared" si="293"/>
        <v>0</v>
      </c>
      <c r="BY199" s="463">
        <f t="shared" si="274"/>
        <v>0.21750182362374454</v>
      </c>
      <c r="BZ199" s="463">
        <f t="shared" si="344"/>
        <v>0.19122718104943756</v>
      </c>
      <c r="CA199" s="549">
        <f t="shared" si="331"/>
        <v>3.3710479781169589E-2</v>
      </c>
      <c r="CB199" s="147">
        <f t="shared" si="338"/>
        <v>633.6666655037892</v>
      </c>
      <c r="CC199" s="153">
        <f t="shared" si="345"/>
        <v>0.38998081331026307</v>
      </c>
      <c r="CD199" s="5">
        <f t="shared" si="339"/>
        <v>2.8536016371077757</v>
      </c>
      <c r="CE199" s="153">
        <f t="shared" si="340"/>
        <v>0.87976849077475994</v>
      </c>
      <c r="CF199" s="5">
        <f t="shared" si="341"/>
        <v>87.97684907747599</v>
      </c>
      <c r="CG199">
        <f t="shared" si="342"/>
        <v>89</v>
      </c>
      <c r="CI199" s="59">
        <f t="shared" si="332"/>
        <v>-50</v>
      </c>
      <c r="CJ199">
        <f t="shared" si="333"/>
        <v>-50</v>
      </c>
    </row>
    <row r="200" spans="5:88" x14ac:dyDescent="0.25">
      <c r="E200" s="150">
        <v>90</v>
      </c>
      <c r="F200" s="191">
        <f t="shared" si="334"/>
        <v>9.0000000000000011E-2</v>
      </c>
      <c r="G200" s="191">
        <f t="shared" si="299"/>
        <v>9.0000000000000011E-2</v>
      </c>
      <c r="H200" s="191">
        <f t="shared" si="300"/>
        <v>1.8000000000000003</v>
      </c>
      <c r="I200" s="191">
        <f t="shared" si="301"/>
        <v>1.4400000000000002</v>
      </c>
      <c r="J200" s="472">
        <f t="shared" si="302"/>
        <v>9</v>
      </c>
      <c r="K200" s="386">
        <f t="shared" si="303"/>
        <v>13.314542974079124</v>
      </c>
      <c r="L200" s="386">
        <f t="shared" si="304"/>
        <v>29.32</v>
      </c>
      <c r="M200" s="386"/>
      <c r="N200" s="191">
        <f t="shared" si="305"/>
        <v>0.69304229195088674</v>
      </c>
      <c r="O200" s="152">
        <f t="shared" si="306"/>
        <v>1.1695088676671213</v>
      </c>
      <c r="P200" s="152">
        <f t="shared" si="307"/>
        <v>1.6840927694406547</v>
      </c>
      <c r="Q200" s="191">
        <f t="shared" si="308"/>
        <v>5.8475443383356064E-2</v>
      </c>
      <c r="R200" s="191">
        <f t="shared" si="309"/>
        <v>7.3094304229195078E-2</v>
      </c>
      <c r="S200" s="191">
        <f t="shared" si="310"/>
        <v>12.994542974079124</v>
      </c>
      <c r="T200" s="191">
        <f t="shared" si="311"/>
        <v>0.75</v>
      </c>
      <c r="U200" s="191">
        <f t="shared" si="312"/>
        <v>5</v>
      </c>
      <c r="V200" s="191">
        <f t="shared" si="313"/>
        <v>3.3797630221034565</v>
      </c>
      <c r="W200" s="175">
        <f t="shared" si="314"/>
        <v>350</v>
      </c>
      <c r="X200" s="386">
        <f t="shared" si="315"/>
        <v>119.33511691945003</v>
      </c>
      <c r="Z200" s="191">
        <f t="shared" si="316"/>
        <v>0.25571810768453584</v>
      </c>
      <c r="AA200" s="153">
        <f t="shared" si="317"/>
        <v>1.1523554725792853</v>
      </c>
      <c r="AB200" s="153">
        <f t="shared" si="318"/>
        <v>2.8649265636045241E-2</v>
      </c>
      <c r="AC200" s="153"/>
      <c r="AD200" s="153">
        <f t="shared" si="319"/>
        <v>0.67595260442069127</v>
      </c>
      <c r="AE200" s="317">
        <f t="shared" si="320"/>
        <v>1775.2723965438836</v>
      </c>
      <c r="AF200" s="463">
        <f t="shared" si="321"/>
        <v>1.7743755866043147E-2</v>
      </c>
      <c r="AH200" s="153">
        <f t="shared" si="322"/>
        <v>0.5554920598635309</v>
      </c>
      <c r="AI200" s="153">
        <f t="shared" si="323"/>
        <v>0.75</v>
      </c>
      <c r="AJ200" s="153">
        <f t="shared" si="324"/>
        <v>1.6444444444444444</v>
      </c>
      <c r="AL200" s="317">
        <f t="shared" si="325"/>
        <v>90.000000000000014</v>
      </c>
      <c r="AM200" s="147">
        <f t="shared" si="326"/>
        <v>119.33511691945003</v>
      </c>
      <c r="AO200" t="str">
        <f t="shared" si="327"/>
        <v/>
      </c>
      <c r="AP200" t="str">
        <f t="shared" si="328"/>
        <v/>
      </c>
      <c r="AR200" s="5">
        <f t="shared" si="343"/>
        <v>8.3797630221034574</v>
      </c>
      <c r="AS200" s="5">
        <f t="shared" si="335"/>
        <v>5</v>
      </c>
      <c r="AT200" s="5">
        <f t="shared" si="336"/>
        <v>3.3797630221034574</v>
      </c>
      <c r="AU200" s="153">
        <f t="shared" si="337"/>
        <v>0.59667558459725012</v>
      </c>
      <c r="AW200" s="5">
        <f t="shared" si="275"/>
        <v>2.2500000000000004</v>
      </c>
      <c r="AX200" s="5"/>
      <c r="AY200" s="5">
        <f t="shared" si="276"/>
        <v>2.8125000000000004</v>
      </c>
      <c r="AZ200" s="5"/>
      <c r="BA200" s="5">
        <f t="shared" si="277"/>
        <v>0.75105844935632404</v>
      </c>
      <c r="BB200" s="5"/>
      <c r="BC200" s="5"/>
      <c r="BD200" s="153">
        <f t="shared" si="278"/>
        <v>0.33447970358750378</v>
      </c>
      <c r="BE200" s="153">
        <f t="shared" si="279"/>
        <v>0.27499695977958666</v>
      </c>
      <c r="BF200" s="153">
        <f t="shared" si="280"/>
        <v>0.27391854032947061</v>
      </c>
      <c r="BG200" s="153"/>
      <c r="BH200" s="463">
        <f t="shared" si="281"/>
        <v>3.9156835239194533E-2</v>
      </c>
      <c r="BI200" s="463">
        <f t="shared" si="282"/>
        <v>1.3120896105293533E-2</v>
      </c>
      <c r="BJ200" s="463">
        <f t="shared" si="283"/>
        <v>1.4916889614931253E-3</v>
      </c>
      <c r="BK200" s="463">
        <f t="shared" si="284"/>
        <v>5.129395650762752E-3</v>
      </c>
      <c r="BL200">
        <f t="shared" si="285"/>
        <v>2.6099999999999999E-3</v>
      </c>
      <c r="BM200">
        <f t="shared" si="329"/>
        <v>1.1933511691945002E-6</v>
      </c>
      <c r="BN200">
        <f t="shared" si="330"/>
        <v>6.7282258442092749E-2</v>
      </c>
      <c r="BO200" s="147">
        <f t="shared" si="286"/>
        <v>61.508815956743945</v>
      </c>
      <c r="BP200" s="153">
        <f t="shared" si="287"/>
        <v>3.6000000000000004E-2</v>
      </c>
      <c r="BQ200" s="153">
        <f t="shared" si="288"/>
        <v>3.6000000000000004E-2</v>
      </c>
      <c r="BR200" s="463"/>
      <c r="BT200" s="147">
        <f t="shared" si="289"/>
        <v>72.000000000000014</v>
      </c>
      <c r="BU200" s="463">
        <f t="shared" si="290"/>
        <v>0.11187667211198439</v>
      </c>
      <c r="BV200" s="463">
        <f t="shared" si="291"/>
        <v>7.5623327888015596E-2</v>
      </c>
      <c r="BW200" s="463">
        <f t="shared" si="292"/>
        <v>3.7515683368113911E-3</v>
      </c>
      <c r="BX200" s="463">
        <f t="shared" si="293"/>
        <v>0</v>
      </c>
      <c r="BY200" s="463">
        <f t="shared" si="274"/>
        <v>0.2175299927186477</v>
      </c>
      <c r="BZ200" s="463">
        <f t="shared" si="344"/>
        <v>0.1912515683368114</v>
      </c>
      <c r="CA200" s="549">
        <f t="shared" si="331"/>
        <v>3.3563001633595331E-2</v>
      </c>
      <c r="CB200" s="147">
        <f t="shared" si="338"/>
        <v>633.59613102586582</v>
      </c>
      <c r="CC200" s="153">
        <f t="shared" si="345"/>
        <v>0.39037525279433577</v>
      </c>
      <c r="CD200" s="5">
        <f t="shared" si="339"/>
        <v>2.8536016371077757</v>
      </c>
      <c r="CE200" s="153">
        <f t="shared" si="340"/>
        <v>0.87966151854857522</v>
      </c>
      <c r="CF200" s="5">
        <f t="shared" si="341"/>
        <v>87.966151854857515</v>
      </c>
      <c r="CG200">
        <f t="shared" si="342"/>
        <v>90</v>
      </c>
      <c r="CI200" s="59">
        <f t="shared" si="332"/>
        <v>-50</v>
      </c>
      <c r="CJ200">
        <f t="shared" si="333"/>
        <v>-50</v>
      </c>
    </row>
    <row r="201" spans="5:88" x14ac:dyDescent="0.25">
      <c r="E201" s="150">
        <v>91</v>
      </c>
      <c r="F201" s="191">
        <f t="shared" si="334"/>
        <v>9.1000000000000011E-2</v>
      </c>
      <c r="G201" s="191">
        <f t="shared" si="299"/>
        <v>9.1000000000000011E-2</v>
      </c>
      <c r="H201" s="191">
        <f t="shared" si="300"/>
        <v>1.8200000000000003</v>
      </c>
      <c r="I201" s="191">
        <f t="shared" si="301"/>
        <v>1.4560000000000002</v>
      </c>
      <c r="J201" s="472">
        <f t="shared" si="302"/>
        <v>9</v>
      </c>
      <c r="K201" s="386">
        <f t="shared" si="303"/>
        <v>13.171745798539792</v>
      </c>
      <c r="L201" s="386">
        <f t="shared" si="304"/>
        <v>29.32</v>
      </c>
      <c r="M201" s="386"/>
      <c r="N201" s="191">
        <f t="shared" si="305"/>
        <v>0.69304229195088674</v>
      </c>
      <c r="O201" s="152">
        <f t="shared" si="306"/>
        <v>1.1695088676671213</v>
      </c>
      <c r="P201" s="152">
        <f t="shared" si="307"/>
        <v>1.6840927694406547</v>
      </c>
      <c r="Q201" s="191">
        <f t="shared" si="308"/>
        <v>5.8475443383356064E-2</v>
      </c>
      <c r="R201" s="191">
        <f t="shared" si="309"/>
        <v>7.3094304229195078E-2</v>
      </c>
      <c r="S201" s="191">
        <f t="shared" si="310"/>
        <v>12.851745798539792</v>
      </c>
      <c r="T201" s="191">
        <f t="shared" si="311"/>
        <v>0.75</v>
      </c>
      <c r="U201" s="191">
        <f t="shared" si="312"/>
        <v>5</v>
      </c>
      <c r="V201" s="191">
        <f t="shared" si="313"/>
        <v>3.4164036178855399</v>
      </c>
      <c r="W201" s="175">
        <f t="shared" si="314"/>
        <v>350</v>
      </c>
      <c r="X201" s="386">
        <f t="shared" si="315"/>
        <v>118.81559456997987</v>
      </c>
      <c r="Z201" s="191">
        <f t="shared" si="316"/>
        <v>0.25460484550709972</v>
      </c>
      <c r="AA201" s="153">
        <f t="shared" si="317"/>
        <v>1.1597772204288592</v>
      </c>
      <c r="AB201" s="153">
        <f t="shared" si="318"/>
        <v>2.8708254169577813E-2</v>
      </c>
      <c r="AC201" s="153"/>
      <c r="AD201" s="153">
        <f t="shared" si="319"/>
        <v>0.6832807235771079</v>
      </c>
      <c r="AE201" s="317">
        <f t="shared" si="320"/>
        <v>1775.7464706179574</v>
      </c>
      <c r="AF201" s="463">
        <f t="shared" si="321"/>
        <v>1.7936118993899085E-2</v>
      </c>
      <c r="AH201" s="153">
        <f t="shared" si="322"/>
        <v>0.55856960175075765</v>
      </c>
      <c r="AI201" s="153">
        <f t="shared" si="323"/>
        <v>0.75</v>
      </c>
      <c r="AJ201" s="153">
        <f t="shared" si="324"/>
        <v>1.6444444444444444</v>
      </c>
      <c r="AL201" s="317">
        <f t="shared" si="325"/>
        <v>91.000000000000014</v>
      </c>
      <c r="AM201" s="147">
        <f t="shared" si="326"/>
        <v>118.81559456997987</v>
      </c>
      <c r="AO201" t="str">
        <f t="shared" si="327"/>
        <v/>
      </c>
      <c r="AP201" t="str">
        <f t="shared" si="328"/>
        <v/>
      </c>
      <c r="AR201" s="5">
        <f t="shared" si="343"/>
        <v>8.416403617885539</v>
      </c>
      <c r="AS201" s="5">
        <f t="shared" si="335"/>
        <v>5</v>
      </c>
      <c r="AT201" s="5">
        <f t="shared" si="336"/>
        <v>3.416403617885539</v>
      </c>
      <c r="AU201" s="153">
        <f t="shared" si="337"/>
        <v>0.59407797284989938</v>
      </c>
      <c r="AW201" s="5">
        <f t="shared" si="275"/>
        <v>2.2750000000000004</v>
      </c>
      <c r="AX201" s="5"/>
      <c r="AY201" s="5">
        <f t="shared" si="276"/>
        <v>2.8437500000000004</v>
      </c>
      <c r="AZ201" s="5"/>
      <c r="BA201" s="5">
        <f t="shared" si="277"/>
        <v>0.76763636846317063</v>
      </c>
      <c r="BB201" s="5"/>
      <c r="BC201" s="5"/>
      <c r="BD201" s="153">
        <f t="shared" si="278"/>
        <v>0.33375083506915176</v>
      </c>
      <c r="BE201" s="153">
        <f t="shared" si="279"/>
        <v>0.2758810977407547</v>
      </c>
      <c r="BF201" s="153">
        <f t="shared" si="280"/>
        <v>0.27479921108294786</v>
      </c>
      <c r="BG201" s="153"/>
      <c r="BH201" s="463">
        <f t="shared" si="281"/>
        <v>3.8986366968274649E-2</v>
      </c>
      <c r="BI201" s="463">
        <f t="shared" si="282"/>
        <v>1.3063774622969287E-2</v>
      </c>
      <c r="BJ201" s="463">
        <f t="shared" si="283"/>
        <v>1.4851949321247483E-3</v>
      </c>
      <c r="BK201" s="463">
        <f t="shared" si="284"/>
        <v>5.1070649592727937E-3</v>
      </c>
      <c r="BL201">
        <f t="shared" si="285"/>
        <v>2.6099999999999999E-3</v>
      </c>
      <c r="BM201">
        <f t="shared" si="329"/>
        <v>1.1881559456997986E-6</v>
      </c>
      <c r="BN201">
        <f t="shared" si="330"/>
        <v>6.6998669584927312E-2</v>
      </c>
      <c r="BO201" s="147">
        <f t="shared" si="286"/>
        <v>61.252401482641481</v>
      </c>
      <c r="BP201" s="153">
        <f t="shared" si="287"/>
        <v>3.6400000000000009E-2</v>
      </c>
      <c r="BQ201" s="153">
        <f t="shared" si="288"/>
        <v>3.6400000000000009E-2</v>
      </c>
      <c r="BR201" s="463"/>
      <c r="BT201" s="147">
        <f t="shared" si="289"/>
        <v>72.800000000000011</v>
      </c>
      <c r="BU201" s="463">
        <f t="shared" si="290"/>
        <v>0.11138961990935614</v>
      </c>
      <c r="BV201" s="463">
        <f t="shared" si="291"/>
        <v>7.6110380090643845E-2</v>
      </c>
      <c r="BW201" s="463">
        <f t="shared" si="292"/>
        <v>3.7757303205905265E-3</v>
      </c>
      <c r="BX201" s="463">
        <f t="shared" si="293"/>
        <v>0</v>
      </c>
      <c r="BY201" s="463">
        <f t="shared" si="274"/>
        <v>0.21755790168155376</v>
      </c>
      <c r="BZ201" s="463">
        <f t="shared" si="344"/>
        <v>0.19127573032059053</v>
      </c>
      <c r="CA201" s="549">
        <f t="shared" si="331"/>
        <v>3.3416885972806842E-2</v>
      </c>
      <c r="CB201" s="147">
        <f t="shared" si="338"/>
        <v>633.52624829554168</v>
      </c>
      <c r="CC201" s="153">
        <f t="shared" si="345"/>
        <v>0.39077345723928797</v>
      </c>
      <c r="CD201" s="5">
        <f t="shared" si="339"/>
        <v>2.8536016371077757</v>
      </c>
      <c r="CE201" s="153">
        <f t="shared" si="340"/>
        <v>0.87955355164692139</v>
      </c>
      <c r="CF201" s="5">
        <f t="shared" si="341"/>
        <v>87.955355164692136</v>
      </c>
      <c r="CG201">
        <f t="shared" si="342"/>
        <v>91</v>
      </c>
      <c r="CI201" s="59">
        <f t="shared" si="332"/>
        <v>-50</v>
      </c>
      <c r="CJ201">
        <f t="shared" si="333"/>
        <v>-50</v>
      </c>
    </row>
    <row r="202" spans="5:88" x14ac:dyDescent="0.25">
      <c r="E202" s="150">
        <v>92</v>
      </c>
      <c r="F202" s="191">
        <f t="shared" si="334"/>
        <v>9.2000000000000012E-2</v>
      </c>
      <c r="G202" s="191">
        <f t="shared" si="299"/>
        <v>9.2000000000000012E-2</v>
      </c>
      <c r="H202" s="191">
        <f t="shared" si="300"/>
        <v>1.8400000000000003</v>
      </c>
      <c r="I202" s="191">
        <f t="shared" si="301"/>
        <v>1.4720000000000002</v>
      </c>
      <c r="J202" s="472">
        <f t="shared" si="302"/>
        <v>9</v>
      </c>
      <c r="K202" s="386">
        <f t="shared" si="303"/>
        <v>13.03205290942523</v>
      </c>
      <c r="L202" s="386">
        <f t="shared" si="304"/>
        <v>29.32</v>
      </c>
      <c r="M202" s="386"/>
      <c r="N202" s="191">
        <f t="shared" si="305"/>
        <v>0.69304229195088674</v>
      </c>
      <c r="O202" s="152">
        <f t="shared" si="306"/>
        <v>1.1695088676671213</v>
      </c>
      <c r="P202" s="152">
        <f t="shared" si="307"/>
        <v>1.6840927694406547</v>
      </c>
      <c r="Q202" s="191">
        <f t="shared" si="308"/>
        <v>5.8475443383356064E-2</v>
      </c>
      <c r="R202" s="191">
        <f t="shared" si="309"/>
        <v>7.3094304229195078E-2</v>
      </c>
      <c r="S202" s="191">
        <f t="shared" si="310"/>
        <v>12.71205290942523</v>
      </c>
      <c r="T202" s="191">
        <f t="shared" si="311"/>
        <v>0.75</v>
      </c>
      <c r="U202" s="191">
        <f t="shared" si="312"/>
        <v>5</v>
      </c>
      <c r="V202" s="191">
        <f t="shared" si="313"/>
        <v>3.453024654884147</v>
      </c>
      <c r="W202" s="175">
        <f t="shared" si="314"/>
        <v>350</v>
      </c>
      <c r="X202" s="386">
        <f t="shared" si="315"/>
        <v>118.30084979371276</v>
      </c>
      <c r="Z202" s="191">
        <f t="shared" si="316"/>
        <v>0.25350182098652735</v>
      </c>
      <c r="AA202" s="153">
        <f t="shared" si="317"/>
        <v>1.1671307172326753</v>
      </c>
      <c r="AB202" s="153">
        <f t="shared" si="318"/>
        <v>2.8765115764368954E-2</v>
      </c>
      <c r="AC202" s="153"/>
      <c r="AD202" s="153">
        <f t="shared" si="319"/>
        <v>0.6906049309768294</v>
      </c>
      <c r="AE202" s="317">
        <f t="shared" si="320"/>
        <v>1776.2205446920318</v>
      </c>
      <c r="AF202" s="463">
        <f t="shared" si="321"/>
        <v>1.8128379438141773E-2</v>
      </c>
      <c r="AH202" s="153">
        <f t="shared" si="322"/>
        <v>0.56163028001397097</v>
      </c>
      <c r="AI202" s="153">
        <f t="shared" si="323"/>
        <v>0.75</v>
      </c>
      <c r="AJ202" s="153">
        <f t="shared" si="324"/>
        <v>1.6444444444444444</v>
      </c>
      <c r="AL202" s="317">
        <f t="shared" si="325"/>
        <v>92.000000000000014</v>
      </c>
      <c r="AM202" s="147">
        <f t="shared" si="326"/>
        <v>118.30084979371276</v>
      </c>
      <c r="AO202" t="str">
        <f t="shared" si="327"/>
        <v/>
      </c>
      <c r="AP202" t="str">
        <f t="shared" si="328"/>
        <v/>
      </c>
      <c r="AR202" s="5">
        <f t="shared" si="343"/>
        <v>8.4530246548841461</v>
      </c>
      <c r="AS202" s="5">
        <f t="shared" si="335"/>
        <v>5</v>
      </c>
      <c r="AT202" s="5">
        <f t="shared" si="336"/>
        <v>3.4530246548841461</v>
      </c>
      <c r="AU202" s="153">
        <f t="shared" si="337"/>
        <v>0.59150424896856379</v>
      </c>
      <c r="AW202" s="5">
        <f t="shared" si="275"/>
        <v>2.3000000000000003</v>
      </c>
      <c r="AX202" s="5"/>
      <c r="AY202" s="5">
        <f t="shared" si="276"/>
        <v>2.8750000000000004</v>
      </c>
      <c r="AZ202" s="5"/>
      <c r="BA202" s="5">
        <f t="shared" si="277"/>
        <v>0.7843907858008432</v>
      </c>
      <c r="BB202" s="5"/>
      <c r="BC202" s="5"/>
      <c r="BD202" s="153">
        <f t="shared" si="278"/>
        <v>0.33302709601713448</v>
      </c>
      <c r="BE202" s="153">
        <f t="shared" si="279"/>
        <v>0.27675431942138551</v>
      </c>
      <c r="BF202" s="153">
        <f t="shared" si="280"/>
        <v>0.2756690083648311</v>
      </c>
      <c r="BG202" s="153"/>
      <c r="BH202" s="463">
        <f t="shared" si="281"/>
        <v>3.8817466338562E-2</v>
      </c>
      <c r="BI202" s="463">
        <f t="shared" si="282"/>
        <v>1.3007178434818719E-2</v>
      </c>
      <c r="BJ202" s="463">
        <f t="shared" si="283"/>
        <v>1.4787606224214095E-3</v>
      </c>
      <c r="BK202" s="463">
        <f t="shared" si="284"/>
        <v>5.0849396227851309E-3</v>
      </c>
      <c r="BL202">
        <f t="shared" si="285"/>
        <v>2.6099999999999999E-3</v>
      </c>
      <c r="BM202">
        <f t="shared" si="329"/>
        <v>1.1830084979371276E-6</v>
      </c>
      <c r="BN202">
        <f t="shared" si="330"/>
        <v>6.6717706355952519E-2</v>
      </c>
      <c r="BO202" s="147">
        <f t="shared" si="286"/>
        <v>60.998345018587258</v>
      </c>
      <c r="BP202" s="153">
        <f t="shared" si="287"/>
        <v>3.6800000000000006E-2</v>
      </c>
      <c r="BQ202" s="153">
        <f t="shared" si="288"/>
        <v>3.6800000000000006E-2</v>
      </c>
      <c r="BR202" s="463"/>
      <c r="BT202" s="147">
        <f t="shared" si="289"/>
        <v>73.600000000000009</v>
      </c>
      <c r="BU202" s="463">
        <f t="shared" si="290"/>
        <v>0.11090704668160571</v>
      </c>
      <c r="BV202" s="463">
        <f t="shared" si="291"/>
        <v>7.6592953318394275E-2</v>
      </c>
      <c r="BW202" s="463">
        <f t="shared" si="292"/>
        <v>3.7996701086424663E-3</v>
      </c>
      <c r="BX202" s="463">
        <f t="shared" si="293"/>
        <v>0</v>
      </c>
      <c r="BY202" s="463">
        <f t="shared" si="274"/>
        <v>0.21758555409924693</v>
      </c>
      <c r="BZ202" s="463">
        <f t="shared" si="344"/>
        <v>0.19129967010864246</v>
      </c>
      <c r="CA202" s="549">
        <f t="shared" si="331"/>
        <v>3.3272114004481719E-2</v>
      </c>
      <c r="CB202" s="147">
        <f t="shared" si="338"/>
        <v>633.45700832101363</v>
      </c>
      <c r="CC202" s="153">
        <f t="shared" si="345"/>
        <v>0.3911753744596812</v>
      </c>
      <c r="CD202" s="5">
        <f t="shared" si="339"/>
        <v>2.8536016371077757</v>
      </c>
      <c r="CE202" s="153">
        <f t="shared" si="340"/>
        <v>0.87944460495585308</v>
      </c>
      <c r="CF202" s="5">
        <f t="shared" si="341"/>
        <v>87.944460495585304</v>
      </c>
      <c r="CG202">
        <f t="shared" si="342"/>
        <v>92</v>
      </c>
      <c r="CI202" s="59">
        <f t="shared" si="332"/>
        <v>-50</v>
      </c>
      <c r="CJ202">
        <f t="shared" si="333"/>
        <v>-50</v>
      </c>
    </row>
    <row r="203" spans="5:88" x14ac:dyDescent="0.25">
      <c r="E203" s="150">
        <v>93</v>
      </c>
      <c r="F203" s="191">
        <f t="shared" si="334"/>
        <v>9.3000000000000013E-2</v>
      </c>
      <c r="G203" s="191">
        <f t="shared" si="299"/>
        <v>9.3000000000000013E-2</v>
      </c>
      <c r="H203" s="191">
        <f t="shared" si="300"/>
        <v>1.8600000000000003</v>
      </c>
      <c r="I203" s="191">
        <f t="shared" si="301"/>
        <v>1.4880000000000002</v>
      </c>
      <c r="J203" s="472">
        <f t="shared" si="302"/>
        <v>9</v>
      </c>
      <c r="K203" s="386">
        <f t="shared" si="303"/>
        <v>12.895364168463669</v>
      </c>
      <c r="L203" s="386">
        <f t="shared" si="304"/>
        <v>29.32</v>
      </c>
      <c r="M203" s="386"/>
      <c r="N203" s="191">
        <f t="shared" si="305"/>
        <v>0.69304229195088674</v>
      </c>
      <c r="O203" s="152">
        <f t="shared" si="306"/>
        <v>1.1695088676671213</v>
      </c>
      <c r="P203" s="152">
        <f t="shared" si="307"/>
        <v>1.6840927694406547</v>
      </c>
      <c r="Q203" s="191">
        <f t="shared" si="308"/>
        <v>5.8475443383356064E-2</v>
      </c>
      <c r="R203" s="191">
        <f t="shared" si="309"/>
        <v>7.3094304229195078E-2</v>
      </c>
      <c r="S203" s="191">
        <f t="shared" si="310"/>
        <v>12.575364168463668</v>
      </c>
      <c r="T203" s="191">
        <f t="shared" si="311"/>
        <v>0.75</v>
      </c>
      <c r="U203" s="191">
        <f t="shared" si="312"/>
        <v>5</v>
      </c>
      <c r="V203" s="191">
        <f t="shared" si="313"/>
        <v>3.4896261487558462</v>
      </c>
      <c r="W203" s="175">
        <f t="shared" si="314"/>
        <v>350</v>
      </c>
      <c r="X203" s="386">
        <f t="shared" si="315"/>
        <v>117.79081698980937</v>
      </c>
      <c r="Z203" s="191">
        <f t="shared" si="316"/>
        <v>0.25240889354959156</v>
      </c>
      <c r="AA203" s="153">
        <f t="shared" si="317"/>
        <v>1.1744169001455806</v>
      </c>
      <c r="AB203" s="153">
        <f t="shared" si="318"/>
        <v>2.8819901282247363E-2</v>
      </c>
      <c r="AC203" s="153"/>
      <c r="AD203" s="153">
        <f t="shared" si="319"/>
        <v>0.69792522975116911</v>
      </c>
      <c r="AE203" s="317">
        <f t="shared" si="320"/>
        <v>1776.6946187661058</v>
      </c>
      <c r="AF203" s="463">
        <f t="shared" si="321"/>
        <v>1.8320537280968188E-2</v>
      </c>
      <c r="AH203" s="153">
        <f t="shared" si="322"/>
        <v>0.56467436886859224</v>
      </c>
      <c r="AI203" s="153">
        <f t="shared" si="323"/>
        <v>0.75</v>
      </c>
      <c r="AJ203" s="153">
        <f t="shared" si="324"/>
        <v>1.6444444444444444</v>
      </c>
      <c r="AL203" s="317">
        <f t="shared" si="325"/>
        <v>93.000000000000014</v>
      </c>
      <c r="AM203" s="147">
        <f t="shared" si="326"/>
        <v>117.79081698980937</v>
      </c>
      <c r="AO203" t="str">
        <f t="shared" si="327"/>
        <v/>
      </c>
      <c r="AP203" t="str">
        <f t="shared" si="328"/>
        <v/>
      </c>
      <c r="AR203" s="5">
        <f t="shared" si="343"/>
        <v>8.4896261487558462</v>
      </c>
      <c r="AS203" s="5">
        <f t="shared" si="335"/>
        <v>5</v>
      </c>
      <c r="AT203" s="5">
        <f t="shared" si="336"/>
        <v>3.4896261487558462</v>
      </c>
      <c r="AU203" s="153">
        <f t="shared" si="337"/>
        <v>0.58895408494904689</v>
      </c>
      <c r="AW203" s="5">
        <f t="shared" si="275"/>
        <v>2.3250000000000002</v>
      </c>
      <c r="AX203" s="5"/>
      <c r="AY203" s="5">
        <f t="shared" si="276"/>
        <v>2.9062500000000004</v>
      </c>
      <c r="AZ203" s="5"/>
      <c r="BA203" s="5">
        <f t="shared" si="277"/>
        <v>0.80132156008467592</v>
      </c>
      <c r="BB203" s="5"/>
      <c r="BC203" s="5"/>
      <c r="BD203" s="153">
        <f t="shared" si="278"/>
        <v>0.33230842741035971</v>
      </c>
      <c r="BE203" s="153">
        <f t="shared" si="279"/>
        <v>0.27761683859602915</v>
      </c>
      <c r="BF203" s="153">
        <f t="shared" si="280"/>
        <v>0.27652814511133889</v>
      </c>
      <c r="BG203" s="153"/>
      <c r="BH203" s="463">
        <f t="shared" si="281"/>
        <v>3.8650111824781203E-2</v>
      </c>
      <c r="BI203" s="463">
        <f t="shared" si="282"/>
        <v>1.2951100328029543E-2</v>
      </c>
      <c r="BJ203" s="463">
        <f t="shared" si="283"/>
        <v>1.472385212372617E-3</v>
      </c>
      <c r="BK203" s="463">
        <f t="shared" si="284"/>
        <v>5.0630168215710161E-3</v>
      </c>
      <c r="BL203">
        <f t="shared" si="285"/>
        <v>2.6099999999999999E-3</v>
      </c>
      <c r="BM203">
        <f t="shared" si="329"/>
        <v>1.1779081698980936E-6</v>
      </c>
      <c r="BN203">
        <f t="shared" si="330"/>
        <v>6.6439332458838318E-2</v>
      </c>
      <c r="BO203" s="147">
        <f t="shared" si="286"/>
        <v>60.746614186754378</v>
      </c>
      <c r="BP203" s="153">
        <f t="shared" si="287"/>
        <v>3.7200000000000004E-2</v>
      </c>
      <c r="BQ203" s="153">
        <f t="shared" si="288"/>
        <v>3.7200000000000004E-2</v>
      </c>
      <c r="BR203" s="463"/>
      <c r="BT203" s="147">
        <f t="shared" si="289"/>
        <v>74.400000000000006</v>
      </c>
      <c r="BU203" s="463">
        <f t="shared" si="290"/>
        <v>0.1104288909279463</v>
      </c>
      <c r="BV203" s="463">
        <f t="shared" si="291"/>
        <v>7.7071109072053695E-2</v>
      </c>
      <c r="BW203" s="463">
        <f t="shared" si="292"/>
        <v>3.8233907519358845E-3</v>
      </c>
      <c r="BX203" s="463">
        <f t="shared" si="293"/>
        <v>0</v>
      </c>
      <c r="BY203" s="463">
        <f t="shared" si="274"/>
        <v>0.21761295349287219</v>
      </c>
      <c r="BZ203" s="463">
        <f t="shared" si="344"/>
        <v>0.19132339075193588</v>
      </c>
      <c r="CA203" s="549">
        <f t="shared" si="331"/>
        <v>3.3128667278383893E-2</v>
      </c>
      <c r="CB203" s="147">
        <f t="shared" si="338"/>
        <v>633.38840227512799</v>
      </c>
      <c r="CC203" s="153">
        <f t="shared" si="345"/>
        <v>0.3915809532300944</v>
      </c>
      <c r="CD203" s="5">
        <f t="shared" si="339"/>
        <v>2.8536016371077757</v>
      </c>
      <c r="CE203" s="153">
        <f t="shared" si="340"/>
        <v>0.87933469309370205</v>
      </c>
      <c r="CF203" s="5">
        <f t="shared" si="341"/>
        <v>87.93346930937021</v>
      </c>
      <c r="CG203">
        <f t="shared" si="342"/>
        <v>93</v>
      </c>
      <c r="CI203" s="59">
        <f t="shared" si="332"/>
        <v>-50</v>
      </c>
      <c r="CJ203">
        <f t="shared" si="333"/>
        <v>-50</v>
      </c>
    </row>
    <row r="204" spans="5:88" x14ac:dyDescent="0.25">
      <c r="E204" s="150">
        <v>94</v>
      </c>
      <c r="F204" s="191">
        <f t="shared" si="334"/>
        <v>9.4E-2</v>
      </c>
      <c r="G204" s="191">
        <f t="shared" si="299"/>
        <v>9.4E-2</v>
      </c>
      <c r="H204" s="191">
        <f t="shared" si="300"/>
        <v>1.88</v>
      </c>
      <c r="I204" s="191">
        <f t="shared" si="301"/>
        <v>1.504</v>
      </c>
      <c r="J204" s="472">
        <f t="shared" si="302"/>
        <v>9</v>
      </c>
      <c r="K204" s="386">
        <f t="shared" si="303"/>
        <v>12.761583698586396</v>
      </c>
      <c r="L204" s="386">
        <f t="shared" si="304"/>
        <v>29.32</v>
      </c>
      <c r="M204" s="386"/>
      <c r="N204" s="191">
        <f t="shared" si="305"/>
        <v>0.69304229195088674</v>
      </c>
      <c r="O204" s="152">
        <f t="shared" si="306"/>
        <v>1.1695088676671213</v>
      </c>
      <c r="P204" s="152">
        <f t="shared" si="307"/>
        <v>1.6840927694406547</v>
      </c>
      <c r="Q204" s="191">
        <f t="shared" si="308"/>
        <v>5.8475443383356064E-2</v>
      </c>
      <c r="R204" s="191">
        <f t="shared" si="309"/>
        <v>7.3094304229195078E-2</v>
      </c>
      <c r="S204" s="191">
        <f t="shared" si="310"/>
        <v>12.441583698586395</v>
      </c>
      <c r="T204" s="191">
        <f t="shared" si="311"/>
        <v>0.75</v>
      </c>
      <c r="U204" s="191">
        <f t="shared" si="312"/>
        <v>5</v>
      </c>
      <c r="V204" s="191">
        <f t="shared" si="313"/>
        <v>3.5262081151404949</v>
      </c>
      <c r="W204" s="175">
        <f t="shared" si="314"/>
        <v>350</v>
      </c>
      <c r="X204" s="386">
        <f t="shared" si="315"/>
        <v>117.28543175297827</v>
      </c>
      <c r="Z204" s="191">
        <f t="shared" si="316"/>
        <v>0.25132592518495345</v>
      </c>
      <c r="AA204" s="153">
        <f t="shared" si="317"/>
        <v>1.1816366892431678</v>
      </c>
      <c r="AB204" s="153">
        <f t="shared" si="318"/>
        <v>2.8872660265217655E-2</v>
      </c>
      <c r="AC204" s="153"/>
      <c r="AD204" s="153">
        <f t="shared" si="319"/>
        <v>0.70524162302809901</v>
      </c>
      <c r="AE204" s="317">
        <f t="shared" si="320"/>
        <v>1777.1686928401796</v>
      </c>
      <c r="AF204" s="463">
        <f t="shared" si="321"/>
        <v>1.8512592604487597E-2</v>
      </c>
      <c r="AH204" s="153">
        <f t="shared" si="322"/>
        <v>0.56770213517804768</v>
      </c>
      <c r="AI204" s="153">
        <f t="shared" si="323"/>
        <v>0.75</v>
      </c>
      <c r="AJ204" s="153">
        <f t="shared" si="324"/>
        <v>1.6444444444444444</v>
      </c>
      <c r="AL204" s="317">
        <f t="shared" si="325"/>
        <v>94</v>
      </c>
      <c r="AM204" s="147">
        <f t="shared" si="326"/>
        <v>117.28543175297827</v>
      </c>
      <c r="AO204" t="str">
        <f t="shared" si="327"/>
        <v/>
      </c>
      <c r="AP204" t="str">
        <f t="shared" si="328"/>
        <v/>
      </c>
      <c r="AR204" s="5">
        <f t="shared" si="343"/>
        <v>8.5262081151404949</v>
      </c>
      <c r="AS204" s="5">
        <f t="shared" si="335"/>
        <v>5</v>
      </c>
      <c r="AT204" s="5">
        <f t="shared" si="336"/>
        <v>3.5262081151404949</v>
      </c>
      <c r="AU204" s="153">
        <f t="shared" si="337"/>
        <v>0.58642715876489138</v>
      </c>
      <c r="AW204" s="5">
        <f t="shared" si="275"/>
        <v>2.3499999999999996</v>
      </c>
      <c r="AX204" s="5"/>
      <c r="AY204" s="5">
        <f t="shared" si="276"/>
        <v>2.9375</v>
      </c>
      <c r="AZ204" s="5"/>
      <c r="BA204" s="5">
        <f t="shared" si="277"/>
        <v>0.81842855018075678</v>
      </c>
      <c r="BB204" s="5"/>
      <c r="BC204" s="5"/>
      <c r="BD204" s="153">
        <f t="shared" si="278"/>
        <v>0.3315947711717076</v>
      </c>
      <c r="BE204" s="153">
        <f t="shared" si="279"/>
        <v>0.27846886312760871</v>
      </c>
      <c r="BF204" s="153">
        <f t="shared" si="280"/>
        <v>0.27737682837024552</v>
      </c>
      <c r="BG204" s="153"/>
      <c r="BH204" s="463">
        <f t="shared" si="281"/>
        <v>3.8484282293945994E-2</v>
      </c>
      <c r="BI204" s="463">
        <f t="shared" si="282"/>
        <v>1.2895533221239963E-2</v>
      </c>
      <c r="BJ204" s="463">
        <f t="shared" si="283"/>
        <v>1.4660678969122282E-3</v>
      </c>
      <c r="BK204" s="463">
        <f t="shared" si="284"/>
        <v>5.0412937872900765E-3</v>
      </c>
      <c r="BL204">
        <f t="shared" si="285"/>
        <v>2.6099999999999999E-3</v>
      </c>
      <c r="BM204">
        <f t="shared" si="329"/>
        <v>1.1728543175297827E-6</v>
      </c>
      <c r="BN204">
        <f t="shared" si="330"/>
        <v>6.6163512263193461E-2</v>
      </c>
      <c r="BO204" s="147">
        <f t="shared" si="286"/>
        <v>60.497177199388261</v>
      </c>
      <c r="BP204" s="153">
        <f t="shared" si="287"/>
        <v>3.7600000000000001E-2</v>
      </c>
      <c r="BQ204" s="153">
        <f t="shared" si="288"/>
        <v>3.7600000000000001E-2</v>
      </c>
      <c r="BR204" s="463"/>
      <c r="BT204" s="147">
        <f t="shared" si="289"/>
        <v>75.2</v>
      </c>
      <c r="BU204" s="463">
        <f t="shared" si="290"/>
        <v>0.10995509226841713</v>
      </c>
      <c r="BV204" s="463">
        <f t="shared" si="291"/>
        <v>7.7544907731582874E-2</v>
      </c>
      <c r="BW204" s="463">
        <f t="shared" si="292"/>
        <v>3.8468952458368326E-3</v>
      </c>
      <c r="BX204" s="463">
        <f t="shared" si="293"/>
        <v>0</v>
      </c>
      <c r="BY204" s="463">
        <f t="shared" si="274"/>
        <v>0.21764010331942976</v>
      </c>
      <c r="BZ204" s="463">
        <f t="shared" si="344"/>
        <v>0.19134689524583684</v>
      </c>
      <c r="CA204" s="549">
        <f t="shared" si="331"/>
        <v>3.2986527680525145E-2</v>
      </c>
      <c r="CB204" s="147">
        <f t="shared" si="338"/>
        <v>633.32042149162862</v>
      </c>
      <c r="CC204" s="153">
        <f t="shared" si="345"/>
        <v>0.39199014326314835</v>
      </c>
      <c r="CD204" s="5">
        <f t="shared" si="339"/>
        <v>2.8536016371077757</v>
      </c>
      <c r="CE204" s="153">
        <f t="shared" si="340"/>
        <v>0.87922383041703733</v>
      </c>
      <c r="CF204" s="5">
        <f t="shared" si="341"/>
        <v>87.922383041703739</v>
      </c>
      <c r="CG204">
        <f t="shared" si="342"/>
        <v>94</v>
      </c>
      <c r="CI204" s="59">
        <f t="shared" si="332"/>
        <v>-50</v>
      </c>
      <c r="CJ204">
        <f t="shared" si="333"/>
        <v>-50</v>
      </c>
    </row>
    <row r="205" spans="5:88" x14ac:dyDescent="0.25">
      <c r="E205" s="150">
        <v>95</v>
      </c>
      <c r="F205" s="191">
        <f t="shared" si="334"/>
        <v>9.5000000000000001E-2</v>
      </c>
      <c r="G205" s="191">
        <f t="shared" si="299"/>
        <v>9.5000000000000001E-2</v>
      </c>
      <c r="H205" s="191">
        <f t="shared" si="300"/>
        <v>1.9</v>
      </c>
      <c r="I205" s="191">
        <f t="shared" si="301"/>
        <v>1.52</v>
      </c>
      <c r="J205" s="472">
        <f t="shared" si="302"/>
        <v>9</v>
      </c>
      <c r="K205" s="386">
        <f t="shared" si="303"/>
        <v>12.630619659653908</v>
      </c>
      <c r="L205" s="386">
        <f t="shared" si="304"/>
        <v>29.32</v>
      </c>
      <c r="M205" s="386"/>
      <c r="N205" s="191">
        <f t="shared" si="305"/>
        <v>0.69304229195088674</v>
      </c>
      <c r="O205" s="152">
        <f t="shared" si="306"/>
        <v>1.1695088676671213</v>
      </c>
      <c r="P205" s="152">
        <f t="shared" si="307"/>
        <v>1.6840927694406547</v>
      </c>
      <c r="Q205" s="191">
        <f t="shared" si="308"/>
        <v>5.8475443383356064E-2</v>
      </c>
      <c r="R205" s="191">
        <f t="shared" si="309"/>
        <v>7.3094304229195078E-2</v>
      </c>
      <c r="S205" s="191">
        <f t="shared" si="310"/>
        <v>12.310619659653907</v>
      </c>
      <c r="T205" s="191">
        <f t="shared" si="311"/>
        <v>0.75</v>
      </c>
      <c r="U205" s="191">
        <f t="shared" si="312"/>
        <v>5</v>
      </c>
      <c r="V205" s="191">
        <f t="shared" si="313"/>
        <v>3.5627705696612715</v>
      </c>
      <c r="W205" s="175">
        <f t="shared" si="314"/>
        <v>350</v>
      </c>
      <c r="X205" s="386">
        <f t="shared" si="315"/>
        <v>116.78463084636381</v>
      </c>
      <c r="Z205" s="191">
        <f t="shared" si="316"/>
        <v>0.25025278038506532</v>
      </c>
      <c r="AA205" s="153">
        <f t="shared" si="317"/>
        <v>1.1887909879090881</v>
      </c>
      <c r="AB205" s="153">
        <f t="shared" si="318"/>
        <v>2.8923440974259796E-2</v>
      </c>
      <c r="AC205" s="153"/>
      <c r="AD205" s="153">
        <f t="shared" si="319"/>
        <v>0.71255411393225421</v>
      </c>
      <c r="AE205" s="317">
        <f t="shared" si="320"/>
        <v>1777.6427669142536</v>
      </c>
      <c r="AF205" s="463">
        <f t="shared" si="321"/>
        <v>1.8704545490721675E-2</v>
      </c>
      <c r="AH205" s="153">
        <f t="shared" si="322"/>
        <v>0.57071383872680514</v>
      </c>
      <c r="AI205" s="153">
        <f t="shared" si="323"/>
        <v>0.75</v>
      </c>
      <c r="AJ205" s="153">
        <f t="shared" si="324"/>
        <v>1.6444444444444444</v>
      </c>
      <c r="AL205" s="317">
        <f t="shared" si="325"/>
        <v>95</v>
      </c>
      <c r="AM205" s="147">
        <f t="shared" si="326"/>
        <v>116.78463084636381</v>
      </c>
      <c r="AO205" t="str">
        <f t="shared" si="327"/>
        <v/>
      </c>
      <c r="AP205" t="str">
        <f t="shared" si="328"/>
        <v/>
      </c>
      <c r="AR205" s="5">
        <f t="shared" si="343"/>
        <v>8.5627705696612715</v>
      </c>
      <c r="AS205" s="5">
        <f t="shared" si="335"/>
        <v>5</v>
      </c>
      <c r="AT205" s="5">
        <f t="shared" si="336"/>
        <v>3.5627705696612715</v>
      </c>
      <c r="AU205" s="153">
        <f t="shared" si="337"/>
        <v>0.58392315423181906</v>
      </c>
      <c r="AW205" s="5">
        <f t="shared" si="275"/>
        <v>2.375</v>
      </c>
      <c r="AX205" s="5"/>
      <c r="AY205" s="5">
        <f t="shared" si="276"/>
        <v>2.96875</v>
      </c>
      <c r="AZ205" s="5"/>
      <c r="BA205" s="5">
        <f t="shared" si="277"/>
        <v>0.83571161510573044</v>
      </c>
      <c r="BB205" s="5"/>
      <c r="BC205" s="5"/>
      <c r="BD205" s="153">
        <f t="shared" si="278"/>
        <v>0.33088607014872362</v>
      </c>
      <c r="BE205" s="153">
        <f t="shared" si="279"/>
        <v>0.27931059518309348</v>
      </c>
      <c r="BF205" s="153">
        <f t="shared" si="280"/>
        <v>0.2782152595157088</v>
      </c>
      <c r="BG205" s="153"/>
      <c r="BH205" s="463">
        <f t="shared" si="281"/>
        <v>3.8319956996463116E-2</v>
      </c>
      <c r="BI205" s="463">
        <f t="shared" si="282"/>
        <v>1.2840470161557703E-2</v>
      </c>
      <c r="BJ205" s="463">
        <f t="shared" si="283"/>
        <v>1.4598078855795477E-3</v>
      </c>
      <c r="BK205" s="463">
        <f t="shared" si="284"/>
        <v>5.0197678018249576E-3</v>
      </c>
      <c r="BL205">
        <f t="shared" si="285"/>
        <v>2.6099999999999999E-3</v>
      </c>
      <c r="BM205">
        <f t="shared" si="329"/>
        <v>1.1678463084636382E-6</v>
      </c>
      <c r="BN205">
        <f t="shared" si="330"/>
        <v>6.5890210789362538E-2</v>
      </c>
      <c r="BO205" s="147">
        <f t="shared" si="286"/>
        <v>60.250002845425321</v>
      </c>
      <c r="BP205" s="153">
        <f t="shared" si="287"/>
        <v>3.8000000000000006E-2</v>
      </c>
      <c r="BQ205" s="153">
        <f t="shared" si="288"/>
        <v>3.8000000000000006E-2</v>
      </c>
      <c r="BR205" s="463"/>
      <c r="BT205" s="147">
        <f t="shared" si="289"/>
        <v>76.000000000000014</v>
      </c>
      <c r="BU205" s="463">
        <f t="shared" si="290"/>
        <v>0.10948559141846605</v>
      </c>
      <c r="BV205" s="463">
        <f t="shared" si="291"/>
        <v>7.8014408581533926E-2</v>
      </c>
      <c r="BW205" s="463">
        <f t="shared" si="292"/>
        <v>3.8701865313696599E-3</v>
      </c>
      <c r="BX205" s="463">
        <f t="shared" si="293"/>
        <v>0</v>
      </c>
      <c r="BY205" s="463">
        <f t="shared" si="274"/>
        <v>0.21766700697322935</v>
      </c>
      <c r="BZ205" s="463">
        <f t="shared" si="344"/>
        <v>0.19137018653136964</v>
      </c>
      <c r="CA205" s="549">
        <f t="shared" si="331"/>
        <v>3.2845677425539829E-2</v>
      </c>
      <c r="CB205" s="147">
        <f t="shared" si="338"/>
        <v>633.25305746150843</v>
      </c>
      <c r="CC205" s="153">
        <f t="shared" si="345"/>
        <v>0.39240289518813171</v>
      </c>
      <c r="CD205" s="5">
        <f t="shared" si="339"/>
        <v>2.8536016371077757</v>
      </c>
      <c r="CE205" s="153">
        <f t="shared" si="340"/>
        <v>0.87911203102646807</v>
      </c>
      <c r="CF205" s="5">
        <f t="shared" si="341"/>
        <v>87.911203102646809</v>
      </c>
      <c r="CG205">
        <f t="shared" si="342"/>
        <v>95</v>
      </c>
      <c r="CI205" s="59">
        <f t="shared" si="332"/>
        <v>-50</v>
      </c>
      <c r="CJ205">
        <f t="shared" si="333"/>
        <v>-50</v>
      </c>
    </row>
    <row r="206" spans="5:88" x14ac:dyDescent="0.25">
      <c r="E206" s="150">
        <v>96</v>
      </c>
      <c r="F206" s="191">
        <f t="shared" si="334"/>
        <v>9.6000000000000002E-2</v>
      </c>
      <c r="G206" s="191">
        <f t="shared" si="299"/>
        <v>9.6000000000000002E-2</v>
      </c>
      <c r="H206" s="191">
        <f t="shared" si="300"/>
        <v>1.92</v>
      </c>
      <c r="I206" s="191">
        <f t="shared" si="301"/>
        <v>1.536</v>
      </c>
      <c r="J206" s="472">
        <f t="shared" si="302"/>
        <v>9</v>
      </c>
      <c r="K206" s="386">
        <f t="shared" si="303"/>
        <v>12.50238403819918</v>
      </c>
      <c r="L206" s="386">
        <f t="shared" si="304"/>
        <v>29.32</v>
      </c>
      <c r="M206" s="386"/>
      <c r="N206" s="191">
        <f t="shared" si="305"/>
        <v>0.69304229195088674</v>
      </c>
      <c r="O206" s="152">
        <f t="shared" ref="O206:O210" si="346">N206*J206*Isw_max*0.5*Efficiency*Pout/(Pout+Pout2)</f>
        <v>1.1695088676671213</v>
      </c>
      <c r="P206" s="152">
        <f t="shared" si="307"/>
        <v>1.6840927694406547</v>
      </c>
      <c r="Q206" s="191">
        <f t="shared" si="308"/>
        <v>5.8475443383356064E-2</v>
      </c>
      <c r="R206" s="191">
        <f t="shared" si="309"/>
        <v>7.3094304229195078E-2</v>
      </c>
      <c r="S206" s="191">
        <f t="shared" si="310"/>
        <v>12.18238403819918</v>
      </c>
      <c r="T206" s="191">
        <f t="shared" si="311"/>
        <v>0.75</v>
      </c>
      <c r="U206" s="191">
        <f t="shared" si="312"/>
        <v>5</v>
      </c>
      <c r="V206" s="191">
        <f t="shared" si="313"/>
        <v>3.5993135279246884</v>
      </c>
      <c r="W206" s="175">
        <f t="shared" si="314"/>
        <v>350</v>
      </c>
      <c r="X206" s="386">
        <f t="shared" si="315"/>
        <v>116.28835217516885</v>
      </c>
      <c r="Z206" s="191">
        <f t="shared" si="316"/>
        <v>0.24918932608964756</v>
      </c>
      <c r="AA206" s="153">
        <f t="shared" si="317"/>
        <v>1.1958806832118731</v>
      </c>
      <c r="AB206" s="153">
        <f t="shared" ref="AB206:AB210" si="347">0.5*AA206*Z206*Nps*W206/1000*(Pout/(Pout+Pout2))</f>
        <v>2.8972290426838302E-2</v>
      </c>
      <c r="AC206" s="153"/>
      <c r="AD206" s="153">
        <f t="shared" si="319"/>
        <v>0.7198627055849377</v>
      </c>
      <c r="AE206" s="317">
        <f t="shared" ref="AE206:AE210" si="348">MAX(10, F206/(0.5*AD206/1000000*Isw_min*Nps)/1000*Pout_total/Pout)</f>
        <v>1778.116840988328</v>
      </c>
      <c r="AF206" s="463">
        <f t="shared" si="321"/>
        <v>1.8896396021604613E-2</v>
      </c>
      <c r="AH206" s="153">
        <f t="shared" si="322"/>
        <v>0.57370973248050894</v>
      </c>
      <c r="AI206" s="153">
        <f t="shared" ref="AI206:AI210" si="349">MAX(IF(F206&gt;AB206,T206,AH206),Isw_min)</f>
        <v>0.75</v>
      </c>
      <c r="AJ206" s="153">
        <f t="shared" ref="AJ206:AJ210" si="350">IF(F206&gt;AF206, (AI206-Isw_min)/1.08*0.8+1.2, AE206*0.2/350+1)</f>
        <v>1.6444444444444444</v>
      </c>
      <c r="AL206" s="317">
        <f t="shared" si="325"/>
        <v>96</v>
      </c>
      <c r="AM206" s="147">
        <f t="shared" si="326"/>
        <v>116.28835217516885</v>
      </c>
      <c r="AO206" t="str">
        <f t="shared" si="327"/>
        <v/>
      </c>
      <c r="AP206" t="str">
        <f t="shared" si="328"/>
        <v/>
      </c>
      <c r="AR206" s="5">
        <f t="shared" si="343"/>
        <v>8.5993135279246893</v>
      </c>
      <c r="AS206" s="5">
        <f t="shared" si="335"/>
        <v>5</v>
      </c>
      <c r="AT206" s="5">
        <f t="shared" si="336"/>
        <v>3.5993135279246893</v>
      </c>
      <c r="AU206" s="153">
        <f t="shared" si="337"/>
        <v>0.58144176087584432</v>
      </c>
      <c r="AW206" s="5">
        <f t="shared" si="275"/>
        <v>2.4</v>
      </c>
      <c r="AX206" s="5"/>
      <c r="AY206" s="5">
        <f t="shared" si="276"/>
        <v>3</v>
      </c>
      <c r="AZ206" s="5"/>
      <c r="BA206" s="5">
        <f t="shared" si="277"/>
        <v>0.853170614026593</v>
      </c>
      <c r="BB206" s="5"/>
      <c r="BC206" s="5"/>
      <c r="BD206" s="153">
        <f t="shared" si="278"/>
        <v>0.33018226809479156</v>
      </c>
      <c r="BE206" s="153">
        <f t="shared" si="279"/>
        <v>0.28014223143928013</v>
      </c>
      <c r="BF206" s="153">
        <f t="shared" si="280"/>
        <v>0.27904363445324376</v>
      </c>
      <c r="BG206" s="153"/>
      <c r="BH206" s="463">
        <f t="shared" si="281"/>
        <v>3.8157115557477285E-2</v>
      </c>
      <c r="BI206" s="463">
        <f t="shared" si="282"/>
        <v>1.2785904321659816E-2</v>
      </c>
      <c r="BJ206" s="463">
        <f t="shared" si="283"/>
        <v>1.4536044021896107E-3</v>
      </c>
      <c r="BK206" s="463">
        <f t="shared" si="284"/>
        <v>4.9984361961475446E-3</v>
      </c>
      <c r="BL206">
        <f t="shared" si="285"/>
        <v>2.6099999999999999E-3</v>
      </c>
      <c r="BM206">
        <f t="shared" si="329"/>
        <v>1.1628835217516885E-6</v>
      </c>
      <c r="BN206">
        <f t="shared" ref="BN206:BN210" si="351">(BI206+BJ206+BK206+BL206+BM206+BH206*(1+RdsonTC*(Ta-25)))/(1-BH206*RdsonTC*ThetaJA)</f>
        <v>6.5619393693637715E-2</v>
      </c>
      <c r="BO206" s="147">
        <f t="shared" si="286"/>
        <v>60.00506047747426</v>
      </c>
      <c r="BP206" s="153">
        <f t="shared" si="287"/>
        <v>3.8400000000000004E-2</v>
      </c>
      <c r="BQ206" s="153">
        <f t="shared" si="288"/>
        <v>3.8400000000000004E-2</v>
      </c>
      <c r="BR206" s="463"/>
      <c r="BT206" s="147">
        <f t="shared" si="289"/>
        <v>76.800000000000011</v>
      </c>
      <c r="BU206" s="463">
        <f t="shared" si="290"/>
        <v>0.10902033016422082</v>
      </c>
      <c r="BV206" s="463">
        <f t="shared" si="291"/>
        <v>7.8479669835779198E-2</v>
      </c>
      <c r="BW206" s="463">
        <f t="shared" si="292"/>
        <v>3.8932674964437769E-3</v>
      </c>
      <c r="BX206" s="463">
        <f t="shared" si="293"/>
        <v>0</v>
      </c>
      <c r="BY206" s="463">
        <f t="shared" si="274"/>
        <v>0.21769366778730487</v>
      </c>
      <c r="BZ206" s="463">
        <f t="shared" si="344"/>
        <v>0.19139326749644378</v>
      </c>
      <c r="CA206" s="549">
        <f t="shared" si="331"/>
        <v>3.2706099049266246E-2</v>
      </c>
      <c r="CB206" s="147">
        <f t="shared" si="338"/>
        <v>633.18630182945867</v>
      </c>
      <c r="CC206" s="153">
        <f t="shared" si="345"/>
        <v>0.39281916053020882</v>
      </c>
      <c r="CD206" s="5">
        <f t="shared" si="339"/>
        <v>2.8536016371077757</v>
      </c>
      <c r="CE206" s="153">
        <f t="shared" si="340"/>
        <v>0.87899930877229027</v>
      </c>
      <c r="CF206" s="5">
        <f t="shared" si="341"/>
        <v>87.899930877229025</v>
      </c>
      <c r="CG206">
        <f t="shared" si="342"/>
        <v>96</v>
      </c>
      <c r="CI206" s="59">
        <f t="shared" si="332"/>
        <v>-50</v>
      </c>
      <c r="CJ206">
        <f t="shared" si="333"/>
        <v>-50</v>
      </c>
    </row>
    <row r="207" spans="5:88" x14ac:dyDescent="0.25">
      <c r="E207" s="150">
        <v>97</v>
      </c>
      <c r="F207" s="191">
        <f t="shared" ref="F207:F210" si="352">IF(PLOT_TYPE=1, E207/100*Iout_max, min_I*EXP(O207*rr/100))</f>
        <v>9.7000000000000003E-2</v>
      </c>
      <c r="G207" s="191">
        <f t="shared" si="299"/>
        <v>9.7000000000000003E-2</v>
      </c>
      <c r="H207" s="191">
        <f t="shared" si="300"/>
        <v>1.94</v>
      </c>
      <c r="I207" s="191">
        <f t="shared" si="301"/>
        <v>1.552</v>
      </c>
      <c r="J207" s="472">
        <f t="shared" si="302"/>
        <v>9</v>
      </c>
      <c r="K207" s="386">
        <f t="shared" si="303"/>
        <v>12.376792450176508</v>
      </c>
      <c r="L207" s="386">
        <f t="shared" si="304"/>
        <v>29.32</v>
      </c>
      <c r="M207" s="386"/>
      <c r="N207" s="191">
        <f t="shared" si="305"/>
        <v>0.69304229195088674</v>
      </c>
      <c r="O207" s="152">
        <f t="shared" si="346"/>
        <v>1.1695088676671213</v>
      </c>
      <c r="P207" s="152">
        <f t="shared" si="307"/>
        <v>1.6840927694406547</v>
      </c>
      <c r="Q207" s="191">
        <f t="shared" si="308"/>
        <v>5.8475443383356064E-2</v>
      </c>
      <c r="R207" s="191">
        <f t="shared" si="309"/>
        <v>7.3094304229195078E-2</v>
      </c>
      <c r="S207" s="191">
        <f t="shared" si="310"/>
        <v>12.056792450176507</v>
      </c>
      <c r="T207" s="191">
        <f t="shared" si="311"/>
        <v>0.75</v>
      </c>
      <c r="U207" s="191">
        <f t="shared" si="312"/>
        <v>5</v>
      </c>
      <c r="V207" s="191">
        <f t="shared" si="313"/>
        <v>3.6358370055206226</v>
      </c>
      <c r="W207" s="175">
        <f t="shared" si="314"/>
        <v>350</v>
      </c>
      <c r="X207" s="386">
        <f t="shared" si="315"/>
        <v>115.79653476098854</v>
      </c>
      <c r="Z207" s="191">
        <f t="shared" si="316"/>
        <v>0.24813543163068974</v>
      </c>
      <c r="AA207" s="153">
        <f t="shared" si="317"/>
        <v>1.2029066462715921</v>
      </c>
      <c r="AB207" s="153">
        <f t="shared" si="347"/>
        <v>2.901925443316929E-2</v>
      </c>
      <c r="AC207" s="153"/>
      <c r="AD207" s="153">
        <f t="shared" si="319"/>
        <v>0.72716740110412448</v>
      </c>
      <c r="AE207" s="317">
        <f t="shared" si="348"/>
        <v>1778.590915062402</v>
      </c>
      <c r="AF207" s="463">
        <f t="shared" si="321"/>
        <v>1.9088144278983268E-2</v>
      </c>
      <c r="AH207" s="153">
        <f t="shared" si="322"/>
        <v>0.57669006283395297</v>
      </c>
      <c r="AI207" s="153">
        <f t="shared" si="349"/>
        <v>0.75</v>
      </c>
      <c r="AJ207" s="153">
        <f t="shared" si="350"/>
        <v>1.6444444444444444</v>
      </c>
      <c r="AL207" s="317">
        <f t="shared" si="325"/>
        <v>97</v>
      </c>
      <c r="AM207" s="147">
        <f t="shared" si="326"/>
        <v>115.79653476098854</v>
      </c>
      <c r="AO207" t="str">
        <f t="shared" si="327"/>
        <v/>
      </c>
      <c r="AP207" t="str">
        <f t="shared" si="328"/>
        <v/>
      </c>
      <c r="AR207" s="5">
        <f t="shared" si="343"/>
        <v>8.6358370055206226</v>
      </c>
      <c r="AS207" s="5">
        <f t="shared" si="335"/>
        <v>5</v>
      </c>
      <c r="AT207" s="5">
        <f t="shared" si="336"/>
        <v>3.6358370055206226</v>
      </c>
      <c r="AU207" s="153">
        <f t="shared" si="337"/>
        <v>0.57898267380494273</v>
      </c>
      <c r="AW207" s="5">
        <f t="shared" si="275"/>
        <v>2.4250000000000003</v>
      </c>
      <c r="AX207" s="5"/>
      <c r="AY207" s="5">
        <f t="shared" si="276"/>
        <v>3.03125</v>
      </c>
      <c r="AZ207" s="5"/>
      <c r="BA207" s="5">
        <f t="shared" si="277"/>
        <v>0.87080540626049474</v>
      </c>
      <c r="BB207" s="5"/>
      <c r="BC207" s="5"/>
      <c r="BD207" s="153">
        <f t="shared" si="278"/>
        <v>0.32948330965077244</v>
      </c>
      <c r="BE207" s="153">
        <f t="shared" si="279"/>
        <v>0.28096396327923134</v>
      </c>
      <c r="BF207" s="153">
        <f t="shared" si="280"/>
        <v>0.27986214381539121</v>
      </c>
      <c r="BG207" s="153"/>
      <c r="BH207" s="463">
        <f t="shared" si="281"/>
        <v>3.7995737968449378E-2</v>
      </c>
      <c r="BI207" s="463">
        <f t="shared" si="282"/>
        <v>1.2731828996970691E-2</v>
      </c>
      <c r="BJ207" s="463">
        <f t="shared" si="283"/>
        <v>1.4474566845123565E-3</v>
      </c>
      <c r="BK207" s="463">
        <f t="shared" si="284"/>
        <v>4.9772963492157422E-3</v>
      </c>
      <c r="BL207">
        <f t="shared" si="285"/>
        <v>2.6099999999999999E-3</v>
      </c>
      <c r="BM207">
        <f t="shared" si="329"/>
        <v>1.1579653476098855E-6</v>
      </c>
      <c r="BN207">
        <f t="shared" si="351"/>
        <v>6.5351027253871513E-2</v>
      </c>
      <c r="BO207" s="147">
        <f t="shared" si="286"/>
        <v>59.762319999148161</v>
      </c>
      <c r="BP207" s="153">
        <f t="shared" si="287"/>
        <v>3.8800000000000001E-2</v>
      </c>
      <c r="BQ207" s="153">
        <f t="shared" si="288"/>
        <v>3.8800000000000001E-2</v>
      </c>
      <c r="BR207" s="463"/>
      <c r="BT207" s="147">
        <f t="shared" si="289"/>
        <v>77.600000000000009</v>
      </c>
      <c r="BU207" s="463">
        <f t="shared" si="290"/>
        <v>0.1085592513384268</v>
      </c>
      <c r="BV207" s="463">
        <f t="shared" si="291"/>
        <v>7.894074866157326E-2</v>
      </c>
      <c r="BW207" s="463">
        <f t="shared" si="292"/>
        <v>3.9161409770473356E-3</v>
      </c>
      <c r="BX207" s="463">
        <f t="shared" si="293"/>
        <v>0</v>
      </c>
      <c r="BY207" s="463">
        <f t="shared" si="274"/>
        <v>0.21772008903479062</v>
      </c>
      <c r="BZ207" s="463">
        <f t="shared" si="344"/>
        <v>0.1914161409770474</v>
      </c>
      <c r="CA207" s="549">
        <f t="shared" si="331"/>
        <v>3.2567775401528033E-2</v>
      </c>
      <c r="CB207" s="147">
        <f t="shared" si="338"/>
        <v>633.12014639041331</v>
      </c>
      <c r="CC207" s="153">
        <f t="shared" si="345"/>
        <v>0.39323889169019016</v>
      </c>
      <c r="CD207" s="5">
        <f t="shared" si="339"/>
        <v>2.8536016371077757</v>
      </c>
      <c r="CE207" s="153">
        <f t="shared" si="340"/>
        <v>0.87888567725998734</v>
      </c>
      <c r="CF207" s="5">
        <f t="shared" si="341"/>
        <v>87.88856772599874</v>
      </c>
      <c r="CG207">
        <f t="shared" si="342"/>
        <v>97</v>
      </c>
      <c r="CI207" s="59">
        <f t="shared" si="332"/>
        <v>-50</v>
      </c>
      <c r="CJ207">
        <f t="shared" si="333"/>
        <v>-50</v>
      </c>
    </row>
    <row r="208" spans="5:88" x14ac:dyDescent="0.25">
      <c r="E208" s="150">
        <v>98</v>
      </c>
      <c r="F208" s="191">
        <f t="shared" si="352"/>
        <v>9.8000000000000004E-2</v>
      </c>
      <c r="G208" s="191">
        <f t="shared" si="299"/>
        <v>9.8000000000000004E-2</v>
      </c>
      <c r="H208" s="191">
        <f t="shared" si="300"/>
        <v>1.96</v>
      </c>
      <c r="I208" s="191">
        <f t="shared" si="301"/>
        <v>1.5680000000000001</v>
      </c>
      <c r="J208" s="472">
        <f t="shared" si="302"/>
        <v>9</v>
      </c>
      <c r="K208" s="386">
        <f t="shared" si="303"/>
        <v>12.253763955786951</v>
      </c>
      <c r="L208" s="386">
        <f t="shared" si="304"/>
        <v>29.32</v>
      </c>
      <c r="M208" s="386"/>
      <c r="N208" s="191">
        <f t="shared" si="305"/>
        <v>0.69304229195088674</v>
      </c>
      <c r="O208" s="152">
        <f t="shared" si="346"/>
        <v>1.1695088676671213</v>
      </c>
      <c r="P208" s="152">
        <f t="shared" si="307"/>
        <v>1.6840927694406547</v>
      </c>
      <c r="Q208" s="191">
        <f t="shared" si="308"/>
        <v>5.8475443383356064E-2</v>
      </c>
      <c r="R208" s="191">
        <f t="shared" si="309"/>
        <v>7.3094304229195078E-2</v>
      </c>
      <c r="S208" s="191">
        <f t="shared" si="310"/>
        <v>11.933763955786951</v>
      </c>
      <c r="T208" s="191">
        <f t="shared" si="311"/>
        <v>0.75</v>
      </c>
      <c r="U208" s="191">
        <f t="shared" si="312"/>
        <v>5</v>
      </c>
      <c r="V208" s="191">
        <f t="shared" si="313"/>
        <v>3.6723410180223315</v>
      </c>
      <c r="W208" s="175">
        <f t="shared" si="314"/>
        <v>350</v>
      </c>
      <c r="X208" s="386">
        <f t="shared" si="315"/>
        <v>115.3091187168333</v>
      </c>
      <c r="Z208" s="191">
        <f t="shared" si="316"/>
        <v>0.24709096867892852</v>
      </c>
      <c r="AA208" s="153">
        <f t="shared" si="317"/>
        <v>1.209869732616667</v>
      </c>
      <c r="AB208" s="153">
        <f t="shared" si="347"/>
        <v>2.9064377631291379E-2</v>
      </c>
      <c r="AC208" s="153"/>
      <c r="AD208" s="153">
        <f t="shared" si="319"/>
        <v>0.7344682036044663</v>
      </c>
      <c r="AE208" s="317">
        <f t="shared" si="348"/>
        <v>1779.0649891364758</v>
      </c>
      <c r="AF208" s="463">
        <f t="shared" si="321"/>
        <v>1.9279790344617239E-2</v>
      </c>
      <c r="AH208" s="153">
        <f t="shared" si="322"/>
        <v>0.57965506984757753</v>
      </c>
      <c r="AI208" s="153">
        <f t="shared" si="349"/>
        <v>0.75</v>
      </c>
      <c r="AJ208" s="153">
        <f t="shared" si="350"/>
        <v>1.6444444444444444</v>
      </c>
      <c r="AL208" s="317">
        <f t="shared" si="325"/>
        <v>98</v>
      </c>
      <c r="AM208" s="147">
        <f t="shared" si="326"/>
        <v>115.3091187168333</v>
      </c>
      <c r="AO208" t="str">
        <f t="shared" si="327"/>
        <v/>
      </c>
      <c r="AP208" t="str">
        <f t="shared" si="328"/>
        <v/>
      </c>
      <c r="AR208" s="5">
        <f t="shared" si="343"/>
        <v>8.6723410180223315</v>
      </c>
      <c r="AS208" s="5">
        <f t="shared" si="335"/>
        <v>5</v>
      </c>
      <c r="AT208" s="5">
        <f t="shared" si="336"/>
        <v>3.6723410180223315</v>
      </c>
      <c r="AU208" s="153">
        <f t="shared" si="337"/>
        <v>0.57654559358416646</v>
      </c>
      <c r="AW208" s="5">
        <f t="shared" si="275"/>
        <v>2.4499999999999997</v>
      </c>
      <c r="AX208" s="5"/>
      <c r="AY208" s="5">
        <f t="shared" si="276"/>
        <v>3.0625</v>
      </c>
      <c r="AZ208" s="5"/>
      <c r="BA208" s="5">
        <f t="shared" si="277"/>
        <v>0.88861585127453935</v>
      </c>
      <c r="BB208" s="5"/>
      <c r="BC208" s="5"/>
      <c r="BD208" s="153">
        <f t="shared" si="278"/>
        <v>0.32878914032709661</v>
      </c>
      <c r="BE208" s="153">
        <f t="shared" si="279"/>
        <v>0.28177597697988521</v>
      </c>
      <c r="BF208" s="153">
        <f t="shared" si="280"/>
        <v>0.28067097314859152</v>
      </c>
      <c r="BG208" s="153"/>
      <c r="BH208" s="463">
        <f t="shared" si="281"/>
        <v>3.7835804578960922E-2</v>
      </c>
      <c r="BI208" s="463">
        <f t="shared" si="282"/>
        <v>1.2678237602915822E-2</v>
      </c>
      <c r="BJ208" s="463">
        <f t="shared" si="283"/>
        <v>1.4413639839604162E-3</v>
      </c>
      <c r="BK208" s="463">
        <f t="shared" si="284"/>
        <v>4.956345686899892E-3</v>
      </c>
      <c r="BL208">
        <f t="shared" si="285"/>
        <v>2.6099999999999999E-3</v>
      </c>
      <c r="BM208">
        <f t="shared" si="329"/>
        <v>1.1530911871683329E-6</v>
      </c>
      <c r="BN208">
        <f t="shared" si="351"/>
        <v>6.5085078355478998E-2</v>
      </c>
      <c r="BO208" s="147">
        <f t="shared" si="286"/>
        <v>59.521751852737054</v>
      </c>
      <c r="BP208" s="153">
        <f t="shared" si="287"/>
        <v>3.9200000000000006E-2</v>
      </c>
      <c r="BQ208" s="153">
        <f t="shared" si="288"/>
        <v>3.9200000000000006E-2</v>
      </c>
      <c r="BR208" s="463"/>
      <c r="BT208" s="147">
        <f t="shared" si="289"/>
        <v>78.400000000000006</v>
      </c>
      <c r="BU208" s="463">
        <f t="shared" si="290"/>
        <v>0.10810229879703122</v>
      </c>
      <c r="BV208" s="463">
        <f t="shared" si="291"/>
        <v>7.9397701202968796E-2</v>
      </c>
      <c r="BW208" s="463">
        <f t="shared" si="292"/>
        <v>3.9388097584088693E-3</v>
      </c>
      <c r="BX208" s="463">
        <f t="shared" si="293"/>
        <v>0</v>
      </c>
      <c r="BY208" s="463">
        <f t="shared" si="274"/>
        <v>0.21774627393026094</v>
      </c>
      <c r="BZ208" s="463">
        <f t="shared" si="344"/>
        <v>0.19143880975840888</v>
      </c>
      <c r="CA208" s="549">
        <f t="shared" si="331"/>
        <v>3.2430689639109368E-2</v>
      </c>
      <c r="CB208" s="147">
        <f t="shared" si="338"/>
        <v>633.05458308618802</v>
      </c>
      <c r="CC208" s="153">
        <f t="shared" si="345"/>
        <v>0.39366204192484938</v>
      </c>
      <c r="CD208" s="5">
        <f t="shared" si="339"/>
        <v>2.8536016371077757</v>
      </c>
      <c r="CE208" s="153">
        <f t="shared" si="340"/>
        <v>0.87877114985558458</v>
      </c>
      <c r="CF208" s="5">
        <f t="shared" si="341"/>
        <v>87.877114985558464</v>
      </c>
      <c r="CG208">
        <f t="shared" si="342"/>
        <v>98</v>
      </c>
      <c r="CI208" s="59">
        <f t="shared" si="332"/>
        <v>-50</v>
      </c>
      <c r="CJ208">
        <f t="shared" si="333"/>
        <v>-50</v>
      </c>
    </row>
    <row r="209" spans="5:88" x14ac:dyDescent="0.25">
      <c r="E209" s="150">
        <v>99</v>
      </c>
      <c r="F209" s="191">
        <f t="shared" si="352"/>
        <v>9.9000000000000005E-2</v>
      </c>
      <c r="G209" s="191">
        <f t="shared" si="299"/>
        <v>9.9000000000000005E-2</v>
      </c>
      <c r="H209" s="191">
        <f t="shared" si="300"/>
        <v>1.98</v>
      </c>
      <c r="I209" s="191">
        <f t="shared" si="301"/>
        <v>1.5840000000000001</v>
      </c>
      <c r="J209" s="472">
        <f t="shared" si="302"/>
        <v>9</v>
      </c>
      <c r="K209" s="386">
        <f t="shared" si="303"/>
        <v>12.133220885526477</v>
      </c>
      <c r="L209" s="386">
        <f t="shared" si="304"/>
        <v>29.32</v>
      </c>
      <c r="M209" s="386"/>
      <c r="N209" s="191">
        <f t="shared" si="305"/>
        <v>0.69304229195088674</v>
      </c>
      <c r="O209" s="152">
        <f t="shared" si="346"/>
        <v>1.1695088676671213</v>
      </c>
      <c r="P209" s="152">
        <f t="shared" si="307"/>
        <v>1.6840927694406547</v>
      </c>
      <c r="Q209" s="191">
        <f t="shared" si="308"/>
        <v>5.8475443383356064E-2</v>
      </c>
      <c r="R209" s="191">
        <f t="shared" si="309"/>
        <v>7.3094304229195078E-2</v>
      </c>
      <c r="S209" s="191">
        <f t="shared" si="310"/>
        <v>11.813220885526476</v>
      </c>
      <c r="T209" s="191">
        <f t="shared" si="311"/>
        <v>0.75</v>
      </c>
      <c r="U209" s="191">
        <f t="shared" si="312"/>
        <v>5</v>
      </c>
      <c r="V209" s="191">
        <f t="shared" si="313"/>
        <v>3.7088255809864781</v>
      </c>
      <c r="W209" s="175">
        <f t="shared" si="314"/>
        <v>350</v>
      </c>
      <c r="X209" s="386">
        <f t="shared" si="315"/>
        <v>114.82604522281943</v>
      </c>
      <c r="Z209" s="191">
        <f t="shared" si="316"/>
        <v>0.24605581119175593</v>
      </c>
      <c r="AA209" s="153">
        <f t="shared" si="317"/>
        <v>1.2167707825311511</v>
      </c>
      <c r="AB209" s="153">
        <f t="shared" si="347"/>
        <v>2.9107703520984868E-2</v>
      </c>
      <c r="AC209" s="153"/>
      <c r="AD209" s="153">
        <f t="shared" si="319"/>
        <v>0.74176511619729557</v>
      </c>
      <c r="AE209" s="317">
        <f t="shared" si="348"/>
        <v>1779.53906321055</v>
      </c>
      <c r="AF209" s="463">
        <f t="shared" si="321"/>
        <v>1.9471334300179007E-2</v>
      </c>
      <c r="AH209" s="153">
        <f t="shared" si="322"/>
        <v>0.58260498747313472</v>
      </c>
      <c r="AI209" s="153">
        <f t="shared" si="349"/>
        <v>0.75</v>
      </c>
      <c r="AJ209" s="153">
        <f t="shared" si="350"/>
        <v>1.6444444444444444</v>
      </c>
      <c r="AL209" s="317">
        <f t="shared" si="325"/>
        <v>99</v>
      </c>
      <c r="AM209" s="147">
        <f t="shared" si="326"/>
        <v>114.82604522281943</v>
      </c>
      <c r="AO209" t="str">
        <f t="shared" si="327"/>
        <v/>
      </c>
      <c r="AP209" t="str">
        <f t="shared" si="328"/>
        <v/>
      </c>
      <c r="AR209" s="5">
        <f t="shared" si="343"/>
        <v>8.7088255809864776</v>
      </c>
      <c r="AS209" s="5">
        <f t="shared" si="335"/>
        <v>5</v>
      </c>
      <c r="AT209" s="5">
        <f t="shared" si="336"/>
        <v>3.7088255809864776</v>
      </c>
      <c r="AU209" s="153">
        <f t="shared" si="337"/>
        <v>0.57413022611409714</v>
      </c>
      <c r="AW209" s="5">
        <f t="shared" si="275"/>
        <v>2.4749999999999996</v>
      </c>
      <c r="AX209" s="5"/>
      <c r="AY209" s="5">
        <f t="shared" si="276"/>
        <v>3.09375</v>
      </c>
      <c r="AZ209" s="5"/>
      <c r="BA209" s="5">
        <f t="shared" si="277"/>
        <v>0.90660180868558327</v>
      </c>
      <c r="BB209" s="5"/>
      <c r="BC209" s="5"/>
      <c r="BD209" s="153">
        <f t="shared" si="278"/>
        <v>0.32809970648629538</v>
      </c>
      <c r="BE209" s="153">
        <f t="shared" si="279"/>
        <v>0.28257845389131631</v>
      </c>
      <c r="BF209" s="153">
        <f t="shared" si="280"/>
        <v>0.28147030309174254</v>
      </c>
      <c r="BG209" s="153"/>
      <c r="BH209" s="463">
        <f t="shared" si="281"/>
        <v>3.7677296088737613E-2</v>
      </c>
      <c r="BI209" s="463">
        <f t="shared" si="282"/>
        <v>1.2625123672248996E-2</v>
      </c>
      <c r="BJ209" s="463">
        <f t="shared" si="283"/>
        <v>1.4353255652852428E-3</v>
      </c>
      <c r="BK209" s="463">
        <f t="shared" si="284"/>
        <v>4.9355816809378752E-3</v>
      </c>
      <c r="BL209">
        <f t="shared" si="285"/>
        <v>2.6099999999999999E-3</v>
      </c>
      <c r="BM209">
        <f t="shared" si="329"/>
        <v>1.1482604522281943E-6</v>
      </c>
      <c r="BN209">
        <f t="shared" si="351"/>
        <v>6.4821514477816283E-2</v>
      </c>
      <c r="BO209" s="147">
        <f t="shared" si="286"/>
        <v>59.283327007209728</v>
      </c>
      <c r="BP209" s="153">
        <f t="shared" si="287"/>
        <v>3.9600000000000003E-2</v>
      </c>
      <c r="BQ209" s="153">
        <f t="shared" si="288"/>
        <v>3.9600000000000003E-2</v>
      </c>
      <c r="BR209" s="463"/>
      <c r="BT209" s="147">
        <f t="shared" si="289"/>
        <v>79.2</v>
      </c>
      <c r="BU209" s="463">
        <f t="shared" si="290"/>
        <v>0.10764941739639318</v>
      </c>
      <c r="BV209" s="463">
        <f t="shared" si="291"/>
        <v>7.9850582603606779E-2</v>
      </c>
      <c r="BW209" s="463">
        <f t="shared" si="292"/>
        <v>3.9612765761278699E-3</v>
      </c>
      <c r="BX209" s="463">
        <f t="shared" si="293"/>
        <v>0</v>
      </c>
      <c r="BY209" s="463">
        <f t="shared" si="274"/>
        <v>0.21777222563103457</v>
      </c>
      <c r="BZ209" s="463">
        <f t="shared" si="344"/>
        <v>0.19146127657612783</v>
      </c>
      <c r="CA209" s="549">
        <f t="shared" si="331"/>
        <v>3.2294825218917973E-2</v>
      </c>
      <c r="CB209" s="147">
        <f t="shared" si="338"/>
        <v>632.98960400220813</v>
      </c>
      <c r="CC209" s="153">
        <f t="shared" si="345"/>
        <v>0.39408856532776881</v>
      </c>
      <c r="CD209" s="5">
        <f t="shared" si="339"/>
        <v>2.8536016371077757</v>
      </c>
      <c r="CE209" s="153">
        <f t="shared" si="340"/>
        <v>0.87865573969086419</v>
      </c>
      <c r="CF209" s="5">
        <f t="shared" si="341"/>
        <v>87.865573969086412</v>
      </c>
      <c r="CG209">
        <f t="shared" si="342"/>
        <v>99</v>
      </c>
      <c r="CI209" s="59">
        <f t="shared" si="332"/>
        <v>-50</v>
      </c>
      <c r="CJ209">
        <f t="shared" si="333"/>
        <v>-50</v>
      </c>
    </row>
    <row r="210" spans="5:88" x14ac:dyDescent="0.25">
      <c r="E210" s="150">
        <v>100</v>
      </c>
      <c r="F210" s="191">
        <f t="shared" si="352"/>
        <v>0.1</v>
      </c>
      <c r="G210" s="191">
        <f t="shared" si="299"/>
        <v>0.1</v>
      </c>
      <c r="H210" s="191">
        <f t="shared" si="300"/>
        <v>2</v>
      </c>
      <c r="I210" s="191">
        <f t="shared" si="301"/>
        <v>1.6</v>
      </c>
      <c r="J210" s="472">
        <f t="shared" si="302"/>
        <v>9</v>
      </c>
      <c r="K210" s="386">
        <f t="shared" si="303"/>
        <v>12.015088676671212</v>
      </c>
      <c r="L210" s="386">
        <f t="shared" si="304"/>
        <v>29.32</v>
      </c>
      <c r="M210" s="386"/>
      <c r="N210" s="191">
        <f t="shared" si="305"/>
        <v>0.69304229195088674</v>
      </c>
      <c r="O210" s="152">
        <f t="shared" si="346"/>
        <v>1.1695088676671213</v>
      </c>
      <c r="P210" s="152">
        <f t="shared" si="307"/>
        <v>1.6840927694406547</v>
      </c>
      <c r="Q210" s="191">
        <f t="shared" si="308"/>
        <v>5.8475443383356064E-2</v>
      </c>
      <c r="R210" s="191">
        <f t="shared" si="309"/>
        <v>7.3094304229195078E-2</v>
      </c>
      <c r="S210" s="191">
        <f t="shared" si="310"/>
        <v>11.695088676671212</v>
      </c>
      <c r="T210" s="191">
        <f t="shared" si="311"/>
        <v>0.75</v>
      </c>
      <c r="U210" s="191">
        <f t="shared" si="312"/>
        <v>5</v>
      </c>
      <c r="V210" s="191">
        <f t="shared" si="313"/>
        <v>3.7452907099531521</v>
      </c>
      <c r="W210" s="175">
        <f t="shared" si="314"/>
        <v>350</v>
      </c>
      <c r="X210" s="386">
        <f t="shared" si="315"/>
        <v>114.34725650250647</v>
      </c>
      <c r="Z210" s="191">
        <f t="shared" si="316"/>
        <v>0.24502983536251388</v>
      </c>
      <c r="AA210" s="153">
        <f t="shared" si="317"/>
        <v>1.2236106213927649</v>
      </c>
      <c r="AB210" s="153">
        <f t="shared" si="347"/>
        <v>2.914927449658122E-2</v>
      </c>
      <c r="AC210" s="153"/>
      <c r="AD210" s="153">
        <f t="shared" si="319"/>
        <v>0.74905814199063037</v>
      </c>
      <c r="AE210" s="317">
        <f t="shared" si="348"/>
        <v>1780.0131372846242</v>
      </c>
      <c r="AF210" s="463">
        <f t="shared" si="321"/>
        <v>1.9662776227254045E-2</v>
      </c>
      <c r="AH210" s="153">
        <f t="shared" si="322"/>
        <v>0.58554004376911994</v>
      </c>
      <c r="AI210" s="153">
        <f t="shared" si="349"/>
        <v>0.75</v>
      </c>
      <c r="AJ210" s="153">
        <f t="shared" si="350"/>
        <v>1.6444444444444444</v>
      </c>
      <c r="AL210" s="317">
        <f t="shared" si="325"/>
        <v>100</v>
      </c>
      <c r="AM210" s="147">
        <f t="shared" si="326"/>
        <v>114.34725650250647</v>
      </c>
      <c r="AO210" t="str">
        <f t="shared" si="327"/>
        <v/>
      </c>
      <c r="AP210" t="str">
        <f t="shared" si="328"/>
        <v/>
      </c>
      <c r="AR210" s="5">
        <f t="shared" si="343"/>
        <v>8.7452907099531529</v>
      </c>
      <c r="AS210" s="5">
        <f t="shared" si="335"/>
        <v>5</v>
      </c>
      <c r="AT210" s="5">
        <f t="shared" si="336"/>
        <v>3.7452907099531529</v>
      </c>
      <c r="AU210" s="153">
        <f t="shared" si="337"/>
        <v>0.57173628251253228</v>
      </c>
      <c r="AW210" s="5">
        <f t="shared" si="275"/>
        <v>2.5</v>
      </c>
      <c r="AX210" s="5"/>
      <c r="AY210" s="5">
        <f t="shared" si="276"/>
        <v>3.125</v>
      </c>
      <c r="AZ210" s="5"/>
      <c r="BA210" s="5">
        <f t="shared" si="277"/>
        <v>0.92476313826003786</v>
      </c>
      <c r="BB210" s="5"/>
      <c r="BC210" s="5"/>
      <c r="BD210" s="153">
        <f t="shared" si="278"/>
        <v>0.3274149553259591</v>
      </c>
      <c r="BE210" s="153">
        <f t="shared" si="279"/>
        <v>0.28337157060809787</v>
      </c>
      <c r="BF210" s="153">
        <f t="shared" si="280"/>
        <v>0.28226030954688963</v>
      </c>
      <c r="BG210" s="153"/>
      <c r="BH210" s="463">
        <f t="shared" si="281"/>
        <v>3.7520193539884922E-2</v>
      </c>
      <c r="BI210" s="463">
        <f t="shared" si="282"/>
        <v>1.2572480852450586E-2</v>
      </c>
      <c r="BJ210" s="463">
        <f t="shared" si="283"/>
        <v>1.4293407062813308E-3</v>
      </c>
      <c r="BK210" s="463">
        <f t="shared" si="284"/>
        <v>4.9150018479180166E-3</v>
      </c>
      <c r="BL210">
        <f t="shared" si="285"/>
        <v>2.6099999999999999E-3</v>
      </c>
      <c r="BM210">
        <f t="shared" si="329"/>
        <v>1.1434725650250648E-6</v>
      </c>
      <c r="BN210">
        <f t="shared" si="351"/>
        <v>6.4560303680923664E-2</v>
      </c>
      <c r="BO210" s="147">
        <f t="shared" si="286"/>
        <v>59.04701694653486</v>
      </c>
      <c r="BP210" s="153">
        <f t="shared" si="287"/>
        <v>4.0000000000000008E-2</v>
      </c>
      <c r="BQ210" s="153">
        <f t="shared" si="288"/>
        <v>4.0000000000000008E-2</v>
      </c>
      <c r="BR210" s="463"/>
      <c r="BT210" s="147">
        <f t="shared" si="289"/>
        <v>80.000000000000014</v>
      </c>
      <c r="BU210" s="463">
        <f t="shared" si="290"/>
        <v>0.10720055297109979</v>
      </c>
      <c r="BV210" s="463">
        <f t="shared" si="291"/>
        <v>8.0299447028900198E-2</v>
      </c>
      <c r="BW210" s="463">
        <f t="shared" si="292"/>
        <v>3.9835441172752983E-3</v>
      </c>
      <c r="BX210" s="463">
        <f t="shared" si="293"/>
        <v>0</v>
      </c>
      <c r="BY210" s="463">
        <f t="shared" si="274"/>
        <v>0.21779794723844312</v>
      </c>
      <c r="BZ210" s="463">
        <f t="shared" si="344"/>
        <v>0.19148354411727531</v>
      </c>
      <c r="CA210" s="549">
        <f t="shared" si="331"/>
        <v>3.2160165891329952E-2</v>
      </c>
      <c r="CB210" s="147">
        <f t="shared" si="338"/>
        <v>632.9252013643237</v>
      </c>
      <c r="CC210" s="153">
        <f t="shared" si="345"/>
        <v>0.39451841681069677</v>
      </c>
      <c r="CD210" s="5">
        <f t="shared" si="339"/>
        <v>2.8536016371077757</v>
      </c>
      <c r="CE210" s="153">
        <f t="shared" si="340"/>
        <v>0.87853945966844516</v>
      </c>
      <c r="CF210" s="5">
        <f t="shared" si="341"/>
        <v>87.85394596684452</v>
      </c>
      <c r="CG210">
        <f t="shared" si="342"/>
        <v>100</v>
      </c>
      <c r="CI210" s="59">
        <f t="shared" si="332"/>
        <v>-50</v>
      </c>
      <c r="CJ210">
        <f t="shared" si="333"/>
        <v>-50</v>
      </c>
    </row>
    <row r="211" spans="5:88" x14ac:dyDescent="0.25">
      <c r="E211" s="150"/>
      <c r="F211" s="191"/>
      <c r="G211" s="191"/>
      <c r="H211" s="191"/>
      <c r="I211" s="191"/>
      <c r="J211" s="472"/>
      <c r="K211" s="386"/>
      <c r="L211" s="386"/>
      <c r="M211" s="386"/>
      <c r="N211" s="191"/>
      <c r="O211" s="152"/>
      <c r="P211" s="152"/>
      <c r="Q211" s="191"/>
      <c r="R211" s="191"/>
      <c r="S211" s="191"/>
      <c r="T211" s="191"/>
      <c r="U211" s="191"/>
      <c r="V211" s="191"/>
      <c r="W211" s="175"/>
      <c r="X211" s="386"/>
      <c r="Z211" s="191"/>
      <c r="AA211" s="153"/>
      <c r="AB211" s="153"/>
      <c r="AC211" s="153"/>
      <c r="AD211" s="153"/>
      <c r="AE211" s="317"/>
      <c r="AF211" s="463"/>
      <c r="AH211" s="153"/>
      <c r="AI211" s="153"/>
      <c r="AJ211" s="153"/>
      <c r="AL211" s="317"/>
      <c r="AM211" s="147"/>
      <c r="AR211" s="5"/>
      <c r="AS211" s="5"/>
      <c r="AT211" s="5"/>
      <c r="AU211" s="153"/>
      <c r="CI211" s="59"/>
      <c r="CJ211" s="470">
        <f>MAX(CJ110:CJ210)</f>
        <v>2.419104302647312</v>
      </c>
    </row>
    <row r="212" spans="5:88" x14ac:dyDescent="0.25">
      <c r="G212" s="191"/>
      <c r="H212" s="191"/>
      <c r="I212" s="191"/>
      <c r="J212" s="472"/>
      <c r="K212" s="386"/>
      <c r="L212" s="386"/>
      <c r="M212" s="386"/>
      <c r="N212" s="191"/>
      <c r="O212" s="152"/>
      <c r="P212" s="152"/>
      <c r="Q212" s="191"/>
      <c r="R212" s="191"/>
      <c r="S212" s="191"/>
      <c r="T212" s="191"/>
      <c r="U212" s="191"/>
      <c r="V212" s="191"/>
      <c r="W212" s="175"/>
      <c r="X212" s="386"/>
      <c r="Z212" s="191"/>
      <c r="AA212" s="153"/>
      <c r="AB212" s="153"/>
      <c r="AC212" s="153"/>
      <c r="AD212" s="153"/>
      <c r="AE212" s="317"/>
      <c r="AF212" s="463"/>
      <c r="AH212" s="153"/>
      <c r="AI212" s="153"/>
      <c r="AJ212" s="153"/>
      <c r="AL212" s="317"/>
      <c r="AM212" s="147"/>
      <c r="AR212" s="5"/>
      <c r="AS212" s="5"/>
      <c r="AT212" s="5"/>
      <c r="AU212" s="153"/>
      <c r="CI212" s="59"/>
    </row>
    <row r="213" spans="5:88" x14ac:dyDescent="0.25">
      <c r="G213" s="191"/>
      <c r="H213" s="191"/>
      <c r="I213" s="191"/>
      <c r="J213" s="472"/>
      <c r="K213" s="386"/>
      <c r="L213" s="386"/>
      <c r="M213" s="386"/>
      <c r="N213" s="191"/>
      <c r="O213" s="152"/>
      <c r="P213" s="152"/>
      <c r="Q213" s="191"/>
      <c r="R213" s="191"/>
      <c r="S213" s="191"/>
      <c r="T213" s="191"/>
      <c r="U213" s="191"/>
      <c r="V213" s="191"/>
      <c r="W213" s="175"/>
      <c r="X213" s="386"/>
      <c r="Z213" s="191"/>
      <c r="AA213" s="153"/>
      <c r="AB213" s="153"/>
      <c r="AC213" s="153"/>
      <c r="AD213" s="153"/>
      <c r="AE213" s="317"/>
      <c r="AF213" s="463"/>
      <c r="AH213" s="153"/>
      <c r="AI213" s="153"/>
      <c r="AJ213" s="153"/>
      <c r="AL213" s="317"/>
      <c r="AM213" s="147"/>
      <c r="AR213" s="5"/>
      <c r="AS213" s="5"/>
      <c r="AT213" s="5"/>
      <c r="AU213" s="153"/>
      <c r="CI213" s="59"/>
    </row>
    <row r="214" spans="5:88" x14ac:dyDescent="0.25">
      <c r="E214" s="162" t="s">
        <v>442</v>
      </c>
      <c r="G214" s="191"/>
      <c r="H214" s="191"/>
      <c r="I214" s="191"/>
      <c r="J214" s="472"/>
      <c r="K214" s="386"/>
      <c r="L214" s="386"/>
      <c r="M214" s="386"/>
      <c r="N214" s="191"/>
      <c r="O214" s="152"/>
      <c r="P214" s="152"/>
      <c r="Q214" s="191"/>
      <c r="R214" s="191"/>
      <c r="S214" s="191"/>
      <c r="T214" s="191"/>
      <c r="U214" s="191"/>
      <c r="V214" s="191"/>
      <c r="W214" s="175"/>
      <c r="X214" s="386"/>
      <c r="Z214" s="191"/>
      <c r="AA214" s="153"/>
      <c r="AB214" s="153"/>
      <c r="AC214" s="153"/>
      <c r="AD214" s="153"/>
      <c r="AE214" s="317"/>
      <c r="AF214" s="463"/>
      <c r="AH214" s="153"/>
      <c r="AI214" s="153"/>
      <c r="AJ214" s="153"/>
      <c r="AL214" s="317"/>
      <c r="AM214" s="147"/>
      <c r="AR214" s="5"/>
      <c r="AS214" s="5"/>
      <c r="AT214" s="5"/>
      <c r="AU214" s="153"/>
      <c r="CI214" s="59"/>
    </row>
    <row r="215" spans="5:88" ht="45" customHeight="1" thickBot="1" x14ac:dyDescent="0.3">
      <c r="E215" s="214" t="s">
        <v>25</v>
      </c>
      <c r="F215" s="522" t="s">
        <v>594</v>
      </c>
      <c r="G215" s="387" t="s">
        <v>593</v>
      </c>
      <c r="H215" s="523" t="s">
        <v>595</v>
      </c>
      <c r="I215" s="524" t="s">
        <v>596</v>
      </c>
      <c r="J215" s="215" t="s">
        <v>419</v>
      </c>
      <c r="K215" s="216" t="s">
        <v>425</v>
      </c>
      <c r="L215" s="462" t="s">
        <v>420</v>
      </c>
      <c r="M215" s="462"/>
      <c r="N215" s="217" t="s">
        <v>48</v>
      </c>
      <c r="O215" s="526" t="s">
        <v>604</v>
      </c>
      <c r="P215" s="152"/>
      <c r="Q215" s="462" t="s">
        <v>410</v>
      </c>
      <c r="R215" s="526" t="s">
        <v>598</v>
      </c>
      <c r="S215" s="462" t="s">
        <v>440</v>
      </c>
      <c r="T215" s="526" t="s">
        <v>421</v>
      </c>
      <c r="U215" s="462" t="s">
        <v>473</v>
      </c>
      <c r="V215" s="462" t="s">
        <v>472</v>
      </c>
      <c r="W215" s="476" t="s">
        <v>427</v>
      </c>
      <c r="X215" s="473" t="s">
        <v>432</v>
      </c>
      <c r="Z215" s="218" t="s">
        <v>424</v>
      </c>
      <c r="AA215" s="218" t="s">
        <v>471</v>
      </c>
      <c r="AB215" s="153"/>
      <c r="AC215" s="475"/>
      <c r="AD215" s="218" t="s">
        <v>470</v>
      </c>
      <c r="AE215" s="317"/>
      <c r="AF215" s="463"/>
      <c r="AG215" s="475"/>
      <c r="AH215" s="153"/>
      <c r="AI215" s="477" t="s">
        <v>437</v>
      </c>
      <c r="AJ215" s="477" t="s">
        <v>438</v>
      </c>
      <c r="AL215" s="474" t="s">
        <v>274</v>
      </c>
      <c r="AM215" s="474" t="s">
        <v>439</v>
      </c>
      <c r="AO215" s="218" t="s">
        <v>274</v>
      </c>
      <c r="AP215" s="218" t="s">
        <v>439</v>
      </c>
      <c r="AQ215" s="478"/>
      <c r="AR215" s="218" t="s">
        <v>474</v>
      </c>
      <c r="AS215" s="218" t="s">
        <v>468</v>
      </c>
      <c r="AT215" s="218" t="s">
        <v>469</v>
      </c>
      <c r="AU215" s="218" t="s">
        <v>48</v>
      </c>
      <c r="AV215" s="475"/>
      <c r="AW215" s="218" t="s">
        <v>489</v>
      </c>
      <c r="AX215" s="218"/>
      <c r="AY215" s="218"/>
      <c r="AZ215" s="218"/>
      <c r="BA215" s="218" t="s">
        <v>490</v>
      </c>
      <c r="BB215" s="218"/>
      <c r="BC215" s="475"/>
      <c r="BD215" s="486" t="s">
        <v>463</v>
      </c>
      <c r="BE215" s="218" t="s">
        <v>464</v>
      </c>
      <c r="BF215" s="218"/>
      <c r="BG215" s="475"/>
      <c r="BH215" s="486" t="s">
        <v>481</v>
      </c>
      <c r="BI215" s="218" t="s">
        <v>482</v>
      </c>
      <c r="BJ215" s="218" t="s">
        <v>480</v>
      </c>
      <c r="BK215" s="218" t="s">
        <v>476</v>
      </c>
      <c r="BL215" s="218" t="s">
        <v>485</v>
      </c>
      <c r="BM215" s="218"/>
      <c r="BN215" s="218"/>
      <c r="BO215" s="218" t="s">
        <v>500</v>
      </c>
      <c r="BP215" s="486" t="s">
        <v>483</v>
      </c>
      <c r="BQ215" s="218"/>
      <c r="BR215" s="218" t="s">
        <v>484</v>
      </c>
      <c r="BS215" s="218" t="s">
        <v>492</v>
      </c>
      <c r="BT215" s="218" t="s">
        <v>496</v>
      </c>
      <c r="BU215" s="486" t="s">
        <v>465</v>
      </c>
      <c r="BV215" s="218" t="s">
        <v>466</v>
      </c>
      <c r="BW215" s="218"/>
      <c r="BX215" s="218" t="s">
        <v>475</v>
      </c>
      <c r="BY215" s="218"/>
      <c r="BZ215" s="218"/>
      <c r="CA215" s="218" t="s">
        <v>493</v>
      </c>
      <c r="CB215" s="218" t="s">
        <v>495</v>
      </c>
      <c r="CC215" s="486" t="s">
        <v>491</v>
      </c>
      <c r="CD215" s="218" t="s">
        <v>223</v>
      </c>
      <c r="CE215" s="218" t="s">
        <v>47</v>
      </c>
      <c r="CF215" s="218" t="s">
        <v>494</v>
      </c>
      <c r="CG215" s="218"/>
      <c r="CI215" s="59"/>
    </row>
    <row r="216" spans="5:88" x14ac:dyDescent="0.25">
      <c r="E216" s="150">
        <v>0.1</v>
      </c>
      <c r="F216" s="191">
        <v>1.0000000000000001E-9</v>
      </c>
      <c r="G216" s="191">
        <f t="shared" ref="G216:G247" si="353">IF(PLOT_TYPE=1, E216/100*Iout2, min_I*EXP(Q216*rr/100))</f>
        <v>1E-4</v>
      </c>
      <c r="H216" s="191">
        <f t="shared" ref="H216:H247" si="354">F216*Vout</f>
        <v>2E-8</v>
      </c>
      <c r="I216" s="191">
        <f t="shared" ref="I216:I247" si="355">Vout2*G216</f>
        <v>1.6000000000000001E-3</v>
      </c>
      <c r="J216" s="472">
        <f t="shared" ref="J216:J279" si="356">VIN_max</f>
        <v>21</v>
      </c>
      <c r="K216" s="386">
        <f t="shared" ref="K216:K279" si="357">(S216+Vfwd1)*Nps</f>
        <v>20.32</v>
      </c>
      <c r="L216" s="386">
        <f t="shared" ref="L216:L279" si="358">(Vout+Vfwd1)*Nps+J216</f>
        <v>41.32</v>
      </c>
      <c r="M216" s="386"/>
      <c r="N216" s="191">
        <f t="shared" ref="N216:N279" si="359">(Vout+Vfwd1)*Nps/((Vout+Vfwd1)*Nps+J216)</f>
        <v>0.49177153920619554</v>
      </c>
      <c r="O216" s="152">
        <f t="shared" ref="O216:O247" si="360">N216*J216*Isw_max*0.5*Efficiency*Pout/(Pout+Pout2)</f>
        <v>1.9363504356243948</v>
      </c>
      <c r="P216" s="152">
        <f t="shared" ref="P216:P247" si="361">N216*J216*Isw_max*0.5*Efficiency*(Pout2/Pout_total)</f>
        <v>2.7883446272991286</v>
      </c>
      <c r="Q216" s="191">
        <f t="shared" ref="Q216:Q279" si="362">O216/Vout</f>
        <v>9.6817521781219745E-2</v>
      </c>
      <c r="R216" s="191">
        <f t="shared" ref="R216:R247" si="363">O216/Vout2</f>
        <v>0.12102190222652467</v>
      </c>
      <c r="S216" s="191">
        <f t="shared" ref="S216:S247" si="364">MIN(Vout,O216/F216)</f>
        <v>20</v>
      </c>
      <c r="T216" s="191">
        <f t="shared" ref="T216:T247" si="365">MIN(2*(Vout*F216+Vout2*G216)/(Efficiency*J216*N216), Isw_max)</f>
        <v>3.4429460067491566E-4</v>
      </c>
      <c r="U216" s="191">
        <f t="shared" ref="U216:U279" si="366">L*T216/J216*1000000</f>
        <v>9.8369885907118753E-4</v>
      </c>
      <c r="V216" s="191">
        <f t="shared" ref="V216:V279" si="367">L*T216/K216*1000000</f>
        <v>1.0166179153786878E-3</v>
      </c>
      <c r="W216" s="175">
        <f t="shared" ref="W216:W279" si="368">IF(1/((350000*L)*(1/J216+1/K216))&gt;Isw_min, 350, 0.001/((Isw_min*L)*(1/J216+1/K216)))</f>
        <v>350</v>
      </c>
      <c r="X216" s="386">
        <f t="shared" ref="X216:X279" si="369">MIN(1/(U216+V216)*1000, 350)</f>
        <v>350</v>
      </c>
      <c r="Z216" s="191">
        <f t="shared" ref="Z216:Z279" si="370">1/((W216*1000*L)*(1/J216+1/K216))</f>
        <v>0.49177153920619554</v>
      </c>
      <c r="AA216" s="153">
        <f t="shared" ref="AA216:AA279" si="371">L*Z216/K216*1000000</f>
        <v>1.452081316553727</v>
      </c>
      <c r="AB216" s="153">
        <f t="shared" ref="AB216:AB247" si="372">0.5*AA216*Z216*Nps*W216/1000*(Pout/(Pout+Pout2))</f>
        <v>6.9425636786934669E-2</v>
      </c>
      <c r="AC216" s="153"/>
      <c r="AD216" s="153">
        <f t="shared" ref="AD216:AD279" si="373">L*Isw_min/K216*1000000</f>
        <v>0.44291338582677164</v>
      </c>
      <c r="AE216" s="317">
        <f t="shared" ref="AE216:AE247" si="374">MAX(10, F216/(0.5*AD216/1000000*Isw_min*Nps)/1000*Pout_total/Pout)</f>
        <v>10</v>
      </c>
      <c r="AF216" s="463">
        <f t="shared" ref="AF216:AF247" si="375">0.5*AD216/1000000*Isw_min*Nps*W216*1000*(Pout/Pout_total)</f>
        <v>1.1626476377952754E-2</v>
      </c>
      <c r="AH216" s="153">
        <f t="shared" ref="AH216:AH247" si="376">SQRT((H216+I216)/(0.5*L*Fsw_DCM))</f>
        <v>1.2344345148401237E-2</v>
      </c>
      <c r="AI216" s="153">
        <f t="shared" ref="AI216:AI247" si="377">MAX(IF(F216&gt;AB216,T216,AH216),Isw_min)</f>
        <v>0.15</v>
      </c>
      <c r="AJ216" s="153">
        <f t="shared" ref="AJ216:AJ247" si="378">IF(F216&gt;AF216, (AI216-Isw_min)/1.08*0.8+1.2, AE216*0.2/350+1)</f>
        <v>1.0057142857142858</v>
      </c>
      <c r="AL216" s="317">
        <f t="shared" ref="AL216:AL247" si="379">F216*1000</f>
        <v>1.0000000000000002E-6</v>
      </c>
      <c r="AM216" s="147">
        <f t="shared" ref="AM216:AM247" si="380">IF(F216&gt;AF216, X216, AE216)</f>
        <v>10</v>
      </c>
      <c r="AO216">
        <f t="shared" ref="AO216:AO279" si="381">IF(H216&gt;O216, "",AL216)</f>
        <v>1.0000000000000002E-6</v>
      </c>
      <c r="AP216">
        <f t="shared" ref="AP216:AP279" si="382">IF(H216&gt;O216, "",AM216)</f>
        <v>10</v>
      </c>
      <c r="AR216" s="5">
        <f t="shared" si="343"/>
        <v>100</v>
      </c>
      <c r="AS216" s="5">
        <f t="shared" si="335"/>
        <v>0.42857142857142855</v>
      </c>
      <c r="AT216" s="5">
        <f t="shared" si="336"/>
        <v>99.571428571428569</v>
      </c>
      <c r="AU216" s="153">
        <f t="shared" si="337"/>
        <v>4.2857142857142851E-3</v>
      </c>
      <c r="CI216" s="59">
        <f t="shared" ref="CI216:CI247" si="383">IF(ABS(F216-Ioutmax_Vinmax)&lt;Iout/200, AM216, -50)</f>
        <v>-50</v>
      </c>
    </row>
    <row r="217" spans="5:88" x14ac:dyDescent="0.25">
      <c r="E217" s="150">
        <v>1</v>
      </c>
      <c r="F217" s="191">
        <f t="shared" ref="F217:F248" si="384">IF(PLOT_TYPE=1, E217/100*Iout_max, min_I*EXP(O217*rr/100))</f>
        <v>1E-3</v>
      </c>
      <c r="G217" s="191">
        <f t="shared" si="353"/>
        <v>1E-3</v>
      </c>
      <c r="H217" s="191">
        <f t="shared" si="354"/>
        <v>0.02</v>
      </c>
      <c r="I217" s="191">
        <f t="shared" si="355"/>
        <v>1.6E-2</v>
      </c>
      <c r="J217" s="472">
        <f t="shared" si="356"/>
        <v>21</v>
      </c>
      <c r="K217" s="386">
        <f t="shared" si="357"/>
        <v>20.32</v>
      </c>
      <c r="L217" s="386">
        <f t="shared" si="358"/>
        <v>41.32</v>
      </c>
      <c r="M217" s="386"/>
      <c r="N217" s="191">
        <f t="shared" si="359"/>
        <v>0.49177153920619554</v>
      </c>
      <c r="O217" s="152">
        <f t="shared" si="360"/>
        <v>1.9363504356243948</v>
      </c>
      <c r="P217" s="152">
        <f t="shared" si="361"/>
        <v>2.7883446272991286</v>
      </c>
      <c r="Q217" s="191">
        <f t="shared" si="362"/>
        <v>9.6817521781219745E-2</v>
      </c>
      <c r="R217" s="191">
        <f t="shared" si="363"/>
        <v>0.12102190222652467</v>
      </c>
      <c r="S217" s="191">
        <f t="shared" si="364"/>
        <v>20</v>
      </c>
      <c r="T217" s="191">
        <f t="shared" si="365"/>
        <v>7.7465316835395584E-3</v>
      </c>
      <c r="U217" s="191">
        <f t="shared" si="366"/>
        <v>2.2132947667255883E-2</v>
      </c>
      <c r="V217" s="191">
        <f t="shared" si="367"/>
        <v>2.2873617175805782E-2</v>
      </c>
      <c r="W217" s="175">
        <f t="shared" si="368"/>
        <v>350</v>
      </c>
      <c r="X217" s="386">
        <f t="shared" si="369"/>
        <v>350</v>
      </c>
      <c r="Z217" s="191">
        <f t="shared" si="370"/>
        <v>0.49177153920619554</v>
      </c>
      <c r="AA217" s="153">
        <f t="shared" si="371"/>
        <v>1.452081316553727</v>
      </c>
      <c r="AB217" s="153">
        <f t="shared" si="372"/>
        <v>6.9425636786934669E-2</v>
      </c>
      <c r="AC217" s="153"/>
      <c r="AD217" s="153">
        <f t="shared" si="373"/>
        <v>0.44291338582677164</v>
      </c>
      <c r="AE217" s="317">
        <f t="shared" si="374"/>
        <v>30.103703703703708</v>
      </c>
      <c r="AF217" s="463">
        <f t="shared" si="375"/>
        <v>1.1626476377952754E-2</v>
      </c>
      <c r="AH217" s="153">
        <f t="shared" si="376"/>
        <v>5.8554004376911994E-2</v>
      </c>
      <c r="AI217" s="153">
        <f t="shared" si="377"/>
        <v>0.15</v>
      </c>
      <c r="AJ217" s="153">
        <f t="shared" si="378"/>
        <v>1.0172021164021163</v>
      </c>
      <c r="AL217" s="317">
        <f t="shared" si="379"/>
        <v>1</v>
      </c>
      <c r="AM217" s="147">
        <f t="shared" si="380"/>
        <v>30.103703703703708</v>
      </c>
      <c r="AO217">
        <f t="shared" si="381"/>
        <v>1</v>
      </c>
      <c r="AP217">
        <f t="shared" si="382"/>
        <v>30.103703703703708</v>
      </c>
      <c r="AR217" s="5">
        <f t="shared" si="343"/>
        <v>33.218503937007867</v>
      </c>
      <c r="AS217" s="5">
        <f t="shared" si="335"/>
        <v>0.42857142857142855</v>
      </c>
      <c r="AT217" s="5">
        <f t="shared" si="336"/>
        <v>32.789932508436436</v>
      </c>
      <c r="AU217" s="153">
        <f t="shared" si="337"/>
        <v>1.2901587301587303E-2</v>
      </c>
      <c r="CI217" s="59">
        <f t="shared" si="383"/>
        <v>-50</v>
      </c>
    </row>
    <row r="218" spans="5:88" x14ac:dyDescent="0.25">
      <c r="E218" s="150">
        <v>2</v>
      </c>
      <c r="F218" s="191">
        <f t="shared" si="384"/>
        <v>2E-3</v>
      </c>
      <c r="G218" s="191">
        <f t="shared" si="353"/>
        <v>2E-3</v>
      </c>
      <c r="H218" s="191">
        <f t="shared" si="354"/>
        <v>0.04</v>
      </c>
      <c r="I218" s="191">
        <f t="shared" si="355"/>
        <v>3.2000000000000001E-2</v>
      </c>
      <c r="J218" s="472">
        <f t="shared" si="356"/>
        <v>21</v>
      </c>
      <c r="K218" s="386">
        <f t="shared" si="357"/>
        <v>20.32</v>
      </c>
      <c r="L218" s="386">
        <f t="shared" si="358"/>
        <v>41.32</v>
      </c>
      <c r="M218" s="386"/>
      <c r="N218" s="191">
        <f t="shared" si="359"/>
        <v>0.49177153920619554</v>
      </c>
      <c r="O218" s="152">
        <f t="shared" si="360"/>
        <v>1.9363504356243948</v>
      </c>
      <c r="P218" s="152">
        <f t="shared" si="361"/>
        <v>2.7883446272991286</v>
      </c>
      <c r="Q218" s="191">
        <f t="shared" si="362"/>
        <v>9.6817521781219745E-2</v>
      </c>
      <c r="R218" s="191">
        <f t="shared" si="363"/>
        <v>0.12102190222652467</v>
      </c>
      <c r="S218" s="191">
        <f t="shared" si="364"/>
        <v>20</v>
      </c>
      <c r="T218" s="191">
        <f t="shared" si="365"/>
        <v>1.5493063367079117E-2</v>
      </c>
      <c r="U218" s="191">
        <f t="shared" si="366"/>
        <v>4.4265895334511765E-2</v>
      </c>
      <c r="V218" s="191">
        <f t="shared" si="367"/>
        <v>4.5747234351611564E-2</v>
      </c>
      <c r="W218" s="175">
        <f t="shared" si="368"/>
        <v>350</v>
      </c>
      <c r="X218" s="386">
        <f t="shared" si="369"/>
        <v>350</v>
      </c>
      <c r="Z218" s="191">
        <f t="shared" si="370"/>
        <v>0.49177153920619554</v>
      </c>
      <c r="AA218" s="153">
        <f t="shared" si="371"/>
        <v>1.452081316553727</v>
      </c>
      <c r="AB218" s="153">
        <f t="shared" si="372"/>
        <v>6.9425636786934669E-2</v>
      </c>
      <c r="AC218" s="153"/>
      <c r="AD218" s="153">
        <f t="shared" si="373"/>
        <v>0.44291338582677164</v>
      </c>
      <c r="AE218" s="317">
        <f t="shared" si="374"/>
        <v>60.207407407407416</v>
      </c>
      <c r="AF218" s="463">
        <f t="shared" si="375"/>
        <v>1.1626476377952754E-2</v>
      </c>
      <c r="AH218" s="153">
        <f t="shared" si="376"/>
        <v>8.2807867121082512E-2</v>
      </c>
      <c r="AI218" s="153">
        <f t="shared" si="377"/>
        <v>0.15</v>
      </c>
      <c r="AJ218" s="153">
        <f t="shared" si="378"/>
        <v>1.0344042328042329</v>
      </c>
      <c r="AL218" s="317">
        <f t="shared" si="379"/>
        <v>2</v>
      </c>
      <c r="AM218" s="147">
        <f t="shared" si="380"/>
        <v>60.207407407407416</v>
      </c>
      <c r="AO218">
        <f t="shared" si="381"/>
        <v>2</v>
      </c>
      <c r="AP218">
        <f t="shared" si="382"/>
        <v>60.207407407407416</v>
      </c>
      <c r="AR218" s="5">
        <f t="shared" si="343"/>
        <v>16.609251968503933</v>
      </c>
      <c r="AS218" s="5">
        <f t="shared" si="335"/>
        <v>0.42857142857142855</v>
      </c>
      <c r="AT218" s="5">
        <f t="shared" si="336"/>
        <v>16.180680539932506</v>
      </c>
      <c r="AU218" s="153">
        <f t="shared" si="337"/>
        <v>2.5803174603174606E-2</v>
      </c>
      <c r="CI218" s="59">
        <f t="shared" si="383"/>
        <v>-50</v>
      </c>
    </row>
    <row r="219" spans="5:88" x14ac:dyDescent="0.25">
      <c r="E219" s="150">
        <v>3</v>
      </c>
      <c r="F219" s="191">
        <f t="shared" si="384"/>
        <v>3.0000000000000001E-3</v>
      </c>
      <c r="G219" s="191">
        <f t="shared" si="353"/>
        <v>3.0000000000000001E-3</v>
      </c>
      <c r="H219" s="191">
        <f t="shared" si="354"/>
        <v>0.06</v>
      </c>
      <c r="I219" s="191">
        <f t="shared" si="355"/>
        <v>4.8000000000000001E-2</v>
      </c>
      <c r="J219" s="472">
        <f t="shared" si="356"/>
        <v>21</v>
      </c>
      <c r="K219" s="386">
        <f t="shared" si="357"/>
        <v>20.32</v>
      </c>
      <c r="L219" s="386">
        <f t="shared" si="358"/>
        <v>41.32</v>
      </c>
      <c r="M219" s="386"/>
      <c r="N219" s="191">
        <f t="shared" si="359"/>
        <v>0.49177153920619554</v>
      </c>
      <c r="O219" s="152">
        <f t="shared" si="360"/>
        <v>1.9363504356243948</v>
      </c>
      <c r="P219" s="152">
        <f t="shared" si="361"/>
        <v>2.7883446272991286</v>
      </c>
      <c r="Q219" s="191">
        <f t="shared" si="362"/>
        <v>9.6817521781219745E-2</v>
      </c>
      <c r="R219" s="191">
        <f t="shared" si="363"/>
        <v>0.12102190222652467</v>
      </c>
      <c r="S219" s="191">
        <f t="shared" si="364"/>
        <v>20</v>
      </c>
      <c r="T219" s="191">
        <f t="shared" si="365"/>
        <v>2.3239595050618671E-2</v>
      </c>
      <c r="U219" s="191">
        <f t="shared" si="366"/>
        <v>6.6398843001767641E-2</v>
      </c>
      <c r="V219" s="191">
        <f t="shared" si="367"/>
        <v>6.8620851527417343E-2</v>
      </c>
      <c r="W219" s="175">
        <f t="shared" si="368"/>
        <v>350</v>
      </c>
      <c r="X219" s="386">
        <f t="shared" si="369"/>
        <v>350</v>
      </c>
      <c r="Z219" s="191">
        <f t="shared" si="370"/>
        <v>0.49177153920619554</v>
      </c>
      <c r="AA219" s="153">
        <f t="shared" si="371"/>
        <v>1.452081316553727</v>
      </c>
      <c r="AB219" s="153">
        <f t="shared" si="372"/>
        <v>6.9425636786934669E-2</v>
      </c>
      <c r="AC219" s="153"/>
      <c r="AD219" s="153">
        <f t="shared" si="373"/>
        <v>0.44291338582677164</v>
      </c>
      <c r="AE219" s="317">
        <f t="shared" si="374"/>
        <v>90.311111111111117</v>
      </c>
      <c r="AF219" s="463">
        <f t="shared" si="375"/>
        <v>1.1626476377952754E-2</v>
      </c>
      <c r="AH219" s="153">
        <f t="shared" si="376"/>
        <v>0.10141851056742199</v>
      </c>
      <c r="AI219" s="153">
        <f t="shared" si="377"/>
        <v>0.15</v>
      </c>
      <c r="AJ219" s="153">
        <f t="shared" si="378"/>
        <v>1.0516063492063492</v>
      </c>
      <c r="AL219" s="317">
        <f t="shared" si="379"/>
        <v>3</v>
      </c>
      <c r="AM219" s="147">
        <f t="shared" si="380"/>
        <v>90.311111111111117</v>
      </c>
      <c r="AO219">
        <f t="shared" si="381"/>
        <v>3</v>
      </c>
      <c r="AP219">
        <f t="shared" si="382"/>
        <v>90.311111111111117</v>
      </c>
      <c r="AR219" s="5">
        <f t="shared" si="343"/>
        <v>11.072834645669291</v>
      </c>
      <c r="AS219" s="5">
        <f t="shared" si="335"/>
        <v>0.42857142857142855</v>
      </c>
      <c r="AT219" s="5">
        <f t="shared" si="336"/>
        <v>10.644263217097862</v>
      </c>
      <c r="AU219" s="153">
        <f t="shared" si="337"/>
        <v>3.8704761904761902E-2</v>
      </c>
      <c r="CI219" s="59">
        <f t="shared" si="383"/>
        <v>-50</v>
      </c>
    </row>
    <row r="220" spans="5:88" x14ac:dyDescent="0.25">
      <c r="E220" s="150">
        <v>4</v>
      </c>
      <c r="F220" s="191">
        <f t="shared" si="384"/>
        <v>4.0000000000000001E-3</v>
      </c>
      <c r="G220" s="191">
        <f t="shared" si="353"/>
        <v>4.0000000000000001E-3</v>
      </c>
      <c r="H220" s="191">
        <f t="shared" si="354"/>
        <v>0.08</v>
      </c>
      <c r="I220" s="191">
        <f t="shared" si="355"/>
        <v>6.4000000000000001E-2</v>
      </c>
      <c r="J220" s="472">
        <f t="shared" si="356"/>
        <v>21</v>
      </c>
      <c r="K220" s="386">
        <f t="shared" si="357"/>
        <v>20.32</v>
      </c>
      <c r="L220" s="386">
        <f t="shared" si="358"/>
        <v>41.32</v>
      </c>
      <c r="M220" s="386"/>
      <c r="N220" s="191">
        <f t="shared" si="359"/>
        <v>0.49177153920619554</v>
      </c>
      <c r="O220" s="152">
        <f t="shared" si="360"/>
        <v>1.9363504356243948</v>
      </c>
      <c r="P220" s="152">
        <f t="shared" si="361"/>
        <v>2.7883446272991286</v>
      </c>
      <c r="Q220" s="191">
        <f t="shared" si="362"/>
        <v>9.6817521781219745E-2</v>
      </c>
      <c r="R220" s="191">
        <f t="shared" si="363"/>
        <v>0.12102190222652467</v>
      </c>
      <c r="S220" s="191">
        <f t="shared" si="364"/>
        <v>20</v>
      </c>
      <c r="T220" s="191">
        <f t="shared" si="365"/>
        <v>3.0986126734158233E-2</v>
      </c>
      <c r="U220" s="191">
        <f t="shared" si="366"/>
        <v>8.853179066902353E-2</v>
      </c>
      <c r="V220" s="191">
        <f t="shared" si="367"/>
        <v>9.1494468703223128E-2</v>
      </c>
      <c r="W220" s="175">
        <f t="shared" si="368"/>
        <v>350</v>
      </c>
      <c r="X220" s="386">
        <f t="shared" si="369"/>
        <v>350</v>
      </c>
      <c r="Z220" s="191">
        <f t="shared" si="370"/>
        <v>0.49177153920619554</v>
      </c>
      <c r="AA220" s="153">
        <f t="shared" si="371"/>
        <v>1.452081316553727</v>
      </c>
      <c r="AB220" s="153">
        <f t="shared" si="372"/>
        <v>6.9425636786934669E-2</v>
      </c>
      <c r="AC220" s="153"/>
      <c r="AD220" s="153">
        <f t="shared" si="373"/>
        <v>0.44291338582677164</v>
      </c>
      <c r="AE220" s="317">
        <f t="shared" si="374"/>
        <v>120.41481481481483</v>
      </c>
      <c r="AF220" s="463">
        <f t="shared" si="375"/>
        <v>1.1626476377952754E-2</v>
      </c>
      <c r="AH220" s="153">
        <f t="shared" si="376"/>
        <v>0.11710800875382399</v>
      </c>
      <c r="AI220" s="153">
        <f t="shared" si="377"/>
        <v>0.15</v>
      </c>
      <c r="AJ220" s="153">
        <f t="shared" si="378"/>
        <v>1.0688084656084655</v>
      </c>
      <c r="AL220" s="317">
        <f t="shared" si="379"/>
        <v>4</v>
      </c>
      <c r="AM220" s="147">
        <f t="shared" si="380"/>
        <v>120.41481481481483</v>
      </c>
      <c r="AO220">
        <f t="shared" si="381"/>
        <v>4</v>
      </c>
      <c r="AP220">
        <f t="shared" si="382"/>
        <v>120.41481481481483</v>
      </c>
      <c r="AR220" s="5">
        <f t="shared" si="343"/>
        <v>8.3046259842519667</v>
      </c>
      <c r="AS220" s="5">
        <f t="shared" si="335"/>
        <v>0.42857142857142855</v>
      </c>
      <c r="AT220" s="5">
        <f t="shared" si="336"/>
        <v>7.8760545556805379</v>
      </c>
      <c r="AU220" s="153">
        <f t="shared" si="337"/>
        <v>5.1606349206349211E-2</v>
      </c>
      <c r="CI220" s="59">
        <f t="shared" si="383"/>
        <v>-50</v>
      </c>
    </row>
    <row r="221" spans="5:88" x14ac:dyDescent="0.25">
      <c r="E221" s="150">
        <v>5</v>
      </c>
      <c r="F221" s="191">
        <f t="shared" si="384"/>
        <v>5.000000000000001E-3</v>
      </c>
      <c r="G221" s="191">
        <f t="shared" si="353"/>
        <v>5.000000000000001E-3</v>
      </c>
      <c r="H221" s="191">
        <f t="shared" si="354"/>
        <v>0.10000000000000002</v>
      </c>
      <c r="I221" s="191">
        <f t="shared" si="355"/>
        <v>8.0000000000000016E-2</v>
      </c>
      <c r="J221" s="472">
        <f t="shared" si="356"/>
        <v>21</v>
      </c>
      <c r="K221" s="386">
        <f t="shared" si="357"/>
        <v>20.32</v>
      </c>
      <c r="L221" s="386">
        <f t="shared" si="358"/>
        <v>41.32</v>
      </c>
      <c r="M221" s="386"/>
      <c r="N221" s="191">
        <f t="shared" si="359"/>
        <v>0.49177153920619554</v>
      </c>
      <c r="O221" s="152">
        <f t="shared" si="360"/>
        <v>1.9363504356243948</v>
      </c>
      <c r="P221" s="152">
        <f t="shared" si="361"/>
        <v>2.7883446272991286</v>
      </c>
      <c r="Q221" s="191">
        <f t="shared" si="362"/>
        <v>9.6817521781219745E-2</v>
      </c>
      <c r="R221" s="191">
        <f t="shared" si="363"/>
        <v>0.12102190222652467</v>
      </c>
      <c r="S221" s="191">
        <f t="shared" si="364"/>
        <v>20</v>
      </c>
      <c r="T221" s="191">
        <f t="shared" si="365"/>
        <v>3.8732658417697796E-2</v>
      </c>
      <c r="U221" s="191">
        <f t="shared" si="366"/>
        <v>0.11066473833627942</v>
      </c>
      <c r="V221" s="191">
        <f t="shared" si="367"/>
        <v>0.11436808587902893</v>
      </c>
      <c r="W221" s="175">
        <f t="shared" si="368"/>
        <v>350</v>
      </c>
      <c r="X221" s="386">
        <f t="shared" si="369"/>
        <v>350</v>
      </c>
      <c r="Z221" s="191">
        <f t="shared" si="370"/>
        <v>0.49177153920619554</v>
      </c>
      <c r="AA221" s="153">
        <f t="shared" si="371"/>
        <v>1.452081316553727</v>
      </c>
      <c r="AB221" s="153">
        <f t="shared" si="372"/>
        <v>6.9425636786934669E-2</v>
      </c>
      <c r="AC221" s="153"/>
      <c r="AD221" s="153">
        <f t="shared" si="373"/>
        <v>0.44291338582677164</v>
      </c>
      <c r="AE221" s="317">
        <f t="shared" si="374"/>
        <v>150.51851851851856</v>
      </c>
      <c r="AF221" s="463">
        <f t="shared" si="375"/>
        <v>1.1626476377952754E-2</v>
      </c>
      <c r="AH221" s="153">
        <f t="shared" si="376"/>
        <v>0.13093073414159545</v>
      </c>
      <c r="AI221" s="153">
        <f t="shared" si="377"/>
        <v>0.15</v>
      </c>
      <c r="AJ221" s="153">
        <f t="shared" si="378"/>
        <v>1.0860105820105821</v>
      </c>
      <c r="AL221" s="317">
        <f t="shared" si="379"/>
        <v>5.0000000000000009</v>
      </c>
      <c r="AM221" s="147">
        <f t="shared" si="380"/>
        <v>150.51851851851856</v>
      </c>
      <c r="AO221">
        <f t="shared" si="381"/>
        <v>5.0000000000000009</v>
      </c>
      <c r="AP221">
        <f t="shared" si="382"/>
        <v>150.51851851851856</v>
      </c>
      <c r="AR221" s="5">
        <f t="shared" si="343"/>
        <v>6.6437007874015723</v>
      </c>
      <c r="AS221" s="5">
        <f t="shared" si="335"/>
        <v>0.42857142857142855</v>
      </c>
      <c r="AT221" s="5">
        <f t="shared" si="336"/>
        <v>6.2151293588301435</v>
      </c>
      <c r="AU221" s="153">
        <f t="shared" si="337"/>
        <v>6.4507936507936528E-2</v>
      </c>
      <c r="CI221" s="59">
        <f t="shared" si="383"/>
        <v>-50</v>
      </c>
    </row>
    <row r="222" spans="5:88" x14ac:dyDescent="0.25">
      <c r="E222" s="150">
        <v>6</v>
      </c>
      <c r="F222" s="191">
        <f t="shared" si="384"/>
        <v>6.0000000000000001E-3</v>
      </c>
      <c r="G222" s="191">
        <f t="shared" si="353"/>
        <v>6.0000000000000001E-3</v>
      </c>
      <c r="H222" s="191">
        <f t="shared" si="354"/>
        <v>0.12</v>
      </c>
      <c r="I222" s="191">
        <f t="shared" si="355"/>
        <v>9.6000000000000002E-2</v>
      </c>
      <c r="J222" s="472">
        <f t="shared" si="356"/>
        <v>21</v>
      </c>
      <c r="K222" s="386">
        <f t="shared" si="357"/>
        <v>20.32</v>
      </c>
      <c r="L222" s="386">
        <f t="shared" si="358"/>
        <v>41.32</v>
      </c>
      <c r="M222" s="386"/>
      <c r="N222" s="191">
        <f t="shared" si="359"/>
        <v>0.49177153920619554</v>
      </c>
      <c r="O222" s="152">
        <f t="shared" si="360"/>
        <v>1.9363504356243948</v>
      </c>
      <c r="P222" s="152">
        <f t="shared" si="361"/>
        <v>2.7883446272991286</v>
      </c>
      <c r="Q222" s="191">
        <f t="shared" si="362"/>
        <v>9.6817521781219745E-2</v>
      </c>
      <c r="R222" s="191">
        <f t="shared" si="363"/>
        <v>0.12102190222652467</v>
      </c>
      <c r="S222" s="191">
        <f t="shared" si="364"/>
        <v>20</v>
      </c>
      <c r="T222" s="191">
        <f t="shared" si="365"/>
        <v>4.6479190101237342E-2</v>
      </c>
      <c r="U222" s="191">
        <f t="shared" si="366"/>
        <v>0.13279768600353528</v>
      </c>
      <c r="V222" s="191">
        <f t="shared" si="367"/>
        <v>0.13724170305483469</v>
      </c>
      <c r="W222" s="175">
        <f t="shared" si="368"/>
        <v>350</v>
      </c>
      <c r="X222" s="386">
        <f t="shared" si="369"/>
        <v>350</v>
      </c>
      <c r="Z222" s="191">
        <f t="shared" si="370"/>
        <v>0.49177153920619554</v>
      </c>
      <c r="AA222" s="153">
        <f t="shared" si="371"/>
        <v>1.452081316553727</v>
      </c>
      <c r="AB222" s="153">
        <f t="shared" si="372"/>
        <v>6.9425636786934669E-2</v>
      </c>
      <c r="AC222" s="153"/>
      <c r="AD222" s="153">
        <f t="shared" si="373"/>
        <v>0.44291338582677164</v>
      </c>
      <c r="AE222" s="317">
        <f t="shared" si="374"/>
        <v>180.62222222222223</v>
      </c>
      <c r="AF222" s="463">
        <f t="shared" si="375"/>
        <v>1.1626476377952754E-2</v>
      </c>
      <c r="AH222" s="153">
        <f t="shared" si="376"/>
        <v>0.14342743312012723</v>
      </c>
      <c r="AI222" s="153">
        <f t="shared" si="377"/>
        <v>0.15</v>
      </c>
      <c r="AJ222" s="153">
        <f t="shared" si="378"/>
        <v>1.1032126984126984</v>
      </c>
      <c r="AL222" s="317">
        <f t="shared" si="379"/>
        <v>6</v>
      </c>
      <c r="AM222" s="147">
        <f t="shared" si="380"/>
        <v>180.62222222222223</v>
      </c>
      <c r="AO222">
        <f t="shared" si="381"/>
        <v>6</v>
      </c>
      <c r="AP222">
        <f t="shared" si="382"/>
        <v>180.62222222222223</v>
      </c>
      <c r="AR222" s="5">
        <f t="shared" si="343"/>
        <v>5.5364173228346454</v>
      </c>
      <c r="AS222" s="5">
        <f t="shared" si="335"/>
        <v>0.42857142857142855</v>
      </c>
      <c r="AT222" s="5">
        <f t="shared" si="336"/>
        <v>5.1078458942632166</v>
      </c>
      <c r="AU222" s="153">
        <f t="shared" si="337"/>
        <v>7.7409523809523803E-2</v>
      </c>
      <c r="CI222" s="59">
        <f t="shared" si="383"/>
        <v>-50</v>
      </c>
    </row>
    <row r="223" spans="5:88" x14ac:dyDescent="0.25">
      <c r="E223" s="150">
        <v>7</v>
      </c>
      <c r="F223" s="191">
        <f t="shared" si="384"/>
        <v>7.000000000000001E-3</v>
      </c>
      <c r="G223" s="191">
        <f t="shared" si="353"/>
        <v>7.000000000000001E-3</v>
      </c>
      <c r="H223" s="191">
        <f t="shared" si="354"/>
        <v>0.14000000000000001</v>
      </c>
      <c r="I223" s="191">
        <f t="shared" si="355"/>
        <v>0.11200000000000002</v>
      </c>
      <c r="J223" s="472">
        <f t="shared" si="356"/>
        <v>21</v>
      </c>
      <c r="K223" s="386">
        <f t="shared" si="357"/>
        <v>20.32</v>
      </c>
      <c r="L223" s="386">
        <f t="shared" si="358"/>
        <v>41.32</v>
      </c>
      <c r="M223" s="386"/>
      <c r="N223" s="191">
        <f t="shared" si="359"/>
        <v>0.49177153920619554</v>
      </c>
      <c r="O223" s="152">
        <f t="shared" si="360"/>
        <v>1.9363504356243948</v>
      </c>
      <c r="P223" s="152">
        <f t="shared" si="361"/>
        <v>2.7883446272991286</v>
      </c>
      <c r="Q223" s="191">
        <f t="shared" si="362"/>
        <v>9.6817521781219745E-2</v>
      </c>
      <c r="R223" s="191">
        <f t="shared" si="363"/>
        <v>0.12102190222652467</v>
      </c>
      <c r="S223" s="191">
        <f t="shared" si="364"/>
        <v>20</v>
      </c>
      <c r="T223" s="191">
        <f t="shared" si="365"/>
        <v>5.4225721784776901E-2</v>
      </c>
      <c r="U223" s="191">
        <f t="shared" si="366"/>
        <v>0.15493063367079113</v>
      </c>
      <c r="V223" s="191">
        <f t="shared" si="367"/>
        <v>0.16011532023064046</v>
      </c>
      <c r="W223" s="175">
        <f t="shared" si="368"/>
        <v>350</v>
      </c>
      <c r="X223" s="386">
        <f t="shared" si="369"/>
        <v>350</v>
      </c>
      <c r="Z223" s="191">
        <f t="shared" si="370"/>
        <v>0.49177153920619554</v>
      </c>
      <c r="AA223" s="153">
        <f t="shared" si="371"/>
        <v>1.452081316553727</v>
      </c>
      <c r="AB223" s="153">
        <f t="shared" si="372"/>
        <v>6.9425636786934669E-2</v>
      </c>
      <c r="AC223" s="153"/>
      <c r="AD223" s="153">
        <f t="shared" si="373"/>
        <v>0.44291338582677164</v>
      </c>
      <c r="AE223" s="317">
        <f t="shared" si="374"/>
        <v>210.72592592592599</v>
      </c>
      <c r="AF223" s="463">
        <f t="shared" si="375"/>
        <v>1.1626476377952754E-2</v>
      </c>
      <c r="AH223" s="153">
        <f t="shared" si="376"/>
        <v>0.15491933384829668</v>
      </c>
      <c r="AI223" s="153">
        <f t="shared" si="377"/>
        <v>0.15491933384829668</v>
      </c>
      <c r="AJ223" s="153">
        <f t="shared" si="378"/>
        <v>1.1204148148148148</v>
      </c>
      <c r="AL223" s="317">
        <f t="shared" si="379"/>
        <v>7.0000000000000009</v>
      </c>
      <c r="AM223" s="147">
        <f t="shared" si="380"/>
        <v>210.72592592592599</v>
      </c>
      <c r="AO223">
        <f t="shared" si="381"/>
        <v>7.0000000000000009</v>
      </c>
      <c r="AP223">
        <f t="shared" si="382"/>
        <v>210.72592592592599</v>
      </c>
      <c r="AR223" s="5">
        <f t="shared" si="343"/>
        <v>4.7455005624296946</v>
      </c>
      <c r="AS223" s="5">
        <f t="shared" si="335"/>
        <v>0.44262666813799051</v>
      </c>
      <c r="AT223" s="5">
        <f t="shared" si="336"/>
        <v>4.3028738942917037</v>
      </c>
      <c r="AU223" s="153">
        <f t="shared" si="337"/>
        <v>9.3272914482885619E-2</v>
      </c>
      <c r="CI223" s="59">
        <f t="shared" si="383"/>
        <v>-50</v>
      </c>
    </row>
    <row r="224" spans="5:88" x14ac:dyDescent="0.25">
      <c r="E224" s="150">
        <v>8</v>
      </c>
      <c r="F224" s="191">
        <f t="shared" si="384"/>
        <v>8.0000000000000002E-3</v>
      </c>
      <c r="G224" s="191">
        <f t="shared" si="353"/>
        <v>8.0000000000000002E-3</v>
      </c>
      <c r="H224" s="191">
        <f t="shared" si="354"/>
        <v>0.16</v>
      </c>
      <c r="I224" s="191">
        <f t="shared" si="355"/>
        <v>0.128</v>
      </c>
      <c r="J224" s="472">
        <f t="shared" si="356"/>
        <v>21</v>
      </c>
      <c r="K224" s="386">
        <f t="shared" si="357"/>
        <v>20.32</v>
      </c>
      <c r="L224" s="386">
        <f t="shared" si="358"/>
        <v>41.32</v>
      </c>
      <c r="M224" s="386"/>
      <c r="N224" s="191">
        <f t="shared" si="359"/>
        <v>0.49177153920619554</v>
      </c>
      <c r="O224" s="152">
        <f t="shared" si="360"/>
        <v>1.9363504356243948</v>
      </c>
      <c r="P224" s="152">
        <f t="shared" si="361"/>
        <v>2.7883446272991286</v>
      </c>
      <c r="Q224" s="191">
        <f t="shared" si="362"/>
        <v>9.6817521781219745E-2</v>
      </c>
      <c r="R224" s="191">
        <f t="shared" si="363"/>
        <v>0.12102190222652467</v>
      </c>
      <c r="S224" s="191">
        <f t="shared" si="364"/>
        <v>20</v>
      </c>
      <c r="T224" s="191">
        <f t="shared" si="365"/>
        <v>6.1972253468316467E-2</v>
      </c>
      <c r="U224" s="191">
        <f t="shared" si="366"/>
        <v>0.17706358133804706</v>
      </c>
      <c r="V224" s="191">
        <f t="shared" si="367"/>
        <v>0.18298893740644626</v>
      </c>
      <c r="W224" s="175">
        <f t="shared" si="368"/>
        <v>350</v>
      </c>
      <c r="X224" s="386">
        <f t="shared" si="369"/>
        <v>350</v>
      </c>
      <c r="Z224" s="191">
        <f t="shared" si="370"/>
        <v>0.49177153920619554</v>
      </c>
      <c r="AA224" s="153">
        <f t="shared" si="371"/>
        <v>1.452081316553727</v>
      </c>
      <c r="AB224" s="153">
        <f t="shared" si="372"/>
        <v>6.9425636786934669E-2</v>
      </c>
      <c r="AC224" s="153"/>
      <c r="AD224" s="153">
        <f t="shared" si="373"/>
        <v>0.44291338582677164</v>
      </c>
      <c r="AE224" s="317">
        <f t="shared" si="374"/>
        <v>240.82962962962966</v>
      </c>
      <c r="AF224" s="463">
        <f t="shared" si="375"/>
        <v>1.1626476377952754E-2</v>
      </c>
      <c r="AH224" s="153">
        <f t="shared" si="376"/>
        <v>0.16561573424216502</v>
      </c>
      <c r="AI224" s="153">
        <f t="shared" si="377"/>
        <v>0.16561573424216502</v>
      </c>
      <c r="AJ224" s="153">
        <f t="shared" si="378"/>
        <v>1.1376169312169313</v>
      </c>
      <c r="AL224" s="317">
        <f t="shared" si="379"/>
        <v>8</v>
      </c>
      <c r="AM224" s="147">
        <f t="shared" si="380"/>
        <v>240.82962962962966</v>
      </c>
      <c r="AO224">
        <f t="shared" si="381"/>
        <v>8</v>
      </c>
      <c r="AP224">
        <f t="shared" si="382"/>
        <v>240.82962962962966</v>
      </c>
      <c r="AR224" s="5">
        <f t="shared" si="343"/>
        <v>4.1523129921259834</v>
      </c>
      <c r="AS224" s="5">
        <f t="shared" si="335"/>
        <v>0.47318781212047156</v>
      </c>
      <c r="AT224" s="5">
        <f t="shared" si="336"/>
        <v>3.6791251800055118</v>
      </c>
      <c r="AU224" s="153">
        <f t="shared" si="337"/>
        <v>0.11395764553822796</v>
      </c>
      <c r="CI224" s="59">
        <f t="shared" si="383"/>
        <v>-50</v>
      </c>
    </row>
    <row r="225" spans="5:87" x14ac:dyDescent="0.25">
      <c r="E225" s="150">
        <v>9</v>
      </c>
      <c r="F225" s="191">
        <f t="shared" si="384"/>
        <v>8.9999999999999993E-3</v>
      </c>
      <c r="G225" s="191">
        <f t="shared" si="353"/>
        <v>8.9999999999999993E-3</v>
      </c>
      <c r="H225" s="191">
        <f t="shared" si="354"/>
        <v>0.18</v>
      </c>
      <c r="I225" s="191">
        <f t="shared" si="355"/>
        <v>0.14399999999999999</v>
      </c>
      <c r="J225" s="472">
        <f t="shared" si="356"/>
        <v>21</v>
      </c>
      <c r="K225" s="386">
        <f t="shared" si="357"/>
        <v>20.32</v>
      </c>
      <c r="L225" s="386">
        <f t="shared" si="358"/>
        <v>41.32</v>
      </c>
      <c r="M225" s="386"/>
      <c r="N225" s="191">
        <f t="shared" si="359"/>
        <v>0.49177153920619554</v>
      </c>
      <c r="O225" s="152">
        <f t="shared" si="360"/>
        <v>1.9363504356243948</v>
      </c>
      <c r="P225" s="152">
        <f t="shared" si="361"/>
        <v>2.7883446272991286</v>
      </c>
      <c r="Q225" s="191">
        <f t="shared" si="362"/>
        <v>9.6817521781219745E-2</v>
      </c>
      <c r="R225" s="191">
        <f t="shared" si="363"/>
        <v>0.12102190222652467</v>
      </c>
      <c r="S225" s="191">
        <f t="shared" si="364"/>
        <v>20</v>
      </c>
      <c r="T225" s="191">
        <f t="shared" si="365"/>
        <v>6.9718785151856005E-2</v>
      </c>
      <c r="U225" s="191">
        <f t="shared" si="366"/>
        <v>0.19919652900530288</v>
      </c>
      <c r="V225" s="191">
        <f t="shared" si="367"/>
        <v>0.20586255458225197</v>
      </c>
      <c r="W225" s="175">
        <f t="shared" si="368"/>
        <v>350</v>
      </c>
      <c r="X225" s="386">
        <f t="shared" si="369"/>
        <v>350</v>
      </c>
      <c r="Z225" s="191">
        <f t="shared" si="370"/>
        <v>0.49177153920619554</v>
      </c>
      <c r="AA225" s="153">
        <f t="shared" si="371"/>
        <v>1.452081316553727</v>
      </c>
      <c r="AB225" s="153">
        <f t="shared" si="372"/>
        <v>6.9425636786934669E-2</v>
      </c>
      <c r="AC225" s="153"/>
      <c r="AD225" s="153">
        <f t="shared" si="373"/>
        <v>0.44291338582677164</v>
      </c>
      <c r="AE225" s="317">
        <f t="shared" si="374"/>
        <v>270.93333333333339</v>
      </c>
      <c r="AF225" s="463">
        <f t="shared" si="375"/>
        <v>1.1626476377952754E-2</v>
      </c>
      <c r="AH225" s="153">
        <f t="shared" si="376"/>
        <v>0.17566201313073596</v>
      </c>
      <c r="AI225" s="153">
        <f t="shared" si="377"/>
        <v>0.17566201313073596</v>
      </c>
      <c r="AJ225" s="153">
        <f t="shared" si="378"/>
        <v>1.1548190476190476</v>
      </c>
      <c r="AL225" s="317">
        <f t="shared" si="379"/>
        <v>9</v>
      </c>
      <c r="AM225" s="147">
        <f t="shared" si="380"/>
        <v>270.93333333333339</v>
      </c>
      <c r="AO225">
        <f t="shared" si="381"/>
        <v>9</v>
      </c>
      <c r="AP225">
        <f t="shared" si="382"/>
        <v>270.93333333333339</v>
      </c>
      <c r="AR225" s="5">
        <f t="shared" si="343"/>
        <v>3.690944881889763</v>
      </c>
      <c r="AS225" s="5">
        <f t="shared" si="335"/>
        <v>0.5018914660878171</v>
      </c>
      <c r="AT225" s="5">
        <f t="shared" si="336"/>
        <v>3.1890534158019461</v>
      </c>
      <c r="AU225" s="153">
        <f t="shared" si="337"/>
        <v>0.13597912787872593</v>
      </c>
      <c r="CI225" s="59">
        <f t="shared" si="383"/>
        <v>-50</v>
      </c>
    </row>
    <row r="226" spans="5:87" x14ac:dyDescent="0.25">
      <c r="E226" s="150">
        <v>10</v>
      </c>
      <c r="F226" s="191">
        <f t="shared" si="384"/>
        <v>1.0000000000000002E-2</v>
      </c>
      <c r="G226" s="191">
        <f t="shared" si="353"/>
        <v>1.0000000000000002E-2</v>
      </c>
      <c r="H226" s="191">
        <f t="shared" si="354"/>
        <v>0.20000000000000004</v>
      </c>
      <c r="I226" s="191">
        <f t="shared" si="355"/>
        <v>0.16000000000000003</v>
      </c>
      <c r="J226" s="472">
        <f t="shared" si="356"/>
        <v>21</v>
      </c>
      <c r="K226" s="386">
        <f t="shared" si="357"/>
        <v>20.32</v>
      </c>
      <c r="L226" s="386">
        <f t="shared" si="358"/>
        <v>41.32</v>
      </c>
      <c r="M226" s="386"/>
      <c r="N226" s="191">
        <f t="shared" si="359"/>
        <v>0.49177153920619554</v>
      </c>
      <c r="O226" s="152">
        <f t="shared" si="360"/>
        <v>1.9363504356243948</v>
      </c>
      <c r="P226" s="152">
        <f t="shared" si="361"/>
        <v>2.7883446272991286</v>
      </c>
      <c r="Q226" s="191">
        <f t="shared" si="362"/>
        <v>9.6817521781219745E-2</v>
      </c>
      <c r="R226" s="191">
        <f t="shared" si="363"/>
        <v>0.12102190222652467</v>
      </c>
      <c r="S226" s="191">
        <f t="shared" si="364"/>
        <v>20</v>
      </c>
      <c r="T226" s="191">
        <f t="shared" si="365"/>
        <v>7.7465316835395592E-2</v>
      </c>
      <c r="U226" s="191">
        <f t="shared" si="366"/>
        <v>0.22132947667255884</v>
      </c>
      <c r="V226" s="191">
        <f t="shared" si="367"/>
        <v>0.22873617175805785</v>
      </c>
      <c r="W226" s="175">
        <f t="shared" si="368"/>
        <v>350</v>
      </c>
      <c r="X226" s="386">
        <f t="shared" si="369"/>
        <v>350</v>
      </c>
      <c r="Z226" s="191">
        <f t="shared" si="370"/>
        <v>0.49177153920619554</v>
      </c>
      <c r="AA226" s="153">
        <f t="shared" si="371"/>
        <v>1.452081316553727</v>
      </c>
      <c r="AB226" s="153">
        <f t="shared" si="372"/>
        <v>6.9425636786934669E-2</v>
      </c>
      <c r="AC226" s="153"/>
      <c r="AD226" s="153">
        <f t="shared" si="373"/>
        <v>0.44291338582677164</v>
      </c>
      <c r="AE226" s="317">
        <f t="shared" si="374"/>
        <v>301.03703703703712</v>
      </c>
      <c r="AF226" s="463">
        <f t="shared" si="375"/>
        <v>1.1626476377952754E-2</v>
      </c>
      <c r="AH226" s="153">
        <f t="shared" si="376"/>
        <v>0.18516401995451032</v>
      </c>
      <c r="AI226" s="153">
        <f t="shared" si="377"/>
        <v>0.18516401995451032</v>
      </c>
      <c r="AJ226" s="153">
        <f t="shared" si="378"/>
        <v>1.1720211640211642</v>
      </c>
      <c r="AL226" s="317">
        <f t="shared" si="379"/>
        <v>10.000000000000002</v>
      </c>
      <c r="AM226" s="147">
        <f t="shared" si="380"/>
        <v>301.03703703703712</v>
      </c>
      <c r="AO226">
        <f t="shared" si="381"/>
        <v>10.000000000000002</v>
      </c>
      <c r="AP226">
        <f t="shared" si="382"/>
        <v>301.03703703703712</v>
      </c>
      <c r="AR226" s="5">
        <f t="shared" si="343"/>
        <v>3.3218503937007862</v>
      </c>
      <c r="AS226" s="5">
        <f t="shared" si="335"/>
        <v>0.52904005701288659</v>
      </c>
      <c r="AT226" s="5">
        <f t="shared" si="336"/>
        <v>2.7928103366878996</v>
      </c>
      <c r="AU226" s="153">
        <f t="shared" si="337"/>
        <v>0.15926065123706459</v>
      </c>
      <c r="CI226" s="59">
        <f t="shared" si="383"/>
        <v>-50</v>
      </c>
    </row>
    <row r="227" spans="5:87" x14ac:dyDescent="0.25">
      <c r="E227" s="150">
        <v>11</v>
      </c>
      <c r="F227" s="191">
        <f t="shared" si="384"/>
        <v>1.1000000000000001E-2</v>
      </c>
      <c r="G227" s="191">
        <f t="shared" si="353"/>
        <v>1.1000000000000001E-2</v>
      </c>
      <c r="H227" s="191">
        <f t="shared" si="354"/>
        <v>0.22000000000000003</v>
      </c>
      <c r="I227" s="191">
        <f t="shared" si="355"/>
        <v>0.17600000000000002</v>
      </c>
      <c r="J227" s="472">
        <f t="shared" si="356"/>
        <v>21</v>
      </c>
      <c r="K227" s="386">
        <f t="shared" si="357"/>
        <v>20.32</v>
      </c>
      <c r="L227" s="386">
        <f t="shared" si="358"/>
        <v>41.32</v>
      </c>
      <c r="M227" s="386"/>
      <c r="N227" s="191">
        <f t="shared" si="359"/>
        <v>0.49177153920619554</v>
      </c>
      <c r="O227" s="152">
        <f t="shared" si="360"/>
        <v>1.9363504356243948</v>
      </c>
      <c r="P227" s="152">
        <f t="shared" si="361"/>
        <v>2.7883446272991286</v>
      </c>
      <c r="Q227" s="191">
        <f t="shared" si="362"/>
        <v>9.6817521781219745E-2</v>
      </c>
      <c r="R227" s="191">
        <f t="shared" si="363"/>
        <v>0.12102190222652467</v>
      </c>
      <c r="S227" s="191">
        <f t="shared" si="364"/>
        <v>20</v>
      </c>
      <c r="T227" s="191">
        <f t="shared" si="365"/>
        <v>8.5211848518935138E-2</v>
      </c>
      <c r="U227" s="191">
        <f t="shared" si="366"/>
        <v>0.24346242433981469</v>
      </c>
      <c r="V227" s="191">
        <f t="shared" si="367"/>
        <v>0.2516097889338636</v>
      </c>
      <c r="W227" s="175">
        <f t="shared" si="368"/>
        <v>350</v>
      </c>
      <c r="X227" s="386">
        <f t="shared" si="369"/>
        <v>350</v>
      </c>
      <c r="Z227" s="191">
        <f t="shared" si="370"/>
        <v>0.49177153920619554</v>
      </c>
      <c r="AA227" s="153">
        <f t="shared" si="371"/>
        <v>1.452081316553727</v>
      </c>
      <c r="AB227" s="153">
        <f t="shared" si="372"/>
        <v>6.9425636786934669E-2</v>
      </c>
      <c r="AC227" s="153"/>
      <c r="AD227" s="153">
        <f t="shared" si="373"/>
        <v>0.44291338582677164</v>
      </c>
      <c r="AE227" s="317">
        <f t="shared" si="374"/>
        <v>331.14074074074085</v>
      </c>
      <c r="AF227" s="463">
        <f t="shared" si="375"/>
        <v>1.1626476377952754E-2</v>
      </c>
      <c r="AH227" s="153">
        <f t="shared" si="376"/>
        <v>0.1942016624910449</v>
      </c>
      <c r="AI227" s="153">
        <f t="shared" si="377"/>
        <v>0.1942016624910449</v>
      </c>
      <c r="AJ227" s="153">
        <f t="shared" si="378"/>
        <v>1.1892232804232805</v>
      </c>
      <c r="AL227" s="317">
        <f t="shared" si="379"/>
        <v>11.000000000000002</v>
      </c>
      <c r="AM227" s="147">
        <f t="shared" si="380"/>
        <v>331.14074074074085</v>
      </c>
      <c r="AO227">
        <f t="shared" si="381"/>
        <v>11.000000000000002</v>
      </c>
      <c r="AP227">
        <f t="shared" si="382"/>
        <v>331.14074074074085</v>
      </c>
      <c r="AR227" s="5">
        <f t="shared" si="343"/>
        <v>3.0198639942734422</v>
      </c>
      <c r="AS227" s="5">
        <f t="shared" si="335"/>
        <v>0.55486189283155685</v>
      </c>
      <c r="AT227" s="5">
        <f t="shared" si="336"/>
        <v>2.4650021014418853</v>
      </c>
      <c r="AU227" s="153">
        <f t="shared" si="337"/>
        <v>0.18373737820105129</v>
      </c>
      <c r="CI227" s="59">
        <f t="shared" si="383"/>
        <v>-50</v>
      </c>
    </row>
    <row r="228" spans="5:87" x14ac:dyDescent="0.25">
      <c r="E228" s="150">
        <v>12</v>
      </c>
      <c r="F228" s="191">
        <f t="shared" si="384"/>
        <v>1.2E-2</v>
      </c>
      <c r="G228" s="191">
        <f t="shared" si="353"/>
        <v>1.2E-2</v>
      </c>
      <c r="H228" s="191">
        <f t="shared" si="354"/>
        <v>0.24</v>
      </c>
      <c r="I228" s="191">
        <f t="shared" si="355"/>
        <v>0.192</v>
      </c>
      <c r="J228" s="472">
        <f t="shared" si="356"/>
        <v>21</v>
      </c>
      <c r="K228" s="386">
        <f t="shared" si="357"/>
        <v>20.32</v>
      </c>
      <c r="L228" s="386">
        <f t="shared" si="358"/>
        <v>41.32</v>
      </c>
      <c r="M228" s="386"/>
      <c r="N228" s="191">
        <f t="shared" si="359"/>
        <v>0.49177153920619554</v>
      </c>
      <c r="O228" s="152">
        <f t="shared" si="360"/>
        <v>1.9363504356243948</v>
      </c>
      <c r="P228" s="152">
        <f t="shared" si="361"/>
        <v>2.7883446272991286</v>
      </c>
      <c r="Q228" s="191">
        <f t="shared" si="362"/>
        <v>9.6817521781219745E-2</v>
      </c>
      <c r="R228" s="191">
        <f t="shared" si="363"/>
        <v>0.12102190222652467</v>
      </c>
      <c r="S228" s="191">
        <f t="shared" si="364"/>
        <v>20</v>
      </c>
      <c r="T228" s="191">
        <f t="shared" si="365"/>
        <v>9.2958380202474683E-2</v>
      </c>
      <c r="U228" s="191">
        <f t="shared" si="366"/>
        <v>0.26559537200707056</v>
      </c>
      <c r="V228" s="191">
        <f t="shared" si="367"/>
        <v>0.27448340610966937</v>
      </c>
      <c r="W228" s="175">
        <f t="shared" si="368"/>
        <v>350</v>
      </c>
      <c r="X228" s="386">
        <f t="shared" si="369"/>
        <v>350</v>
      </c>
      <c r="Z228" s="191">
        <f t="shared" si="370"/>
        <v>0.49177153920619554</v>
      </c>
      <c r="AA228" s="153">
        <f t="shared" si="371"/>
        <v>1.452081316553727</v>
      </c>
      <c r="AB228" s="153">
        <f t="shared" si="372"/>
        <v>6.9425636786934669E-2</v>
      </c>
      <c r="AC228" s="153"/>
      <c r="AD228" s="153">
        <f t="shared" si="373"/>
        <v>0.44291338582677164</v>
      </c>
      <c r="AE228" s="317">
        <f t="shared" si="374"/>
        <v>361.24444444444447</v>
      </c>
      <c r="AF228" s="463">
        <f t="shared" si="375"/>
        <v>1.1626476377952754E-2</v>
      </c>
      <c r="AH228" s="153">
        <f t="shared" si="376"/>
        <v>0.20283702113484398</v>
      </c>
      <c r="AI228" s="153">
        <f t="shared" si="377"/>
        <v>0.20283702113484398</v>
      </c>
      <c r="AJ228" s="153">
        <f t="shared" si="378"/>
        <v>1.2391385341739585</v>
      </c>
      <c r="AL228" s="317">
        <f t="shared" si="379"/>
        <v>12</v>
      </c>
      <c r="AM228" s="147">
        <f t="shared" si="380"/>
        <v>350</v>
      </c>
      <c r="AO228">
        <f t="shared" si="381"/>
        <v>12</v>
      </c>
      <c r="AP228">
        <f t="shared" si="382"/>
        <v>350</v>
      </c>
      <c r="AR228" s="5">
        <f t="shared" si="343"/>
        <v>2.8571428571428572</v>
      </c>
      <c r="AS228" s="5">
        <f t="shared" si="335"/>
        <v>0.57953434609955423</v>
      </c>
      <c r="AT228" s="5">
        <f t="shared" si="336"/>
        <v>2.2776085110433031</v>
      </c>
      <c r="AU228" s="153">
        <f t="shared" si="337"/>
        <v>0.20283702113484398</v>
      </c>
      <c r="CI228" s="59">
        <f t="shared" si="383"/>
        <v>-50</v>
      </c>
    </row>
    <row r="229" spans="5:87" x14ac:dyDescent="0.25">
      <c r="E229" s="150">
        <v>13</v>
      </c>
      <c r="F229" s="191">
        <f t="shared" si="384"/>
        <v>1.3000000000000001E-2</v>
      </c>
      <c r="G229" s="191">
        <f t="shared" si="353"/>
        <v>1.3000000000000001E-2</v>
      </c>
      <c r="H229" s="191">
        <f t="shared" si="354"/>
        <v>0.26</v>
      </c>
      <c r="I229" s="191">
        <f t="shared" si="355"/>
        <v>0.20800000000000002</v>
      </c>
      <c r="J229" s="472">
        <f t="shared" si="356"/>
        <v>21</v>
      </c>
      <c r="K229" s="386">
        <f t="shared" si="357"/>
        <v>20.32</v>
      </c>
      <c r="L229" s="386">
        <f t="shared" si="358"/>
        <v>41.32</v>
      </c>
      <c r="M229" s="386"/>
      <c r="N229" s="191">
        <f t="shared" si="359"/>
        <v>0.49177153920619554</v>
      </c>
      <c r="O229" s="152">
        <f t="shared" si="360"/>
        <v>1.9363504356243948</v>
      </c>
      <c r="P229" s="152">
        <f t="shared" si="361"/>
        <v>2.7883446272991286</v>
      </c>
      <c r="Q229" s="191">
        <f t="shared" si="362"/>
        <v>9.6817521781219745E-2</v>
      </c>
      <c r="R229" s="191">
        <f t="shared" si="363"/>
        <v>0.12102190222652467</v>
      </c>
      <c r="S229" s="191">
        <f t="shared" si="364"/>
        <v>20</v>
      </c>
      <c r="T229" s="191">
        <f t="shared" si="365"/>
        <v>0.10070491188601424</v>
      </c>
      <c r="U229" s="191">
        <f t="shared" si="366"/>
        <v>0.28772831967432638</v>
      </c>
      <c r="V229" s="191">
        <f t="shared" si="367"/>
        <v>0.29735702328547509</v>
      </c>
      <c r="W229" s="175">
        <f t="shared" si="368"/>
        <v>350</v>
      </c>
      <c r="X229" s="386">
        <f t="shared" si="369"/>
        <v>350</v>
      </c>
      <c r="Z229" s="191">
        <f t="shared" si="370"/>
        <v>0.49177153920619554</v>
      </c>
      <c r="AA229" s="153">
        <f t="shared" si="371"/>
        <v>1.452081316553727</v>
      </c>
      <c r="AB229" s="153">
        <f t="shared" si="372"/>
        <v>6.9425636786934669E-2</v>
      </c>
      <c r="AC229" s="153"/>
      <c r="AD229" s="153">
        <f t="shared" si="373"/>
        <v>0.44291338582677164</v>
      </c>
      <c r="AE229" s="317">
        <f t="shared" si="374"/>
        <v>391.34814814814825</v>
      </c>
      <c r="AF229" s="463">
        <f t="shared" si="375"/>
        <v>1.1626476377952754E-2</v>
      </c>
      <c r="AH229" s="153">
        <f t="shared" si="376"/>
        <v>0.21111946516469904</v>
      </c>
      <c r="AI229" s="153">
        <f t="shared" si="377"/>
        <v>0.21111946516469904</v>
      </c>
      <c r="AJ229" s="153">
        <f t="shared" si="378"/>
        <v>1.2452736778997771</v>
      </c>
      <c r="AL229" s="317">
        <f t="shared" si="379"/>
        <v>13.000000000000002</v>
      </c>
      <c r="AM229" s="147">
        <f t="shared" si="380"/>
        <v>350</v>
      </c>
      <c r="AO229">
        <f t="shared" si="381"/>
        <v>13.000000000000002</v>
      </c>
      <c r="AP229">
        <f t="shared" si="382"/>
        <v>350</v>
      </c>
      <c r="AR229" s="5">
        <f t="shared" si="343"/>
        <v>2.8571428571428572</v>
      </c>
      <c r="AS229" s="5">
        <f t="shared" si="335"/>
        <v>0.60319847189914011</v>
      </c>
      <c r="AT229" s="5">
        <f t="shared" si="336"/>
        <v>2.2539443852437171</v>
      </c>
      <c r="AU229" s="153">
        <f t="shared" si="337"/>
        <v>0.21111946516469904</v>
      </c>
      <c r="CI229" s="59">
        <f t="shared" si="383"/>
        <v>-50</v>
      </c>
    </row>
    <row r="230" spans="5:87" x14ac:dyDescent="0.25">
      <c r="E230" s="150">
        <v>14</v>
      </c>
      <c r="F230" s="191">
        <f t="shared" si="384"/>
        <v>1.4000000000000002E-2</v>
      </c>
      <c r="G230" s="191">
        <f t="shared" si="353"/>
        <v>1.4000000000000002E-2</v>
      </c>
      <c r="H230" s="191">
        <f t="shared" si="354"/>
        <v>0.28000000000000003</v>
      </c>
      <c r="I230" s="191">
        <f t="shared" si="355"/>
        <v>0.22400000000000003</v>
      </c>
      <c r="J230" s="472">
        <f t="shared" si="356"/>
        <v>21</v>
      </c>
      <c r="K230" s="386">
        <f t="shared" si="357"/>
        <v>20.32</v>
      </c>
      <c r="L230" s="386">
        <f t="shared" si="358"/>
        <v>41.32</v>
      </c>
      <c r="M230" s="386"/>
      <c r="N230" s="191">
        <f t="shared" si="359"/>
        <v>0.49177153920619554</v>
      </c>
      <c r="O230" s="152">
        <f t="shared" si="360"/>
        <v>1.9363504356243948</v>
      </c>
      <c r="P230" s="152">
        <f t="shared" si="361"/>
        <v>2.7883446272991286</v>
      </c>
      <c r="Q230" s="191">
        <f t="shared" si="362"/>
        <v>9.6817521781219745E-2</v>
      </c>
      <c r="R230" s="191">
        <f t="shared" si="363"/>
        <v>0.12102190222652467</v>
      </c>
      <c r="S230" s="191">
        <f t="shared" si="364"/>
        <v>20</v>
      </c>
      <c r="T230" s="191">
        <f t="shared" si="365"/>
        <v>0.1084514435695538</v>
      </c>
      <c r="U230" s="191">
        <f t="shared" si="366"/>
        <v>0.30986126734158226</v>
      </c>
      <c r="V230" s="191">
        <f t="shared" si="367"/>
        <v>0.32023064046128091</v>
      </c>
      <c r="W230" s="175">
        <f t="shared" si="368"/>
        <v>350</v>
      </c>
      <c r="X230" s="386">
        <f t="shared" si="369"/>
        <v>350</v>
      </c>
      <c r="Z230" s="191">
        <f t="shared" si="370"/>
        <v>0.49177153920619554</v>
      </c>
      <c r="AA230" s="153">
        <f t="shared" si="371"/>
        <v>1.452081316553727</v>
      </c>
      <c r="AB230" s="153">
        <f t="shared" si="372"/>
        <v>6.9425636786934669E-2</v>
      </c>
      <c r="AC230" s="153"/>
      <c r="AD230" s="153">
        <f t="shared" si="373"/>
        <v>0.44291338582677164</v>
      </c>
      <c r="AE230" s="317">
        <f t="shared" si="374"/>
        <v>421.45185185185198</v>
      </c>
      <c r="AF230" s="463">
        <f t="shared" si="375"/>
        <v>1.1626476377952754E-2</v>
      </c>
      <c r="AH230" s="153">
        <f t="shared" si="376"/>
        <v>0.21908902300206645</v>
      </c>
      <c r="AI230" s="153">
        <f t="shared" si="377"/>
        <v>0.21908902300206645</v>
      </c>
      <c r="AJ230" s="153">
        <f t="shared" si="378"/>
        <v>1.2511770540756046</v>
      </c>
      <c r="AL230" s="317">
        <f t="shared" si="379"/>
        <v>14.000000000000002</v>
      </c>
      <c r="AM230" s="147">
        <f t="shared" si="380"/>
        <v>350</v>
      </c>
      <c r="AO230">
        <f t="shared" si="381"/>
        <v>14.000000000000002</v>
      </c>
      <c r="AP230">
        <f t="shared" si="382"/>
        <v>350</v>
      </c>
      <c r="AR230" s="5">
        <f t="shared" si="343"/>
        <v>2.8571428571428572</v>
      </c>
      <c r="AS230" s="5">
        <f t="shared" si="335"/>
        <v>0.62596863714876128</v>
      </c>
      <c r="AT230" s="5">
        <f t="shared" si="336"/>
        <v>2.231174219994096</v>
      </c>
      <c r="AU230" s="153">
        <f t="shared" si="337"/>
        <v>0.21908902300206645</v>
      </c>
      <c r="CI230" s="59">
        <f t="shared" si="383"/>
        <v>-50</v>
      </c>
    </row>
    <row r="231" spans="5:87" x14ac:dyDescent="0.25">
      <c r="E231" s="150">
        <v>15</v>
      </c>
      <c r="F231" s="191">
        <f t="shared" si="384"/>
        <v>1.4999999999999999E-2</v>
      </c>
      <c r="G231" s="191">
        <f t="shared" si="353"/>
        <v>1.4999999999999999E-2</v>
      </c>
      <c r="H231" s="191">
        <f t="shared" si="354"/>
        <v>0.3</v>
      </c>
      <c r="I231" s="191">
        <f t="shared" si="355"/>
        <v>0.24</v>
      </c>
      <c r="J231" s="472">
        <f t="shared" si="356"/>
        <v>21</v>
      </c>
      <c r="K231" s="386">
        <f t="shared" si="357"/>
        <v>20.32</v>
      </c>
      <c r="L231" s="386">
        <f t="shared" si="358"/>
        <v>41.32</v>
      </c>
      <c r="M231" s="386"/>
      <c r="N231" s="191">
        <f t="shared" si="359"/>
        <v>0.49177153920619554</v>
      </c>
      <c r="O231" s="152">
        <f t="shared" si="360"/>
        <v>1.9363504356243948</v>
      </c>
      <c r="P231" s="152">
        <f t="shared" si="361"/>
        <v>2.7883446272991286</v>
      </c>
      <c r="Q231" s="191">
        <f t="shared" si="362"/>
        <v>9.6817521781219745E-2</v>
      </c>
      <c r="R231" s="191">
        <f t="shared" si="363"/>
        <v>0.12102190222652467</v>
      </c>
      <c r="S231" s="191">
        <f t="shared" si="364"/>
        <v>20</v>
      </c>
      <c r="T231" s="191">
        <f t="shared" si="365"/>
        <v>0.11619797525309336</v>
      </c>
      <c r="U231" s="191">
        <f t="shared" si="366"/>
        <v>0.33199421500883819</v>
      </c>
      <c r="V231" s="191">
        <f t="shared" si="367"/>
        <v>0.34310425763708668</v>
      </c>
      <c r="W231" s="175">
        <f t="shared" si="368"/>
        <v>350</v>
      </c>
      <c r="X231" s="386">
        <f t="shared" si="369"/>
        <v>350</v>
      </c>
      <c r="Z231" s="191">
        <f t="shared" si="370"/>
        <v>0.49177153920619554</v>
      </c>
      <c r="AA231" s="153">
        <f t="shared" si="371"/>
        <v>1.452081316553727</v>
      </c>
      <c r="AB231" s="153">
        <f t="shared" si="372"/>
        <v>6.9425636786934669E-2</v>
      </c>
      <c r="AC231" s="153"/>
      <c r="AD231" s="153">
        <f t="shared" si="373"/>
        <v>0.44291338582677164</v>
      </c>
      <c r="AE231" s="317">
        <f t="shared" si="374"/>
        <v>451.5555555555556</v>
      </c>
      <c r="AF231" s="463">
        <f t="shared" si="375"/>
        <v>1.1626476377952754E-2</v>
      </c>
      <c r="AH231" s="153">
        <f t="shared" si="376"/>
        <v>0.22677868380553634</v>
      </c>
      <c r="AI231" s="153">
        <f t="shared" si="377"/>
        <v>0.22677868380553634</v>
      </c>
      <c r="AJ231" s="153">
        <f t="shared" si="378"/>
        <v>1.2568730991152122</v>
      </c>
      <c r="AL231" s="317">
        <f t="shared" si="379"/>
        <v>15</v>
      </c>
      <c r="AM231" s="147">
        <f t="shared" si="380"/>
        <v>350</v>
      </c>
      <c r="AO231">
        <f t="shared" si="381"/>
        <v>15</v>
      </c>
      <c r="AP231">
        <f t="shared" si="382"/>
        <v>350</v>
      </c>
      <c r="AR231" s="5">
        <f t="shared" si="343"/>
        <v>2.8571428571428572</v>
      </c>
      <c r="AS231" s="5">
        <f t="shared" si="335"/>
        <v>0.64793909658724669</v>
      </c>
      <c r="AT231" s="5">
        <f t="shared" si="336"/>
        <v>2.2092037605556105</v>
      </c>
      <c r="AU231" s="153">
        <f t="shared" si="337"/>
        <v>0.22677868380553634</v>
      </c>
      <c r="CI231" s="59">
        <f t="shared" si="383"/>
        <v>-50</v>
      </c>
    </row>
    <row r="232" spans="5:87" x14ac:dyDescent="0.25">
      <c r="E232" s="150">
        <v>16</v>
      </c>
      <c r="F232" s="191">
        <f t="shared" si="384"/>
        <v>1.6E-2</v>
      </c>
      <c r="G232" s="191">
        <f t="shared" si="353"/>
        <v>1.6E-2</v>
      </c>
      <c r="H232" s="191">
        <f t="shared" si="354"/>
        <v>0.32</v>
      </c>
      <c r="I232" s="191">
        <f t="shared" si="355"/>
        <v>0.25600000000000001</v>
      </c>
      <c r="J232" s="472">
        <f t="shared" si="356"/>
        <v>21</v>
      </c>
      <c r="K232" s="386">
        <f t="shared" si="357"/>
        <v>20.32</v>
      </c>
      <c r="L232" s="386">
        <f t="shared" si="358"/>
        <v>41.32</v>
      </c>
      <c r="M232" s="386"/>
      <c r="N232" s="191">
        <f t="shared" si="359"/>
        <v>0.49177153920619554</v>
      </c>
      <c r="O232" s="152">
        <f t="shared" si="360"/>
        <v>1.9363504356243948</v>
      </c>
      <c r="P232" s="152">
        <f t="shared" si="361"/>
        <v>2.7883446272991286</v>
      </c>
      <c r="Q232" s="191">
        <f t="shared" si="362"/>
        <v>9.6817521781219745E-2</v>
      </c>
      <c r="R232" s="191">
        <f t="shared" si="363"/>
        <v>0.12102190222652467</v>
      </c>
      <c r="S232" s="191">
        <f t="shared" si="364"/>
        <v>20</v>
      </c>
      <c r="T232" s="191">
        <f t="shared" si="365"/>
        <v>0.12394450693663293</v>
      </c>
      <c r="U232" s="191">
        <f t="shared" si="366"/>
        <v>0.35412716267609412</v>
      </c>
      <c r="V232" s="191">
        <f t="shared" si="367"/>
        <v>0.36597787481289251</v>
      </c>
      <c r="W232" s="175">
        <f t="shared" si="368"/>
        <v>350</v>
      </c>
      <c r="X232" s="386">
        <f t="shared" si="369"/>
        <v>350</v>
      </c>
      <c r="Z232" s="191">
        <f t="shared" si="370"/>
        <v>0.49177153920619554</v>
      </c>
      <c r="AA232" s="153">
        <f t="shared" si="371"/>
        <v>1.452081316553727</v>
      </c>
      <c r="AB232" s="153">
        <f t="shared" si="372"/>
        <v>6.9425636786934669E-2</v>
      </c>
      <c r="AC232" s="153"/>
      <c r="AD232" s="153">
        <f t="shared" si="373"/>
        <v>0.44291338582677164</v>
      </c>
      <c r="AE232" s="317">
        <f t="shared" si="374"/>
        <v>481.65925925925933</v>
      </c>
      <c r="AF232" s="463">
        <f t="shared" si="375"/>
        <v>1.1626476377952754E-2</v>
      </c>
      <c r="AH232" s="153">
        <f t="shared" si="376"/>
        <v>0.23421601750764798</v>
      </c>
      <c r="AI232" s="153">
        <f t="shared" si="377"/>
        <v>0.23421601750764798</v>
      </c>
      <c r="AJ232" s="153">
        <f t="shared" si="378"/>
        <v>1.2623822351908502</v>
      </c>
      <c r="AL232" s="317">
        <f t="shared" si="379"/>
        <v>16</v>
      </c>
      <c r="AM232" s="147">
        <f t="shared" si="380"/>
        <v>350</v>
      </c>
      <c r="AO232">
        <f t="shared" si="381"/>
        <v>16</v>
      </c>
      <c r="AP232">
        <f t="shared" si="382"/>
        <v>350</v>
      </c>
      <c r="AR232" s="5">
        <f t="shared" si="343"/>
        <v>2.8571428571428572</v>
      </c>
      <c r="AS232" s="5">
        <f t="shared" si="335"/>
        <v>0.66918862145042279</v>
      </c>
      <c r="AT232" s="5">
        <f t="shared" si="336"/>
        <v>2.1879542356924344</v>
      </c>
      <c r="AU232" s="153">
        <f t="shared" si="337"/>
        <v>0.23421601750764798</v>
      </c>
      <c r="CI232" s="59">
        <f t="shared" si="383"/>
        <v>-50</v>
      </c>
    </row>
    <row r="233" spans="5:87" x14ac:dyDescent="0.25">
      <c r="E233" s="150">
        <v>17</v>
      </c>
      <c r="F233" s="191">
        <f t="shared" si="384"/>
        <v>1.7000000000000001E-2</v>
      </c>
      <c r="G233" s="191">
        <f t="shared" si="353"/>
        <v>1.7000000000000001E-2</v>
      </c>
      <c r="H233" s="191">
        <f t="shared" si="354"/>
        <v>0.34</v>
      </c>
      <c r="I233" s="191">
        <f t="shared" si="355"/>
        <v>0.27200000000000002</v>
      </c>
      <c r="J233" s="472">
        <f t="shared" si="356"/>
        <v>21</v>
      </c>
      <c r="K233" s="386">
        <f t="shared" si="357"/>
        <v>20.32</v>
      </c>
      <c r="L233" s="386">
        <f t="shared" si="358"/>
        <v>41.32</v>
      </c>
      <c r="M233" s="386"/>
      <c r="N233" s="191">
        <f t="shared" si="359"/>
        <v>0.49177153920619554</v>
      </c>
      <c r="O233" s="152">
        <f t="shared" si="360"/>
        <v>1.9363504356243948</v>
      </c>
      <c r="P233" s="152">
        <f t="shared" si="361"/>
        <v>2.7883446272991286</v>
      </c>
      <c r="Q233" s="191">
        <f t="shared" si="362"/>
        <v>9.6817521781219745E-2</v>
      </c>
      <c r="R233" s="191">
        <f t="shared" si="363"/>
        <v>0.12102190222652467</v>
      </c>
      <c r="S233" s="191">
        <f t="shared" si="364"/>
        <v>20</v>
      </c>
      <c r="T233" s="191">
        <f t="shared" si="365"/>
        <v>0.13169103862017248</v>
      </c>
      <c r="U233" s="191">
        <f t="shared" si="366"/>
        <v>0.37626011034334994</v>
      </c>
      <c r="V233" s="191">
        <f t="shared" si="367"/>
        <v>0.38885149198869823</v>
      </c>
      <c r="W233" s="175">
        <f t="shared" si="368"/>
        <v>350</v>
      </c>
      <c r="X233" s="386">
        <f t="shared" si="369"/>
        <v>350</v>
      </c>
      <c r="Z233" s="191">
        <f t="shared" si="370"/>
        <v>0.49177153920619554</v>
      </c>
      <c r="AA233" s="153">
        <f t="shared" si="371"/>
        <v>1.452081316553727</v>
      </c>
      <c r="AB233" s="153">
        <f t="shared" si="372"/>
        <v>6.9425636786934669E-2</v>
      </c>
      <c r="AC233" s="153"/>
      <c r="AD233" s="153">
        <f t="shared" si="373"/>
        <v>0.44291338582677164</v>
      </c>
      <c r="AE233" s="317">
        <f t="shared" si="374"/>
        <v>511.76296296296312</v>
      </c>
      <c r="AF233" s="463">
        <f t="shared" si="375"/>
        <v>1.1626476377952754E-2</v>
      </c>
      <c r="AH233" s="153">
        <f t="shared" si="376"/>
        <v>0.24142434484888697</v>
      </c>
      <c r="AI233" s="153">
        <f t="shared" si="377"/>
        <v>0.24142434484888697</v>
      </c>
      <c r="AJ233" s="153">
        <f t="shared" si="378"/>
        <v>1.2677217369251015</v>
      </c>
      <c r="AL233" s="317">
        <f t="shared" si="379"/>
        <v>17</v>
      </c>
      <c r="AM233" s="147">
        <f t="shared" si="380"/>
        <v>350</v>
      </c>
      <c r="AO233">
        <f t="shared" si="381"/>
        <v>17</v>
      </c>
      <c r="AP233">
        <f t="shared" si="382"/>
        <v>350</v>
      </c>
      <c r="AR233" s="5">
        <f t="shared" si="343"/>
        <v>2.8571428571428572</v>
      </c>
      <c r="AS233" s="5">
        <f t="shared" si="335"/>
        <v>0.68978384242539137</v>
      </c>
      <c r="AT233" s="5">
        <f t="shared" si="336"/>
        <v>2.1673590147174657</v>
      </c>
      <c r="AU233" s="153">
        <f t="shared" si="337"/>
        <v>0.24142434484888697</v>
      </c>
      <c r="CI233" s="59">
        <f t="shared" si="383"/>
        <v>-50</v>
      </c>
    </row>
    <row r="234" spans="5:87" x14ac:dyDescent="0.25">
      <c r="E234" s="150">
        <v>18</v>
      </c>
      <c r="F234" s="191">
        <f t="shared" si="384"/>
        <v>1.7999999999999999E-2</v>
      </c>
      <c r="G234" s="191">
        <f t="shared" si="353"/>
        <v>1.7999999999999999E-2</v>
      </c>
      <c r="H234" s="191">
        <f t="shared" si="354"/>
        <v>0.36</v>
      </c>
      <c r="I234" s="191">
        <f t="shared" si="355"/>
        <v>0.28799999999999998</v>
      </c>
      <c r="J234" s="472">
        <f t="shared" si="356"/>
        <v>21</v>
      </c>
      <c r="K234" s="386">
        <f t="shared" si="357"/>
        <v>20.32</v>
      </c>
      <c r="L234" s="386">
        <f t="shared" si="358"/>
        <v>41.32</v>
      </c>
      <c r="M234" s="386"/>
      <c r="N234" s="191">
        <f t="shared" si="359"/>
        <v>0.49177153920619554</v>
      </c>
      <c r="O234" s="152">
        <f t="shared" si="360"/>
        <v>1.9363504356243948</v>
      </c>
      <c r="P234" s="152">
        <f t="shared" si="361"/>
        <v>2.7883446272991286</v>
      </c>
      <c r="Q234" s="191">
        <f t="shared" si="362"/>
        <v>9.6817521781219745E-2</v>
      </c>
      <c r="R234" s="191">
        <f t="shared" si="363"/>
        <v>0.12102190222652467</v>
      </c>
      <c r="S234" s="191">
        <f t="shared" si="364"/>
        <v>20</v>
      </c>
      <c r="T234" s="191">
        <f t="shared" si="365"/>
        <v>0.13943757030371201</v>
      </c>
      <c r="U234" s="191">
        <f t="shared" si="366"/>
        <v>0.39839305801060576</v>
      </c>
      <c r="V234" s="191">
        <f t="shared" si="367"/>
        <v>0.41172510916450394</v>
      </c>
      <c r="W234" s="175">
        <f t="shared" si="368"/>
        <v>350</v>
      </c>
      <c r="X234" s="386">
        <f t="shared" si="369"/>
        <v>350</v>
      </c>
      <c r="Z234" s="191">
        <f t="shared" si="370"/>
        <v>0.49177153920619554</v>
      </c>
      <c r="AA234" s="153">
        <f t="shared" si="371"/>
        <v>1.452081316553727</v>
      </c>
      <c r="AB234" s="153">
        <f t="shared" si="372"/>
        <v>6.9425636786934669E-2</v>
      </c>
      <c r="AC234" s="153"/>
      <c r="AD234" s="153">
        <f t="shared" si="373"/>
        <v>0.44291338582677164</v>
      </c>
      <c r="AE234" s="317">
        <f t="shared" si="374"/>
        <v>541.86666666666679</v>
      </c>
      <c r="AF234" s="463">
        <f t="shared" si="375"/>
        <v>1.1626476377952754E-2</v>
      </c>
      <c r="AH234" s="153">
        <f t="shared" si="376"/>
        <v>0.24842360136324751</v>
      </c>
      <c r="AI234" s="153">
        <f t="shared" si="377"/>
        <v>0.24842360136324751</v>
      </c>
      <c r="AJ234" s="153">
        <f t="shared" si="378"/>
        <v>1.2729063713801834</v>
      </c>
      <c r="AL234" s="317">
        <f t="shared" si="379"/>
        <v>18</v>
      </c>
      <c r="AM234" s="147">
        <f t="shared" si="380"/>
        <v>350</v>
      </c>
      <c r="AO234">
        <f t="shared" si="381"/>
        <v>18</v>
      </c>
      <c r="AP234">
        <f t="shared" si="382"/>
        <v>350</v>
      </c>
      <c r="AR234" s="5">
        <f t="shared" si="343"/>
        <v>2.8571428571428572</v>
      </c>
      <c r="AS234" s="5">
        <f t="shared" si="335"/>
        <v>0.70978171818070723</v>
      </c>
      <c r="AT234" s="5">
        <f t="shared" si="336"/>
        <v>2.1473611389621499</v>
      </c>
      <c r="AU234" s="153">
        <f t="shared" si="337"/>
        <v>0.24842360136324754</v>
      </c>
      <c r="CI234" s="59">
        <f t="shared" si="383"/>
        <v>-50</v>
      </c>
    </row>
    <row r="235" spans="5:87" x14ac:dyDescent="0.25">
      <c r="E235" s="150">
        <v>19</v>
      </c>
      <c r="F235" s="191">
        <f t="shared" si="384"/>
        <v>1.9000000000000003E-2</v>
      </c>
      <c r="G235" s="191">
        <f t="shared" si="353"/>
        <v>1.9000000000000003E-2</v>
      </c>
      <c r="H235" s="191">
        <f t="shared" si="354"/>
        <v>0.38000000000000006</v>
      </c>
      <c r="I235" s="191">
        <f t="shared" si="355"/>
        <v>0.30400000000000005</v>
      </c>
      <c r="J235" s="472">
        <f t="shared" si="356"/>
        <v>21</v>
      </c>
      <c r="K235" s="386">
        <f t="shared" si="357"/>
        <v>20.32</v>
      </c>
      <c r="L235" s="386">
        <f t="shared" si="358"/>
        <v>41.32</v>
      </c>
      <c r="M235" s="386"/>
      <c r="N235" s="191">
        <f t="shared" si="359"/>
        <v>0.49177153920619554</v>
      </c>
      <c r="O235" s="152">
        <f t="shared" si="360"/>
        <v>1.9363504356243948</v>
      </c>
      <c r="P235" s="152">
        <f t="shared" si="361"/>
        <v>2.7883446272991286</v>
      </c>
      <c r="Q235" s="191">
        <f t="shared" si="362"/>
        <v>9.6817521781219745E-2</v>
      </c>
      <c r="R235" s="191">
        <f t="shared" si="363"/>
        <v>0.12102190222652467</v>
      </c>
      <c r="S235" s="191">
        <f t="shared" si="364"/>
        <v>20</v>
      </c>
      <c r="T235" s="191">
        <f t="shared" si="365"/>
        <v>0.14718410198725163</v>
      </c>
      <c r="U235" s="191">
        <f t="shared" si="366"/>
        <v>0.4205260056778618</v>
      </c>
      <c r="V235" s="191">
        <f t="shared" si="367"/>
        <v>0.43459872634030994</v>
      </c>
      <c r="W235" s="175">
        <f t="shared" si="368"/>
        <v>350</v>
      </c>
      <c r="X235" s="386">
        <f t="shared" si="369"/>
        <v>350</v>
      </c>
      <c r="Z235" s="191">
        <f t="shared" si="370"/>
        <v>0.49177153920619554</v>
      </c>
      <c r="AA235" s="153">
        <f t="shared" si="371"/>
        <v>1.452081316553727</v>
      </c>
      <c r="AB235" s="153">
        <f t="shared" si="372"/>
        <v>6.9425636786934669E-2</v>
      </c>
      <c r="AC235" s="153"/>
      <c r="AD235" s="153">
        <f t="shared" si="373"/>
        <v>0.44291338582677164</v>
      </c>
      <c r="AE235" s="317">
        <f t="shared" si="374"/>
        <v>571.97037037037057</v>
      </c>
      <c r="AF235" s="463">
        <f t="shared" si="375"/>
        <v>1.1626476377952754E-2</v>
      </c>
      <c r="AH235" s="153">
        <f t="shared" si="376"/>
        <v>0.25523098781859765</v>
      </c>
      <c r="AI235" s="153">
        <f t="shared" si="377"/>
        <v>0.25523098781859765</v>
      </c>
      <c r="AJ235" s="153">
        <f t="shared" si="378"/>
        <v>1.2779488798656278</v>
      </c>
      <c r="AL235" s="317">
        <f t="shared" si="379"/>
        <v>19.000000000000004</v>
      </c>
      <c r="AM235" s="147">
        <f t="shared" si="380"/>
        <v>350</v>
      </c>
      <c r="AO235">
        <f t="shared" si="381"/>
        <v>19.000000000000004</v>
      </c>
      <c r="AP235">
        <f t="shared" si="382"/>
        <v>350</v>
      </c>
      <c r="AR235" s="5">
        <f t="shared" si="343"/>
        <v>2.8571428571428572</v>
      </c>
      <c r="AS235" s="5">
        <f t="shared" si="335"/>
        <v>0.72923139376742185</v>
      </c>
      <c r="AT235" s="5">
        <f t="shared" si="336"/>
        <v>2.1279114633754355</v>
      </c>
      <c r="AU235" s="153">
        <f t="shared" si="337"/>
        <v>0.25523098781859765</v>
      </c>
      <c r="CI235" s="59">
        <f t="shared" si="383"/>
        <v>-50</v>
      </c>
    </row>
    <row r="236" spans="5:87" x14ac:dyDescent="0.25">
      <c r="E236" s="150">
        <v>20</v>
      </c>
      <c r="F236" s="191">
        <f t="shared" si="384"/>
        <v>2.0000000000000004E-2</v>
      </c>
      <c r="G236" s="191">
        <f t="shared" si="353"/>
        <v>2.0000000000000004E-2</v>
      </c>
      <c r="H236" s="191">
        <f t="shared" si="354"/>
        <v>0.40000000000000008</v>
      </c>
      <c r="I236" s="191">
        <f t="shared" si="355"/>
        <v>0.32000000000000006</v>
      </c>
      <c r="J236" s="472">
        <f t="shared" si="356"/>
        <v>21</v>
      </c>
      <c r="K236" s="386">
        <f t="shared" si="357"/>
        <v>20.32</v>
      </c>
      <c r="L236" s="386">
        <f t="shared" si="358"/>
        <v>41.32</v>
      </c>
      <c r="M236" s="386"/>
      <c r="N236" s="191">
        <f t="shared" si="359"/>
        <v>0.49177153920619554</v>
      </c>
      <c r="O236" s="152">
        <f t="shared" si="360"/>
        <v>1.9363504356243948</v>
      </c>
      <c r="P236" s="152">
        <f t="shared" si="361"/>
        <v>2.7883446272991286</v>
      </c>
      <c r="Q236" s="191">
        <f t="shared" si="362"/>
        <v>9.6817521781219745E-2</v>
      </c>
      <c r="R236" s="191">
        <f t="shared" si="363"/>
        <v>0.12102190222652467</v>
      </c>
      <c r="S236" s="191">
        <f t="shared" si="364"/>
        <v>20</v>
      </c>
      <c r="T236" s="191">
        <f t="shared" si="365"/>
        <v>0.15493063367079118</v>
      </c>
      <c r="U236" s="191">
        <f t="shared" si="366"/>
        <v>0.44265895334511768</v>
      </c>
      <c r="V236" s="191">
        <f t="shared" si="367"/>
        <v>0.45747234351611571</v>
      </c>
      <c r="W236" s="175">
        <f t="shared" si="368"/>
        <v>350</v>
      </c>
      <c r="X236" s="386">
        <f t="shared" si="369"/>
        <v>350</v>
      </c>
      <c r="Z236" s="191">
        <f t="shared" si="370"/>
        <v>0.49177153920619554</v>
      </c>
      <c r="AA236" s="153">
        <f t="shared" si="371"/>
        <v>1.452081316553727</v>
      </c>
      <c r="AB236" s="153">
        <f t="shared" si="372"/>
        <v>6.9425636786934669E-2</v>
      </c>
      <c r="AC236" s="153"/>
      <c r="AD236" s="153">
        <f t="shared" si="373"/>
        <v>0.44291338582677164</v>
      </c>
      <c r="AE236" s="317">
        <f t="shared" si="374"/>
        <v>602.07407407407425</v>
      </c>
      <c r="AF236" s="463">
        <f t="shared" si="375"/>
        <v>1.1626476377952754E-2</v>
      </c>
      <c r="AH236" s="153">
        <f t="shared" si="376"/>
        <v>0.2618614682831909</v>
      </c>
      <c r="AI236" s="153">
        <f t="shared" si="377"/>
        <v>0.2618614682831909</v>
      </c>
      <c r="AJ236" s="153">
        <f t="shared" si="378"/>
        <v>1.2828603468764377</v>
      </c>
      <c r="AL236" s="317">
        <f t="shared" si="379"/>
        <v>20.000000000000004</v>
      </c>
      <c r="AM236" s="147">
        <f t="shared" si="380"/>
        <v>350</v>
      </c>
      <c r="AO236">
        <f t="shared" si="381"/>
        <v>20.000000000000004</v>
      </c>
      <c r="AP236">
        <f t="shared" si="382"/>
        <v>350</v>
      </c>
      <c r="AR236" s="5">
        <f t="shared" si="343"/>
        <v>2.8571428571428572</v>
      </c>
      <c r="AS236" s="5">
        <f t="shared" si="335"/>
        <v>0.74817562366625967</v>
      </c>
      <c r="AT236" s="5">
        <f t="shared" si="336"/>
        <v>2.1089672334765974</v>
      </c>
      <c r="AU236" s="153">
        <f t="shared" si="337"/>
        <v>0.2618614682831909</v>
      </c>
      <c r="CI236" s="59">
        <f t="shared" si="383"/>
        <v>-50</v>
      </c>
    </row>
    <row r="237" spans="5:87" x14ac:dyDescent="0.25">
      <c r="E237" s="150">
        <v>21</v>
      </c>
      <c r="F237" s="191">
        <f t="shared" si="384"/>
        <v>2.1000000000000001E-2</v>
      </c>
      <c r="G237" s="191">
        <f t="shared" si="353"/>
        <v>2.1000000000000001E-2</v>
      </c>
      <c r="H237" s="191">
        <f t="shared" si="354"/>
        <v>0.42000000000000004</v>
      </c>
      <c r="I237" s="191">
        <f t="shared" si="355"/>
        <v>0.33600000000000002</v>
      </c>
      <c r="J237" s="472">
        <f t="shared" si="356"/>
        <v>21</v>
      </c>
      <c r="K237" s="386">
        <f t="shared" si="357"/>
        <v>20.32</v>
      </c>
      <c r="L237" s="386">
        <f t="shared" si="358"/>
        <v>41.32</v>
      </c>
      <c r="M237" s="386"/>
      <c r="N237" s="191">
        <f t="shared" si="359"/>
        <v>0.49177153920619554</v>
      </c>
      <c r="O237" s="152">
        <f t="shared" si="360"/>
        <v>1.9363504356243948</v>
      </c>
      <c r="P237" s="152">
        <f t="shared" si="361"/>
        <v>2.7883446272991286</v>
      </c>
      <c r="Q237" s="191">
        <f t="shared" si="362"/>
        <v>9.6817521781219745E-2</v>
      </c>
      <c r="R237" s="191">
        <f t="shared" si="363"/>
        <v>0.12102190222652467</v>
      </c>
      <c r="S237" s="191">
        <f t="shared" si="364"/>
        <v>20</v>
      </c>
      <c r="T237" s="191">
        <f t="shared" si="365"/>
        <v>0.16267716535433069</v>
      </c>
      <c r="U237" s="191">
        <f t="shared" si="366"/>
        <v>0.46479190101237344</v>
      </c>
      <c r="V237" s="191">
        <f t="shared" si="367"/>
        <v>0.48034596069192137</v>
      </c>
      <c r="W237" s="175">
        <f t="shared" si="368"/>
        <v>350</v>
      </c>
      <c r="X237" s="386">
        <f t="shared" si="369"/>
        <v>350</v>
      </c>
      <c r="Z237" s="191">
        <f t="shared" si="370"/>
        <v>0.49177153920619554</v>
      </c>
      <c r="AA237" s="153">
        <f t="shared" si="371"/>
        <v>1.452081316553727</v>
      </c>
      <c r="AB237" s="153">
        <f t="shared" si="372"/>
        <v>6.9425636786934669E-2</v>
      </c>
      <c r="AC237" s="153"/>
      <c r="AD237" s="153">
        <f t="shared" si="373"/>
        <v>0.44291338582677164</v>
      </c>
      <c r="AE237" s="317">
        <f t="shared" si="374"/>
        <v>632.17777777777792</v>
      </c>
      <c r="AF237" s="463">
        <f t="shared" si="375"/>
        <v>1.1626476377952754E-2</v>
      </c>
      <c r="AH237" s="153">
        <f t="shared" si="376"/>
        <v>0.26832815729997478</v>
      </c>
      <c r="AI237" s="153">
        <f t="shared" si="377"/>
        <v>0.26832815729997478</v>
      </c>
      <c r="AJ237" s="153">
        <f t="shared" si="378"/>
        <v>1.2876504868888701</v>
      </c>
      <c r="AL237" s="317">
        <f t="shared" si="379"/>
        <v>21</v>
      </c>
      <c r="AM237" s="147">
        <f t="shared" si="380"/>
        <v>350</v>
      </c>
      <c r="AO237">
        <f t="shared" si="381"/>
        <v>21</v>
      </c>
      <c r="AP237">
        <f t="shared" si="382"/>
        <v>350</v>
      </c>
      <c r="AR237" s="5">
        <f t="shared" si="343"/>
        <v>2.8571428571428572</v>
      </c>
      <c r="AS237" s="5">
        <f t="shared" si="335"/>
        <v>0.76665187799992807</v>
      </c>
      <c r="AT237" s="5">
        <f t="shared" si="336"/>
        <v>2.0904909791429294</v>
      </c>
      <c r="AU237" s="153">
        <f t="shared" si="337"/>
        <v>0.26832815729997483</v>
      </c>
      <c r="CI237" s="59">
        <f t="shared" si="383"/>
        <v>-50</v>
      </c>
    </row>
    <row r="238" spans="5:87" x14ac:dyDescent="0.25">
      <c r="E238" s="150">
        <v>22</v>
      </c>
      <c r="F238" s="191">
        <f t="shared" si="384"/>
        <v>2.2000000000000002E-2</v>
      </c>
      <c r="G238" s="191">
        <f t="shared" si="353"/>
        <v>2.2000000000000002E-2</v>
      </c>
      <c r="H238" s="191">
        <f t="shared" si="354"/>
        <v>0.44000000000000006</v>
      </c>
      <c r="I238" s="191">
        <f t="shared" si="355"/>
        <v>0.35200000000000004</v>
      </c>
      <c r="J238" s="472">
        <f t="shared" si="356"/>
        <v>21</v>
      </c>
      <c r="K238" s="386">
        <f t="shared" si="357"/>
        <v>20.32</v>
      </c>
      <c r="L238" s="386">
        <f t="shared" si="358"/>
        <v>41.32</v>
      </c>
      <c r="M238" s="386"/>
      <c r="N238" s="191">
        <f t="shared" si="359"/>
        <v>0.49177153920619554</v>
      </c>
      <c r="O238" s="152">
        <f t="shared" si="360"/>
        <v>1.9363504356243948</v>
      </c>
      <c r="P238" s="152">
        <f t="shared" si="361"/>
        <v>2.7883446272991286</v>
      </c>
      <c r="Q238" s="191">
        <f t="shared" si="362"/>
        <v>9.6817521781219745E-2</v>
      </c>
      <c r="R238" s="191">
        <f t="shared" si="363"/>
        <v>0.12102190222652467</v>
      </c>
      <c r="S238" s="191">
        <f t="shared" si="364"/>
        <v>20</v>
      </c>
      <c r="T238" s="191">
        <f t="shared" si="365"/>
        <v>0.17042369703787028</v>
      </c>
      <c r="U238" s="191">
        <f t="shared" si="366"/>
        <v>0.48692484867962937</v>
      </c>
      <c r="V238" s="191">
        <f t="shared" si="367"/>
        <v>0.5032195778677272</v>
      </c>
      <c r="W238" s="175">
        <f t="shared" si="368"/>
        <v>350</v>
      </c>
      <c r="X238" s="386">
        <f t="shared" si="369"/>
        <v>350</v>
      </c>
      <c r="Z238" s="191">
        <f t="shared" si="370"/>
        <v>0.49177153920619554</v>
      </c>
      <c r="AA238" s="153">
        <f t="shared" si="371"/>
        <v>1.452081316553727</v>
      </c>
      <c r="AB238" s="153">
        <f t="shared" si="372"/>
        <v>6.9425636786934669E-2</v>
      </c>
      <c r="AC238" s="153"/>
      <c r="AD238" s="153">
        <f t="shared" si="373"/>
        <v>0.44291338582677164</v>
      </c>
      <c r="AE238" s="317">
        <f t="shared" si="374"/>
        <v>662.28148148148171</v>
      </c>
      <c r="AF238" s="463">
        <f t="shared" si="375"/>
        <v>1.1626476377952754E-2</v>
      </c>
      <c r="AH238" s="153">
        <f t="shared" si="376"/>
        <v>0.27464262493023806</v>
      </c>
      <c r="AI238" s="153">
        <f t="shared" si="377"/>
        <v>0.27464262493023806</v>
      </c>
      <c r="AJ238" s="153">
        <f t="shared" si="378"/>
        <v>1.2923278703186949</v>
      </c>
      <c r="AL238" s="317">
        <f t="shared" si="379"/>
        <v>22.000000000000004</v>
      </c>
      <c r="AM238" s="147">
        <f t="shared" si="380"/>
        <v>350</v>
      </c>
      <c r="AO238">
        <f t="shared" si="381"/>
        <v>22.000000000000004</v>
      </c>
      <c r="AP238">
        <f t="shared" si="382"/>
        <v>350</v>
      </c>
      <c r="AR238" s="5">
        <f t="shared" si="343"/>
        <v>2.8571428571428572</v>
      </c>
      <c r="AS238" s="5">
        <f t="shared" si="335"/>
        <v>0.78469321408639447</v>
      </c>
      <c r="AT238" s="5">
        <f t="shared" si="336"/>
        <v>2.072449643056463</v>
      </c>
      <c r="AU238" s="153">
        <f t="shared" si="337"/>
        <v>0.27464262493023806</v>
      </c>
      <c r="CI238" s="59">
        <f t="shared" si="383"/>
        <v>-50</v>
      </c>
    </row>
    <row r="239" spans="5:87" x14ac:dyDescent="0.25">
      <c r="E239" s="150">
        <v>23</v>
      </c>
      <c r="F239" s="191">
        <f t="shared" si="384"/>
        <v>2.3000000000000003E-2</v>
      </c>
      <c r="G239" s="191">
        <f t="shared" si="353"/>
        <v>2.3000000000000003E-2</v>
      </c>
      <c r="H239" s="191">
        <f t="shared" si="354"/>
        <v>0.46000000000000008</v>
      </c>
      <c r="I239" s="191">
        <f t="shared" si="355"/>
        <v>0.36800000000000005</v>
      </c>
      <c r="J239" s="472">
        <f t="shared" si="356"/>
        <v>21</v>
      </c>
      <c r="K239" s="386">
        <f t="shared" si="357"/>
        <v>20.32</v>
      </c>
      <c r="L239" s="386">
        <f t="shared" si="358"/>
        <v>41.32</v>
      </c>
      <c r="M239" s="386"/>
      <c r="N239" s="191">
        <f t="shared" si="359"/>
        <v>0.49177153920619554</v>
      </c>
      <c r="O239" s="152">
        <f t="shared" si="360"/>
        <v>1.9363504356243948</v>
      </c>
      <c r="P239" s="152">
        <f t="shared" si="361"/>
        <v>2.7883446272991286</v>
      </c>
      <c r="Q239" s="191">
        <f t="shared" si="362"/>
        <v>9.6817521781219745E-2</v>
      </c>
      <c r="R239" s="191">
        <f t="shared" si="363"/>
        <v>0.12102190222652467</v>
      </c>
      <c r="S239" s="191">
        <f t="shared" si="364"/>
        <v>20</v>
      </c>
      <c r="T239" s="191">
        <f t="shared" si="365"/>
        <v>0.17817022872140983</v>
      </c>
      <c r="U239" s="191">
        <f t="shared" si="366"/>
        <v>0.50905779634688519</v>
      </c>
      <c r="V239" s="191">
        <f t="shared" si="367"/>
        <v>0.52609319504353291</v>
      </c>
      <c r="W239" s="175">
        <f t="shared" si="368"/>
        <v>350</v>
      </c>
      <c r="X239" s="386">
        <f t="shared" si="369"/>
        <v>350</v>
      </c>
      <c r="Z239" s="191">
        <f t="shared" si="370"/>
        <v>0.49177153920619554</v>
      </c>
      <c r="AA239" s="153">
        <f t="shared" si="371"/>
        <v>1.452081316553727</v>
      </c>
      <c r="AB239" s="153">
        <f t="shared" si="372"/>
        <v>6.9425636786934669E-2</v>
      </c>
      <c r="AC239" s="153"/>
      <c r="AD239" s="153">
        <f t="shared" si="373"/>
        <v>0.44291338582677164</v>
      </c>
      <c r="AE239" s="317">
        <f t="shared" si="374"/>
        <v>692.38518518518538</v>
      </c>
      <c r="AF239" s="463">
        <f t="shared" si="375"/>
        <v>1.1626476377952754E-2</v>
      </c>
      <c r="AH239" s="153">
        <f t="shared" si="376"/>
        <v>0.28081514000698549</v>
      </c>
      <c r="AI239" s="153">
        <f t="shared" si="377"/>
        <v>0.28081514000698549</v>
      </c>
      <c r="AJ239" s="153">
        <f t="shared" si="378"/>
        <v>1.2969001037088781</v>
      </c>
      <c r="AL239" s="317">
        <f t="shared" si="379"/>
        <v>23.000000000000004</v>
      </c>
      <c r="AM239" s="147">
        <f t="shared" si="380"/>
        <v>350</v>
      </c>
      <c r="AO239">
        <f t="shared" si="381"/>
        <v>23.000000000000004</v>
      </c>
      <c r="AP239">
        <f t="shared" si="382"/>
        <v>350</v>
      </c>
      <c r="AR239" s="5">
        <f t="shared" si="343"/>
        <v>2.8571428571428572</v>
      </c>
      <c r="AS239" s="5">
        <f t="shared" si="335"/>
        <v>0.8023289714485301</v>
      </c>
      <c r="AT239" s="5">
        <f t="shared" si="336"/>
        <v>2.054813885694327</v>
      </c>
      <c r="AU239" s="153">
        <f t="shared" si="337"/>
        <v>0.28081514000698554</v>
      </c>
      <c r="CI239" s="59">
        <f t="shared" si="383"/>
        <v>-50</v>
      </c>
    </row>
    <row r="240" spans="5:87" x14ac:dyDescent="0.25">
      <c r="E240" s="150">
        <v>24</v>
      </c>
      <c r="F240" s="191">
        <f t="shared" si="384"/>
        <v>2.4E-2</v>
      </c>
      <c r="G240" s="191">
        <f t="shared" si="353"/>
        <v>2.4E-2</v>
      </c>
      <c r="H240" s="191">
        <f t="shared" si="354"/>
        <v>0.48</v>
      </c>
      <c r="I240" s="191">
        <f t="shared" si="355"/>
        <v>0.38400000000000001</v>
      </c>
      <c r="J240" s="472">
        <f t="shared" si="356"/>
        <v>21</v>
      </c>
      <c r="K240" s="386">
        <f t="shared" si="357"/>
        <v>20.32</v>
      </c>
      <c r="L240" s="386">
        <f t="shared" si="358"/>
        <v>41.32</v>
      </c>
      <c r="M240" s="386"/>
      <c r="N240" s="191">
        <f t="shared" si="359"/>
        <v>0.49177153920619554</v>
      </c>
      <c r="O240" s="152">
        <f t="shared" si="360"/>
        <v>1.9363504356243948</v>
      </c>
      <c r="P240" s="152">
        <f t="shared" si="361"/>
        <v>2.7883446272991286</v>
      </c>
      <c r="Q240" s="191">
        <f t="shared" si="362"/>
        <v>9.6817521781219745E-2</v>
      </c>
      <c r="R240" s="191">
        <f t="shared" si="363"/>
        <v>0.12102190222652467</v>
      </c>
      <c r="S240" s="191">
        <f t="shared" si="364"/>
        <v>20</v>
      </c>
      <c r="T240" s="191">
        <f t="shared" si="365"/>
        <v>0.18591676040494937</v>
      </c>
      <c r="U240" s="191">
        <f t="shared" si="366"/>
        <v>0.53119074401414113</v>
      </c>
      <c r="V240" s="191">
        <f t="shared" si="367"/>
        <v>0.54896681221933874</v>
      </c>
      <c r="W240" s="175">
        <f t="shared" si="368"/>
        <v>350</v>
      </c>
      <c r="X240" s="386">
        <f t="shared" si="369"/>
        <v>350</v>
      </c>
      <c r="Z240" s="191">
        <f t="shared" si="370"/>
        <v>0.49177153920619554</v>
      </c>
      <c r="AA240" s="153">
        <f t="shared" si="371"/>
        <v>1.452081316553727</v>
      </c>
      <c r="AB240" s="153">
        <f t="shared" si="372"/>
        <v>6.9425636786934669E-2</v>
      </c>
      <c r="AC240" s="153"/>
      <c r="AD240" s="153">
        <f t="shared" si="373"/>
        <v>0.44291338582677164</v>
      </c>
      <c r="AE240" s="317">
        <f t="shared" si="374"/>
        <v>722.48888888888894</v>
      </c>
      <c r="AF240" s="463">
        <f t="shared" si="375"/>
        <v>1.1626476377952754E-2</v>
      </c>
      <c r="AH240" s="153">
        <f t="shared" si="376"/>
        <v>0.28685486624025447</v>
      </c>
      <c r="AI240" s="153">
        <f t="shared" si="377"/>
        <v>0.28685486624025447</v>
      </c>
      <c r="AJ240" s="153">
        <f t="shared" si="378"/>
        <v>1.3013739749927811</v>
      </c>
      <c r="AL240" s="317">
        <f t="shared" si="379"/>
        <v>24</v>
      </c>
      <c r="AM240" s="147">
        <f t="shared" si="380"/>
        <v>350</v>
      </c>
      <c r="AO240">
        <f t="shared" si="381"/>
        <v>24</v>
      </c>
      <c r="AP240">
        <f t="shared" si="382"/>
        <v>350</v>
      </c>
      <c r="AR240" s="5">
        <f t="shared" si="343"/>
        <v>2.8571428571428572</v>
      </c>
      <c r="AS240" s="5">
        <f t="shared" si="335"/>
        <v>0.81958533211501283</v>
      </c>
      <c r="AT240" s="5">
        <f t="shared" si="336"/>
        <v>2.0375575250278444</v>
      </c>
      <c r="AU240" s="153">
        <f t="shared" si="337"/>
        <v>0.28685486624025447</v>
      </c>
      <c r="CI240" s="59">
        <f t="shared" si="383"/>
        <v>-50</v>
      </c>
    </row>
    <row r="241" spans="5:87" x14ac:dyDescent="0.25">
      <c r="E241" s="150">
        <v>25</v>
      </c>
      <c r="F241" s="191">
        <f t="shared" si="384"/>
        <v>2.5000000000000001E-2</v>
      </c>
      <c r="G241" s="191">
        <f t="shared" si="353"/>
        <v>2.5000000000000001E-2</v>
      </c>
      <c r="H241" s="191">
        <f t="shared" si="354"/>
        <v>0.5</v>
      </c>
      <c r="I241" s="191">
        <f t="shared" si="355"/>
        <v>0.4</v>
      </c>
      <c r="J241" s="472">
        <f t="shared" si="356"/>
        <v>21</v>
      </c>
      <c r="K241" s="386">
        <f t="shared" si="357"/>
        <v>20.32</v>
      </c>
      <c r="L241" s="386">
        <f t="shared" si="358"/>
        <v>41.32</v>
      </c>
      <c r="M241" s="386"/>
      <c r="N241" s="191">
        <f t="shared" si="359"/>
        <v>0.49177153920619554</v>
      </c>
      <c r="O241" s="152">
        <f t="shared" si="360"/>
        <v>1.9363504356243948</v>
      </c>
      <c r="P241" s="152">
        <f t="shared" si="361"/>
        <v>2.7883446272991286</v>
      </c>
      <c r="Q241" s="191">
        <f t="shared" si="362"/>
        <v>9.6817521781219745E-2</v>
      </c>
      <c r="R241" s="191">
        <f t="shared" si="363"/>
        <v>0.12102190222652467</v>
      </c>
      <c r="S241" s="191">
        <f t="shared" si="364"/>
        <v>20</v>
      </c>
      <c r="T241" s="191">
        <f t="shared" si="365"/>
        <v>0.19366329208848893</v>
      </c>
      <c r="U241" s="191">
        <f t="shared" si="366"/>
        <v>0.55332369168139695</v>
      </c>
      <c r="V241" s="191">
        <f t="shared" si="367"/>
        <v>0.57184042939514446</v>
      </c>
      <c r="W241" s="175">
        <f t="shared" si="368"/>
        <v>350</v>
      </c>
      <c r="X241" s="386">
        <f t="shared" si="369"/>
        <v>350</v>
      </c>
      <c r="Z241" s="191">
        <f t="shared" si="370"/>
        <v>0.49177153920619554</v>
      </c>
      <c r="AA241" s="153">
        <f t="shared" si="371"/>
        <v>1.452081316553727</v>
      </c>
      <c r="AB241" s="153">
        <f t="shared" si="372"/>
        <v>6.9425636786934669E-2</v>
      </c>
      <c r="AC241" s="153"/>
      <c r="AD241" s="153">
        <f t="shared" si="373"/>
        <v>0.44291338582677164</v>
      </c>
      <c r="AE241" s="317">
        <f t="shared" si="374"/>
        <v>752.59259259259272</v>
      </c>
      <c r="AF241" s="463">
        <f t="shared" si="375"/>
        <v>1.1626476377952754E-2</v>
      </c>
      <c r="AH241" s="153">
        <f t="shared" si="376"/>
        <v>0.29277002188455997</v>
      </c>
      <c r="AI241" s="153">
        <f t="shared" si="377"/>
        <v>0.29277002188455997</v>
      </c>
      <c r="AJ241" s="153">
        <f t="shared" si="378"/>
        <v>1.3057555717663407</v>
      </c>
      <c r="AL241" s="317">
        <f t="shared" si="379"/>
        <v>25</v>
      </c>
      <c r="AM241" s="147">
        <f t="shared" si="380"/>
        <v>350</v>
      </c>
      <c r="AO241">
        <f t="shared" si="381"/>
        <v>25</v>
      </c>
      <c r="AP241">
        <f t="shared" si="382"/>
        <v>350</v>
      </c>
      <c r="AR241" s="5">
        <f t="shared" si="343"/>
        <v>2.8571428571428572</v>
      </c>
      <c r="AS241" s="5">
        <f t="shared" si="335"/>
        <v>0.8364857768130286</v>
      </c>
      <c r="AT241" s="5">
        <f t="shared" si="336"/>
        <v>2.0206570803298285</v>
      </c>
      <c r="AU241" s="153">
        <f t="shared" si="337"/>
        <v>0.29277002188456003</v>
      </c>
      <c r="CI241" s="59">
        <f t="shared" si="383"/>
        <v>-50</v>
      </c>
    </row>
    <row r="242" spans="5:87" x14ac:dyDescent="0.25">
      <c r="E242" s="150">
        <v>26</v>
      </c>
      <c r="F242" s="191">
        <f t="shared" si="384"/>
        <v>2.6000000000000002E-2</v>
      </c>
      <c r="G242" s="191">
        <f t="shared" si="353"/>
        <v>2.6000000000000002E-2</v>
      </c>
      <c r="H242" s="191">
        <f t="shared" si="354"/>
        <v>0.52</v>
      </c>
      <c r="I242" s="191">
        <f t="shared" si="355"/>
        <v>0.41600000000000004</v>
      </c>
      <c r="J242" s="472">
        <f t="shared" si="356"/>
        <v>21</v>
      </c>
      <c r="K242" s="386">
        <f t="shared" si="357"/>
        <v>20.32</v>
      </c>
      <c r="L242" s="386">
        <f t="shared" si="358"/>
        <v>41.32</v>
      </c>
      <c r="M242" s="386"/>
      <c r="N242" s="191">
        <f t="shared" si="359"/>
        <v>0.49177153920619554</v>
      </c>
      <c r="O242" s="152">
        <f t="shared" si="360"/>
        <v>1.9363504356243948</v>
      </c>
      <c r="P242" s="152">
        <f t="shared" si="361"/>
        <v>2.7883446272991286</v>
      </c>
      <c r="Q242" s="191">
        <f t="shared" si="362"/>
        <v>9.6817521781219745E-2</v>
      </c>
      <c r="R242" s="191">
        <f t="shared" si="363"/>
        <v>0.12102190222652467</v>
      </c>
      <c r="S242" s="191">
        <f t="shared" si="364"/>
        <v>20</v>
      </c>
      <c r="T242" s="191">
        <f t="shared" si="365"/>
        <v>0.20140982377202848</v>
      </c>
      <c r="U242" s="191">
        <f t="shared" si="366"/>
        <v>0.57545663934865277</v>
      </c>
      <c r="V242" s="191">
        <f t="shared" si="367"/>
        <v>0.59471404657095017</v>
      </c>
      <c r="W242" s="175">
        <f t="shared" si="368"/>
        <v>350</v>
      </c>
      <c r="X242" s="386">
        <f t="shared" si="369"/>
        <v>350</v>
      </c>
      <c r="Z242" s="191">
        <f t="shared" si="370"/>
        <v>0.49177153920619554</v>
      </c>
      <c r="AA242" s="153">
        <f t="shared" si="371"/>
        <v>1.452081316553727</v>
      </c>
      <c r="AB242" s="153">
        <f t="shared" si="372"/>
        <v>6.9425636786934669E-2</v>
      </c>
      <c r="AC242" s="153"/>
      <c r="AD242" s="153">
        <f t="shared" si="373"/>
        <v>0.44291338582677164</v>
      </c>
      <c r="AE242" s="317">
        <f t="shared" si="374"/>
        <v>782.69629629629651</v>
      </c>
      <c r="AF242" s="463">
        <f t="shared" si="375"/>
        <v>1.1626476377952754E-2</v>
      </c>
      <c r="AH242" s="153">
        <f t="shared" si="376"/>
        <v>0.29856801091687157</v>
      </c>
      <c r="AI242" s="153">
        <f t="shared" si="377"/>
        <v>0.29856801091687157</v>
      </c>
      <c r="AJ242" s="153">
        <f t="shared" si="378"/>
        <v>1.3100503784569419</v>
      </c>
      <c r="AL242" s="317">
        <f t="shared" si="379"/>
        <v>26.000000000000004</v>
      </c>
      <c r="AM242" s="147">
        <f t="shared" si="380"/>
        <v>350</v>
      </c>
      <c r="AO242">
        <f t="shared" si="381"/>
        <v>26.000000000000004</v>
      </c>
      <c r="AP242">
        <f t="shared" si="382"/>
        <v>350</v>
      </c>
      <c r="AR242" s="5">
        <f t="shared" si="343"/>
        <v>2.8571428571428572</v>
      </c>
      <c r="AS242" s="5">
        <f t="shared" si="335"/>
        <v>0.85305145976249031</v>
      </c>
      <c r="AT242" s="5">
        <f t="shared" si="336"/>
        <v>2.0040913973803667</v>
      </c>
      <c r="AU242" s="153">
        <f t="shared" si="337"/>
        <v>0.29856801091687157</v>
      </c>
      <c r="CI242" s="59">
        <f t="shared" si="383"/>
        <v>-50</v>
      </c>
    </row>
    <row r="243" spans="5:87" x14ac:dyDescent="0.25">
      <c r="E243" s="150">
        <v>27</v>
      </c>
      <c r="F243" s="191">
        <f t="shared" si="384"/>
        <v>2.7000000000000003E-2</v>
      </c>
      <c r="G243" s="191">
        <f t="shared" si="353"/>
        <v>2.7000000000000003E-2</v>
      </c>
      <c r="H243" s="191">
        <f t="shared" si="354"/>
        <v>0.54</v>
      </c>
      <c r="I243" s="191">
        <f t="shared" si="355"/>
        <v>0.43200000000000005</v>
      </c>
      <c r="J243" s="472">
        <f t="shared" si="356"/>
        <v>21</v>
      </c>
      <c r="K243" s="386">
        <f t="shared" si="357"/>
        <v>20.32</v>
      </c>
      <c r="L243" s="386">
        <f t="shared" si="358"/>
        <v>41.32</v>
      </c>
      <c r="M243" s="386"/>
      <c r="N243" s="191">
        <f t="shared" si="359"/>
        <v>0.49177153920619554</v>
      </c>
      <c r="O243" s="152">
        <f t="shared" si="360"/>
        <v>1.9363504356243948</v>
      </c>
      <c r="P243" s="152">
        <f t="shared" si="361"/>
        <v>2.7883446272991286</v>
      </c>
      <c r="Q243" s="191">
        <f t="shared" si="362"/>
        <v>9.6817521781219745E-2</v>
      </c>
      <c r="R243" s="191">
        <f t="shared" si="363"/>
        <v>0.12102190222652467</v>
      </c>
      <c r="S243" s="191">
        <f t="shared" si="364"/>
        <v>20</v>
      </c>
      <c r="T243" s="191">
        <f t="shared" si="365"/>
        <v>0.20915635545556807</v>
      </c>
      <c r="U243" s="191">
        <f t="shared" si="366"/>
        <v>0.59758958701590881</v>
      </c>
      <c r="V243" s="191">
        <f t="shared" si="367"/>
        <v>0.61758766374675611</v>
      </c>
      <c r="W243" s="175">
        <f t="shared" si="368"/>
        <v>350</v>
      </c>
      <c r="X243" s="386">
        <f t="shared" si="369"/>
        <v>350</v>
      </c>
      <c r="Z243" s="191">
        <f t="shared" si="370"/>
        <v>0.49177153920619554</v>
      </c>
      <c r="AA243" s="153">
        <f t="shared" si="371"/>
        <v>1.452081316553727</v>
      </c>
      <c r="AB243" s="153">
        <f t="shared" si="372"/>
        <v>6.9425636786934669E-2</v>
      </c>
      <c r="AC243" s="153"/>
      <c r="AD243" s="153">
        <f t="shared" si="373"/>
        <v>0.44291338582677164</v>
      </c>
      <c r="AE243" s="317">
        <f t="shared" si="374"/>
        <v>812.80000000000018</v>
      </c>
      <c r="AF243" s="463">
        <f t="shared" si="375"/>
        <v>1.1626476377952754E-2</v>
      </c>
      <c r="AH243" s="153">
        <f t="shared" si="376"/>
        <v>0.30425553170226599</v>
      </c>
      <c r="AI243" s="153">
        <f t="shared" si="377"/>
        <v>0.30425553170226599</v>
      </c>
      <c r="AJ243" s="153">
        <f t="shared" si="378"/>
        <v>1.3142633568164932</v>
      </c>
      <c r="AL243" s="317">
        <f t="shared" si="379"/>
        <v>27.000000000000004</v>
      </c>
      <c r="AM243" s="147">
        <f t="shared" si="380"/>
        <v>350</v>
      </c>
      <c r="AO243">
        <f t="shared" si="381"/>
        <v>27.000000000000004</v>
      </c>
      <c r="AP243">
        <f t="shared" si="382"/>
        <v>350</v>
      </c>
      <c r="AR243" s="5">
        <f t="shared" si="343"/>
        <v>2.8571428571428572</v>
      </c>
      <c r="AS243" s="5">
        <f t="shared" ref="AS243:AS306" si="385">L*AI243/J243*1000000</f>
        <v>0.86930151914933151</v>
      </c>
      <c r="AT243" s="5">
        <f t="shared" ref="AT243:AT306" si="386">AR243-AS243</f>
        <v>1.9878413379935256</v>
      </c>
      <c r="AU243" s="153">
        <f t="shared" ref="AU243:AU306" si="387">AS243/AR243</f>
        <v>0.30425553170226605</v>
      </c>
      <c r="CI243" s="59">
        <f t="shared" si="383"/>
        <v>-50</v>
      </c>
    </row>
    <row r="244" spans="5:87" x14ac:dyDescent="0.25">
      <c r="E244" s="150">
        <v>28</v>
      </c>
      <c r="F244" s="191">
        <f t="shared" si="384"/>
        <v>2.8000000000000004E-2</v>
      </c>
      <c r="G244" s="191">
        <f t="shared" si="353"/>
        <v>2.8000000000000004E-2</v>
      </c>
      <c r="H244" s="191">
        <f t="shared" si="354"/>
        <v>0.56000000000000005</v>
      </c>
      <c r="I244" s="191">
        <f t="shared" si="355"/>
        <v>0.44800000000000006</v>
      </c>
      <c r="J244" s="472">
        <f t="shared" si="356"/>
        <v>21</v>
      </c>
      <c r="K244" s="386">
        <f t="shared" si="357"/>
        <v>20.32</v>
      </c>
      <c r="L244" s="386">
        <f t="shared" si="358"/>
        <v>41.32</v>
      </c>
      <c r="M244" s="386"/>
      <c r="N244" s="191">
        <f t="shared" si="359"/>
        <v>0.49177153920619554</v>
      </c>
      <c r="O244" s="152">
        <f t="shared" si="360"/>
        <v>1.9363504356243948</v>
      </c>
      <c r="P244" s="152">
        <f t="shared" si="361"/>
        <v>2.7883446272991286</v>
      </c>
      <c r="Q244" s="191">
        <f t="shared" si="362"/>
        <v>9.6817521781219745E-2</v>
      </c>
      <c r="R244" s="191">
        <f t="shared" si="363"/>
        <v>0.12102190222652467</v>
      </c>
      <c r="S244" s="191">
        <f t="shared" si="364"/>
        <v>20</v>
      </c>
      <c r="T244" s="191">
        <f t="shared" si="365"/>
        <v>0.2169028871391076</v>
      </c>
      <c r="U244" s="191">
        <f t="shared" si="366"/>
        <v>0.61972253468316452</v>
      </c>
      <c r="V244" s="191">
        <f t="shared" si="367"/>
        <v>0.64046128092256183</v>
      </c>
      <c r="W244" s="175">
        <f t="shared" si="368"/>
        <v>350</v>
      </c>
      <c r="X244" s="386">
        <f t="shared" si="369"/>
        <v>350</v>
      </c>
      <c r="Z244" s="191">
        <f t="shared" si="370"/>
        <v>0.49177153920619554</v>
      </c>
      <c r="AA244" s="153">
        <f t="shared" si="371"/>
        <v>1.452081316553727</v>
      </c>
      <c r="AB244" s="153">
        <f t="shared" si="372"/>
        <v>6.9425636786934669E-2</v>
      </c>
      <c r="AC244" s="153"/>
      <c r="AD244" s="153">
        <f t="shared" si="373"/>
        <v>0.44291338582677164</v>
      </c>
      <c r="AE244" s="317">
        <f t="shared" si="374"/>
        <v>842.90370370370397</v>
      </c>
      <c r="AF244" s="463">
        <f t="shared" si="375"/>
        <v>1.1626476377952754E-2</v>
      </c>
      <c r="AH244" s="153">
        <f t="shared" si="376"/>
        <v>0.30983866769659335</v>
      </c>
      <c r="AI244" s="153">
        <f t="shared" si="377"/>
        <v>0.30983866769659335</v>
      </c>
      <c r="AJ244" s="153">
        <f t="shared" si="378"/>
        <v>1.3183990131085876</v>
      </c>
      <c r="AL244" s="317">
        <f t="shared" si="379"/>
        <v>28.000000000000004</v>
      </c>
      <c r="AM244" s="147">
        <f t="shared" si="380"/>
        <v>350</v>
      </c>
      <c r="AO244">
        <f t="shared" si="381"/>
        <v>28.000000000000004</v>
      </c>
      <c r="AP244">
        <f t="shared" si="382"/>
        <v>350</v>
      </c>
      <c r="AR244" s="5">
        <f t="shared" si="343"/>
        <v>2.8571428571428572</v>
      </c>
      <c r="AS244" s="5">
        <f t="shared" si="385"/>
        <v>0.88525333627598102</v>
      </c>
      <c r="AT244" s="5">
        <f t="shared" si="386"/>
        <v>1.9718895208668763</v>
      </c>
      <c r="AU244" s="153">
        <f t="shared" si="387"/>
        <v>0.30983866769659335</v>
      </c>
      <c r="CI244" s="59">
        <f t="shared" si="383"/>
        <v>-50</v>
      </c>
    </row>
    <row r="245" spans="5:87" x14ac:dyDescent="0.25">
      <c r="E245" s="150">
        <v>29</v>
      </c>
      <c r="F245" s="191">
        <f t="shared" si="384"/>
        <v>2.8999999999999998E-2</v>
      </c>
      <c r="G245" s="191">
        <f t="shared" si="353"/>
        <v>2.8999999999999998E-2</v>
      </c>
      <c r="H245" s="191">
        <f t="shared" si="354"/>
        <v>0.57999999999999996</v>
      </c>
      <c r="I245" s="191">
        <f t="shared" si="355"/>
        <v>0.46399999999999997</v>
      </c>
      <c r="J245" s="472">
        <f t="shared" si="356"/>
        <v>21</v>
      </c>
      <c r="K245" s="386">
        <f t="shared" si="357"/>
        <v>20.32</v>
      </c>
      <c r="L245" s="386">
        <f t="shared" si="358"/>
        <v>41.32</v>
      </c>
      <c r="M245" s="386"/>
      <c r="N245" s="191">
        <f t="shared" si="359"/>
        <v>0.49177153920619554</v>
      </c>
      <c r="O245" s="152">
        <f t="shared" si="360"/>
        <v>1.9363504356243948</v>
      </c>
      <c r="P245" s="152">
        <f t="shared" si="361"/>
        <v>2.7883446272991286</v>
      </c>
      <c r="Q245" s="191">
        <f t="shared" si="362"/>
        <v>9.6817521781219745E-2</v>
      </c>
      <c r="R245" s="191">
        <f t="shared" si="363"/>
        <v>0.12102190222652467</v>
      </c>
      <c r="S245" s="191">
        <f t="shared" si="364"/>
        <v>20</v>
      </c>
      <c r="T245" s="191">
        <f t="shared" si="365"/>
        <v>0.22464941882264716</v>
      </c>
      <c r="U245" s="191">
        <f t="shared" si="366"/>
        <v>0.64185548235042045</v>
      </c>
      <c r="V245" s="191">
        <f t="shared" si="367"/>
        <v>0.66333489809836754</v>
      </c>
      <c r="W245" s="175">
        <f t="shared" si="368"/>
        <v>350</v>
      </c>
      <c r="X245" s="386">
        <f t="shared" si="369"/>
        <v>350</v>
      </c>
      <c r="Z245" s="191">
        <f t="shared" si="370"/>
        <v>0.49177153920619554</v>
      </c>
      <c r="AA245" s="153">
        <f t="shared" si="371"/>
        <v>1.452081316553727</v>
      </c>
      <c r="AB245" s="153">
        <f t="shared" si="372"/>
        <v>6.9425636786934669E-2</v>
      </c>
      <c r="AC245" s="153"/>
      <c r="AD245" s="153">
        <f t="shared" si="373"/>
        <v>0.44291338582677164</v>
      </c>
      <c r="AE245" s="317">
        <f t="shared" si="374"/>
        <v>873.00740740740753</v>
      </c>
      <c r="AF245" s="463">
        <f t="shared" si="375"/>
        <v>1.1626476377952754E-2</v>
      </c>
      <c r="AH245" s="153">
        <f t="shared" si="376"/>
        <v>0.31532296368734619</v>
      </c>
      <c r="AI245" s="153">
        <f t="shared" si="377"/>
        <v>0.31532296368734619</v>
      </c>
      <c r="AJ245" s="153">
        <f t="shared" si="378"/>
        <v>1.3224614545832194</v>
      </c>
      <c r="AL245" s="317">
        <f t="shared" si="379"/>
        <v>28.999999999999996</v>
      </c>
      <c r="AM245" s="147">
        <f t="shared" si="380"/>
        <v>350</v>
      </c>
      <c r="AO245">
        <f t="shared" si="381"/>
        <v>28.999999999999996</v>
      </c>
      <c r="AP245">
        <f t="shared" si="382"/>
        <v>350</v>
      </c>
      <c r="AR245" s="5">
        <f t="shared" si="343"/>
        <v>2.8571428571428572</v>
      </c>
      <c r="AS245" s="5">
        <f t="shared" si="385"/>
        <v>0.90092275339241767</v>
      </c>
      <c r="AT245" s="5">
        <f t="shared" si="386"/>
        <v>1.9562201037504394</v>
      </c>
      <c r="AU245" s="153">
        <f t="shared" si="387"/>
        <v>0.31532296368734619</v>
      </c>
      <c r="CI245" s="59">
        <f t="shared" si="383"/>
        <v>-50</v>
      </c>
    </row>
    <row r="246" spans="5:87" x14ac:dyDescent="0.25">
      <c r="E246" s="150">
        <v>30</v>
      </c>
      <c r="F246" s="191">
        <f t="shared" si="384"/>
        <v>0.03</v>
      </c>
      <c r="G246" s="191">
        <f t="shared" si="353"/>
        <v>0.03</v>
      </c>
      <c r="H246" s="191">
        <f t="shared" si="354"/>
        <v>0.6</v>
      </c>
      <c r="I246" s="191">
        <f t="shared" si="355"/>
        <v>0.48</v>
      </c>
      <c r="J246" s="472">
        <f t="shared" si="356"/>
        <v>21</v>
      </c>
      <c r="K246" s="386">
        <f t="shared" si="357"/>
        <v>20.32</v>
      </c>
      <c r="L246" s="386">
        <f t="shared" si="358"/>
        <v>41.32</v>
      </c>
      <c r="M246" s="386"/>
      <c r="N246" s="191">
        <f t="shared" si="359"/>
        <v>0.49177153920619554</v>
      </c>
      <c r="O246" s="152">
        <f t="shared" si="360"/>
        <v>1.9363504356243948</v>
      </c>
      <c r="P246" s="152">
        <f t="shared" si="361"/>
        <v>2.7883446272991286</v>
      </c>
      <c r="Q246" s="191">
        <f t="shared" si="362"/>
        <v>9.6817521781219745E-2</v>
      </c>
      <c r="R246" s="191">
        <f t="shared" si="363"/>
        <v>0.12102190222652467</v>
      </c>
      <c r="S246" s="191">
        <f t="shared" si="364"/>
        <v>20</v>
      </c>
      <c r="T246" s="191">
        <f t="shared" si="365"/>
        <v>0.23239595050618672</v>
      </c>
      <c r="U246" s="191">
        <f t="shared" si="366"/>
        <v>0.66398843001767638</v>
      </c>
      <c r="V246" s="191">
        <f t="shared" si="367"/>
        <v>0.68620851527417337</v>
      </c>
      <c r="W246" s="175">
        <f t="shared" si="368"/>
        <v>350</v>
      </c>
      <c r="X246" s="386">
        <f t="shared" si="369"/>
        <v>350</v>
      </c>
      <c r="Z246" s="191">
        <f t="shared" si="370"/>
        <v>0.49177153920619554</v>
      </c>
      <c r="AA246" s="153">
        <f t="shared" si="371"/>
        <v>1.452081316553727</v>
      </c>
      <c r="AB246" s="153">
        <f t="shared" si="372"/>
        <v>6.9425636786934669E-2</v>
      </c>
      <c r="AC246" s="153"/>
      <c r="AD246" s="153">
        <f t="shared" si="373"/>
        <v>0.44291338582677164</v>
      </c>
      <c r="AE246" s="317">
        <f t="shared" si="374"/>
        <v>903.1111111111112</v>
      </c>
      <c r="AF246" s="463">
        <f t="shared" si="375"/>
        <v>1.1626476377952754E-2</v>
      </c>
      <c r="AH246" s="153">
        <f t="shared" si="376"/>
        <v>0.32071349029490925</v>
      </c>
      <c r="AI246" s="153">
        <f t="shared" si="377"/>
        <v>0.32071349029490925</v>
      </c>
      <c r="AJ246" s="153">
        <f t="shared" si="378"/>
        <v>1.3264544372554883</v>
      </c>
      <c r="AL246" s="317">
        <f t="shared" si="379"/>
        <v>30</v>
      </c>
      <c r="AM246" s="147">
        <f t="shared" si="380"/>
        <v>350</v>
      </c>
      <c r="AO246">
        <f t="shared" si="381"/>
        <v>30</v>
      </c>
      <c r="AP246">
        <f t="shared" si="382"/>
        <v>350</v>
      </c>
      <c r="AR246" s="5">
        <f t="shared" si="343"/>
        <v>2.8571428571428572</v>
      </c>
      <c r="AS246" s="5">
        <f t="shared" si="385"/>
        <v>0.91632425798545503</v>
      </c>
      <c r="AT246" s="5">
        <f t="shared" si="386"/>
        <v>1.9408185991574021</v>
      </c>
      <c r="AU246" s="153">
        <f t="shared" si="387"/>
        <v>0.32071349029490925</v>
      </c>
      <c r="CI246" s="59">
        <f t="shared" si="383"/>
        <v>-50</v>
      </c>
    </row>
    <row r="247" spans="5:87" x14ac:dyDescent="0.25">
      <c r="E247" s="150">
        <v>31</v>
      </c>
      <c r="F247" s="191">
        <f t="shared" si="384"/>
        <v>3.1E-2</v>
      </c>
      <c r="G247" s="191">
        <f t="shared" si="353"/>
        <v>3.1E-2</v>
      </c>
      <c r="H247" s="191">
        <f t="shared" si="354"/>
        <v>0.62</v>
      </c>
      <c r="I247" s="191">
        <f t="shared" si="355"/>
        <v>0.496</v>
      </c>
      <c r="J247" s="472">
        <f t="shared" si="356"/>
        <v>21</v>
      </c>
      <c r="K247" s="386">
        <f t="shared" si="357"/>
        <v>20.32</v>
      </c>
      <c r="L247" s="386">
        <f t="shared" si="358"/>
        <v>41.32</v>
      </c>
      <c r="M247" s="386"/>
      <c r="N247" s="191">
        <f t="shared" si="359"/>
        <v>0.49177153920619554</v>
      </c>
      <c r="O247" s="152">
        <f t="shared" si="360"/>
        <v>1.9363504356243948</v>
      </c>
      <c r="P247" s="152">
        <f t="shared" si="361"/>
        <v>2.7883446272991286</v>
      </c>
      <c r="Q247" s="191">
        <f t="shared" si="362"/>
        <v>9.6817521781219745E-2</v>
      </c>
      <c r="R247" s="191">
        <f t="shared" si="363"/>
        <v>0.12102190222652467</v>
      </c>
      <c r="S247" s="191">
        <f t="shared" si="364"/>
        <v>20</v>
      </c>
      <c r="T247" s="191">
        <f t="shared" si="365"/>
        <v>0.24014248218972628</v>
      </c>
      <c r="U247" s="191">
        <f t="shared" si="366"/>
        <v>0.6861213776849322</v>
      </c>
      <c r="V247" s="191">
        <f t="shared" si="367"/>
        <v>0.7090821324499792</v>
      </c>
      <c r="W247" s="175">
        <f t="shared" si="368"/>
        <v>350</v>
      </c>
      <c r="X247" s="386">
        <f t="shared" si="369"/>
        <v>350</v>
      </c>
      <c r="Z247" s="191">
        <f t="shared" si="370"/>
        <v>0.49177153920619554</v>
      </c>
      <c r="AA247" s="153">
        <f t="shared" si="371"/>
        <v>1.452081316553727</v>
      </c>
      <c r="AB247" s="153">
        <f t="shared" si="372"/>
        <v>6.9425636786934669E-2</v>
      </c>
      <c r="AC247" s="153"/>
      <c r="AD247" s="153">
        <f t="shared" si="373"/>
        <v>0.44291338582677164</v>
      </c>
      <c r="AE247" s="317">
        <f t="shared" si="374"/>
        <v>933.21481481481499</v>
      </c>
      <c r="AF247" s="463">
        <f t="shared" si="375"/>
        <v>1.1626476377952754E-2</v>
      </c>
      <c r="AH247" s="153">
        <f t="shared" si="376"/>
        <v>0.32601489887076374</v>
      </c>
      <c r="AI247" s="153">
        <f t="shared" si="377"/>
        <v>0.32601489887076374</v>
      </c>
      <c r="AJ247" s="153">
        <f t="shared" si="378"/>
        <v>1.3303814065709361</v>
      </c>
      <c r="AL247" s="317">
        <f t="shared" si="379"/>
        <v>31</v>
      </c>
      <c r="AM247" s="147">
        <f t="shared" si="380"/>
        <v>350</v>
      </c>
      <c r="AO247">
        <f t="shared" si="381"/>
        <v>31</v>
      </c>
      <c r="AP247">
        <f t="shared" si="382"/>
        <v>350</v>
      </c>
      <c r="AR247" s="5">
        <f t="shared" si="343"/>
        <v>2.8571428571428572</v>
      </c>
      <c r="AS247" s="5">
        <f t="shared" si="385"/>
        <v>0.93147113963075356</v>
      </c>
      <c r="AT247" s="5">
        <f t="shared" si="386"/>
        <v>1.9256717175121036</v>
      </c>
      <c r="AU247" s="153">
        <f t="shared" si="387"/>
        <v>0.32601489887076374</v>
      </c>
      <c r="CI247" s="59">
        <f t="shared" si="383"/>
        <v>-50</v>
      </c>
    </row>
    <row r="248" spans="5:87" x14ac:dyDescent="0.25">
      <c r="E248" s="150">
        <v>32</v>
      </c>
      <c r="F248" s="191">
        <f t="shared" si="384"/>
        <v>3.2000000000000001E-2</v>
      </c>
      <c r="G248" s="191">
        <f t="shared" ref="G248:G279" si="388">IF(PLOT_TYPE=1, E248/100*Iout2, min_I*EXP(Q248*rr/100))</f>
        <v>3.2000000000000001E-2</v>
      </c>
      <c r="H248" s="191">
        <f t="shared" ref="H248:H279" si="389">F248*Vout</f>
        <v>0.64</v>
      </c>
      <c r="I248" s="191">
        <f t="shared" ref="I248:I279" si="390">Vout2*G248</f>
        <v>0.51200000000000001</v>
      </c>
      <c r="J248" s="472">
        <f t="shared" si="356"/>
        <v>21</v>
      </c>
      <c r="K248" s="386">
        <f t="shared" si="357"/>
        <v>20.32</v>
      </c>
      <c r="L248" s="386">
        <f t="shared" si="358"/>
        <v>41.32</v>
      </c>
      <c r="M248" s="386"/>
      <c r="N248" s="191">
        <f t="shared" si="359"/>
        <v>0.49177153920619554</v>
      </c>
      <c r="O248" s="152">
        <f t="shared" ref="O248:O279" si="391">N248*J248*Isw_max*0.5*Efficiency*Pout/(Pout+Pout2)</f>
        <v>1.9363504356243948</v>
      </c>
      <c r="P248" s="152">
        <f t="shared" ref="P248:P279" si="392">N248*J248*Isw_max*0.5*Efficiency*(Pout2/Pout_total)</f>
        <v>2.7883446272991286</v>
      </c>
      <c r="Q248" s="191">
        <f t="shared" si="362"/>
        <v>9.6817521781219745E-2</v>
      </c>
      <c r="R248" s="191">
        <f t="shared" ref="R248:R279" si="393">O248/Vout2</f>
        <v>0.12102190222652467</v>
      </c>
      <c r="S248" s="191">
        <f t="shared" ref="S248:S279" si="394">MIN(Vout,O248/F248)</f>
        <v>20</v>
      </c>
      <c r="T248" s="191">
        <f t="shared" ref="T248:T279" si="395">MIN(2*(Vout*F248+Vout2*G248)/(Efficiency*J248*N248), Isw_max)</f>
        <v>0.24788901387326587</v>
      </c>
      <c r="U248" s="191">
        <f t="shared" si="366"/>
        <v>0.70825432535218824</v>
      </c>
      <c r="V248" s="191">
        <f t="shared" si="367"/>
        <v>0.73195574962578502</v>
      </c>
      <c r="W248" s="175">
        <f t="shared" si="368"/>
        <v>350</v>
      </c>
      <c r="X248" s="386">
        <f t="shared" si="369"/>
        <v>350</v>
      </c>
      <c r="Z248" s="191">
        <f t="shared" si="370"/>
        <v>0.49177153920619554</v>
      </c>
      <c r="AA248" s="153">
        <f t="shared" si="371"/>
        <v>1.452081316553727</v>
      </c>
      <c r="AB248" s="153">
        <f t="shared" ref="AB248:AB279" si="396">0.5*AA248*Z248*Nps*W248/1000*(Pout/(Pout+Pout2))</f>
        <v>6.9425636786934669E-2</v>
      </c>
      <c r="AC248" s="153"/>
      <c r="AD248" s="153">
        <f t="shared" si="373"/>
        <v>0.44291338582677164</v>
      </c>
      <c r="AE248" s="317">
        <f t="shared" ref="AE248:AE279" si="397">MAX(10, F248/(0.5*AD248/1000000*Isw_min*Nps)/1000*Pout_total/Pout)</f>
        <v>963.31851851851866</v>
      </c>
      <c r="AF248" s="463">
        <f t="shared" ref="AF248:AF279" si="398">0.5*AD248/1000000*Isw_min*Nps*W248*1000*(Pout/Pout_total)</f>
        <v>1.1626476377952754E-2</v>
      </c>
      <c r="AH248" s="153">
        <f t="shared" ref="AH248:AH279" si="399">SQRT((H248+I248)/(0.5*L*Fsw_DCM))</f>
        <v>0.33123146848433005</v>
      </c>
      <c r="AI248" s="153">
        <f t="shared" ref="AI248:AI279" si="400">MAX(IF(F248&gt;AB248,T248,AH248),Isw_min)</f>
        <v>0.33123146848433005</v>
      </c>
      <c r="AJ248" s="153">
        <f t="shared" ref="AJ248:AJ279" si="401">IF(F248&gt;AF248, (AI248-Isw_min)/1.08*0.8+1.2, AE248*0.2/350+1)</f>
        <v>1.3342455322106148</v>
      </c>
      <c r="AL248" s="317">
        <f t="shared" ref="AL248:AL279" si="402">F248*1000</f>
        <v>32</v>
      </c>
      <c r="AM248" s="147">
        <f t="shared" ref="AM248:AM279" si="403">IF(F248&gt;AF248, X248, AE248)</f>
        <v>350</v>
      </c>
      <c r="AO248">
        <f t="shared" si="381"/>
        <v>32</v>
      </c>
      <c r="AP248">
        <f t="shared" si="382"/>
        <v>350</v>
      </c>
      <c r="AR248" s="5">
        <f t="shared" si="343"/>
        <v>2.8571428571428572</v>
      </c>
      <c r="AS248" s="5">
        <f t="shared" si="385"/>
        <v>0.94637562424094313</v>
      </c>
      <c r="AT248" s="5">
        <f t="shared" si="386"/>
        <v>1.9107672329019141</v>
      </c>
      <c r="AU248" s="153">
        <f t="shared" si="387"/>
        <v>0.3312314684843301</v>
      </c>
      <c r="CI248" s="59">
        <f t="shared" ref="CI248:CI279" si="404">IF(ABS(F248-Ioutmax_Vinmax)&lt;Iout/200, AM248, -50)</f>
        <v>-50</v>
      </c>
    </row>
    <row r="249" spans="5:87" x14ac:dyDescent="0.25">
      <c r="E249" s="150">
        <v>33</v>
      </c>
      <c r="F249" s="191">
        <f t="shared" ref="F249:F280" si="405">IF(PLOT_TYPE=1, E249/100*Iout_max, min_I*EXP(O249*rr/100))</f>
        <v>3.3000000000000002E-2</v>
      </c>
      <c r="G249" s="191">
        <f t="shared" si="388"/>
        <v>3.3000000000000002E-2</v>
      </c>
      <c r="H249" s="191">
        <f t="shared" si="389"/>
        <v>0.66</v>
      </c>
      <c r="I249" s="191">
        <f t="shared" si="390"/>
        <v>0.52800000000000002</v>
      </c>
      <c r="J249" s="472">
        <f t="shared" si="356"/>
        <v>21</v>
      </c>
      <c r="K249" s="386">
        <f t="shared" si="357"/>
        <v>20.32</v>
      </c>
      <c r="L249" s="386">
        <f t="shared" si="358"/>
        <v>41.32</v>
      </c>
      <c r="M249" s="386"/>
      <c r="N249" s="191">
        <f t="shared" si="359"/>
        <v>0.49177153920619554</v>
      </c>
      <c r="O249" s="152">
        <f t="shared" si="391"/>
        <v>1.9363504356243948</v>
      </c>
      <c r="P249" s="152">
        <f t="shared" si="392"/>
        <v>2.7883446272991286</v>
      </c>
      <c r="Q249" s="191">
        <f t="shared" si="362"/>
        <v>9.6817521781219745E-2</v>
      </c>
      <c r="R249" s="191">
        <f t="shared" si="393"/>
        <v>0.12102190222652467</v>
      </c>
      <c r="S249" s="191">
        <f t="shared" si="394"/>
        <v>20</v>
      </c>
      <c r="T249" s="191">
        <f t="shared" si="395"/>
        <v>0.2556355455568054</v>
      </c>
      <c r="U249" s="191">
        <f t="shared" si="366"/>
        <v>0.73038727301944395</v>
      </c>
      <c r="V249" s="191">
        <f t="shared" si="367"/>
        <v>0.75482936680159074</v>
      </c>
      <c r="W249" s="175">
        <f t="shared" si="368"/>
        <v>350</v>
      </c>
      <c r="X249" s="386">
        <f t="shared" si="369"/>
        <v>350</v>
      </c>
      <c r="Z249" s="191">
        <f t="shared" si="370"/>
        <v>0.49177153920619554</v>
      </c>
      <c r="AA249" s="153">
        <f t="shared" si="371"/>
        <v>1.452081316553727</v>
      </c>
      <c r="AB249" s="153">
        <f t="shared" si="396"/>
        <v>6.9425636786934669E-2</v>
      </c>
      <c r="AC249" s="153"/>
      <c r="AD249" s="153">
        <f t="shared" si="373"/>
        <v>0.44291338582677164</v>
      </c>
      <c r="AE249" s="317">
        <f t="shared" si="397"/>
        <v>993.42222222222233</v>
      </c>
      <c r="AF249" s="463">
        <f t="shared" si="398"/>
        <v>1.1626476377952754E-2</v>
      </c>
      <c r="AH249" s="153">
        <f t="shared" si="399"/>
        <v>0.33636714634883286</v>
      </c>
      <c r="AI249" s="153">
        <f t="shared" si="400"/>
        <v>0.33636714634883286</v>
      </c>
      <c r="AJ249" s="153">
        <f t="shared" si="401"/>
        <v>1.3380497380361724</v>
      </c>
      <c r="AL249" s="317">
        <f t="shared" si="402"/>
        <v>33</v>
      </c>
      <c r="AM249" s="147">
        <f t="shared" si="403"/>
        <v>350</v>
      </c>
      <c r="AO249">
        <f t="shared" si="381"/>
        <v>33</v>
      </c>
      <c r="AP249">
        <f t="shared" si="382"/>
        <v>350</v>
      </c>
      <c r="AR249" s="5">
        <f t="shared" si="343"/>
        <v>2.8571428571428572</v>
      </c>
      <c r="AS249" s="5">
        <f t="shared" si="385"/>
        <v>0.96104898956809393</v>
      </c>
      <c r="AT249" s="5">
        <f t="shared" si="386"/>
        <v>1.8960938675747632</v>
      </c>
      <c r="AU249" s="153">
        <f t="shared" si="387"/>
        <v>0.33636714634883286</v>
      </c>
      <c r="CI249" s="59">
        <f t="shared" si="404"/>
        <v>-50</v>
      </c>
    </row>
    <row r="250" spans="5:87" x14ac:dyDescent="0.25">
      <c r="E250" s="150">
        <v>34</v>
      </c>
      <c r="F250" s="191">
        <f t="shared" si="405"/>
        <v>3.4000000000000002E-2</v>
      </c>
      <c r="G250" s="191">
        <f t="shared" si="388"/>
        <v>3.4000000000000002E-2</v>
      </c>
      <c r="H250" s="191">
        <f t="shared" si="389"/>
        <v>0.68</v>
      </c>
      <c r="I250" s="191">
        <f t="shared" si="390"/>
        <v>0.54400000000000004</v>
      </c>
      <c r="J250" s="472">
        <f t="shared" si="356"/>
        <v>21</v>
      </c>
      <c r="K250" s="386">
        <f t="shared" si="357"/>
        <v>20.32</v>
      </c>
      <c r="L250" s="386">
        <f t="shared" si="358"/>
        <v>41.32</v>
      </c>
      <c r="M250" s="386"/>
      <c r="N250" s="191">
        <f t="shared" si="359"/>
        <v>0.49177153920619554</v>
      </c>
      <c r="O250" s="152">
        <f t="shared" si="391"/>
        <v>1.9363504356243948</v>
      </c>
      <c r="P250" s="152">
        <f t="shared" si="392"/>
        <v>2.7883446272991286</v>
      </c>
      <c r="Q250" s="191">
        <f t="shared" si="362"/>
        <v>9.6817521781219745E-2</v>
      </c>
      <c r="R250" s="191">
        <f t="shared" si="393"/>
        <v>0.12102190222652467</v>
      </c>
      <c r="S250" s="191">
        <f t="shared" si="394"/>
        <v>20</v>
      </c>
      <c r="T250" s="191">
        <f t="shared" si="395"/>
        <v>0.26338207724034496</v>
      </c>
      <c r="U250" s="191">
        <f t="shared" si="366"/>
        <v>0.75252022068669988</v>
      </c>
      <c r="V250" s="191">
        <f t="shared" si="367"/>
        <v>0.77770298397739646</v>
      </c>
      <c r="W250" s="175">
        <f t="shared" si="368"/>
        <v>350</v>
      </c>
      <c r="X250" s="386">
        <f t="shared" si="369"/>
        <v>350</v>
      </c>
      <c r="Z250" s="191">
        <f t="shared" si="370"/>
        <v>0.49177153920619554</v>
      </c>
      <c r="AA250" s="153">
        <f t="shared" si="371"/>
        <v>1.452081316553727</v>
      </c>
      <c r="AB250" s="153">
        <f t="shared" si="396"/>
        <v>6.9425636786934669E-2</v>
      </c>
      <c r="AC250" s="153"/>
      <c r="AD250" s="153">
        <f t="shared" si="373"/>
        <v>0.44291338582677164</v>
      </c>
      <c r="AE250" s="317">
        <f t="shared" si="397"/>
        <v>1023.5259259259262</v>
      </c>
      <c r="AF250" s="463">
        <f t="shared" si="398"/>
        <v>1.1626476377952754E-2</v>
      </c>
      <c r="AH250" s="153">
        <f t="shared" si="399"/>
        <v>0.34142558277233503</v>
      </c>
      <c r="AI250" s="153">
        <f t="shared" si="400"/>
        <v>0.34142558277233503</v>
      </c>
      <c r="AJ250" s="153">
        <f t="shared" si="401"/>
        <v>1.3417967279795073</v>
      </c>
      <c r="AL250" s="317">
        <f t="shared" si="402"/>
        <v>34</v>
      </c>
      <c r="AM250" s="147">
        <f t="shared" si="403"/>
        <v>350</v>
      </c>
      <c r="AO250">
        <f t="shared" si="381"/>
        <v>34</v>
      </c>
      <c r="AP250">
        <f t="shared" si="382"/>
        <v>350</v>
      </c>
      <c r="AR250" s="5">
        <f t="shared" si="343"/>
        <v>2.8571428571428572</v>
      </c>
      <c r="AS250" s="5">
        <f t="shared" si="385"/>
        <v>0.97550166506381442</v>
      </c>
      <c r="AT250" s="5">
        <f t="shared" si="386"/>
        <v>1.8816411920790428</v>
      </c>
      <c r="AU250" s="153">
        <f t="shared" si="387"/>
        <v>0.34142558277233503</v>
      </c>
      <c r="CI250" s="59">
        <f t="shared" si="404"/>
        <v>-50</v>
      </c>
    </row>
    <row r="251" spans="5:87" x14ac:dyDescent="0.25">
      <c r="E251" s="150">
        <v>35</v>
      </c>
      <c r="F251" s="191">
        <f t="shared" si="405"/>
        <v>3.4999999999999996E-2</v>
      </c>
      <c r="G251" s="191">
        <f t="shared" si="388"/>
        <v>3.4999999999999996E-2</v>
      </c>
      <c r="H251" s="191">
        <f t="shared" si="389"/>
        <v>0.7</v>
      </c>
      <c r="I251" s="191">
        <f t="shared" si="390"/>
        <v>0.55999999999999994</v>
      </c>
      <c r="J251" s="472">
        <f t="shared" si="356"/>
        <v>21</v>
      </c>
      <c r="K251" s="386">
        <f t="shared" si="357"/>
        <v>20.32</v>
      </c>
      <c r="L251" s="386">
        <f t="shared" si="358"/>
        <v>41.32</v>
      </c>
      <c r="M251" s="386"/>
      <c r="N251" s="191">
        <f t="shared" si="359"/>
        <v>0.49177153920619554</v>
      </c>
      <c r="O251" s="152">
        <f t="shared" si="391"/>
        <v>1.9363504356243948</v>
      </c>
      <c r="P251" s="152">
        <f t="shared" si="392"/>
        <v>2.7883446272991286</v>
      </c>
      <c r="Q251" s="191">
        <f t="shared" si="362"/>
        <v>9.6817521781219745E-2</v>
      </c>
      <c r="R251" s="191">
        <f t="shared" si="393"/>
        <v>0.12102190222652467</v>
      </c>
      <c r="S251" s="191">
        <f t="shared" si="394"/>
        <v>20</v>
      </c>
      <c r="T251" s="191">
        <f t="shared" si="395"/>
        <v>0.27112860892388446</v>
      </c>
      <c r="U251" s="191">
        <f t="shared" si="366"/>
        <v>0.77465316835395559</v>
      </c>
      <c r="V251" s="191">
        <f t="shared" si="367"/>
        <v>0.80057660115320217</v>
      </c>
      <c r="W251" s="175">
        <f t="shared" si="368"/>
        <v>350</v>
      </c>
      <c r="X251" s="386">
        <f t="shared" si="369"/>
        <v>350</v>
      </c>
      <c r="Z251" s="191">
        <f t="shared" si="370"/>
        <v>0.49177153920619554</v>
      </c>
      <c r="AA251" s="153">
        <f t="shared" si="371"/>
        <v>1.452081316553727</v>
      </c>
      <c r="AB251" s="153">
        <f t="shared" si="396"/>
        <v>6.9425636786934669E-2</v>
      </c>
      <c r="AC251" s="153"/>
      <c r="AD251" s="153">
        <f t="shared" si="373"/>
        <v>0.44291338582677164</v>
      </c>
      <c r="AE251" s="317">
        <f t="shared" si="397"/>
        <v>1053.6296296296296</v>
      </c>
      <c r="AF251" s="463">
        <f t="shared" si="398"/>
        <v>1.1626476377952754E-2</v>
      </c>
      <c r="AH251" s="153">
        <f t="shared" si="399"/>
        <v>0.34641016151377541</v>
      </c>
      <c r="AI251" s="153">
        <f t="shared" si="400"/>
        <v>0.34641016151377541</v>
      </c>
      <c r="AJ251" s="153">
        <f t="shared" si="401"/>
        <v>1.3454890085287226</v>
      </c>
      <c r="AL251" s="317">
        <f t="shared" si="402"/>
        <v>34.999999999999993</v>
      </c>
      <c r="AM251" s="147">
        <f t="shared" si="403"/>
        <v>350</v>
      </c>
      <c r="AO251">
        <f t="shared" si="381"/>
        <v>34.999999999999993</v>
      </c>
      <c r="AP251">
        <f t="shared" si="382"/>
        <v>350</v>
      </c>
      <c r="AR251" s="5">
        <f t="shared" si="343"/>
        <v>2.8571428571428572</v>
      </c>
      <c r="AS251" s="5">
        <f t="shared" si="385"/>
        <v>0.98974331861078679</v>
      </c>
      <c r="AT251" s="5">
        <f t="shared" si="386"/>
        <v>1.8673995385320703</v>
      </c>
      <c r="AU251" s="153">
        <f t="shared" si="387"/>
        <v>0.34641016151377535</v>
      </c>
      <c r="CI251" s="59">
        <f t="shared" si="404"/>
        <v>-50</v>
      </c>
    </row>
    <row r="252" spans="5:87" x14ac:dyDescent="0.25">
      <c r="E252" s="150">
        <v>36</v>
      </c>
      <c r="F252" s="191">
        <f t="shared" si="405"/>
        <v>3.5999999999999997E-2</v>
      </c>
      <c r="G252" s="191">
        <f t="shared" si="388"/>
        <v>3.5999999999999997E-2</v>
      </c>
      <c r="H252" s="191">
        <f t="shared" si="389"/>
        <v>0.72</v>
      </c>
      <c r="I252" s="191">
        <f t="shared" si="390"/>
        <v>0.57599999999999996</v>
      </c>
      <c r="J252" s="472">
        <f t="shared" si="356"/>
        <v>21</v>
      </c>
      <c r="K252" s="386">
        <f t="shared" si="357"/>
        <v>20.32</v>
      </c>
      <c r="L252" s="386">
        <f t="shared" si="358"/>
        <v>41.32</v>
      </c>
      <c r="M252" s="386"/>
      <c r="N252" s="191">
        <f t="shared" si="359"/>
        <v>0.49177153920619554</v>
      </c>
      <c r="O252" s="152">
        <f t="shared" si="391"/>
        <v>1.9363504356243948</v>
      </c>
      <c r="P252" s="152">
        <f t="shared" si="392"/>
        <v>2.7883446272991286</v>
      </c>
      <c r="Q252" s="191">
        <f t="shared" si="362"/>
        <v>9.6817521781219745E-2</v>
      </c>
      <c r="R252" s="191">
        <f t="shared" si="393"/>
        <v>0.12102190222652467</v>
      </c>
      <c r="S252" s="191">
        <f t="shared" si="394"/>
        <v>20</v>
      </c>
      <c r="T252" s="191">
        <f t="shared" si="395"/>
        <v>0.27887514060742402</v>
      </c>
      <c r="U252" s="191">
        <f t="shared" si="366"/>
        <v>0.79678611602121152</v>
      </c>
      <c r="V252" s="191">
        <f t="shared" si="367"/>
        <v>0.82345021832900789</v>
      </c>
      <c r="W252" s="175">
        <f t="shared" si="368"/>
        <v>350</v>
      </c>
      <c r="X252" s="386">
        <f t="shared" si="369"/>
        <v>350</v>
      </c>
      <c r="Z252" s="191">
        <f t="shared" si="370"/>
        <v>0.49177153920619554</v>
      </c>
      <c r="AA252" s="153">
        <f t="shared" si="371"/>
        <v>1.452081316553727</v>
      </c>
      <c r="AB252" s="153">
        <f t="shared" si="396"/>
        <v>6.9425636786934669E-2</v>
      </c>
      <c r="AC252" s="153"/>
      <c r="AD252" s="153">
        <f t="shared" si="373"/>
        <v>0.44291338582677164</v>
      </c>
      <c r="AE252" s="317">
        <f t="shared" si="397"/>
        <v>1083.7333333333336</v>
      </c>
      <c r="AF252" s="463">
        <f t="shared" si="398"/>
        <v>1.1626476377952754E-2</v>
      </c>
      <c r="AH252" s="153">
        <f t="shared" si="399"/>
        <v>0.35132402626147191</v>
      </c>
      <c r="AI252" s="153">
        <f t="shared" si="400"/>
        <v>0.35132402626147191</v>
      </c>
      <c r="AJ252" s="153">
        <f t="shared" si="401"/>
        <v>1.349128908341831</v>
      </c>
      <c r="AL252" s="317">
        <f t="shared" si="402"/>
        <v>36</v>
      </c>
      <c r="AM252" s="147">
        <f t="shared" si="403"/>
        <v>350</v>
      </c>
      <c r="AO252">
        <f t="shared" si="381"/>
        <v>36</v>
      </c>
      <c r="AP252">
        <f t="shared" si="382"/>
        <v>350</v>
      </c>
      <c r="AR252" s="5">
        <f t="shared" si="343"/>
        <v>2.8571428571428572</v>
      </c>
      <c r="AS252" s="5">
        <f t="shared" si="385"/>
        <v>1.0037829321756342</v>
      </c>
      <c r="AT252" s="5">
        <f t="shared" si="386"/>
        <v>1.853359924967223</v>
      </c>
      <c r="AU252" s="153">
        <f t="shared" si="387"/>
        <v>0.35132402626147197</v>
      </c>
      <c r="CI252" s="59">
        <f t="shared" si="404"/>
        <v>-50</v>
      </c>
    </row>
    <row r="253" spans="5:87" x14ac:dyDescent="0.25">
      <c r="E253" s="150">
        <v>37</v>
      </c>
      <c r="F253" s="191">
        <f t="shared" si="405"/>
        <v>3.6999999999999998E-2</v>
      </c>
      <c r="G253" s="191">
        <f t="shared" si="388"/>
        <v>3.6999999999999998E-2</v>
      </c>
      <c r="H253" s="191">
        <f t="shared" si="389"/>
        <v>0.74</v>
      </c>
      <c r="I253" s="191">
        <f t="shared" si="390"/>
        <v>0.59199999999999997</v>
      </c>
      <c r="J253" s="472">
        <f t="shared" si="356"/>
        <v>21</v>
      </c>
      <c r="K253" s="386">
        <f t="shared" si="357"/>
        <v>20.32</v>
      </c>
      <c r="L253" s="386">
        <f t="shared" si="358"/>
        <v>41.32</v>
      </c>
      <c r="M253" s="386"/>
      <c r="N253" s="191">
        <f t="shared" si="359"/>
        <v>0.49177153920619554</v>
      </c>
      <c r="O253" s="152">
        <f t="shared" si="391"/>
        <v>1.9363504356243948</v>
      </c>
      <c r="P253" s="152">
        <f t="shared" si="392"/>
        <v>2.7883446272991286</v>
      </c>
      <c r="Q253" s="191">
        <f t="shared" si="362"/>
        <v>9.6817521781219745E-2</v>
      </c>
      <c r="R253" s="191">
        <f t="shared" si="393"/>
        <v>0.12102190222652467</v>
      </c>
      <c r="S253" s="191">
        <f t="shared" si="394"/>
        <v>20</v>
      </c>
      <c r="T253" s="191">
        <f t="shared" si="395"/>
        <v>0.28662167229096358</v>
      </c>
      <c r="U253" s="191">
        <f t="shared" si="366"/>
        <v>0.81891906368846745</v>
      </c>
      <c r="V253" s="191">
        <f t="shared" si="367"/>
        <v>0.84632383550481372</v>
      </c>
      <c r="W253" s="175">
        <f t="shared" si="368"/>
        <v>350</v>
      </c>
      <c r="X253" s="386">
        <f t="shared" si="369"/>
        <v>350</v>
      </c>
      <c r="Z253" s="191">
        <f t="shared" si="370"/>
        <v>0.49177153920619554</v>
      </c>
      <c r="AA253" s="153">
        <f t="shared" si="371"/>
        <v>1.452081316553727</v>
      </c>
      <c r="AB253" s="153">
        <f t="shared" si="396"/>
        <v>6.9425636786934669E-2</v>
      </c>
      <c r="AC253" s="153"/>
      <c r="AD253" s="153">
        <f t="shared" si="373"/>
        <v>0.44291338582677164</v>
      </c>
      <c r="AE253" s="317">
        <f t="shared" si="397"/>
        <v>1113.8370370370371</v>
      </c>
      <c r="AF253" s="463">
        <f t="shared" si="398"/>
        <v>1.1626476377952754E-2</v>
      </c>
      <c r="AH253" s="153">
        <f t="shared" si="399"/>
        <v>0.35617010382279818</v>
      </c>
      <c r="AI253" s="153">
        <f t="shared" si="400"/>
        <v>0.35617010382279818</v>
      </c>
      <c r="AJ253" s="153">
        <f t="shared" si="401"/>
        <v>1.3527185954242948</v>
      </c>
      <c r="AL253" s="317">
        <f t="shared" si="402"/>
        <v>37</v>
      </c>
      <c r="AM253" s="147">
        <f t="shared" si="403"/>
        <v>350</v>
      </c>
      <c r="AO253">
        <f t="shared" si="381"/>
        <v>37</v>
      </c>
      <c r="AP253">
        <f t="shared" si="382"/>
        <v>350</v>
      </c>
      <c r="AR253" s="5">
        <f t="shared" si="343"/>
        <v>2.8571428571428572</v>
      </c>
      <c r="AS253" s="5">
        <f t="shared" si="385"/>
        <v>1.0176288680651375</v>
      </c>
      <c r="AT253" s="5">
        <f t="shared" si="386"/>
        <v>1.8395139890777197</v>
      </c>
      <c r="AU253" s="153">
        <f t="shared" si="387"/>
        <v>0.35617010382279812</v>
      </c>
      <c r="CI253" s="59">
        <f t="shared" si="404"/>
        <v>-50</v>
      </c>
    </row>
    <row r="254" spans="5:87" x14ac:dyDescent="0.25">
      <c r="E254" s="150">
        <v>38</v>
      </c>
      <c r="F254" s="191">
        <f t="shared" si="405"/>
        <v>3.8000000000000006E-2</v>
      </c>
      <c r="G254" s="191">
        <f t="shared" si="388"/>
        <v>3.8000000000000006E-2</v>
      </c>
      <c r="H254" s="191">
        <f t="shared" si="389"/>
        <v>0.76000000000000012</v>
      </c>
      <c r="I254" s="191">
        <f t="shared" si="390"/>
        <v>0.6080000000000001</v>
      </c>
      <c r="J254" s="472">
        <f t="shared" si="356"/>
        <v>21</v>
      </c>
      <c r="K254" s="386">
        <f t="shared" si="357"/>
        <v>20.32</v>
      </c>
      <c r="L254" s="386">
        <f t="shared" si="358"/>
        <v>41.32</v>
      </c>
      <c r="M254" s="386"/>
      <c r="N254" s="191">
        <f t="shared" si="359"/>
        <v>0.49177153920619554</v>
      </c>
      <c r="O254" s="152">
        <f t="shared" si="391"/>
        <v>1.9363504356243948</v>
      </c>
      <c r="P254" s="152">
        <f t="shared" si="392"/>
        <v>2.7883446272991286</v>
      </c>
      <c r="Q254" s="191">
        <f t="shared" si="362"/>
        <v>9.6817521781219745E-2</v>
      </c>
      <c r="R254" s="191">
        <f t="shared" si="393"/>
        <v>0.12102190222652467</v>
      </c>
      <c r="S254" s="191">
        <f t="shared" si="394"/>
        <v>20</v>
      </c>
      <c r="T254" s="191">
        <f t="shared" si="395"/>
        <v>0.29436820397450325</v>
      </c>
      <c r="U254" s="191">
        <f t="shared" si="366"/>
        <v>0.84105201135572361</v>
      </c>
      <c r="V254" s="191">
        <f t="shared" si="367"/>
        <v>0.86919745268061988</v>
      </c>
      <c r="W254" s="175">
        <f t="shared" si="368"/>
        <v>350</v>
      </c>
      <c r="X254" s="386">
        <f t="shared" si="369"/>
        <v>350</v>
      </c>
      <c r="Z254" s="191">
        <f t="shared" si="370"/>
        <v>0.49177153920619554</v>
      </c>
      <c r="AA254" s="153">
        <f t="shared" si="371"/>
        <v>1.452081316553727</v>
      </c>
      <c r="AB254" s="153">
        <f t="shared" si="396"/>
        <v>6.9425636786934669E-2</v>
      </c>
      <c r="AC254" s="153"/>
      <c r="AD254" s="153">
        <f t="shared" si="373"/>
        <v>0.44291338582677164</v>
      </c>
      <c r="AE254" s="317">
        <f t="shared" si="397"/>
        <v>1143.9407407407411</v>
      </c>
      <c r="AF254" s="463">
        <f t="shared" si="398"/>
        <v>1.1626476377952754E-2</v>
      </c>
      <c r="AH254" s="153">
        <f t="shared" si="399"/>
        <v>0.36095112451094302</v>
      </c>
      <c r="AI254" s="153">
        <f t="shared" si="400"/>
        <v>0.36095112451094302</v>
      </c>
      <c r="AJ254" s="153">
        <f t="shared" si="401"/>
        <v>1.3562600922303281</v>
      </c>
      <c r="AL254" s="317">
        <f t="shared" si="402"/>
        <v>38.000000000000007</v>
      </c>
      <c r="AM254" s="147">
        <f t="shared" si="403"/>
        <v>350</v>
      </c>
      <c r="AO254">
        <f t="shared" si="381"/>
        <v>38.000000000000007</v>
      </c>
      <c r="AP254">
        <f t="shared" si="382"/>
        <v>350</v>
      </c>
      <c r="AR254" s="5">
        <f t="shared" si="343"/>
        <v>2.8571428571428572</v>
      </c>
      <c r="AS254" s="5">
        <f t="shared" si="385"/>
        <v>1.0312889271741228</v>
      </c>
      <c r="AT254" s="5">
        <f t="shared" si="386"/>
        <v>1.8258539299687344</v>
      </c>
      <c r="AU254" s="153">
        <f t="shared" si="387"/>
        <v>0.36095112451094297</v>
      </c>
      <c r="CI254" s="59">
        <f t="shared" si="404"/>
        <v>-50</v>
      </c>
    </row>
    <row r="255" spans="5:87" x14ac:dyDescent="0.25">
      <c r="E255" s="150">
        <v>39</v>
      </c>
      <c r="F255" s="191">
        <f t="shared" si="405"/>
        <v>3.9000000000000007E-2</v>
      </c>
      <c r="G255" s="191">
        <f t="shared" si="388"/>
        <v>3.9000000000000007E-2</v>
      </c>
      <c r="H255" s="191">
        <f t="shared" si="389"/>
        <v>0.78000000000000014</v>
      </c>
      <c r="I255" s="191">
        <f t="shared" si="390"/>
        <v>0.62400000000000011</v>
      </c>
      <c r="J255" s="472">
        <f t="shared" si="356"/>
        <v>21</v>
      </c>
      <c r="K255" s="386">
        <f t="shared" si="357"/>
        <v>20.32</v>
      </c>
      <c r="L255" s="386">
        <f t="shared" si="358"/>
        <v>41.32</v>
      </c>
      <c r="M255" s="386"/>
      <c r="N255" s="191">
        <f t="shared" si="359"/>
        <v>0.49177153920619554</v>
      </c>
      <c r="O255" s="152">
        <f t="shared" si="391"/>
        <v>1.9363504356243948</v>
      </c>
      <c r="P255" s="152">
        <f t="shared" si="392"/>
        <v>2.7883446272991286</v>
      </c>
      <c r="Q255" s="191">
        <f t="shared" si="362"/>
        <v>9.6817521781219745E-2</v>
      </c>
      <c r="R255" s="191">
        <f t="shared" si="393"/>
        <v>0.12102190222652467</v>
      </c>
      <c r="S255" s="191">
        <f t="shared" si="394"/>
        <v>20</v>
      </c>
      <c r="T255" s="191">
        <f t="shared" si="395"/>
        <v>0.30211473565804281</v>
      </c>
      <c r="U255" s="191">
        <f t="shared" si="366"/>
        <v>0.86318495902297954</v>
      </c>
      <c r="V255" s="191">
        <f t="shared" si="367"/>
        <v>0.8920710698564257</v>
      </c>
      <c r="W255" s="175">
        <f t="shared" si="368"/>
        <v>350</v>
      </c>
      <c r="X255" s="386">
        <f t="shared" si="369"/>
        <v>350</v>
      </c>
      <c r="Z255" s="191">
        <f t="shared" si="370"/>
        <v>0.49177153920619554</v>
      </c>
      <c r="AA255" s="153">
        <f t="shared" si="371"/>
        <v>1.452081316553727</v>
      </c>
      <c r="AB255" s="153">
        <f t="shared" si="396"/>
        <v>6.9425636786934669E-2</v>
      </c>
      <c r="AC255" s="153"/>
      <c r="AD255" s="153">
        <f t="shared" si="373"/>
        <v>0.44291338582677164</v>
      </c>
      <c r="AE255" s="317">
        <f t="shared" si="397"/>
        <v>1174.0444444444447</v>
      </c>
      <c r="AF255" s="463">
        <f t="shared" si="398"/>
        <v>1.1626476377952754E-2</v>
      </c>
      <c r="AH255" s="153">
        <f t="shared" si="399"/>
        <v>0.36566964013202646</v>
      </c>
      <c r="AI255" s="153">
        <f t="shared" si="400"/>
        <v>0.36566964013202646</v>
      </c>
      <c r="AJ255" s="153">
        <f t="shared" si="401"/>
        <v>1.3597552889866862</v>
      </c>
      <c r="AL255" s="317">
        <f t="shared" si="402"/>
        <v>39.000000000000007</v>
      </c>
      <c r="AM255" s="147">
        <f t="shared" si="403"/>
        <v>350</v>
      </c>
      <c r="AO255">
        <f t="shared" si="381"/>
        <v>39.000000000000007</v>
      </c>
      <c r="AP255">
        <f t="shared" si="382"/>
        <v>350</v>
      </c>
      <c r="AR255" s="5">
        <f t="shared" si="343"/>
        <v>2.8571428571428572</v>
      </c>
      <c r="AS255" s="5">
        <f t="shared" si="385"/>
        <v>1.0447704003772185</v>
      </c>
      <c r="AT255" s="5">
        <f t="shared" si="386"/>
        <v>1.8123724567656387</v>
      </c>
      <c r="AU255" s="153">
        <f t="shared" si="387"/>
        <v>0.36566964013202646</v>
      </c>
      <c r="CI255" s="59">
        <f t="shared" si="404"/>
        <v>-50</v>
      </c>
    </row>
    <row r="256" spans="5:87" x14ac:dyDescent="0.25">
      <c r="E256" s="150">
        <v>40</v>
      </c>
      <c r="F256" s="191">
        <f t="shared" si="405"/>
        <v>4.0000000000000008E-2</v>
      </c>
      <c r="G256" s="191">
        <f t="shared" si="388"/>
        <v>4.0000000000000008E-2</v>
      </c>
      <c r="H256" s="191">
        <f t="shared" si="389"/>
        <v>0.80000000000000016</v>
      </c>
      <c r="I256" s="191">
        <f t="shared" si="390"/>
        <v>0.64000000000000012</v>
      </c>
      <c r="J256" s="472">
        <f t="shared" si="356"/>
        <v>21</v>
      </c>
      <c r="K256" s="386">
        <f t="shared" si="357"/>
        <v>20.32</v>
      </c>
      <c r="L256" s="386">
        <f t="shared" si="358"/>
        <v>41.32</v>
      </c>
      <c r="M256" s="386"/>
      <c r="N256" s="191">
        <f t="shared" si="359"/>
        <v>0.49177153920619554</v>
      </c>
      <c r="O256" s="152">
        <f t="shared" si="391"/>
        <v>1.9363504356243948</v>
      </c>
      <c r="P256" s="152">
        <f t="shared" si="392"/>
        <v>2.7883446272991286</v>
      </c>
      <c r="Q256" s="191">
        <f t="shared" si="362"/>
        <v>9.6817521781219745E-2</v>
      </c>
      <c r="R256" s="191">
        <f t="shared" si="393"/>
        <v>0.12102190222652467</v>
      </c>
      <c r="S256" s="191">
        <f t="shared" si="394"/>
        <v>20</v>
      </c>
      <c r="T256" s="191">
        <f t="shared" si="395"/>
        <v>0.30986126734158237</v>
      </c>
      <c r="U256" s="191">
        <f t="shared" si="366"/>
        <v>0.88531790669023536</v>
      </c>
      <c r="V256" s="191">
        <f t="shared" si="367"/>
        <v>0.91494468703223142</v>
      </c>
      <c r="W256" s="175">
        <f t="shared" si="368"/>
        <v>350</v>
      </c>
      <c r="X256" s="386">
        <f t="shared" si="369"/>
        <v>350</v>
      </c>
      <c r="Z256" s="191">
        <f t="shared" si="370"/>
        <v>0.49177153920619554</v>
      </c>
      <c r="AA256" s="153">
        <f t="shared" si="371"/>
        <v>1.452081316553727</v>
      </c>
      <c r="AB256" s="153">
        <f t="shared" si="396"/>
        <v>6.9425636786934669E-2</v>
      </c>
      <c r="AC256" s="153"/>
      <c r="AD256" s="153">
        <f t="shared" si="373"/>
        <v>0.44291338582677164</v>
      </c>
      <c r="AE256" s="317">
        <f t="shared" si="397"/>
        <v>1204.1481481481485</v>
      </c>
      <c r="AF256" s="463">
        <f t="shared" si="398"/>
        <v>1.1626476377952754E-2</v>
      </c>
      <c r="AH256" s="153">
        <f t="shared" si="399"/>
        <v>0.37032803990902063</v>
      </c>
      <c r="AI256" s="153">
        <f t="shared" si="400"/>
        <v>0.37032803990902063</v>
      </c>
      <c r="AJ256" s="153">
        <f t="shared" si="401"/>
        <v>1.3632059554881635</v>
      </c>
      <c r="AL256" s="317">
        <f t="shared" si="402"/>
        <v>40.000000000000007</v>
      </c>
      <c r="AM256" s="147">
        <f t="shared" si="403"/>
        <v>350</v>
      </c>
      <c r="AO256">
        <f t="shared" si="381"/>
        <v>40.000000000000007</v>
      </c>
      <c r="AP256">
        <f t="shared" si="382"/>
        <v>350</v>
      </c>
      <c r="AR256" s="5">
        <f t="shared" si="343"/>
        <v>2.8571428571428572</v>
      </c>
      <c r="AS256" s="5">
        <f t="shared" si="385"/>
        <v>1.0580801140257732</v>
      </c>
      <c r="AT256" s="5">
        <f t="shared" si="386"/>
        <v>1.799062743117084</v>
      </c>
      <c r="AU256" s="153">
        <f t="shared" si="387"/>
        <v>0.37032803990902058</v>
      </c>
      <c r="CI256" s="59">
        <f t="shared" si="404"/>
        <v>-50</v>
      </c>
    </row>
    <row r="257" spans="5:87" x14ac:dyDescent="0.25">
      <c r="E257" s="150">
        <v>41</v>
      </c>
      <c r="F257" s="191">
        <f t="shared" si="405"/>
        <v>4.1000000000000002E-2</v>
      </c>
      <c r="G257" s="191">
        <f t="shared" si="388"/>
        <v>4.1000000000000002E-2</v>
      </c>
      <c r="H257" s="191">
        <f t="shared" si="389"/>
        <v>0.82000000000000006</v>
      </c>
      <c r="I257" s="191">
        <f t="shared" si="390"/>
        <v>0.65600000000000003</v>
      </c>
      <c r="J257" s="472">
        <f t="shared" si="356"/>
        <v>21</v>
      </c>
      <c r="K257" s="386">
        <f t="shared" si="357"/>
        <v>20.32</v>
      </c>
      <c r="L257" s="386">
        <f t="shared" si="358"/>
        <v>41.32</v>
      </c>
      <c r="M257" s="386"/>
      <c r="N257" s="191">
        <f t="shared" si="359"/>
        <v>0.49177153920619554</v>
      </c>
      <c r="O257" s="152">
        <f t="shared" si="391"/>
        <v>1.9363504356243948</v>
      </c>
      <c r="P257" s="152">
        <f t="shared" si="392"/>
        <v>2.7883446272991286</v>
      </c>
      <c r="Q257" s="191">
        <f t="shared" si="362"/>
        <v>9.6817521781219745E-2</v>
      </c>
      <c r="R257" s="191">
        <f t="shared" si="393"/>
        <v>0.12102190222652467</v>
      </c>
      <c r="S257" s="191">
        <f t="shared" si="394"/>
        <v>20</v>
      </c>
      <c r="T257" s="191">
        <f t="shared" si="395"/>
        <v>0.31760779902512182</v>
      </c>
      <c r="U257" s="191">
        <f t="shared" si="366"/>
        <v>0.90745085435749095</v>
      </c>
      <c r="V257" s="191">
        <f t="shared" si="367"/>
        <v>0.9378183042080368</v>
      </c>
      <c r="W257" s="175">
        <f t="shared" si="368"/>
        <v>350</v>
      </c>
      <c r="X257" s="386">
        <f t="shared" si="369"/>
        <v>350</v>
      </c>
      <c r="Z257" s="191">
        <f t="shared" si="370"/>
        <v>0.49177153920619554</v>
      </c>
      <c r="AA257" s="153">
        <f t="shared" si="371"/>
        <v>1.452081316553727</v>
      </c>
      <c r="AB257" s="153">
        <f t="shared" si="396"/>
        <v>6.9425636786934669E-2</v>
      </c>
      <c r="AC257" s="153"/>
      <c r="AD257" s="153">
        <f t="shared" si="373"/>
        <v>0.44291338582677164</v>
      </c>
      <c r="AE257" s="317">
        <f t="shared" si="397"/>
        <v>1234.2518518518521</v>
      </c>
      <c r="AF257" s="463">
        <f t="shared" si="398"/>
        <v>1.1626476377952754E-2</v>
      </c>
      <c r="AH257" s="153">
        <f t="shared" si="399"/>
        <v>0.37492856462455426</v>
      </c>
      <c r="AI257" s="153">
        <f t="shared" si="400"/>
        <v>0.37492856462455426</v>
      </c>
      <c r="AJ257" s="153">
        <f t="shared" si="401"/>
        <v>1.3666137515737438</v>
      </c>
      <c r="AL257" s="317">
        <f t="shared" si="402"/>
        <v>41</v>
      </c>
      <c r="AM257" s="147">
        <f t="shared" si="403"/>
        <v>350</v>
      </c>
      <c r="AO257">
        <f t="shared" si="381"/>
        <v>41</v>
      </c>
      <c r="AP257">
        <f t="shared" si="382"/>
        <v>350</v>
      </c>
      <c r="AR257" s="5">
        <f t="shared" si="343"/>
        <v>2.8571428571428572</v>
      </c>
      <c r="AS257" s="5">
        <f t="shared" si="385"/>
        <v>1.0712244703558693</v>
      </c>
      <c r="AT257" s="5">
        <f t="shared" si="386"/>
        <v>1.7859183867869879</v>
      </c>
      <c r="AU257" s="153">
        <f t="shared" si="387"/>
        <v>0.37492856462455426</v>
      </c>
      <c r="CI257" s="59">
        <f t="shared" si="404"/>
        <v>-50</v>
      </c>
    </row>
    <row r="258" spans="5:87" x14ac:dyDescent="0.25">
      <c r="E258" s="150">
        <v>42</v>
      </c>
      <c r="F258" s="191">
        <f t="shared" si="405"/>
        <v>4.2000000000000003E-2</v>
      </c>
      <c r="G258" s="191">
        <f t="shared" si="388"/>
        <v>4.2000000000000003E-2</v>
      </c>
      <c r="H258" s="191">
        <f t="shared" si="389"/>
        <v>0.84000000000000008</v>
      </c>
      <c r="I258" s="191">
        <f t="shared" si="390"/>
        <v>0.67200000000000004</v>
      </c>
      <c r="J258" s="472">
        <f t="shared" si="356"/>
        <v>21</v>
      </c>
      <c r="K258" s="386">
        <f t="shared" si="357"/>
        <v>20.32</v>
      </c>
      <c r="L258" s="386">
        <f t="shared" si="358"/>
        <v>41.32</v>
      </c>
      <c r="M258" s="386"/>
      <c r="N258" s="191">
        <f t="shared" si="359"/>
        <v>0.49177153920619554</v>
      </c>
      <c r="O258" s="152">
        <f t="shared" si="391"/>
        <v>1.9363504356243948</v>
      </c>
      <c r="P258" s="152">
        <f t="shared" si="392"/>
        <v>2.7883446272991286</v>
      </c>
      <c r="Q258" s="191">
        <f t="shared" si="362"/>
        <v>9.6817521781219745E-2</v>
      </c>
      <c r="R258" s="191">
        <f t="shared" si="393"/>
        <v>0.12102190222652467</v>
      </c>
      <c r="S258" s="191">
        <f t="shared" si="394"/>
        <v>20</v>
      </c>
      <c r="T258" s="191">
        <f t="shared" si="395"/>
        <v>0.32535433070866138</v>
      </c>
      <c r="U258" s="191">
        <f t="shared" si="366"/>
        <v>0.92958380202474689</v>
      </c>
      <c r="V258" s="191">
        <f t="shared" si="367"/>
        <v>0.96069192138384274</v>
      </c>
      <c r="W258" s="175">
        <f t="shared" si="368"/>
        <v>350</v>
      </c>
      <c r="X258" s="386">
        <f t="shared" si="369"/>
        <v>350</v>
      </c>
      <c r="Z258" s="191">
        <f t="shared" si="370"/>
        <v>0.49177153920619554</v>
      </c>
      <c r="AA258" s="153">
        <f t="shared" si="371"/>
        <v>1.452081316553727</v>
      </c>
      <c r="AB258" s="153">
        <f t="shared" si="396"/>
        <v>6.9425636786934669E-2</v>
      </c>
      <c r="AC258" s="153"/>
      <c r="AD258" s="153">
        <f t="shared" si="373"/>
        <v>0.44291338582677164</v>
      </c>
      <c r="AE258" s="317">
        <f t="shared" si="397"/>
        <v>1264.3555555555558</v>
      </c>
      <c r="AF258" s="463">
        <f t="shared" si="398"/>
        <v>1.1626476377952754E-2</v>
      </c>
      <c r="AH258" s="153">
        <f t="shared" si="399"/>
        <v>0.3794733192202055</v>
      </c>
      <c r="AI258" s="153">
        <f t="shared" si="400"/>
        <v>0.3794733192202055</v>
      </c>
      <c r="AJ258" s="153">
        <f t="shared" si="401"/>
        <v>1.3699802364594114</v>
      </c>
      <c r="AL258" s="317">
        <f t="shared" si="402"/>
        <v>42</v>
      </c>
      <c r="AM258" s="147">
        <f t="shared" si="403"/>
        <v>350</v>
      </c>
      <c r="AO258">
        <f t="shared" si="381"/>
        <v>42</v>
      </c>
      <c r="AP258">
        <f t="shared" si="382"/>
        <v>350</v>
      </c>
      <c r="AR258" s="5">
        <f t="shared" si="343"/>
        <v>2.8571428571428572</v>
      </c>
      <c r="AS258" s="5">
        <f t="shared" si="385"/>
        <v>1.0842094834863014</v>
      </c>
      <c r="AT258" s="5">
        <f t="shared" si="386"/>
        <v>1.7729333736565558</v>
      </c>
      <c r="AU258" s="153">
        <f t="shared" si="387"/>
        <v>0.3794733192202055</v>
      </c>
      <c r="CI258" s="59">
        <f t="shared" si="404"/>
        <v>-50</v>
      </c>
    </row>
    <row r="259" spans="5:87" x14ac:dyDescent="0.25">
      <c r="E259" s="150">
        <v>43</v>
      </c>
      <c r="F259" s="191">
        <f t="shared" si="405"/>
        <v>4.3000000000000003E-2</v>
      </c>
      <c r="G259" s="191">
        <f t="shared" si="388"/>
        <v>4.3000000000000003E-2</v>
      </c>
      <c r="H259" s="191">
        <f t="shared" si="389"/>
        <v>0.8600000000000001</v>
      </c>
      <c r="I259" s="191">
        <f t="shared" si="390"/>
        <v>0.68800000000000006</v>
      </c>
      <c r="J259" s="472">
        <f t="shared" si="356"/>
        <v>21</v>
      </c>
      <c r="K259" s="386">
        <f t="shared" si="357"/>
        <v>20.32</v>
      </c>
      <c r="L259" s="386">
        <f t="shared" si="358"/>
        <v>41.32</v>
      </c>
      <c r="M259" s="386"/>
      <c r="N259" s="191">
        <f t="shared" si="359"/>
        <v>0.49177153920619554</v>
      </c>
      <c r="O259" s="152">
        <f t="shared" si="391"/>
        <v>1.9363504356243948</v>
      </c>
      <c r="P259" s="152">
        <f t="shared" si="392"/>
        <v>2.7883446272991286</v>
      </c>
      <c r="Q259" s="191">
        <f t="shared" si="362"/>
        <v>9.6817521781219745E-2</v>
      </c>
      <c r="R259" s="191">
        <f t="shared" si="393"/>
        <v>0.12102190222652467</v>
      </c>
      <c r="S259" s="191">
        <f t="shared" si="394"/>
        <v>20</v>
      </c>
      <c r="T259" s="191">
        <f t="shared" si="395"/>
        <v>0.33310086239220094</v>
      </c>
      <c r="U259" s="191">
        <f t="shared" si="366"/>
        <v>0.95171674969200271</v>
      </c>
      <c r="V259" s="191">
        <f t="shared" si="367"/>
        <v>0.98356553855964857</v>
      </c>
      <c r="W259" s="175">
        <f t="shared" si="368"/>
        <v>350</v>
      </c>
      <c r="X259" s="386">
        <f t="shared" si="369"/>
        <v>350</v>
      </c>
      <c r="Z259" s="191">
        <f t="shared" si="370"/>
        <v>0.49177153920619554</v>
      </c>
      <c r="AA259" s="153">
        <f t="shared" si="371"/>
        <v>1.452081316553727</v>
      </c>
      <c r="AB259" s="153">
        <f t="shared" si="396"/>
        <v>6.9425636786934669E-2</v>
      </c>
      <c r="AC259" s="153"/>
      <c r="AD259" s="153">
        <f t="shared" si="373"/>
        <v>0.44291338582677164</v>
      </c>
      <c r="AE259" s="317">
        <f t="shared" si="397"/>
        <v>1294.4592592592596</v>
      </c>
      <c r="AF259" s="463">
        <f t="shared" si="398"/>
        <v>1.1626476377952754E-2</v>
      </c>
      <c r="AH259" s="153">
        <f t="shared" si="399"/>
        <v>0.38396428405331068</v>
      </c>
      <c r="AI259" s="153">
        <f t="shared" si="400"/>
        <v>0.38396428405331068</v>
      </c>
      <c r="AJ259" s="153">
        <f t="shared" si="401"/>
        <v>1.3733068770765264</v>
      </c>
      <c r="AL259" s="317">
        <f t="shared" si="402"/>
        <v>43</v>
      </c>
      <c r="AM259" s="147">
        <f t="shared" si="403"/>
        <v>350</v>
      </c>
      <c r="AO259">
        <f t="shared" si="381"/>
        <v>43</v>
      </c>
      <c r="AP259">
        <f t="shared" si="382"/>
        <v>350</v>
      </c>
      <c r="AR259" s="5">
        <f t="shared" si="343"/>
        <v>2.8571428571428572</v>
      </c>
      <c r="AS259" s="5">
        <f t="shared" si="385"/>
        <v>1.0970408115808878</v>
      </c>
      <c r="AT259" s="5">
        <f t="shared" si="386"/>
        <v>1.7601020455619694</v>
      </c>
      <c r="AU259" s="153">
        <f t="shared" si="387"/>
        <v>0.38396428405331073</v>
      </c>
      <c r="CI259" s="59">
        <f t="shared" si="404"/>
        <v>-50</v>
      </c>
    </row>
    <row r="260" spans="5:87" x14ac:dyDescent="0.25">
      <c r="E260" s="150">
        <v>44</v>
      </c>
      <c r="F260" s="191">
        <f t="shared" si="405"/>
        <v>4.4000000000000004E-2</v>
      </c>
      <c r="G260" s="191">
        <f t="shared" si="388"/>
        <v>4.4000000000000004E-2</v>
      </c>
      <c r="H260" s="191">
        <f t="shared" si="389"/>
        <v>0.88000000000000012</v>
      </c>
      <c r="I260" s="191">
        <f t="shared" si="390"/>
        <v>0.70400000000000007</v>
      </c>
      <c r="J260" s="472">
        <f t="shared" si="356"/>
        <v>21</v>
      </c>
      <c r="K260" s="386">
        <f t="shared" si="357"/>
        <v>20.32</v>
      </c>
      <c r="L260" s="386">
        <f t="shared" si="358"/>
        <v>41.32</v>
      </c>
      <c r="M260" s="386"/>
      <c r="N260" s="191">
        <f t="shared" si="359"/>
        <v>0.49177153920619554</v>
      </c>
      <c r="O260" s="152">
        <f t="shared" si="391"/>
        <v>1.9363504356243948</v>
      </c>
      <c r="P260" s="152">
        <f t="shared" si="392"/>
        <v>2.7883446272991286</v>
      </c>
      <c r="Q260" s="191">
        <f t="shared" si="362"/>
        <v>9.6817521781219745E-2</v>
      </c>
      <c r="R260" s="191">
        <f t="shared" si="393"/>
        <v>0.12102190222652467</v>
      </c>
      <c r="S260" s="191">
        <f t="shared" si="394"/>
        <v>20</v>
      </c>
      <c r="T260" s="191">
        <f t="shared" si="395"/>
        <v>0.34084739407574055</v>
      </c>
      <c r="U260" s="191">
        <f t="shared" si="366"/>
        <v>0.97384969735925875</v>
      </c>
      <c r="V260" s="191">
        <f t="shared" si="367"/>
        <v>1.0064391557354544</v>
      </c>
      <c r="W260" s="175">
        <f t="shared" si="368"/>
        <v>350</v>
      </c>
      <c r="X260" s="386">
        <f t="shared" si="369"/>
        <v>350</v>
      </c>
      <c r="Z260" s="191">
        <f t="shared" si="370"/>
        <v>0.49177153920619554</v>
      </c>
      <c r="AA260" s="153">
        <f t="shared" si="371"/>
        <v>1.452081316553727</v>
      </c>
      <c r="AB260" s="153">
        <f t="shared" si="396"/>
        <v>6.9425636786934669E-2</v>
      </c>
      <c r="AC260" s="153"/>
      <c r="AD260" s="153">
        <f t="shared" si="373"/>
        <v>0.44291338582677164</v>
      </c>
      <c r="AE260" s="317">
        <f t="shared" si="397"/>
        <v>1324.5629629629634</v>
      </c>
      <c r="AF260" s="463">
        <f t="shared" si="398"/>
        <v>1.1626476377952754E-2</v>
      </c>
      <c r="AH260" s="153">
        <f t="shared" si="399"/>
        <v>0.38840332498208979</v>
      </c>
      <c r="AI260" s="153">
        <f t="shared" si="400"/>
        <v>0.38840332498208979</v>
      </c>
      <c r="AJ260" s="153">
        <f t="shared" si="401"/>
        <v>1.3765950555422888</v>
      </c>
      <c r="AL260" s="317">
        <f t="shared" si="402"/>
        <v>44.000000000000007</v>
      </c>
      <c r="AM260" s="147">
        <f t="shared" si="403"/>
        <v>350</v>
      </c>
      <c r="AO260">
        <f t="shared" si="381"/>
        <v>44.000000000000007</v>
      </c>
      <c r="AP260">
        <f t="shared" si="382"/>
        <v>350</v>
      </c>
      <c r="AR260" s="5">
        <f t="shared" si="343"/>
        <v>2.8571428571428572</v>
      </c>
      <c r="AS260" s="5">
        <f t="shared" si="385"/>
        <v>1.1097237856631137</v>
      </c>
      <c r="AT260" s="5">
        <f t="shared" si="386"/>
        <v>1.7474190714797435</v>
      </c>
      <c r="AU260" s="153">
        <f t="shared" si="387"/>
        <v>0.38840332498208979</v>
      </c>
      <c r="CI260" s="59">
        <f t="shared" si="404"/>
        <v>-50</v>
      </c>
    </row>
    <row r="261" spans="5:87" x14ac:dyDescent="0.25">
      <c r="E261" s="150">
        <v>45</v>
      </c>
      <c r="F261" s="191">
        <f t="shared" si="405"/>
        <v>4.5000000000000005E-2</v>
      </c>
      <c r="G261" s="191">
        <f t="shared" si="388"/>
        <v>4.5000000000000005E-2</v>
      </c>
      <c r="H261" s="191">
        <f t="shared" si="389"/>
        <v>0.90000000000000013</v>
      </c>
      <c r="I261" s="191">
        <f t="shared" si="390"/>
        <v>0.72000000000000008</v>
      </c>
      <c r="J261" s="472">
        <f t="shared" si="356"/>
        <v>21</v>
      </c>
      <c r="K261" s="386">
        <f t="shared" si="357"/>
        <v>20.32</v>
      </c>
      <c r="L261" s="386">
        <f t="shared" si="358"/>
        <v>41.32</v>
      </c>
      <c r="M261" s="386"/>
      <c r="N261" s="191">
        <f t="shared" si="359"/>
        <v>0.49177153920619554</v>
      </c>
      <c r="O261" s="152">
        <f t="shared" si="391"/>
        <v>1.9363504356243948</v>
      </c>
      <c r="P261" s="152">
        <f t="shared" si="392"/>
        <v>2.7883446272991286</v>
      </c>
      <c r="Q261" s="191">
        <f t="shared" si="362"/>
        <v>9.6817521781219745E-2</v>
      </c>
      <c r="R261" s="191">
        <f t="shared" si="393"/>
        <v>0.12102190222652467</v>
      </c>
      <c r="S261" s="191">
        <f t="shared" si="394"/>
        <v>20</v>
      </c>
      <c r="T261" s="191">
        <f t="shared" si="395"/>
        <v>0.34859392575928011</v>
      </c>
      <c r="U261" s="191">
        <f t="shared" si="366"/>
        <v>0.99598264502651457</v>
      </c>
      <c r="V261" s="191">
        <f t="shared" si="367"/>
        <v>1.0293127729112603</v>
      </c>
      <c r="W261" s="175">
        <f t="shared" si="368"/>
        <v>350</v>
      </c>
      <c r="X261" s="386">
        <f t="shared" si="369"/>
        <v>350</v>
      </c>
      <c r="Z261" s="191">
        <f t="shared" si="370"/>
        <v>0.49177153920619554</v>
      </c>
      <c r="AA261" s="153">
        <f t="shared" si="371"/>
        <v>1.452081316553727</v>
      </c>
      <c r="AB261" s="153">
        <f t="shared" si="396"/>
        <v>6.9425636786934669E-2</v>
      </c>
      <c r="AC261" s="153"/>
      <c r="AD261" s="153">
        <f t="shared" si="373"/>
        <v>0.44291338582677164</v>
      </c>
      <c r="AE261" s="317">
        <f t="shared" si="397"/>
        <v>1354.666666666667</v>
      </c>
      <c r="AF261" s="463">
        <f t="shared" si="398"/>
        <v>1.1626476377952754E-2</v>
      </c>
      <c r="AH261" s="153">
        <f t="shared" si="399"/>
        <v>0.3927922024247863</v>
      </c>
      <c r="AI261" s="153">
        <f t="shared" si="400"/>
        <v>0.3927922024247863</v>
      </c>
      <c r="AJ261" s="153">
        <f t="shared" si="401"/>
        <v>1.379846075870212</v>
      </c>
      <c r="AL261" s="317">
        <f t="shared" si="402"/>
        <v>45.000000000000007</v>
      </c>
      <c r="AM261" s="147">
        <f t="shared" si="403"/>
        <v>350</v>
      </c>
      <c r="AO261">
        <f t="shared" si="381"/>
        <v>45.000000000000007</v>
      </c>
      <c r="AP261">
        <f t="shared" si="382"/>
        <v>350</v>
      </c>
      <c r="AR261" s="5">
        <f t="shared" si="343"/>
        <v>2.8571428571428572</v>
      </c>
      <c r="AS261" s="5">
        <f t="shared" si="385"/>
        <v>1.1222634354993892</v>
      </c>
      <c r="AT261" s="5">
        <f t="shared" si="386"/>
        <v>1.734879421643468</v>
      </c>
      <c r="AU261" s="153">
        <f t="shared" si="387"/>
        <v>0.39279220242478624</v>
      </c>
      <c r="CI261" s="59">
        <f t="shared" si="404"/>
        <v>-50</v>
      </c>
    </row>
    <row r="262" spans="5:87" x14ac:dyDescent="0.25">
      <c r="E262" s="150">
        <v>46</v>
      </c>
      <c r="F262" s="191">
        <f t="shared" si="405"/>
        <v>4.6000000000000006E-2</v>
      </c>
      <c r="G262" s="191">
        <f t="shared" si="388"/>
        <v>4.6000000000000006E-2</v>
      </c>
      <c r="H262" s="191">
        <f t="shared" si="389"/>
        <v>0.92000000000000015</v>
      </c>
      <c r="I262" s="191">
        <f t="shared" si="390"/>
        <v>0.7360000000000001</v>
      </c>
      <c r="J262" s="472">
        <f t="shared" si="356"/>
        <v>21</v>
      </c>
      <c r="K262" s="386">
        <f t="shared" si="357"/>
        <v>20.32</v>
      </c>
      <c r="L262" s="386">
        <f t="shared" si="358"/>
        <v>41.32</v>
      </c>
      <c r="M262" s="386"/>
      <c r="N262" s="191">
        <f t="shared" si="359"/>
        <v>0.49177153920619554</v>
      </c>
      <c r="O262" s="152">
        <f t="shared" si="391"/>
        <v>1.9363504356243948</v>
      </c>
      <c r="P262" s="152">
        <f t="shared" si="392"/>
        <v>2.7883446272991286</v>
      </c>
      <c r="Q262" s="191">
        <f t="shared" si="362"/>
        <v>9.6817521781219745E-2</v>
      </c>
      <c r="R262" s="191">
        <f t="shared" si="393"/>
        <v>0.12102190222652467</v>
      </c>
      <c r="S262" s="191">
        <f t="shared" si="394"/>
        <v>20</v>
      </c>
      <c r="T262" s="191">
        <f t="shared" si="395"/>
        <v>0.35634045744281967</v>
      </c>
      <c r="U262" s="191">
        <f t="shared" si="366"/>
        <v>1.0181155926937704</v>
      </c>
      <c r="V262" s="191">
        <f t="shared" si="367"/>
        <v>1.0521863900870658</v>
      </c>
      <c r="W262" s="175">
        <f t="shared" si="368"/>
        <v>350</v>
      </c>
      <c r="X262" s="386">
        <f t="shared" si="369"/>
        <v>350</v>
      </c>
      <c r="Z262" s="191">
        <f t="shared" si="370"/>
        <v>0.49177153920619554</v>
      </c>
      <c r="AA262" s="153">
        <f t="shared" si="371"/>
        <v>1.452081316553727</v>
      </c>
      <c r="AB262" s="153">
        <f t="shared" si="396"/>
        <v>6.9425636786934669E-2</v>
      </c>
      <c r="AC262" s="153"/>
      <c r="AD262" s="153">
        <f t="shared" si="373"/>
        <v>0.44291338582677164</v>
      </c>
      <c r="AE262" s="317">
        <f t="shared" si="397"/>
        <v>1384.7703703703708</v>
      </c>
      <c r="AF262" s="463">
        <f t="shared" si="398"/>
        <v>1.1626476377952754E-2</v>
      </c>
      <c r="AH262" s="153">
        <f t="shared" si="399"/>
        <v>0.39713257951757841</v>
      </c>
      <c r="AI262" s="153">
        <f t="shared" si="400"/>
        <v>0.39713257951757841</v>
      </c>
      <c r="AJ262" s="153">
        <f t="shared" si="401"/>
        <v>1.3830611700130211</v>
      </c>
      <c r="AL262" s="317">
        <f t="shared" si="402"/>
        <v>46.000000000000007</v>
      </c>
      <c r="AM262" s="147">
        <f t="shared" si="403"/>
        <v>350</v>
      </c>
      <c r="AO262">
        <f t="shared" si="381"/>
        <v>46.000000000000007</v>
      </c>
      <c r="AP262">
        <f t="shared" si="382"/>
        <v>350</v>
      </c>
      <c r="AR262" s="5">
        <f t="shared" si="343"/>
        <v>2.8571428571428572</v>
      </c>
      <c r="AS262" s="5">
        <f t="shared" si="385"/>
        <v>1.1346645129073671</v>
      </c>
      <c r="AT262" s="5">
        <f t="shared" si="386"/>
        <v>1.7224783442354901</v>
      </c>
      <c r="AU262" s="153">
        <f t="shared" si="387"/>
        <v>0.39713257951757847</v>
      </c>
      <c r="CI262" s="59">
        <f t="shared" si="404"/>
        <v>-50</v>
      </c>
    </row>
    <row r="263" spans="5:87" x14ac:dyDescent="0.25">
      <c r="E263" s="150">
        <v>47</v>
      </c>
      <c r="F263" s="191">
        <f t="shared" si="405"/>
        <v>4.7E-2</v>
      </c>
      <c r="G263" s="191">
        <f t="shared" si="388"/>
        <v>4.7E-2</v>
      </c>
      <c r="H263" s="191">
        <f t="shared" si="389"/>
        <v>0.94</v>
      </c>
      <c r="I263" s="191">
        <f t="shared" si="390"/>
        <v>0.752</v>
      </c>
      <c r="J263" s="472">
        <f t="shared" si="356"/>
        <v>21</v>
      </c>
      <c r="K263" s="386">
        <f t="shared" si="357"/>
        <v>20.32</v>
      </c>
      <c r="L263" s="386">
        <f t="shared" si="358"/>
        <v>41.32</v>
      </c>
      <c r="M263" s="386"/>
      <c r="N263" s="191">
        <f t="shared" si="359"/>
        <v>0.49177153920619554</v>
      </c>
      <c r="O263" s="152">
        <f t="shared" si="391"/>
        <v>1.9363504356243948</v>
      </c>
      <c r="P263" s="152">
        <f t="shared" si="392"/>
        <v>2.7883446272991286</v>
      </c>
      <c r="Q263" s="191">
        <f t="shared" si="362"/>
        <v>9.6817521781219745E-2</v>
      </c>
      <c r="R263" s="191">
        <f t="shared" si="393"/>
        <v>0.12102190222652467</v>
      </c>
      <c r="S263" s="191">
        <f t="shared" si="394"/>
        <v>20</v>
      </c>
      <c r="T263" s="191">
        <f t="shared" si="395"/>
        <v>0.36408698912635917</v>
      </c>
      <c r="U263" s="191">
        <f t="shared" si="366"/>
        <v>1.0402485403610262</v>
      </c>
      <c r="V263" s="191">
        <f t="shared" si="367"/>
        <v>1.0750600072628715</v>
      </c>
      <c r="W263" s="175">
        <f t="shared" si="368"/>
        <v>350</v>
      </c>
      <c r="X263" s="386">
        <f t="shared" si="369"/>
        <v>350</v>
      </c>
      <c r="Z263" s="191">
        <f t="shared" si="370"/>
        <v>0.49177153920619554</v>
      </c>
      <c r="AA263" s="153">
        <f t="shared" si="371"/>
        <v>1.452081316553727</v>
      </c>
      <c r="AB263" s="153">
        <f t="shared" si="396"/>
        <v>6.9425636786934669E-2</v>
      </c>
      <c r="AC263" s="153"/>
      <c r="AD263" s="153">
        <f t="shared" si="373"/>
        <v>0.44291338582677164</v>
      </c>
      <c r="AE263" s="317">
        <f t="shared" si="397"/>
        <v>1414.8740740740743</v>
      </c>
      <c r="AF263" s="463">
        <f t="shared" si="398"/>
        <v>1.1626476377952754E-2</v>
      </c>
      <c r="AH263" s="153">
        <f t="shared" si="399"/>
        <v>0.40142602947847955</v>
      </c>
      <c r="AI263" s="153">
        <f t="shared" si="400"/>
        <v>0.40142602947847955</v>
      </c>
      <c r="AJ263" s="153">
        <f t="shared" si="401"/>
        <v>1.3862415033173923</v>
      </c>
      <c r="AL263" s="317">
        <f t="shared" si="402"/>
        <v>47</v>
      </c>
      <c r="AM263" s="147">
        <f t="shared" si="403"/>
        <v>350</v>
      </c>
      <c r="AO263">
        <f t="shared" si="381"/>
        <v>47</v>
      </c>
      <c r="AP263">
        <f t="shared" si="382"/>
        <v>350</v>
      </c>
      <c r="AR263" s="5">
        <f t="shared" ref="AR263:AR316" si="406">1/AM263*1000</f>
        <v>2.8571428571428572</v>
      </c>
      <c r="AS263" s="5">
        <f t="shared" si="385"/>
        <v>1.1469315127956559</v>
      </c>
      <c r="AT263" s="5">
        <f t="shared" si="386"/>
        <v>1.7102113443472013</v>
      </c>
      <c r="AU263" s="153">
        <f t="shared" si="387"/>
        <v>0.40142602947847955</v>
      </c>
      <c r="CI263" s="59">
        <f t="shared" si="404"/>
        <v>-50</v>
      </c>
    </row>
    <row r="264" spans="5:87" x14ac:dyDescent="0.25">
      <c r="E264" s="150">
        <v>48</v>
      </c>
      <c r="F264" s="191">
        <f t="shared" si="405"/>
        <v>4.8000000000000001E-2</v>
      </c>
      <c r="G264" s="191">
        <f t="shared" si="388"/>
        <v>4.8000000000000001E-2</v>
      </c>
      <c r="H264" s="191">
        <f t="shared" si="389"/>
        <v>0.96</v>
      </c>
      <c r="I264" s="191">
        <f t="shared" si="390"/>
        <v>0.76800000000000002</v>
      </c>
      <c r="J264" s="472">
        <f t="shared" si="356"/>
        <v>21</v>
      </c>
      <c r="K264" s="386">
        <f t="shared" si="357"/>
        <v>20.32</v>
      </c>
      <c r="L264" s="386">
        <f t="shared" si="358"/>
        <v>41.32</v>
      </c>
      <c r="M264" s="386"/>
      <c r="N264" s="191">
        <f t="shared" si="359"/>
        <v>0.49177153920619554</v>
      </c>
      <c r="O264" s="152">
        <f t="shared" si="391"/>
        <v>1.9363504356243948</v>
      </c>
      <c r="P264" s="152">
        <f t="shared" si="392"/>
        <v>2.7883446272991286</v>
      </c>
      <c r="Q264" s="191">
        <f t="shared" si="362"/>
        <v>9.6817521781219745E-2</v>
      </c>
      <c r="R264" s="191">
        <f t="shared" si="393"/>
        <v>0.12102190222652467</v>
      </c>
      <c r="S264" s="191">
        <f t="shared" si="394"/>
        <v>20</v>
      </c>
      <c r="T264" s="191">
        <f t="shared" si="395"/>
        <v>0.37183352080989873</v>
      </c>
      <c r="U264" s="191">
        <f t="shared" si="366"/>
        <v>1.0623814880282823</v>
      </c>
      <c r="V264" s="191">
        <f t="shared" si="367"/>
        <v>1.0979336244386775</v>
      </c>
      <c r="W264" s="175">
        <f t="shared" si="368"/>
        <v>350</v>
      </c>
      <c r="X264" s="386">
        <f t="shared" si="369"/>
        <v>350</v>
      </c>
      <c r="Z264" s="191">
        <f t="shared" si="370"/>
        <v>0.49177153920619554</v>
      </c>
      <c r="AA264" s="153">
        <f t="shared" si="371"/>
        <v>1.452081316553727</v>
      </c>
      <c r="AB264" s="153">
        <f t="shared" si="396"/>
        <v>6.9425636786934669E-2</v>
      </c>
      <c r="AC264" s="153"/>
      <c r="AD264" s="153">
        <f t="shared" si="373"/>
        <v>0.44291338582677164</v>
      </c>
      <c r="AE264" s="317">
        <f t="shared" si="397"/>
        <v>1444.9777777777779</v>
      </c>
      <c r="AF264" s="463">
        <f t="shared" si="398"/>
        <v>1.1626476377952754E-2</v>
      </c>
      <c r="AH264" s="153">
        <f t="shared" si="399"/>
        <v>0.40567404226968795</v>
      </c>
      <c r="AI264" s="153">
        <f t="shared" si="400"/>
        <v>0.40567404226968795</v>
      </c>
      <c r="AJ264" s="153">
        <f t="shared" si="401"/>
        <v>1.3893881794590279</v>
      </c>
      <c r="AL264" s="317">
        <f t="shared" si="402"/>
        <v>48</v>
      </c>
      <c r="AM264" s="147">
        <f t="shared" si="403"/>
        <v>350</v>
      </c>
      <c r="AO264">
        <f t="shared" si="381"/>
        <v>48</v>
      </c>
      <c r="AP264">
        <f t="shared" si="382"/>
        <v>350</v>
      </c>
      <c r="AR264" s="5">
        <f t="shared" si="406"/>
        <v>2.8571428571428572</v>
      </c>
      <c r="AS264" s="5">
        <f t="shared" si="385"/>
        <v>1.1590686921991085</v>
      </c>
      <c r="AT264" s="5">
        <f t="shared" si="386"/>
        <v>1.6980741649437487</v>
      </c>
      <c r="AU264" s="153">
        <f t="shared" si="387"/>
        <v>0.40567404226968795</v>
      </c>
      <c r="CI264" s="59">
        <f t="shared" si="404"/>
        <v>-50</v>
      </c>
    </row>
    <row r="265" spans="5:87" x14ac:dyDescent="0.25">
      <c r="E265" s="150">
        <v>49</v>
      </c>
      <c r="F265" s="191">
        <f t="shared" si="405"/>
        <v>4.9000000000000002E-2</v>
      </c>
      <c r="G265" s="191">
        <f t="shared" si="388"/>
        <v>4.9000000000000002E-2</v>
      </c>
      <c r="H265" s="191">
        <f t="shared" si="389"/>
        <v>0.98</v>
      </c>
      <c r="I265" s="191">
        <f t="shared" si="390"/>
        <v>0.78400000000000003</v>
      </c>
      <c r="J265" s="472">
        <f t="shared" si="356"/>
        <v>21</v>
      </c>
      <c r="K265" s="386">
        <f t="shared" si="357"/>
        <v>20.32</v>
      </c>
      <c r="L265" s="386">
        <f t="shared" si="358"/>
        <v>41.32</v>
      </c>
      <c r="M265" s="386"/>
      <c r="N265" s="191">
        <f t="shared" si="359"/>
        <v>0.49177153920619554</v>
      </c>
      <c r="O265" s="152">
        <f t="shared" si="391"/>
        <v>1.9363504356243948</v>
      </c>
      <c r="P265" s="152">
        <f t="shared" si="392"/>
        <v>2.7883446272991286</v>
      </c>
      <c r="Q265" s="191">
        <f t="shared" si="362"/>
        <v>9.6817521781219745E-2</v>
      </c>
      <c r="R265" s="191">
        <f t="shared" si="393"/>
        <v>0.12102190222652467</v>
      </c>
      <c r="S265" s="191">
        <f t="shared" si="394"/>
        <v>20</v>
      </c>
      <c r="T265" s="191">
        <f t="shared" si="395"/>
        <v>0.37958005249343829</v>
      </c>
      <c r="U265" s="191">
        <f t="shared" si="366"/>
        <v>1.0845144356955381</v>
      </c>
      <c r="V265" s="191">
        <f t="shared" si="367"/>
        <v>1.1208072416144832</v>
      </c>
      <c r="W265" s="175">
        <f t="shared" si="368"/>
        <v>350</v>
      </c>
      <c r="X265" s="386">
        <f t="shared" si="369"/>
        <v>350</v>
      </c>
      <c r="Z265" s="191">
        <f t="shared" si="370"/>
        <v>0.49177153920619554</v>
      </c>
      <c r="AA265" s="153">
        <f t="shared" si="371"/>
        <v>1.452081316553727</v>
      </c>
      <c r="AB265" s="153">
        <f t="shared" si="396"/>
        <v>6.9425636786934669E-2</v>
      </c>
      <c r="AC265" s="153"/>
      <c r="AD265" s="153">
        <f t="shared" si="373"/>
        <v>0.44291338582677164</v>
      </c>
      <c r="AE265" s="317">
        <f t="shared" si="397"/>
        <v>1475.0814814814819</v>
      </c>
      <c r="AF265" s="463">
        <f t="shared" si="398"/>
        <v>1.1626476377952754E-2</v>
      </c>
      <c r="AH265" s="153">
        <f t="shared" si="399"/>
        <v>0.40987803063838396</v>
      </c>
      <c r="AI265" s="153">
        <f t="shared" si="400"/>
        <v>0.40987803063838396</v>
      </c>
      <c r="AJ265" s="153">
        <f t="shared" si="401"/>
        <v>1.3925022449173214</v>
      </c>
      <c r="AL265" s="317">
        <f t="shared" si="402"/>
        <v>49</v>
      </c>
      <c r="AM265" s="147">
        <f t="shared" si="403"/>
        <v>350</v>
      </c>
      <c r="AO265">
        <f t="shared" si="381"/>
        <v>49</v>
      </c>
      <c r="AP265">
        <f t="shared" si="382"/>
        <v>350</v>
      </c>
      <c r="AR265" s="5">
        <f t="shared" si="406"/>
        <v>2.8571428571428572</v>
      </c>
      <c r="AS265" s="5">
        <f t="shared" si="385"/>
        <v>1.1710800875382399</v>
      </c>
      <c r="AT265" s="5">
        <f t="shared" si="386"/>
        <v>1.6860627696046173</v>
      </c>
      <c r="AU265" s="153">
        <f t="shared" si="387"/>
        <v>0.40987803063838396</v>
      </c>
      <c r="CI265" s="59">
        <f t="shared" si="404"/>
        <v>-50</v>
      </c>
    </row>
    <row r="266" spans="5:87" x14ac:dyDescent="0.25">
      <c r="E266" s="150">
        <v>50</v>
      </c>
      <c r="F266" s="191">
        <f t="shared" si="405"/>
        <v>0.05</v>
      </c>
      <c r="G266" s="191">
        <f t="shared" si="388"/>
        <v>0.05</v>
      </c>
      <c r="H266" s="191">
        <f t="shared" si="389"/>
        <v>1</v>
      </c>
      <c r="I266" s="191">
        <f t="shared" si="390"/>
        <v>0.8</v>
      </c>
      <c r="J266" s="472">
        <f t="shared" si="356"/>
        <v>21</v>
      </c>
      <c r="K266" s="386">
        <f t="shared" si="357"/>
        <v>20.32</v>
      </c>
      <c r="L266" s="386">
        <f t="shared" si="358"/>
        <v>41.32</v>
      </c>
      <c r="M266" s="386"/>
      <c r="N266" s="191">
        <f t="shared" si="359"/>
        <v>0.49177153920619554</v>
      </c>
      <c r="O266" s="152">
        <f t="shared" si="391"/>
        <v>1.9363504356243948</v>
      </c>
      <c r="P266" s="152">
        <f t="shared" si="392"/>
        <v>2.7883446272991286</v>
      </c>
      <c r="Q266" s="191">
        <f t="shared" si="362"/>
        <v>9.6817521781219745E-2</v>
      </c>
      <c r="R266" s="191">
        <f t="shared" si="393"/>
        <v>0.12102190222652467</v>
      </c>
      <c r="S266" s="191">
        <f t="shared" si="394"/>
        <v>20</v>
      </c>
      <c r="T266" s="191">
        <f t="shared" si="395"/>
        <v>0.38732658417697785</v>
      </c>
      <c r="U266" s="191">
        <f t="shared" si="366"/>
        <v>1.1066473833627939</v>
      </c>
      <c r="V266" s="191">
        <f t="shared" si="367"/>
        <v>1.1436808587902889</v>
      </c>
      <c r="W266" s="175">
        <f t="shared" si="368"/>
        <v>350</v>
      </c>
      <c r="X266" s="386">
        <f t="shared" si="369"/>
        <v>350</v>
      </c>
      <c r="Z266" s="191">
        <f t="shared" si="370"/>
        <v>0.49177153920619554</v>
      </c>
      <c r="AA266" s="153">
        <f t="shared" si="371"/>
        <v>1.452081316553727</v>
      </c>
      <c r="AB266" s="153">
        <f t="shared" si="396"/>
        <v>6.9425636786934669E-2</v>
      </c>
      <c r="AC266" s="153"/>
      <c r="AD266" s="153">
        <f t="shared" si="373"/>
        <v>0.44291338582677164</v>
      </c>
      <c r="AE266" s="317">
        <f t="shared" si="397"/>
        <v>1505.1851851851854</v>
      </c>
      <c r="AF266" s="463">
        <f t="shared" si="398"/>
        <v>1.1626476377952754E-2</v>
      </c>
      <c r="AH266" s="153">
        <f t="shared" si="399"/>
        <v>0.41403933560541251</v>
      </c>
      <c r="AI266" s="153">
        <f t="shared" si="400"/>
        <v>0.41403933560541251</v>
      </c>
      <c r="AJ266" s="153">
        <f t="shared" si="401"/>
        <v>1.3955846930410463</v>
      </c>
      <c r="AL266" s="317">
        <f t="shared" si="402"/>
        <v>50</v>
      </c>
      <c r="AM266" s="147">
        <f t="shared" si="403"/>
        <v>350</v>
      </c>
      <c r="AO266">
        <f t="shared" si="381"/>
        <v>50</v>
      </c>
      <c r="AP266">
        <f t="shared" si="382"/>
        <v>350</v>
      </c>
      <c r="AR266" s="5">
        <f t="shared" si="406"/>
        <v>2.8571428571428572</v>
      </c>
      <c r="AS266" s="5">
        <f t="shared" si="385"/>
        <v>1.1829695303011787</v>
      </c>
      <c r="AT266" s="5">
        <f t="shared" si="386"/>
        <v>1.6741733268416785</v>
      </c>
      <c r="AU266" s="153">
        <f t="shared" si="387"/>
        <v>0.41403933560541251</v>
      </c>
      <c r="CI266" s="59">
        <f t="shared" si="404"/>
        <v>-50</v>
      </c>
    </row>
    <row r="267" spans="5:87" x14ac:dyDescent="0.25">
      <c r="E267" s="150">
        <v>51</v>
      </c>
      <c r="F267" s="191">
        <f t="shared" si="405"/>
        <v>5.1000000000000004E-2</v>
      </c>
      <c r="G267" s="191">
        <f t="shared" si="388"/>
        <v>5.1000000000000004E-2</v>
      </c>
      <c r="H267" s="191">
        <f t="shared" si="389"/>
        <v>1.02</v>
      </c>
      <c r="I267" s="191">
        <f t="shared" si="390"/>
        <v>0.81600000000000006</v>
      </c>
      <c r="J267" s="472">
        <f t="shared" si="356"/>
        <v>21</v>
      </c>
      <c r="K267" s="386">
        <f t="shared" si="357"/>
        <v>20.32</v>
      </c>
      <c r="L267" s="386">
        <f t="shared" si="358"/>
        <v>41.32</v>
      </c>
      <c r="M267" s="386"/>
      <c r="N267" s="191">
        <f t="shared" si="359"/>
        <v>0.49177153920619554</v>
      </c>
      <c r="O267" s="152">
        <f t="shared" si="391"/>
        <v>1.9363504356243948</v>
      </c>
      <c r="P267" s="152">
        <f t="shared" si="392"/>
        <v>2.7883446272991286</v>
      </c>
      <c r="Q267" s="191">
        <f t="shared" si="362"/>
        <v>9.6817521781219745E-2</v>
      </c>
      <c r="R267" s="191">
        <f t="shared" si="393"/>
        <v>0.12102190222652467</v>
      </c>
      <c r="S267" s="191">
        <f t="shared" si="394"/>
        <v>20</v>
      </c>
      <c r="T267" s="191">
        <f t="shared" si="395"/>
        <v>0.39507311586051741</v>
      </c>
      <c r="U267" s="191">
        <f t="shared" si="366"/>
        <v>1.1287803310300497</v>
      </c>
      <c r="V267" s="191">
        <f t="shared" si="367"/>
        <v>1.1665544759660949</v>
      </c>
      <c r="W267" s="175">
        <f t="shared" si="368"/>
        <v>350</v>
      </c>
      <c r="X267" s="386">
        <f t="shared" si="369"/>
        <v>350</v>
      </c>
      <c r="Z267" s="191">
        <f t="shared" si="370"/>
        <v>0.49177153920619554</v>
      </c>
      <c r="AA267" s="153">
        <f t="shared" si="371"/>
        <v>1.452081316553727</v>
      </c>
      <c r="AB267" s="153">
        <f t="shared" si="396"/>
        <v>6.9425636786934669E-2</v>
      </c>
      <c r="AC267" s="153"/>
      <c r="AD267" s="153">
        <f t="shared" si="373"/>
        <v>0.44291338582677164</v>
      </c>
      <c r="AE267" s="317">
        <f t="shared" si="397"/>
        <v>1535.2888888888892</v>
      </c>
      <c r="AF267" s="463">
        <f t="shared" si="398"/>
        <v>1.1626476377952754E-2</v>
      </c>
      <c r="AH267" s="153">
        <f t="shared" si="399"/>
        <v>0.41815923146230177</v>
      </c>
      <c r="AI267" s="153">
        <f t="shared" si="400"/>
        <v>0.41815923146230177</v>
      </c>
      <c r="AJ267" s="153">
        <f t="shared" si="401"/>
        <v>1.3986364677498531</v>
      </c>
      <c r="AL267" s="317">
        <f t="shared" si="402"/>
        <v>51.000000000000007</v>
      </c>
      <c r="AM267" s="147">
        <f t="shared" si="403"/>
        <v>350</v>
      </c>
      <c r="AO267">
        <f t="shared" si="381"/>
        <v>51.000000000000007</v>
      </c>
      <c r="AP267">
        <f t="shared" si="382"/>
        <v>350</v>
      </c>
      <c r="AR267" s="5">
        <f t="shared" si="406"/>
        <v>2.8571428571428572</v>
      </c>
      <c r="AS267" s="5">
        <f t="shared" si="385"/>
        <v>1.1947406613208622</v>
      </c>
      <c r="AT267" s="5">
        <f t="shared" si="386"/>
        <v>1.662402195821995</v>
      </c>
      <c r="AU267" s="153">
        <f t="shared" si="387"/>
        <v>0.41815923146230177</v>
      </c>
      <c r="CI267" s="59">
        <f t="shared" si="404"/>
        <v>-50</v>
      </c>
    </row>
    <row r="268" spans="5:87" x14ac:dyDescent="0.25">
      <c r="E268" s="150">
        <v>52</v>
      </c>
      <c r="F268" s="191">
        <f t="shared" si="405"/>
        <v>5.2000000000000005E-2</v>
      </c>
      <c r="G268" s="191">
        <f t="shared" si="388"/>
        <v>5.2000000000000005E-2</v>
      </c>
      <c r="H268" s="191">
        <f t="shared" si="389"/>
        <v>1.04</v>
      </c>
      <c r="I268" s="191">
        <f t="shared" si="390"/>
        <v>0.83200000000000007</v>
      </c>
      <c r="J268" s="472">
        <f t="shared" si="356"/>
        <v>21</v>
      </c>
      <c r="K268" s="386">
        <f t="shared" si="357"/>
        <v>20.32</v>
      </c>
      <c r="L268" s="386">
        <f t="shared" si="358"/>
        <v>41.32</v>
      </c>
      <c r="M268" s="386"/>
      <c r="N268" s="191">
        <f t="shared" si="359"/>
        <v>0.49177153920619554</v>
      </c>
      <c r="O268" s="152">
        <f t="shared" si="391"/>
        <v>1.9363504356243948</v>
      </c>
      <c r="P268" s="152">
        <f t="shared" si="392"/>
        <v>2.7883446272991286</v>
      </c>
      <c r="Q268" s="191">
        <f t="shared" si="362"/>
        <v>9.6817521781219745E-2</v>
      </c>
      <c r="R268" s="191">
        <f t="shared" si="393"/>
        <v>0.12102190222652467</v>
      </c>
      <c r="S268" s="191">
        <f t="shared" si="394"/>
        <v>20</v>
      </c>
      <c r="T268" s="191">
        <f t="shared" si="395"/>
        <v>0.40281964754405697</v>
      </c>
      <c r="U268" s="191">
        <f t="shared" si="366"/>
        <v>1.1509132786973055</v>
      </c>
      <c r="V268" s="191">
        <f t="shared" si="367"/>
        <v>1.1894280931419003</v>
      </c>
      <c r="W268" s="175">
        <f t="shared" si="368"/>
        <v>350</v>
      </c>
      <c r="X268" s="386">
        <f t="shared" si="369"/>
        <v>350</v>
      </c>
      <c r="Z268" s="191">
        <f t="shared" si="370"/>
        <v>0.49177153920619554</v>
      </c>
      <c r="AA268" s="153">
        <f t="shared" si="371"/>
        <v>1.452081316553727</v>
      </c>
      <c r="AB268" s="153">
        <f t="shared" si="396"/>
        <v>6.9425636786934669E-2</v>
      </c>
      <c r="AC268" s="153"/>
      <c r="AD268" s="153">
        <f t="shared" si="373"/>
        <v>0.44291338582677164</v>
      </c>
      <c r="AE268" s="317">
        <f t="shared" si="397"/>
        <v>1565.392592592593</v>
      </c>
      <c r="AF268" s="463">
        <f t="shared" si="398"/>
        <v>1.1626476377952754E-2</v>
      </c>
      <c r="AH268" s="153">
        <f t="shared" si="399"/>
        <v>0.42223893032939808</v>
      </c>
      <c r="AI268" s="153">
        <f t="shared" si="400"/>
        <v>0.42223893032939808</v>
      </c>
      <c r="AJ268" s="153">
        <f t="shared" si="401"/>
        <v>1.4016584669106651</v>
      </c>
      <c r="AL268" s="317">
        <f t="shared" si="402"/>
        <v>52.000000000000007</v>
      </c>
      <c r="AM268" s="147">
        <f t="shared" si="403"/>
        <v>350</v>
      </c>
      <c r="AO268">
        <f t="shared" si="381"/>
        <v>52.000000000000007</v>
      </c>
      <c r="AP268">
        <f t="shared" si="382"/>
        <v>350</v>
      </c>
      <c r="AR268" s="5">
        <f t="shared" si="406"/>
        <v>2.8571428571428572</v>
      </c>
      <c r="AS268" s="5">
        <f t="shared" si="385"/>
        <v>1.2063969437982802</v>
      </c>
      <c r="AT268" s="5">
        <f t="shared" si="386"/>
        <v>1.650745913344577</v>
      </c>
      <c r="AU268" s="153">
        <f t="shared" si="387"/>
        <v>0.42223893032939808</v>
      </c>
      <c r="CI268" s="59">
        <f t="shared" si="404"/>
        <v>-50</v>
      </c>
    </row>
    <row r="269" spans="5:87" x14ac:dyDescent="0.25">
      <c r="E269" s="150">
        <v>53</v>
      </c>
      <c r="F269" s="191">
        <f t="shared" si="405"/>
        <v>5.3000000000000005E-2</v>
      </c>
      <c r="G269" s="191">
        <f t="shared" si="388"/>
        <v>5.3000000000000005E-2</v>
      </c>
      <c r="H269" s="191">
        <f t="shared" si="389"/>
        <v>1.06</v>
      </c>
      <c r="I269" s="191">
        <f t="shared" si="390"/>
        <v>0.84800000000000009</v>
      </c>
      <c r="J269" s="472">
        <f t="shared" si="356"/>
        <v>21</v>
      </c>
      <c r="K269" s="386">
        <f t="shared" si="357"/>
        <v>20.32</v>
      </c>
      <c r="L269" s="386">
        <f t="shared" si="358"/>
        <v>41.32</v>
      </c>
      <c r="M269" s="386"/>
      <c r="N269" s="191">
        <f t="shared" si="359"/>
        <v>0.49177153920619554</v>
      </c>
      <c r="O269" s="152">
        <f t="shared" si="391"/>
        <v>1.9363504356243948</v>
      </c>
      <c r="P269" s="152">
        <f t="shared" si="392"/>
        <v>2.7883446272991286</v>
      </c>
      <c r="Q269" s="191">
        <f t="shared" si="362"/>
        <v>9.6817521781219745E-2</v>
      </c>
      <c r="R269" s="191">
        <f t="shared" si="393"/>
        <v>0.12102190222652467</v>
      </c>
      <c r="S269" s="191">
        <f t="shared" si="394"/>
        <v>20</v>
      </c>
      <c r="T269" s="191">
        <f t="shared" si="395"/>
        <v>0.41056617922759653</v>
      </c>
      <c r="U269" s="191">
        <f t="shared" si="366"/>
        <v>1.1730462263645616</v>
      </c>
      <c r="V269" s="191">
        <f t="shared" si="367"/>
        <v>1.2123017103177063</v>
      </c>
      <c r="W269" s="175">
        <f t="shared" si="368"/>
        <v>350</v>
      </c>
      <c r="X269" s="386">
        <f t="shared" si="369"/>
        <v>350</v>
      </c>
      <c r="Z269" s="191">
        <f t="shared" si="370"/>
        <v>0.49177153920619554</v>
      </c>
      <c r="AA269" s="153">
        <f t="shared" si="371"/>
        <v>1.452081316553727</v>
      </c>
      <c r="AB269" s="153">
        <f t="shared" si="396"/>
        <v>6.9425636786934669E-2</v>
      </c>
      <c r="AC269" s="153"/>
      <c r="AD269" s="153">
        <f t="shared" si="373"/>
        <v>0.44291338582677164</v>
      </c>
      <c r="AE269" s="317">
        <f t="shared" si="397"/>
        <v>1595.4962962962966</v>
      </c>
      <c r="AF269" s="463">
        <f t="shared" si="398"/>
        <v>1.1626476377952754E-2</v>
      </c>
      <c r="AH269" s="153">
        <f t="shared" si="399"/>
        <v>0.42627958632133173</v>
      </c>
      <c r="AI269" s="153">
        <f t="shared" si="400"/>
        <v>0.42627958632133173</v>
      </c>
      <c r="AJ269" s="153">
        <f t="shared" si="401"/>
        <v>1.4046515454232087</v>
      </c>
      <c r="AL269" s="317">
        <f t="shared" si="402"/>
        <v>53.000000000000007</v>
      </c>
      <c r="AM269" s="147">
        <f t="shared" si="403"/>
        <v>350</v>
      </c>
      <c r="AO269">
        <f t="shared" si="381"/>
        <v>53.000000000000007</v>
      </c>
      <c r="AP269">
        <f t="shared" si="382"/>
        <v>350</v>
      </c>
      <c r="AR269" s="5">
        <f t="shared" si="406"/>
        <v>2.8571428571428572</v>
      </c>
      <c r="AS269" s="5">
        <f t="shared" si="385"/>
        <v>1.2179416752038048</v>
      </c>
      <c r="AT269" s="5">
        <f t="shared" si="386"/>
        <v>1.6392011819390524</v>
      </c>
      <c r="AU269" s="153">
        <f t="shared" si="387"/>
        <v>0.42627958632133167</v>
      </c>
      <c r="CI269" s="59">
        <f t="shared" si="404"/>
        <v>-50</v>
      </c>
    </row>
    <row r="270" spans="5:87" x14ac:dyDescent="0.25">
      <c r="E270" s="150">
        <v>54</v>
      </c>
      <c r="F270" s="191">
        <f t="shared" si="405"/>
        <v>5.4000000000000006E-2</v>
      </c>
      <c r="G270" s="191">
        <f t="shared" si="388"/>
        <v>5.4000000000000006E-2</v>
      </c>
      <c r="H270" s="191">
        <f t="shared" si="389"/>
        <v>1.08</v>
      </c>
      <c r="I270" s="191">
        <f t="shared" si="390"/>
        <v>0.8640000000000001</v>
      </c>
      <c r="J270" s="472">
        <f t="shared" si="356"/>
        <v>21</v>
      </c>
      <c r="K270" s="386">
        <f t="shared" si="357"/>
        <v>20.32</v>
      </c>
      <c r="L270" s="386">
        <f t="shared" si="358"/>
        <v>41.32</v>
      </c>
      <c r="M270" s="386"/>
      <c r="N270" s="191">
        <f t="shared" si="359"/>
        <v>0.49177153920619554</v>
      </c>
      <c r="O270" s="152">
        <f t="shared" si="391"/>
        <v>1.9363504356243948</v>
      </c>
      <c r="P270" s="152">
        <f t="shared" si="392"/>
        <v>2.7883446272991286</v>
      </c>
      <c r="Q270" s="191">
        <f t="shared" si="362"/>
        <v>9.6817521781219745E-2</v>
      </c>
      <c r="R270" s="191">
        <f t="shared" si="393"/>
        <v>0.12102190222652467</v>
      </c>
      <c r="S270" s="191">
        <f t="shared" si="394"/>
        <v>20</v>
      </c>
      <c r="T270" s="191">
        <f t="shared" si="395"/>
        <v>0.41831271091113614</v>
      </c>
      <c r="U270" s="191">
        <f t="shared" si="366"/>
        <v>1.1951791740318176</v>
      </c>
      <c r="V270" s="191">
        <f t="shared" si="367"/>
        <v>1.2351753274935122</v>
      </c>
      <c r="W270" s="175">
        <f t="shared" si="368"/>
        <v>350</v>
      </c>
      <c r="X270" s="386">
        <f t="shared" si="369"/>
        <v>350</v>
      </c>
      <c r="Z270" s="191">
        <f t="shared" si="370"/>
        <v>0.49177153920619554</v>
      </c>
      <c r="AA270" s="153">
        <f t="shared" si="371"/>
        <v>1.452081316553727</v>
      </c>
      <c r="AB270" s="153">
        <f t="shared" si="396"/>
        <v>6.9425636786934669E-2</v>
      </c>
      <c r="AC270" s="153"/>
      <c r="AD270" s="153">
        <f t="shared" si="373"/>
        <v>0.44291338582677164</v>
      </c>
      <c r="AE270" s="317">
        <f t="shared" si="397"/>
        <v>1625.6000000000004</v>
      </c>
      <c r="AF270" s="463">
        <f t="shared" si="398"/>
        <v>1.1626476377952754E-2</v>
      </c>
      <c r="AH270" s="153">
        <f t="shared" si="399"/>
        <v>0.43028229936038176</v>
      </c>
      <c r="AI270" s="153">
        <f t="shared" si="400"/>
        <v>0.43028229936038176</v>
      </c>
      <c r="AJ270" s="153">
        <f t="shared" si="401"/>
        <v>1.4076165180447271</v>
      </c>
      <c r="AL270" s="317">
        <f t="shared" si="402"/>
        <v>54.000000000000007</v>
      </c>
      <c r="AM270" s="147">
        <f t="shared" si="403"/>
        <v>350</v>
      </c>
      <c r="AO270">
        <f t="shared" si="381"/>
        <v>54.000000000000007</v>
      </c>
      <c r="AP270">
        <f t="shared" si="382"/>
        <v>350</v>
      </c>
      <c r="AR270" s="5">
        <f t="shared" si="406"/>
        <v>2.8571428571428572</v>
      </c>
      <c r="AS270" s="5">
        <f t="shared" si="385"/>
        <v>1.2293779981725192</v>
      </c>
      <c r="AT270" s="5">
        <f t="shared" si="386"/>
        <v>1.627764858970338</v>
      </c>
      <c r="AU270" s="153">
        <f t="shared" si="387"/>
        <v>0.4302822993603817</v>
      </c>
      <c r="CI270" s="59">
        <f t="shared" si="404"/>
        <v>-50</v>
      </c>
    </row>
    <row r="271" spans="5:87" x14ac:dyDescent="0.25">
      <c r="E271" s="150">
        <v>55</v>
      </c>
      <c r="F271" s="191">
        <f t="shared" si="405"/>
        <v>5.5000000000000007E-2</v>
      </c>
      <c r="G271" s="191">
        <f t="shared" si="388"/>
        <v>5.5000000000000007E-2</v>
      </c>
      <c r="H271" s="191">
        <f t="shared" si="389"/>
        <v>1.1000000000000001</v>
      </c>
      <c r="I271" s="191">
        <f t="shared" si="390"/>
        <v>0.88000000000000012</v>
      </c>
      <c r="J271" s="472">
        <f t="shared" si="356"/>
        <v>21</v>
      </c>
      <c r="K271" s="386">
        <f t="shared" si="357"/>
        <v>20.32</v>
      </c>
      <c r="L271" s="386">
        <f t="shared" si="358"/>
        <v>41.32</v>
      </c>
      <c r="M271" s="386"/>
      <c r="N271" s="191">
        <f t="shared" si="359"/>
        <v>0.49177153920619554</v>
      </c>
      <c r="O271" s="152">
        <f t="shared" si="391"/>
        <v>1.9363504356243948</v>
      </c>
      <c r="P271" s="152">
        <f t="shared" si="392"/>
        <v>2.7883446272991286</v>
      </c>
      <c r="Q271" s="191">
        <f t="shared" si="362"/>
        <v>9.6817521781219745E-2</v>
      </c>
      <c r="R271" s="191">
        <f t="shared" si="393"/>
        <v>0.12102190222652467</v>
      </c>
      <c r="S271" s="191">
        <f t="shared" si="394"/>
        <v>20</v>
      </c>
      <c r="T271" s="191">
        <f t="shared" si="395"/>
        <v>0.4260592425946757</v>
      </c>
      <c r="U271" s="191">
        <f t="shared" si="366"/>
        <v>1.2173121216990734</v>
      </c>
      <c r="V271" s="191">
        <f t="shared" si="367"/>
        <v>1.2580489446693179</v>
      </c>
      <c r="W271" s="175">
        <f t="shared" si="368"/>
        <v>350</v>
      </c>
      <c r="X271" s="386">
        <f t="shared" si="369"/>
        <v>350</v>
      </c>
      <c r="Z271" s="191">
        <f t="shared" si="370"/>
        <v>0.49177153920619554</v>
      </c>
      <c r="AA271" s="153">
        <f t="shared" si="371"/>
        <v>1.452081316553727</v>
      </c>
      <c r="AB271" s="153">
        <f t="shared" si="396"/>
        <v>6.9425636786934669E-2</v>
      </c>
      <c r="AC271" s="153"/>
      <c r="AD271" s="153">
        <f t="shared" si="373"/>
        <v>0.44291338582677164</v>
      </c>
      <c r="AE271" s="317">
        <f t="shared" si="397"/>
        <v>1655.7037037037044</v>
      </c>
      <c r="AF271" s="463">
        <f t="shared" si="398"/>
        <v>1.1626476377952754E-2</v>
      </c>
      <c r="AH271" s="153">
        <f t="shared" si="399"/>
        <v>0.43424811867344754</v>
      </c>
      <c r="AI271" s="153">
        <f t="shared" si="400"/>
        <v>0.43424811867344754</v>
      </c>
      <c r="AJ271" s="153">
        <f t="shared" si="401"/>
        <v>1.4105541619803315</v>
      </c>
      <c r="AL271" s="317">
        <f t="shared" si="402"/>
        <v>55.000000000000007</v>
      </c>
      <c r="AM271" s="147">
        <f t="shared" si="403"/>
        <v>350</v>
      </c>
      <c r="AO271">
        <f t="shared" si="381"/>
        <v>55.000000000000007</v>
      </c>
      <c r="AP271">
        <f t="shared" si="382"/>
        <v>350</v>
      </c>
      <c r="AR271" s="5">
        <f t="shared" si="406"/>
        <v>2.8571428571428572</v>
      </c>
      <c r="AS271" s="5">
        <f t="shared" si="385"/>
        <v>1.2407089104955644</v>
      </c>
      <c r="AT271" s="5">
        <f t="shared" si="386"/>
        <v>1.6164339466472928</v>
      </c>
      <c r="AU271" s="153">
        <f t="shared" si="387"/>
        <v>0.43424811867344754</v>
      </c>
      <c r="CI271" s="59">
        <f t="shared" si="404"/>
        <v>-50</v>
      </c>
    </row>
    <row r="272" spans="5:87" x14ac:dyDescent="0.25">
      <c r="E272" s="150">
        <v>56</v>
      </c>
      <c r="F272" s="191">
        <f t="shared" si="405"/>
        <v>5.6000000000000008E-2</v>
      </c>
      <c r="G272" s="191">
        <f t="shared" si="388"/>
        <v>5.6000000000000008E-2</v>
      </c>
      <c r="H272" s="191">
        <f t="shared" si="389"/>
        <v>1.1200000000000001</v>
      </c>
      <c r="I272" s="191">
        <f t="shared" si="390"/>
        <v>0.89600000000000013</v>
      </c>
      <c r="J272" s="472">
        <f t="shared" si="356"/>
        <v>21</v>
      </c>
      <c r="K272" s="386">
        <f t="shared" si="357"/>
        <v>20.32</v>
      </c>
      <c r="L272" s="386">
        <f t="shared" si="358"/>
        <v>41.32</v>
      </c>
      <c r="M272" s="386"/>
      <c r="N272" s="191">
        <f t="shared" si="359"/>
        <v>0.49177153920619554</v>
      </c>
      <c r="O272" s="152">
        <f t="shared" si="391"/>
        <v>1.9363504356243948</v>
      </c>
      <c r="P272" s="152">
        <f t="shared" si="392"/>
        <v>2.7883446272991286</v>
      </c>
      <c r="Q272" s="191">
        <f t="shared" si="362"/>
        <v>9.6817521781219745E-2</v>
      </c>
      <c r="R272" s="191">
        <f t="shared" si="393"/>
        <v>0.12102190222652467</v>
      </c>
      <c r="S272" s="191">
        <f t="shared" si="394"/>
        <v>20</v>
      </c>
      <c r="T272" s="191">
        <f t="shared" si="395"/>
        <v>0.43380577427821521</v>
      </c>
      <c r="U272" s="191">
        <f t="shared" si="366"/>
        <v>1.239445069366329</v>
      </c>
      <c r="V272" s="191">
        <f t="shared" si="367"/>
        <v>1.2809225618451237</v>
      </c>
      <c r="W272" s="175">
        <f t="shared" si="368"/>
        <v>350</v>
      </c>
      <c r="X272" s="386">
        <f t="shared" si="369"/>
        <v>350</v>
      </c>
      <c r="Z272" s="191">
        <f t="shared" si="370"/>
        <v>0.49177153920619554</v>
      </c>
      <c r="AA272" s="153">
        <f t="shared" si="371"/>
        <v>1.452081316553727</v>
      </c>
      <c r="AB272" s="153">
        <f t="shared" si="396"/>
        <v>6.9425636786934669E-2</v>
      </c>
      <c r="AC272" s="153"/>
      <c r="AD272" s="153">
        <f t="shared" si="373"/>
        <v>0.44291338582677164</v>
      </c>
      <c r="AE272" s="317">
        <f t="shared" si="397"/>
        <v>1685.8074074074079</v>
      </c>
      <c r="AF272" s="463">
        <f t="shared" si="398"/>
        <v>1.1626476377952754E-2</v>
      </c>
      <c r="AH272" s="153">
        <f t="shared" si="399"/>
        <v>0.4381780460041329</v>
      </c>
      <c r="AI272" s="153">
        <f t="shared" si="400"/>
        <v>0.4381780460041329</v>
      </c>
      <c r="AJ272" s="153">
        <f t="shared" si="401"/>
        <v>1.4134652192623207</v>
      </c>
      <c r="AL272" s="317">
        <f t="shared" si="402"/>
        <v>56.000000000000007</v>
      </c>
      <c r="AM272" s="147">
        <f t="shared" si="403"/>
        <v>350</v>
      </c>
      <c r="AO272">
        <f t="shared" si="381"/>
        <v>56.000000000000007</v>
      </c>
      <c r="AP272">
        <f t="shared" si="382"/>
        <v>350</v>
      </c>
      <c r="AR272" s="5">
        <f t="shared" si="406"/>
        <v>2.8571428571428572</v>
      </c>
      <c r="AS272" s="5">
        <f t="shared" si="385"/>
        <v>1.2519372742975226</v>
      </c>
      <c r="AT272" s="5">
        <f t="shared" si="386"/>
        <v>1.6052055828453347</v>
      </c>
      <c r="AU272" s="153">
        <f t="shared" si="387"/>
        <v>0.4381780460041329</v>
      </c>
      <c r="CI272" s="59">
        <f t="shared" si="404"/>
        <v>-50</v>
      </c>
    </row>
    <row r="273" spans="5:87" x14ac:dyDescent="0.25">
      <c r="E273" s="150">
        <v>57</v>
      </c>
      <c r="F273" s="191">
        <f t="shared" si="405"/>
        <v>5.6999999999999995E-2</v>
      </c>
      <c r="G273" s="191">
        <f t="shared" si="388"/>
        <v>5.6999999999999995E-2</v>
      </c>
      <c r="H273" s="191">
        <f t="shared" si="389"/>
        <v>1.1399999999999999</v>
      </c>
      <c r="I273" s="191">
        <f t="shared" si="390"/>
        <v>0.91199999999999992</v>
      </c>
      <c r="J273" s="472">
        <f t="shared" si="356"/>
        <v>21</v>
      </c>
      <c r="K273" s="386">
        <f t="shared" si="357"/>
        <v>20.32</v>
      </c>
      <c r="L273" s="386">
        <f t="shared" si="358"/>
        <v>41.32</v>
      </c>
      <c r="M273" s="386"/>
      <c r="N273" s="191">
        <f t="shared" si="359"/>
        <v>0.49177153920619554</v>
      </c>
      <c r="O273" s="152">
        <f t="shared" si="391"/>
        <v>1.9363504356243948</v>
      </c>
      <c r="P273" s="152">
        <f t="shared" si="392"/>
        <v>2.7883446272991286</v>
      </c>
      <c r="Q273" s="191">
        <f t="shared" si="362"/>
        <v>9.6817521781219745E-2</v>
      </c>
      <c r="R273" s="191">
        <f t="shared" si="393"/>
        <v>0.12102190222652467</v>
      </c>
      <c r="S273" s="191">
        <f t="shared" si="394"/>
        <v>20</v>
      </c>
      <c r="T273" s="191">
        <f t="shared" si="395"/>
        <v>0.44155230596175465</v>
      </c>
      <c r="U273" s="191">
        <f t="shared" si="366"/>
        <v>1.2615780170335849</v>
      </c>
      <c r="V273" s="191">
        <f t="shared" si="367"/>
        <v>1.3037961790209291</v>
      </c>
      <c r="W273" s="175">
        <f t="shared" si="368"/>
        <v>350</v>
      </c>
      <c r="X273" s="386">
        <f t="shared" si="369"/>
        <v>350</v>
      </c>
      <c r="Z273" s="191">
        <f t="shared" si="370"/>
        <v>0.49177153920619554</v>
      </c>
      <c r="AA273" s="153">
        <f t="shared" si="371"/>
        <v>1.452081316553727</v>
      </c>
      <c r="AB273" s="153">
        <f t="shared" si="396"/>
        <v>6.9425636786934669E-2</v>
      </c>
      <c r="AC273" s="153"/>
      <c r="AD273" s="153">
        <f t="shared" si="373"/>
        <v>0.44291338582677164</v>
      </c>
      <c r="AE273" s="317">
        <f t="shared" si="397"/>
        <v>1715.9111111111113</v>
      </c>
      <c r="AF273" s="463">
        <f t="shared" si="398"/>
        <v>1.1626476377952754E-2</v>
      </c>
      <c r="AH273" s="153">
        <f t="shared" si="399"/>
        <v>0.44207303856780433</v>
      </c>
      <c r="AI273" s="153">
        <f t="shared" si="400"/>
        <v>0.44207303856780433</v>
      </c>
      <c r="AJ273" s="153">
        <f t="shared" si="401"/>
        <v>1.4163503989391142</v>
      </c>
      <c r="AL273" s="317">
        <f t="shared" si="402"/>
        <v>56.999999999999993</v>
      </c>
      <c r="AM273" s="147">
        <f t="shared" si="403"/>
        <v>350</v>
      </c>
      <c r="AO273">
        <f t="shared" si="381"/>
        <v>56.999999999999993</v>
      </c>
      <c r="AP273">
        <f t="shared" si="382"/>
        <v>350</v>
      </c>
      <c r="AR273" s="5">
        <f t="shared" si="406"/>
        <v>2.8571428571428572</v>
      </c>
      <c r="AS273" s="5">
        <f t="shared" si="385"/>
        <v>1.2630658244794408</v>
      </c>
      <c r="AT273" s="5">
        <f t="shared" si="386"/>
        <v>1.5940770326634164</v>
      </c>
      <c r="AU273" s="153">
        <f t="shared" si="387"/>
        <v>0.44207303856780428</v>
      </c>
      <c r="CI273" s="59">
        <f t="shared" si="404"/>
        <v>-50</v>
      </c>
    </row>
    <row r="274" spans="5:87" x14ac:dyDescent="0.25">
      <c r="E274" s="150">
        <v>58</v>
      </c>
      <c r="F274" s="191">
        <f t="shared" si="405"/>
        <v>5.7999999999999996E-2</v>
      </c>
      <c r="G274" s="191">
        <f t="shared" si="388"/>
        <v>5.7999999999999996E-2</v>
      </c>
      <c r="H274" s="191">
        <f t="shared" si="389"/>
        <v>1.1599999999999999</v>
      </c>
      <c r="I274" s="191">
        <f t="shared" si="390"/>
        <v>0.92799999999999994</v>
      </c>
      <c r="J274" s="472">
        <f t="shared" si="356"/>
        <v>21</v>
      </c>
      <c r="K274" s="386">
        <f t="shared" si="357"/>
        <v>20.32</v>
      </c>
      <c r="L274" s="386">
        <f t="shared" si="358"/>
        <v>41.32</v>
      </c>
      <c r="M274" s="386"/>
      <c r="N274" s="191">
        <f t="shared" si="359"/>
        <v>0.49177153920619554</v>
      </c>
      <c r="O274" s="152">
        <f t="shared" si="391"/>
        <v>1.9363504356243948</v>
      </c>
      <c r="P274" s="152">
        <f t="shared" si="392"/>
        <v>2.7883446272991286</v>
      </c>
      <c r="Q274" s="191">
        <f t="shared" si="362"/>
        <v>9.6817521781219745E-2</v>
      </c>
      <c r="R274" s="191">
        <f t="shared" si="393"/>
        <v>0.12102190222652467</v>
      </c>
      <c r="S274" s="191">
        <f t="shared" si="394"/>
        <v>20</v>
      </c>
      <c r="T274" s="191">
        <f t="shared" si="395"/>
        <v>0.44929883764529432</v>
      </c>
      <c r="U274" s="191">
        <f t="shared" si="366"/>
        <v>1.2837109647008409</v>
      </c>
      <c r="V274" s="191">
        <f t="shared" si="367"/>
        <v>1.3266697961967351</v>
      </c>
      <c r="W274" s="175">
        <f t="shared" si="368"/>
        <v>350</v>
      </c>
      <c r="X274" s="386">
        <f t="shared" si="369"/>
        <v>350</v>
      </c>
      <c r="Z274" s="191">
        <f t="shared" si="370"/>
        <v>0.49177153920619554</v>
      </c>
      <c r="AA274" s="153">
        <f t="shared" si="371"/>
        <v>1.452081316553727</v>
      </c>
      <c r="AB274" s="153">
        <f t="shared" si="396"/>
        <v>6.9425636786934669E-2</v>
      </c>
      <c r="AC274" s="153"/>
      <c r="AD274" s="153">
        <f t="shared" si="373"/>
        <v>0.44291338582677164</v>
      </c>
      <c r="AE274" s="317">
        <f t="shared" si="397"/>
        <v>1746.0148148148151</v>
      </c>
      <c r="AF274" s="463">
        <f t="shared" si="398"/>
        <v>1.1626476377952754E-2</v>
      </c>
      <c r="AH274" s="153">
        <f t="shared" si="399"/>
        <v>0.4459340117743239</v>
      </c>
      <c r="AI274" s="153">
        <f t="shared" si="400"/>
        <v>0.4459340117743239</v>
      </c>
      <c r="AJ274" s="153">
        <f t="shared" si="401"/>
        <v>1.4192103790920918</v>
      </c>
      <c r="AL274" s="317">
        <f t="shared" si="402"/>
        <v>57.999999999999993</v>
      </c>
      <c r="AM274" s="147">
        <f t="shared" si="403"/>
        <v>350</v>
      </c>
      <c r="AO274">
        <f t="shared" si="381"/>
        <v>57.999999999999993</v>
      </c>
      <c r="AP274">
        <f t="shared" si="382"/>
        <v>350</v>
      </c>
      <c r="AR274" s="5">
        <f t="shared" si="406"/>
        <v>2.8571428571428572</v>
      </c>
      <c r="AS274" s="5">
        <f t="shared" si="385"/>
        <v>1.2740971764980684</v>
      </c>
      <c r="AT274" s="5">
        <f t="shared" si="386"/>
        <v>1.5830456806447888</v>
      </c>
      <c r="AU274" s="153">
        <f t="shared" si="387"/>
        <v>0.44593401177432396</v>
      </c>
      <c r="CI274" s="59">
        <f t="shared" si="404"/>
        <v>-50</v>
      </c>
    </row>
    <row r="275" spans="5:87" x14ac:dyDescent="0.25">
      <c r="E275" s="150">
        <v>59</v>
      </c>
      <c r="F275" s="191">
        <f t="shared" si="405"/>
        <v>5.8999999999999997E-2</v>
      </c>
      <c r="G275" s="191">
        <f t="shared" si="388"/>
        <v>5.8999999999999997E-2</v>
      </c>
      <c r="H275" s="191">
        <f t="shared" si="389"/>
        <v>1.18</v>
      </c>
      <c r="I275" s="191">
        <f t="shared" si="390"/>
        <v>0.94399999999999995</v>
      </c>
      <c r="J275" s="472">
        <f t="shared" si="356"/>
        <v>21</v>
      </c>
      <c r="K275" s="386">
        <f t="shared" si="357"/>
        <v>20.32</v>
      </c>
      <c r="L275" s="386">
        <f t="shared" si="358"/>
        <v>41.32</v>
      </c>
      <c r="M275" s="386"/>
      <c r="N275" s="191">
        <f t="shared" si="359"/>
        <v>0.49177153920619554</v>
      </c>
      <c r="O275" s="152">
        <f t="shared" si="391"/>
        <v>1.9363504356243948</v>
      </c>
      <c r="P275" s="152">
        <f t="shared" si="392"/>
        <v>2.7883446272991286</v>
      </c>
      <c r="Q275" s="191">
        <f t="shared" si="362"/>
        <v>9.6817521781219745E-2</v>
      </c>
      <c r="R275" s="191">
        <f t="shared" si="393"/>
        <v>0.12102190222652467</v>
      </c>
      <c r="S275" s="191">
        <f t="shared" si="394"/>
        <v>20</v>
      </c>
      <c r="T275" s="191">
        <f t="shared" si="395"/>
        <v>0.45704536932883377</v>
      </c>
      <c r="U275" s="191">
        <f t="shared" si="366"/>
        <v>1.3058439123680967</v>
      </c>
      <c r="V275" s="191">
        <f t="shared" si="367"/>
        <v>1.3495434133725408</v>
      </c>
      <c r="W275" s="175">
        <f t="shared" si="368"/>
        <v>350</v>
      </c>
      <c r="X275" s="386">
        <f t="shared" si="369"/>
        <v>350</v>
      </c>
      <c r="Z275" s="191">
        <f t="shared" si="370"/>
        <v>0.49177153920619554</v>
      </c>
      <c r="AA275" s="153">
        <f t="shared" si="371"/>
        <v>1.452081316553727</v>
      </c>
      <c r="AB275" s="153">
        <f t="shared" si="396"/>
        <v>6.9425636786934669E-2</v>
      </c>
      <c r="AC275" s="153"/>
      <c r="AD275" s="153">
        <f t="shared" si="373"/>
        <v>0.44291338582677164</v>
      </c>
      <c r="AE275" s="317">
        <f t="shared" si="397"/>
        <v>1776.1185185185186</v>
      </c>
      <c r="AF275" s="463">
        <f t="shared" si="398"/>
        <v>1.1626476377952754E-2</v>
      </c>
      <c r="AH275" s="153">
        <f t="shared" si="399"/>
        <v>0.44976184174039741</v>
      </c>
      <c r="AI275" s="153">
        <f t="shared" si="400"/>
        <v>0.44976184174039741</v>
      </c>
      <c r="AJ275" s="153">
        <f t="shared" si="401"/>
        <v>1.4220458086965906</v>
      </c>
      <c r="AL275" s="317">
        <f t="shared" si="402"/>
        <v>59</v>
      </c>
      <c r="AM275" s="147">
        <f t="shared" si="403"/>
        <v>350</v>
      </c>
      <c r="AO275">
        <f t="shared" si="381"/>
        <v>59</v>
      </c>
      <c r="AP275">
        <f t="shared" si="382"/>
        <v>350</v>
      </c>
      <c r="AR275" s="5">
        <f t="shared" si="406"/>
        <v>2.8571428571428572</v>
      </c>
      <c r="AS275" s="5">
        <f t="shared" si="385"/>
        <v>1.2850338335439928</v>
      </c>
      <c r="AT275" s="5">
        <f t="shared" si="386"/>
        <v>1.5721090235988644</v>
      </c>
      <c r="AU275" s="153">
        <f t="shared" si="387"/>
        <v>0.44976184174039746</v>
      </c>
      <c r="CI275" s="59">
        <f t="shared" si="404"/>
        <v>-50</v>
      </c>
    </row>
    <row r="276" spans="5:87" x14ac:dyDescent="0.25">
      <c r="E276" s="150">
        <v>60</v>
      </c>
      <c r="F276" s="191">
        <f t="shared" si="405"/>
        <v>0.06</v>
      </c>
      <c r="G276" s="191">
        <f t="shared" si="388"/>
        <v>0.06</v>
      </c>
      <c r="H276" s="191">
        <f t="shared" si="389"/>
        <v>1.2</v>
      </c>
      <c r="I276" s="191">
        <f t="shared" si="390"/>
        <v>0.96</v>
      </c>
      <c r="J276" s="472">
        <f t="shared" si="356"/>
        <v>21</v>
      </c>
      <c r="K276" s="386">
        <f t="shared" si="357"/>
        <v>20.32</v>
      </c>
      <c r="L276" s="386">
        <f t="shared" si="358"/>
        <v>41.32</v>
      </c>
      <c r="M276" s="386"/>
      <c r="N276" s="191">
        <f t="shared" si="359"/>
        <v>0.49177153920619554</v>
      </c>
      <c r="O276" s="152">
        <f t="shared" si="391"/>
        <v>1.9363504356243948</v>
      </c>
      <c r="P276" s="152">
        <f t="shared" si="392"/>
        <v>2.7883446272991286</v>
      </c>
      <c r="Q276" s="191">
        <f t="shared" si="362"/>
        <v>9.6817521781219745E-2</v>
      </c>
      <c r="R276" s="191">
        <f t="shared" si="393"/>
        <v>0.12102190222652467</v>
      </c>
      <c r="S276" s="191">
        <f t="shared" si="394"/>
        <v>20</v>
      </c>
      <c r="T276" s="191">
        <f t="shared" si="395"/>
        <v>0.46479190101237344</v>
      </c>
      <c r="U276" s="191">
        <f t="shared" si="366"/>
        <v>1.3279768600353528</v>
      </c>
      <c r="V276" s="191">
        <f t="shared" si="367"/>
        <v>1.3724170305483467</v>
      </c>
      <c r="W276" s="175">
        <f t="shared" si="368"/>
        <v>350</v>
      </c>
      <c r="X276" s="386">
        <f t="shared" si="369"/>
        <v>350</v>
      </c>
      <c r="Z276" s="191">
        <f t="shared" si="370"/>
        <v>0.49177153920619554</v>
      </c>
      <c r="AA276" s="153">
        <f t="shared" si="371"/>
        <v>1.452081316553727</v>
      </c>
      <c r="AB276" s="153">
        <f t="shared" si="396"/>
        <v>6.9425636786934669E-2</v>
      </c>
      <c r="AC276" s="153"/>
      <c r="AD276" s="153">
        <f t="shared" si="373"/>
        <v>0.44291338582677164</v>
      </c>
      <c r="AE276" s="317">
        <f t="shared" si="397"/>
        <v>1806.2222222222224</v>
      </c>
      <c r="AF276" s="463">
        <f t="shared" si="398"/>
        <v>1.1626476377952754E-2</v>
      </c>
      <c r="AH276" s="153">
        <f t="shared" si="399"/>
        <v>0.45355736761107268</v>
      </c>
      <c r="AI276" s="153">
        <f t="shared" si="400"/>
        <v>0.45355736761107268</v>
      </c>
      <c r="AJ276" s="153">
        <f t="shared" si="401"/>
        <v>1.4248573093415353</v>
      </c>
      <c r="AL276" s="317">
        <f t="shared" si="402"/>
        <v>60</v>
      </c>
      <c r="AM276" s="147">
        <f t="shared" si="403"/>
        <v>350</v>
      </c>
      <c r="AO276">
        <f t="shared" si="381"/>
        <v>60</v>
      </c>
      <c r="AP276">
        <f t="shared" si="382"/>
        <v>350</v>
      </c>
      <c r="AR276" s="5">
        <f t="shared" si="406"/>
        <v>2.8571428571428572</v>
      </c>
      <c r="AS276" s="5">
        <f t="shared" si="385"/>
        <v>1.2958781931744934</v>
      </c>
      <c r="AT276" s="5">
        <f t="shared" si="386"/>
        <v>1.5612646639683638</v>
      </c>
      <c r="AU276" s="153">
        <f t="shared" si="387"/>
        <v>0.45355736761107268</v>
      </c>
      <c r="CI276" s="59">
        <f t="shared" si="404"/>
        <v>-50</v>
      </c>
    </row>
    <row r="277" spans="5:87" x14ac:dyDescent="0.25">
      <c r="E277" s="150">
        <v>61</v>
      </c>
      <c r="F277" s="191">
        <f t="shared" si="405"/>
        <v>6.0999999999999999E-2</v>
      </c>
      <c r="G277" s="191">
        <f t="shared" si="388"/>
        <v>6.0999999999999999E-2</v>
      </c>
      <c r="H277" s="191">
        <f t="shared" si="389"/>
        <v>1.22</v>
      </c>
      <c r="I277" s="191">
        <f t="shared" si="390"/>
        <v>0.97599999999999998</v>
      </c>
      <c r="J277" s="472">
        <f t="shared" si="356"/>
        <v>21</v>
      </c>
      <c r="K277" s="386">
        <f t="shared" si="357"/>
        <v>20.32</v>
      </c>
      <c r="L277" s="386">
        <f t="shared" si="358"/>
        <v>41.32</v>
      </c>
      <c r="M277" s="386"/>
      <c r="N277" s="191">
        <f t="shared" si="359"/>
        <v>0.49177153920619554</v>
      </c>
      <c r="O277" s="152">
        <f t="shared" si="391"/>
        <v>1.9363504356243948</v>
      </c>
      <c r="P277" s="152">
        <f t="shared" si="392"/>
        <v>2.7883446272991286</v>
      </c>
      <c r="Q277" s="191">
        <f t="shared" si="362"/>
        <v>9.6817521781219745E-2</v>
      </c>
      <c r="R277" s="191">
        <f t="shared" si="393"/>
        <v>0.12102190222652467</v>
      </c>
      <c r="S277" s="191">
        <f t="shared" si="394"/>
        <v>20</v>
      </c>
      <c r="T277" s="191">
        <f t="shared" si="395"/>
        <v>0.47253843269591295</v>
      </c>
      <c r="U277" s="191">
        <f t="shared" si="366"/>
        <v>1.3501098077026084</v>
      </c>
      <c r="V277" s="191">
        <f t="shared" si="367"/>
        <v>1.3952906477241525</v>
      </c>
      <c r="W277" s="175">
        <f t="shared" si="368"/>
        <v>350</v>
      </c>
      <c r="X277" s="386">
        <f t="shared" si="369"/>
        <v>350</v>
      </c>
      <c r="Z277" s="191">
        <f t="shared" si="370"/>
        <v>0.49177153920619554</v>
      </c>
      <c r="AA277" s="153">
        <f t="shared" si="371"/>
        <v>1.452081316553727</v>
      </c>
      <c r="AB277" s="153">
        <f t="shared" si="396"/>
        <v>6.9425636786934669E-2</v>
      </c>
      <c r="AC277" s="153"/>
      <c r="AD277" s="153">
        <f t="shared" si="373"/>
        <v>0.44291338582677164</v>
      </c>
      <c r="AE277" s="317">
        <f t="shared" si="397"/>
        <v>1836.3259259259262</v>
      </c>
      <c r="AF277" s="463">
        <f t="shared" si="398"/>
        <v>1.1626476377952754E-2</v>
      </c>
      <c r="AH277" s="153">
        <f t="shared" si="399"/>
        <v>0.45732139370781366</v>
      </c>
      <c r="AI277" s="153">
        <f t="shared" si="400"/>
        <v>0.45732139370781366</v>
      </c>
      <c r="AJ277" s="153">
        <f t="shared" si="401"/>
        <v>1.4276454768206026</v>
      </c>
      <c r="AL277" s="317">
        <f t="shared" si="402"/>
        <v>61</v>
      </c>
      <c r="AM277" s="147">
        <f t="shared" si="403"/>
        <v>350</v>
      </c>
      <c r="AO277">
        <f t="shared" si="381"/>
        <v>61</v>
      </c>
      <c r="AP277">
        <f t="shared" si="382"/>
        <v>350</v>
      </c>
      <c r="AR277" s="5">
        <f t="shared" si="406"/>
        <v>2.8571428571428572</v>
      </c>
      <c r="AS277" s="5">
        <f t="shared" si="385"/>
        <v>1.306632553450896</v>
      </c>
      <c r="AT277" s="5">
        <f t="shared" si="386"/>
        <v>1.5505103036919612</v>
      </c>
      <c r="AU277" s="153">
        <f t="shared" si="387"/>
        <v>0.45732139370781361</v>
      </c>
      <c r="CI277" s="59">
        <f t="shared" si="404"/>
        <v>-50</v>
      </c>
    </row>
    <row r="278" spans="5:87" x14ac:dyDescent="0.25">
      <c r="E278" s="150">
        <v>62</v>
      </c>
      <c r="F278" s="191">
        <f t="shared" si="405"/>
        <v>6.2E-2</v>
      </c>
      <c r="G278" s="191">
        <f t="shared" si="388"/>
        <v>6.2E-2</v>
      </c>
      <c r="H278" s="191">
        <f t="shared" si="389"/>
        <v>1.24</v>
      </c>
      <c r="I278" s="191">
        <f t="shared" si="390"/>
        <v>0.99199999999999999</v>
      </c>
      <c r="J278" s="472">
        <f t="shared" si="356"/>
        <v>21</v>
      </c>
      <c r="K278" s="386">
        <f t="shared" si="357"/>
        <v>20.32</v>
      </c>
      <c r="L278" s="386">
        <f t="shared" si="358"/>
        <v>41.32</v>
      </c>
      <c r="M278" s="386"/>
      <c r="N278" s="191">
        <f t="shared" si="359"/>
        <v>0.49177153920619554</v>
      </c>
      <c r="O278" s="152">
        <f t="shared" si="391"/>
        <v>1.9363504356243948</v>
      </c>
      <c r="P278" s="152">
        <f t="shared" si="392"/>
        <v>2.7883446272991286</v>
      </c>
      <c r="Q278" s="191">
        <f t="shared" si="362"/>
        <v>9.6817521781219745E-2</v>
      </c>
      <c r="R278" s="191">
        <f t="shared" si="393"/>
        <v>0.12102190222652467</v>
      </c>
      <c r="S278" s="191">
        <f t="shared" si="394"/>
        <v>20</v>
      </c>
      <c r="T278" s="191">
        <f t="shared" si="395"/>
        <v>0.48028496437945256</v>
      </c>
      <c r="U278" s="191">
        <f t="shared" si="366"/>
        <v>1.3722427553698644</v>
      </c>
      <c r="V278" s="191">
        <f t="shared" si="367"/>
        <v>1.4181642648999584</v>
      </c>
      <c r="W278" s="175">
        <f t="shared" si="368"/>
        <v>350</v>
      </c>
      <c r="X278" s="386">
        <f t="shared" si="369"/>
        <v>350</v>
      </c>
      <c r="Z278" s="191">
        <f t="shared" si="370"/>
        <v>0.49177153920619554</v>
      </c>
      <c r="AA278" s="153">
        <f t="shared" si="371"/>
        <v>1.452081316553727</v>
      </c>
      <c r="AB278" s="153">
        <f t="shared" si="396"/>
        <v>6.9425636786934669E-2</v>
      </c>
      <c r="AC278" s="153"/>
      <c r="AD278" s="153">
        <f t="shared" si="373"/>
        <v>0.44291338582677164</v>
      </c>
      <c r="AE278" s="317">
        <f t="shared" si="397"/>
        <v>1866.42962962963</v>
      </c>
      <c r="AF278" s="463">
        <f t="shared" si="398"/>
        <v>1.1626476377952754E-2</v>
      </c>
      <c r="AH278" s="153">
        <f t="shared" si="399"/>
        <v>0.46105469151872708</v>
      </c>
      <c r="AI278" s="153">
        <f t="shared" si="400"/>
        <v>0.46105469151872708</v>
      </c>
      <c r="AJ278" s="153">
        <f t="shared" si="401"/>
        <v>1.4304108826064645</v>
      </c>
      <c r="AL278" s="317">
        <f t="shared" si="402"/>
        <v>62</v>
      </c>
      <c r="AM278" s="147">
        <f t="shared" si="403"/>
        <v>350</v>
      </c>
      <c r="AO278">
        <f t="shared" si="381"/>
        <v>62</v>
      </c>
      <c r="AP278">
        <f t="shared" si="382"/>
        <v>350</v>
      </c>
      <c r="AR278" s="5">
        <f t="shared" si="406"/>
        <v>2.8571428571428572</v>
      </c>
      <c r="AS278" s="5">
        <f t="shared" si="385"/>
        <v>1.3172991186249345</v>
      </c>
      <c r="AT278" s="5">
        <f t="shared" si="386"/>
        <v>1.5398437385179227</v>
      </c>
      <c r="AU278" s="153">
        <f t="shared" si="387"/>
        <v>0.46105469151872708</v>
      </c>
      <c r="CI278" s="59">
        <f t="shared" si="404"/>
        <v>-50</v>
      </c>
    </row>
    <row r="279" spans="5:87" x14ac:dyDescent="0.25">
      <c r="E279" s="150">
        <v>63</v>
      </c>
      <c r="F279" s="191">
        <f t="shared" si="405"/>
        <v>6.3E-2</v>
      </c>
      <c r="G279" s="191">
        <f t="shared" si="388"/>
        <v>6.3E-2</v>
      </c>
      <c r="H279" s="191">
        <f t="shared" si="389"/>
        <v>1.26</v>
      </c>
      <c r="I279" s="191">
        <f t="shared" si="390"/>
        <v>1.008</v>
      </c>
      <c r="J279" s="472">
        <f t="shared" si="356"/>
        <v>21</v>
      </c>
      <c r="K279" s="386">
        <f t="shared" si="357"/>
        <v>20.32</v>
      </c>
      <c r="L279" s="386">
        <f t="shared" si="358"/>
        <v>41.32</v>
      </c>
      <c r="M279" s="386"/>
      <c r="N279" s="191">
        <f t="shared" si="359"/>
        <v>0.49177153920619554</v>
      </c>
      <c r="O279" s="152">
        <f t="shared" si="391"/>
        <v>1.9363504356243948</v>
      </c>
      <c r="P279" s="152">
        <f t="shared" si="392"/>
        <v>2.7883446272991286</v>
      </c>
      <c r="Q279" s="191">
        <f t="shared" si="362"/>
        <v>9.6817521781219745E-2</v>
      </c>
      <c r="R279" s="191">
        <f t="shared" si="393"/>
        <v>0.12102190222652467</v>
      </c>
      <c r="S279" s="191">
        <f t="shared" si="394"/>
        <v>20</v>
      </c>
      <c r="T279" s="191">
        <f t="shared" si="395"/>
        <v>0.48803149606299207</v>
      </c>
      <c r="U279" s="191">
        <f t="shared" si="366"/>
        <v>1.3943757030371202</v>
      </c>
      <c r="V279" s="191">
        <f t="shared" si="367"/>
        <v>1.4410378820757639</v>
      </c>
      <c r="W279" s="175">
        <f t="shared" si="368"/>
        <v>350</v>
      </c>
      <c r="X279" s="386">
        <f t="shared" si="369"/>
        <v>350</v>
      </c>
      <c r="Z279" s="191">
        <f t="shared" si="370"/>
        <v>0.49177153920619554</v>
      </c>
      <c r="AA279" s="153">
        <f t="shared" si="371"/>
        <v>1.452081316553727</v>
      </c>
      <c r="AB279" s="153">
        <f t="shared" si="396"/>
        <v>6.9425636786934669E-2</v>
      </c>
      <c r="AC279" s="153"/>
      <c r="AD279" s="153">
        <f t="shared" si="373"/>
        <v>0.44291338582677164</v>
      </c>
      <c r="AE279" s="317">
        <f t="shared" si="397"/>
        <v>1896.5333333333338</v>
      </c>
      <c r="AF279" s="463">
        <f t="shared" si="398"/>
        <v>1.1626476377952754E-2</v>
      </c>
      <c r="AH279" s="153">
        <f t="shared" si="399"/>
        <v>0.46475800154489</v>
      </c>
      <c r="AI279" s="153">
        <f t="shared" si="400"/>
        <v>0.46475800154489</v>
      </c>
      <c r="AJ279" s="153">
        <f t="shared" si="401"/>
        <v>1.4331540752184369</v>
      </c>
      <c r="AL279" s="317">
        <f t="shared" si="402"/>
        <v>63</v>
      </c>
      <c r="AM279" s="147">
        <f t="shared" si="403"/>
        <v>350</v>
      </c>
      <c r="AO279">
        <f t="shared" si="381"/>
        <v>63</v>
      </c>
      <c r="AP279">
        <f t="shared" si="382"/>
        <v>350</v>
      </c>
      <c r="AR279" s="5">
        <f t="shared" si="406"/>
        <v>2.8571428571428572</v>
      </c>
      <c r="AS279" s="5">
        <f t="shared" si="385"/>
        <v>1.3278800044139716</v>
      </c>
      <c r="AT279" s="5">
        <f t="shared" si="386"/>
        <v>1.5292628527288856</v>
      </c>
      <c r="AU279" s="153">
        <f t="shared" si="387"/>
        <v>0.46475800154489005</v>
      </c>
      <c r="CI279" s="59">
        <f t="shared" si="404"/>
        <v>-50</v>
      </c>
    </row>
    <row r="280" spans="5:87" x14ac:dyDescent="0.25">
      <c r="E280" s="150">
        <v>64</v>
      </c>
      <c r="F280" s="191">
        <f t="shared" si="405"/>
        <v>6.4000000000000001E-2</v>
      </c>
      <c r="G280" s="191">
        <f t="shared" ref="G280:G316" si="407">IF(PLOT_TYPE=1, E280/100*Iout2, min_I*EXP(Q280*rr/100))</f>
        <v>6.4000000000000001E-2</v>
      </c>
      <c r="H280" s="191">
        <f t="shared" ref="H280:H316" si="408">F280*Vout</f>
        <v>1.28</v>
      </c>
      <c r="I280" s="191">
        <f t="shared" ref="I280:I316" si="409">Vout2*G280</f>
        <v>1.024</v>
      </c>
      <c r="J280" s="472">
        <f t="shared" ref="J280:J316" si="410">VIN_max</f>
        <v>21</v>
      </c>
      <c r="K280" s="386">
        <f t="shared" ref="K280:K316" si="411">(S280+Vfwd1)*Nps</f>
        <v>20.32</v>
      </c>
      <c r="L280" s="386">
        <f t="shared" ref="L280:L316" si="412">(Vout+Vfwd1)*Nps+J280</f>
        <v>41.32</v>
      </c>
      <c r="M280" s="386"/>
      <c r="N280" s="191">
        <f t="shared" ref="N280:N316" si="413">(Vout+Vfwd1)*Nps/((Vout+Vfwd1)*Nps+J280)</f>
        <v>0.49177153920619554</v>
      </c>
      <c r="O280" s="152">
        <f t="shared" ref="O280:O311" si="414">N280*J280*Isw_max*0.5*Efficiency*Pout/(Pout+Pout2)</f>
        <v>1.9363504356243948</v>
      </c>
      <c r="P280" s="152">
        <f t="shared" ref="P280:P316" si="415">N280*J280*Isw_max*0.5*Efficiency*(Pout2/Pout_total)</f>
        <v>2.7883446272991286</v>
      </c>
      <c r="Q280" s="191">
        <f t="shared" ref="Q280:Q316" si="416">O280/Vout</f>
        <v>9.6817521781219745E-2</v>
      </c>
      <c r="R280" s="191">
        <f t="shared" ref="R280:R316" si="417">O280/Vout2</f>
        <v>0.12102190222652467</v>
      </c>
      <c r="S280" s="191">
        <f t="shared" ref="S280:S316" si="418">MIN(Vout,O280/F280)</f>
        <v>20</v>
      </c>
      <c r="T280" s="191">
        <f t="shared" ref="T280:T316" si="419">MIN(2*(Vout*F280+Vout2*G280)/(Efficiency*J280*N280), Isw_max)</f>
        <v>0.49577802774653174</v>
      </c>
      <c r="U280" s="191">
        <f t="shared" ref="U280:U316" si="420">L*T280/J280*1000000</f>
        <v>1.4165086507043765</v>
      </c>
      <c r="V280" s="191">
        <f t="shared" ref="V280:V316" si="421">L*T280/K280*1000000</f>
        <v>1.46391149925157</v>
      </c>
      <c r="W280" s="175">
        <f t="shared" ref="W280:W316" si="422">IF(1/((350000*L)*(1/J280+1/K280))&gt;Isw_min, 350, 0.001/((Isw_min*L)*(1/J280+1/K280)))</f>
        <v>350</v>
      </c>
      <c r="X280" s="386">
        <f t="shared" ref="X280:X316" si="423">MIN(1/(U280+V280)*1000, 350)</f>
        <v>347.1715749576652</v>
      </c>
      <c r="Z280" s="191">
        <f t="shared" ref="Z280:Z316" si="424">1/((W280*1000*L)*(1/J280+1/K280))</f>
        <v>0.49177153920619554</v>
      </c>
      <c r="AA280" s="153">
        <f t="shared" ref="AA280:AA316" si="425">L*Z280/K280*1000000</f>
        <v>1.452081316553727</v>
      </c>
      <c r="AB280" s="153">
        <f t="shared" ref="AB280:AB311" si="426">0.5*AA280*Z280*Nps*W280/1000*(Pout/(Pout+Pout2))</f>
        <v>6.9425636786934669E-2</v>
      </c>
      <c r="AC280" s="153"/>
      <c r="AD280" s="153">
        <f t="shared" ref="AD280:AD316" si="427">L*Isw_min/K280*1000000</f>
        <v>0.44291338582677164</v>
      </c>
      <c r="AE280" s="317">
        <f t="shared" ref="AE280:AE311" si="428">MAX(10, F280/(0.5*AD280/1000000*Isw_min*Nps)/1000*Pout_total/Pout)</f>
        <v>1926.6370370370373</v>
      </c>
      <c r="AF280" s="463">
        <f t="shared" ref="AF280:AF316" si="429">0.5*AD280/1000000*Isw_min*Nps*W280*1000*(Pout/Pout_total)</f>
        <v>1.1626476377952754E-2</v>
      </c>
      <c r="AH280" s="153">
        <f t="shared" ref="AH280:AH316" si="430">SQRT((H280+I280)/(0.5*L*Fsw_DCM))</f>
        <v>0.46843203501529596</v>
      </c>
      <c r="AI280" s="153">
        <f t="shared" ref="AI280:AI311" si="431">MAX(IF(F280&gt;AB280,T280,AH280),Isw_min)</f>
        <v>0.46843203501529596</v>
      </c>
      <c r="AJ280" s="153">
        <f t="shared" ref="AJ280:AJ311" si="432">IF(F280&gt;AF280, (AI280-Isw_min)/1.08*0.8+1.2, AE280*0.2/350+1)</f>
        <v>1.4358755814928117</v>
      </c>
      <c r="AL280" s="317">
        <f t="shared" ref="AL280:AL316" si="433">F280*1000</f>
        <v>64</v>
      </c>
      <c r="AM280" s="147">
        <f t="shared" ref="AM280:AM316" si="434">IF(F280&gt;AF280, X280, AE280)</f>
        <v>347.1715749576652</v>
      </c>
      <c r="AO280">
        <f t="shared" ref="AO280:AO316" si="435">IF(H280&gt;O280, "",AL280)</f>
        <v>64</v>
      </c>
      <c r="AP280">
        <f t="shared" ref="AP280:AP316" si="436">IF(H280&gt;O280, "",AM280)</f>
        <v>347.1715749576652</v>
      </c>
      <c r="AR280" s="5">
        <f t="shared" si="406"/>
        <v>2.8804201499559459</v>
      </c>
      <c r="AS280" s="5">
        <f t="shared" si="385"/>
        <v>1.3383772429008456</v>
      </c>
      <c r="AT280" s="5">
        <f t="shared" si="386"/>
        <v>1.5420429070551003</v>
      </c>
      <c r="AU280" s="153">
        <f t="shared" si="387"/>
        <v>0.46464653530538425</v>
      </c>
      <c r="CI280" s="59">
        <f t="shared" ref="CI280:CI316" si="437">IF(ABS(F280-Ioutmax_Vinmax)&lt;Iout/200, AM280, -50)</f>
        <v>-50</v>
      </c>
    </row>
    <row r="281" spans="5:87" x14ac:dyDescent="0.25">
      <c r="E281" s="150">
        <v>65</v>
      </c>
      <c r="F281" s="191">
        <f t="shared" ref="F281:F312" si="438">IF(PLOT_TYPE=1, E281/100*Iout_max, min_I*EXP(O281*rr/100))</f>
        <v>6.5000000000000002E-2</v>
      </c>
      <c r="G281" s="191">
        <f t="shared" si="407"/>
        <v>6.5000000000000002E-2</v>
      </c>
      <c r="H281" s="191">
        <f t="shared" si="408"/>
        <v>1.3</v>
      </c>
      <c r="I281" s="191">
        <f t="shared" si="409"/>
        <v>1.04</v>
      </c>
      <c r="J281" s="472">
        <f t="shared" si="410"/>
        <v>21</v>
      </c>
      <c r="K281" s="386">
        <f t="shared" si="411"/>
        <v>20.32</v>
      </c>
      <c r="L281" s="386">
        <f t="shared" si="412"/>
        <v>41.32</v>
      </c>
      <c r="M281" s="386"/>
      <c r="N281" s="191">
        <f t="shared" si="413"/>
        <v>0.49177153920619554</v>
      </c>
      <c r="O281" s="152">
        <f t="shared" si="414"/>
        <v>1.9363504356243948</v>
      </c>
      <c r="P281" s="152">
        <f t="shared" si="415"/>
        <v>2.7883446272991286</v>
      </c>
      <c r="Q281" s="191">
        <f t="shared" si="416"/>
        <v>9.6817521781219745E-2</v>
      </c>
      <c r="R281" s="191">
        <f t="shared" si="417"/>
        <v>0.12102190222652467</v>
      </c>
      <c r="S281" s="191">
        <f t="shared" si="418"/>
        <v>20</v>
      </c>
      <c r="T281" s="191">
        <f t="shared" si="419"/>
        <v>0.50352455943007113</v>
      </c>
      <c r="U281" s="191">
        <f t="shared" si="420"/>
        <v>1.4386415983716319</v>
      </c>
      <c r="V281" s="191">
        <f t="shared" si="421"/>
        <v>1.4867851164273755</v>
      </c>
      <c r="W281" s="175">
        <f t="shared" si="422"/>
        <v>350</v>
      </c>
      <c r="X281" s="386">
        <f t="shared" si="423"/>
        <v>341.83047380447039</v>
      </c>
      <c r="Z281" s="191">
        <f t="shared" si="424"/>
        <v>0.49177153920619554</v>
      </c>
      <c r="AA281" s="153">
        <f t="shared" si="425"/>
        <v>1.452081316553727</v>
      </c>
      <c r="AB281" s="153">
        <f t="shared" si="426"/>
        <v>6.9425636786934669E-2</v>
      </c>
      <c r="AC281" s="153"/>
      <c r="AD281" s="153">
        <f t="shared" si="427"/>
        <v>0.44291338582677164</v>
      </c>
      <c r="AE281" s="317">
        <f t="shared" si="428"/>
        <v>1956.7407407407411</v>
      </c>
      <c r="AF281" s="463">
        <f t="shared" si="429"/>
        <v>1.1626476377952754E-2</v>
      </c>
      <c r="AH281" s="153">
        <f t="shared" si="430"/>
        <v>0.47207747548166584</v>
      </c>
      <c r="AI281" s="153">
        <f t="shared" si="431"/>
        <v>0.47207747548166584</v>
      </c>
      <c r="AJ281" s="153">
        <f t="shared" si="432"/>
        <v>1.4385759077641969</v>
      </c>
      <c r="AL281" s="317">
        <f t="shared" si="433"/>
        <v>65</v>
      </c>
      <c r="AM281" s="147">
        <f t="shared" si="434"/>
        <v>341.83047380447039</v>
      </c>
      <c r="AO281">
        <f t="shared" si="435"/>
        <v>65</v>
      </c>
      <c r="AP281">
        <f t="shared" si="436"/>
        <v>341.83047380447039</v>
      </c>
      <c r="AR281" s="5">
        <f t="shared" si="406"/>
        <v>2.9254267147990074</v>
      </c>
      <c r="AS281" s="5">
        <f t="shared" si="385"/>
        <v>1.3487927870904739</v>
      </c>
      <c r="AT281" s="5">
        <f t="shared" si="386"/>
        <v>1.5766339277085335</v>
      </c>
      <c r="AU281" s="153">
        <f t="shared" si="387"/>
        <v>0.46105847747518885</v>
      </c>
      <c r="CI281" s="59">
        <f t="shared" si="437"/>
        <v>-50</v>
      </c>
    </row>
    <row r="282" spans="5:87" x14ac:dyDescent="0.25">
      <c r="E282" s="150">
        <v>66</v>
      </c>
      <c r="F282" s="191">
        <f t="shared" si="438"/>
        <v>6.6000000000000003E-2</v>
      </c>
      <c r="G282" s="191">
        <f t="shared" si="407"/>
        <v>6.6000000000000003E-2</v>
      </c>
      <c r="H282" s="191">
        <f t="shared" si="408"/>
        <v>1.32</v>
      </c>
      <c r="I282" s="191">
        <f t="shared" si="409"/>
        <v>1.056</v>
      </c>
      <c r="J282" s="472">
        <f t="shared" si="410"/>
        <v>21</v>
      </c>
      <c r="K282" s="386">
        <f t="shared" si="411"/>
        <v>20.32</v>
      </c>
      <c r="L282" s="386">
        <f t="shared" si="412"/>
        <v>41.32</v>
      </c>
      <c r="M282" s="386"/>
      <c r="N282" s="191">
        <f t="shared" si="413"/>
        <v>0.49177153920619554</v>
      </c>
      <c r="O282" s="152">
        <f t="shared" si="414"/>
        <v>1.9363504356243948</v>
      </c>
      <c r="P282" s="152">
        <f t="shared" si="415"/>
        <v>2.7883446272991286</v>
      </c>
      <c r="Q282" s="191">
        <f t="shared" si="416"/>
        <v>9.6817521781219745E-2</v>
      </c>
      <c r="R282" s="191">
        <f t="shared" si="417"/>
        <v>0.12102190222652467</v>
      </c>
      <c r="S282" s="191">
        <f t="shared" si="418"/>
        <v>20</v>
      </c>
      <c r="T282" s="191">
        <f t="shared" si="419"/>
        <v>0.5112710911136108</v>
      </c>
      <c r="U282" s="191">
        <f t="shared" si="420"/>
        <v>1.4607745460388879</v>
      </c>
      <c r="V282" s="191">
        <f t="shared" si="421"/>
        <v>1.5096587336031815</v>
      </c>
      <c r="W282" s="175">
        <f t="shared" si="422"/>
        <v>350</v>
      </c>
      <c r="X282" s="386">
        <f t="shared" si="423"/>
        <v>336.65122420137232</v>
      </c>
      <c r="Z282" s="191">
        <f t="shared" si="424"/>
        <v>0.49177153920619554</v>
      </c>
      <c r="AA282" s="153">
        <f t="shared" si="425"/>
        <v>1.452081316553727</v>
      </c>
      <c r="AB282" s="153">
        <f t="shared" si="426"/>
        <v>6.9425636786934669E-2</v>
      </c>
      <c r="AC282" s="153"/>
      <c r="AD282" s="153">
        <f t="shared" si="427"/>
        <v>0.44291338582677164</v>
      </c>
      <c r="AE282" s="317">
        <f t="shared" si="428"/>
        <v>1986.8444444444447</v>
      </c>
      <c r="AF282" s="463">
        <f t="shared" si="429"/>
        <v>1.1626476377952754E-2</v>
      </c>
      <c r="AH282" s="153">
        <f t="shared" si="430"/>
        <v>0.47569498030325513</v>
      </c>
      <c r="AI282" s="153">
        <f t="shared" si="431"/>
        <v>0.47569498030325513</v>
      </c>
      <c r="AJ282" s="153">
        <f t="shared" si="432"/>
        <v>1.4412555409653742</v>
      </c>
      <c r="AL282" s="317">
        <f t="shared" si="433"/>
        <v>66</v>
      </c>
      <c r="AM282" s="147">
        <f t="shared" si="434"/>
        <v>336.65122420137232</v>
      </c>
      <c r="AO282">
        <f t="shared" si="435"/>
        <v>66</v>
      </c>
      <c r="AP282">
        <f t="shared" si="436"/>
        <v>336.65122420137232</v>
      </c>
      <c r="AR282" s="5">
        <f t="shared" si="406"/>
        <v>2.9704332796420698</v>
      </c>
      <c r="AS282" s="5">
        <f t="shared" si="385"/>
        <v>1.3591285151521577</v>
      </c>
      <c r="AT282" s="5">
        <f t="shared" si="386"/>
        <v>1.6113047644899121</v>
      </c>
      <c r="AU282" s="153">
        <f t="shared" si="387"/>
        <v>0.45755227847296726</v>
      </c>
      <c r="CI282" s="59">
        <f t="shared" si="437"/>
        <v>-50</v>
      </c>
    </row>
    <row r="283" spans="5:87" x14ac:dyDescent="0.25">
      <c r="E283" s="150">
        <v>67</v>
      </c>
      <c r="F283" s="191">
        <f t="shared" si="438"/>
        <v>6.7000000000000004E-2</v>
      </c>
      <c r="G283" s="191">
        <f t="shared" si="407"/>
        <v>6.7000000000000004E-2</v>
      </c>
      <c r="H283" s="191">
        <f t="shared" si="408"/>
        <v>1.34</v>
      </c>
      <c r="I283" s="191">
        <f t="shared" si="409"/>
        <v>1.0720000000000001</v>
      </c>
      <c r="J283" s="472">
        <f t="shared" si="410"/>
        <v>21</v>
      </c>
      <c r="K283" s="386">
        <f t="shared" si="411"/>
        <v>20.32</v>
      </c>
      <c r="L283" s="386">
        <f t="shared" si="412"/>
        <v>41.32</v>
      </c>
      <c r="M283" s="386"/>
      <c r="N283" s="191">
        <f t="shared" si="413"/>
        <v>0.49177153920619554</v>
      </c>
      <c r="O283" s="152">
        <f t="shared" si="414"/>
        <v>1.9363504356243948</v>
      </c>
      <c r="P283" s="152">
        <f t="shared" si="415"/>
        <v>2.7883446272991286</v>
      </c>
      <c r="Q283" s="191">
        <f t="shared" si="416"/>
        <v>9.6817521781219745E-2</v>
      </c>
      <c r="R283" s="191">
        <f t="shared" si="417"/>
        <v>0.12102190222652467</v>
      </c>
      <c r="S283" s="191">
        <f t="shared" si="418"/>
        <v>20</v>
      </c>
      <c r="T283" s="191">
        <f t="shared" si="419"/>
        <v>0.51901762279715036</v>
      </c>
      <c r="U283" s="191">
        <f t="shared" si="420"/>
        <v>1.4829074937061439</v>
      </c>
      <c r="V283" s="191">
        <f t="shared" si="421"/>
        <v>1.5325323507789872</v>
      </c>
      <c r="W283" s="175">
        <f t="shared" si="422"/>
        <v>350</v>
      </c>
      <c r="X283" s="386">
        <f t="shared" si="423"/>
        <v>331.62657906403837</v>
      </c>
      <c r="Z283" s="191">
        <f t="shared" si="424"/>
        <v>0.49177153920619554</v>
      </c>
      <c r="AA283" s="153">
        <f t="shared" si="425"/>
        <v>1.452081316553727</v>
      </c>
      <c r="AB283" s="153">
        <f t="shared" si="426"/>
        <v>6.9425636786934669E-2</v>
      </c>
      <c r="AC283" s="153"/>
      <c r="AD283" s="153">
        <f t="shared" si="427"/>
        <v>0.44291338582677164</v>
      </c>
      <c r="AE283" s="317">
        <f t="shared" si="428"/>
        <v>2016.9481481481484</v>
      </c>
      <c r="AF283" s="463">
        <f t="shared" si="429"/>
        <v>1.1626476377952754E-2</v>
      </c>
      <c r="AH283" s="153">
        <f t="shared" si="430"/>
        <v>0.47928518203078813</v>
      </c>
      <c r="AI283" s="153">
        <f t="shared" si="431"/>
        <v>0.47928518203078813</v>
      </c>
      <c r="AJ283" s="153">
        <f t="shared" si="432"/>
        <v>1.4439149496524357</v>
      </c>
      <c r="AL283" s="317">
        <f t="shared" si="433"/>
        <v>67</v>
      </c>
      <c r="AM283" s="147">
        <f t="shared" si="434"/>
        <v>331.62657906403837</v>
      </c>
      <c r="AO283">
        <f t="shared" si="435"/>
        <v>67</v>
      </c>
      <c r="AP283">
        <f t="shared" si="436"/>
        <v>331.62657906403837</v>
      </c>
      <c r="AR283" s="5">
        <f t="shared" si="406"/>
        <v>3.0154398444851314</v>
      </c>
      <c r="AS283" s="5">
        <f t="shared" si="385"/>
        <v>1.3693862343736805</v>
      </c>
      <c r="AT283" s="5">
        <f t="shared" si="386"/>
        <v>1.6460536101114509</v>
      </c>
      <c r="AU283" s="153">
        <f t="shared" si="387"/>
        <v>0.45412487232272913</v>
      </c>
      <c r="CI283" s="59">
        <f t="shared" si="437"/>
        <v>-50</v>
      </c>
    </row>
    <row r="284" spans="5:87" x14ac:dyDescent="0.25">
      <c r="E284" s="150">
        <v>68</v>
      </c>
      <c r="F284" s="191">
        <f t="shared" si="438"/>
        <v>6.8000000000000005E-2</v>
      </c>
      <c r="G284" s="191">
        <f t="shared" si="407"/>
        <v>6.8000000000000005E-2</v>
      </c>
      <c r="H284" s="191">
        <f t="shared" si="408"/>
        <v>1.36</v>
      </c>
      <c r="I284" s="191">
        <f t="shared" si="409"/>
        <v>1.0880000000000001</v>
      </c>
      <c r="J284" s="472">
        <f t="shared" si="410"/>
        <v>21</v>
      </c>
      <c r="K284" s="386">
        <f t="shared" si="411"/>
        <v>20.32</v>
      </c>
      <c r="L284" s="386">
        <f t="shared" si="412"/>
        <v>41.32</v>
      </c>
      <c r="M284" s="386"/>
      <c r="N284" s="191">
        <f t="shared" si="413"/>
        <v>0.49177153920619554</v>
      </c>
      <c r="O284" s="152">
        <f t="shared" si="414"/>
        <v>1.9363504356243948</v>
      </c>
      <c r="P284" s="152">
        <f t="shared" si="415"/>
        <v>2.7883446272991286</v>
      </c>
      <c r="Q284" s="191">
        <f t="shared" si="416"/>
        <v>9.6817521781219745E-2</v>
      </c>
      <c r="R284" s="191">
        <f t="shared" si="417"/>
        <v>0.12102190222652467</v>
      </c>
      <c r="S284" s="191">
        <f t="shared" si="418"/>
        <v>20</v>
      </c>
      <c r="T284" s="191">
        <f t="shared" si="419"/>
        <v>0.52676415448068992</v>
      </c>
      <c r="U284" s="191">
        <f t="shared" si="420"/>
        <v>1.5050404413733998</v>
      </c>
      <c r="V284" s="191">
        <f t="shared" si="421"/>
        <v>1.5554059679547929</v>
      </c>
      <c r="W284" s="175">
        <f t="shared" si="422"/>
        <v>350</v>
      </c>
      <c r="X284" s="386">
        <f t="shared" si="423"/>
        <v>326.74971760721434</v>
      </c>
      <c r="Z284" s="191">
        <f t="shared" si="424"/>
        <v>0.49177153920619554</v>
      </c>
      <c r="AA284" s="153">
        <f t="shared" si="425"/>
        <v>1.452081316553727</v>
      </c>
      <c r="AB284" s="153">
        <f t="shared" si="426"/>
        <v>6.9425636786934669E-2</v>
      </c>
      <c r="AC284" s="153"/>
      <c r="AD284" s="153">
        <f t="shared" si="427"/>
        <v>0.44291338582677164</v>
      </c>
      <c r="AE284" s="317">
        <f t="shared" si="428"/>
        <v>2047.0518518518525</v>
      </c>
      <c r="AF284" s="463">
        <f t="shared" si="429"/>
        <v>1.1626476377952754E-2</v>
      </c>
      <c r="AH284" s="153">
        <f t="shared" si="430"/>
        <v>0.48284868969777395</v>
      </c>
      <c r="AI284" s="153">
        <f t="shared" si="431"/>
        <v>0.48284868969777395</v>
      </c>
      <c r="AJ284" s="153">
        <f t="shared" si="432"/>
        <v>1.4465545849613139</v>
      </c>
      <c r="AL284" s="317">
        <f t="shared" si="433"/>
        <v>68</v>
      </c>
      <c r="AM284" s="147">
        <f t="shared" si="434"/>
        <v>326.74971760721434</v>
      </c>
      <c r="AO284">
        <f t="shared" si="435"/>
        <v>68</v>
      </c>
      <c r="AP284">
        <f t="shared" si="436"/>
        <v>326.74971760721434</v>
      </c>
      <c r="AR284" s="5">
        <f t="shared" si="406"/>
        <v>3.0604464093281925</v>
      </c>
      <c r="AS284" s="5">
        <f t="shared" si="385"/>
        <v>1.3795676848507827</v>
      </c>
      <c r="AT284" s="5">
        <f t="shared" si="386"/>
        <v>1.6808787244774097</v>
      </c>
      <c r="AU284" s="153">
        <f t="shared" si="387"/>
        <v>0.45077335144503172</v>
      </c>
      <c r="CI284" s="59">
        <f t="shared" si="437"/>
        <v>-50</v>
      </c>
    </row>
    <row r="285" spans="5:87" x14ac:dyDescent="0.25">
      <c r="E285" s="150">
        <v>69</v>
      </c>
      <c r="F285" s="191">
        <f t="shared" si="438"/>
        <v>6.8999999999999992E-2</v>
      </c>
      <c r="G285" s="191">
        <f t="shared" si="407"/>
        <v>6.8999999999999992E-2</v>
      </c>
      <c r="H285" s="191">
        <f t="shared" si="408"/>
        <v>1.38</v>
      </c>
      <c r="I285" s="191">
        <f t="shared" si="409"/>
        <v>1.1039999999999999</v>
      </c>
      <c r="J285" s="472">
        <f t="shared" si="410"/>
        <v>21</v>
      </c>
      <c r="K285" s="386">
        <f t="shared" si="411"/>
        <v>20.32</v>
      </c>
      <c r="L285" s="386">
        <f t="shared" si="412"/>
        <v>41.32</v>
      </c>
      <c r="M285" s="386"/>
      <c r="N285" s="191">
        <f t="shared" si="413"/>
        <v>0.49177153920619554</v>
      </c>
      <c r="O285" s="152">
        <f t="shared" si="414"/>
        <v>1.9363504356243948</v>
      </c>
      <c r="P285" s="152">
        <f t="shared" si="415"/>
        <v>2.7883446272991286</v>
      </c>
      <c r="Q285" s="191">
        <f t="shared" si="416"/>
        <v>9.6817521781219745E-2</v>
      </c>
      <c r="R285" s="191">
        <f t="shared" si="417"/>
        <v>0.12102190222652467</v>
      </c>
      <c r="S285" s="191">
        <f t="shared" si="418"/>
        <v>20</v>
      </c>
      <c r="T285" s="191">
        <f t="shared" si="419"/>
        <v>0.53451068616422948</v>
      </c>
      <c r="U285" s="191">
        <f t="shared" si="420"/>
        <v>1.5271733890406558</v>
      </c>
      <c r="V285" s="191">
        <f t="shared" si="421"/>
        <v>1.5782795851305991</v>
      </c>
      <c r="W285" s="175">
        <f t="shared" si="422"/>
        <v>350</v>
      </c>
      <c r="X285" s="386">
        <f t="shared" si="423"/>
        <v>322.01421445348649</v>
      </c>
      <c r="Z285" s="191">
        <f t="shared" si="424"/>
        <v>0.49177153920619554</v>
      </c>
      <c r="AA285" s="153">
        <f t="shared" si="425"/>
        <v>1.452081316553727</v>
      </c>
      <c r="AB285" s="153">
        <f t="shared" si="426"/>
        <v>6.9425636786934669E-2</v>
      </c>
      <c r="AC285" s="153"/>
      <c r="AD285" s="153">
        <f t="shared" si="427"/>
        <v>0.44291338582677164</v>
      </c>
      <c r="AE285" s="317">
        <f t="shared" si="428"/>
        <v>2077.1555555555556</v>
      </c>
      <c r="AF285" s="463">
        <f t="shared" si="429"/>
        <v>1.1626476377952754E-2</v>
      </c>
      <c r="AH285" s="153">
        <f t="shared" si="430"/>
        <v>0.48638609002666655</v>
      </c>
      <c r="AI285" s="153">
        <f t="shared" si="431"/>
        <v>0.48638609002666655</v>
      </c>
      <c r="AJ285" s="153">
        <f t="shared" si="432"/>
        <v>1.4491748815012344</v>
      </c>
      <c r="AL285" s="317">
        <f t="shared" si="433"/>
        <v>68.999999999999986</v>
      </c>
      <c r="AM285" s="147">
        <f t="shared" si="434"/>
        <v>322.01421445348649</v>
      </c>
      <c r="AO285">
        <f t="shared" si="435"/>
        <v>68.999999999999986</v>
      </c>
      <c r="AP285">
        <f t="shared" si="436"/>
        <v>322.01421445348649</v>
      </c>
      <c r="AR285" s="5">
        <f t="shared" si="406"/>
        <v>3.1054529741712553</v>
      </c>
      <c r="AS285" s="5">
        <f t="shared" si="385"/>
        <v>1.389674542933333</v>
      </c>
      <c r="AT285" s="5">
        <f t="shared" si="386"/>
        <v>1.7157784312379223</v>
      </c>
      <c r="AU285" s="153">
        <f t="shared" si="387"/>
        <v>0.44749495628868508</v>
      </c>
      <c r="CI285" s="59">
        <f t="shared" si="437"/>
        <v>-50</v>
      </c>
    </row>
    <row r="286" spans="5:87" x14ac:dyDescent="0.25">
      <c r="E286" s="150">
        <v>70</v>
      </c>
      <c r="F286" s="191">
        <f t="shared" si="438"/>
        <v>6.9999999999999993E-2</v>
      </c>
      <c r="G286" s="191">
        <f t="shared" si="407"/>
        <v>6.9999999999999993E-2</v>
      </c>
      <c r="H286" s="191">
        <f t="shared" si="408"/>
        <v>1.4</v>
      </c>
      <c r="I286" s="191">
        <f t="shared" si="409"/>
        <v>1.1199999999999999</v>
      </c>
      <c r="J286" s="472">
        <f t="shared" si="410"/>
        <v>21</v>
      </c>
      <c r="K286" s="386">
        <f t="shared" si="411"/>
        <v>20.32</v>
      </c>
      <c r="L286" s="386">
        <f t="shared" si="412"/>
        <v>41.32</v>
      </c>
      <c r="M286" s="386"/>
      <c r="N286" s="191">
        <f t="shared" si="413"/>
        <v>0.49177153920619554</v>
      </c>
      <c r="O286" s="152">
        <f t="shared" si="414"/>
        <v>1.9363504356243948</v>
      </c>
      <c r="P286" s="152">
        <f t="shared" si="415"/>
        <v>2.7883446272991286</v>
      </c>
      <c r="Q286" s="191">
        <f t="shared" si="416"/>
        <v>9.6817521781219745E-2</v>
      </c>
      <c r="R286" s="191">
        <f t="shared" si="417"/>
        <v>0.12102190222652467</v>
      </c>
      <c r="S286" s="191">
        <f t="shared" si="418"/>
        <v>20</v>
      </c>
      <c r="T286" s="191">
        <f t="shared" si="419"/>
        <v>0.54225721784776892</v>
      </c>
      <c r="U286" s="191">
        <f t="shared" si="420"/>
        <v>1.5493063367079112</v>
      </c>
      <c r="V286" s="191">
        <f t="shared" si="421"/>
        <v>1.6011532023064043</v>
      </c>
      <c r="W286" s="175">
        <f t="shared" si="422"/>
        <v>350</v>
      </c>
      <c r="X286" s="386">
        <f t="shared" si="423"/>
        <v>317.41401138986538</v>
      </c>
      <c r="Z286" s="191">
        <f t="shared" si="424"/>
        <v>0.49177153920619554</v>
      </c>
      <c r="AA286" s="153">
        <f t="shared" si="425"/>
        <v>1.452081316553727</v>
      </c>
      <c r="AB286" s="153">
        <f t="shared" si="426"/>
        <v>6.9425636786934669E-2</v>
      </c>
      <c r="AC286" s="153"/>
      <c r="AD286" s="153">
        <f t="shared" si="427"/>
        <v>0.44291338582677164</v>
      </c>
      <c r="AE286" s="317">
        <f t="shared" si="428"/>
        <v>2107.2592592592591</v>
      </c>
      <c r="AF286" s="463">
        <f t="shared" si="429"/>
        <v>1.1626476377952754E-2</v>
      </c>
      <c r="AH286" s="153">
        <f t="shared" si="430"/>
        <v>0.4898979485566356</v>
      </c>
      <c r="AI286" s="153">
        <f t="shared" si="431"/>
        <v>0.54225721784776892</v>
      </c>
      <c r="AJ286" s="153">
        <f t="shared" si="432"/>
        <v>1.4905609021094584</v>
      </c>
      <c r="AL286" s="317">
        <f t="shared" si="433"/>
        <v>69.999999999999986</v>
      </c>
      <c r="AM286" s="147">
        <f t="shared" si="434"/>
        <v>317.41401138986538</v>
      </c>
      <c r="AO286">
        <f t="shared" si="435"/>
        <v>69.999999999999986</v>
      </c>
      <c r="AP286">
        <f t="shared" si="436"/>
        <v>317.41401138986538</v>
      </c>
      <c r="AR286" s="5">
        <f t="shared" si="406"/>
        <v>3.1504595390143155</v>
      </c>
      <c r="AS286" s="5">
        <f t="shared" si="385"/>
        <v>1.5493063367079112</v>
      </c>
      <c r="AT286" s="5">
        <f t="shared" si="386"/>
        <v>1.6011532023064043</v>
      </c>
      <c r="AU286" s="153">
        <f t="shared" si="387"/>
        <v>0.49177153920619554</v>
      </c>
      <c r="CI286" s="59">
        <f t="shared" si="437"/>
        <v>-50</v>
      </c>
    </row>
    <row r="287" spans="5:87" x14ac:dyDescent="0.25">
      <c r="E287" s="150">
        <v>71</v>
      </c>
      <c r="F287" s="191">
        <f t="shared" si="438"/>
        <v>7.0999999999999994E-2</v>
      </c>
      <c r="G287" s="191">
        <f t="shared" si="407"/>
        <v>7.0999999999999994E-2</v>
      </c>
      <c r="H287" s="191">
        <f t="shared" si="408"/>
        <v>1.42</v>
      </c>
      <c r="I287" s="191">
        <f t="shared" si="409"/>
        <v>1.1359999999999999</v>
      </c>
      <c r="J287" s="472">
        <f t="shared" si="410"/>
        <v>21</v>
      </c>
      <c r="K287" s="386">
        <f t="shared" si="411"/>
        <v>20.32</v>
      </c>
      <c r="L287" s="386">
        <f t="shared" si="412"/>
        <v>41.32</v>
      </c>
      <c r="M287" s="386"/>
      <c r="N287" s="191">
        <f t="shared" si="413"/>
        <v>0.49177153920619554</v>
      </c>
      <c r="O287" s="152">
        <f t="shared" si="414"/>
        <v>1.9363504356243948</v>
      </c>
      <c r="P287" s="152">
        <f t="shared" si="415"/>
        <v>2.7883446272991286</v>
      </c>
      <c r="Q287" s="191">
        <f t="shared" si="416"/>
        <v>9.6817521781219745E-2</v>
      </c>
      <c r="R287" s="191">
        <f t="shared" si="417"/>
        <v>0.12102190222652467</v>
      </c>
      <c r="S287" s="191">
        <f t="shared" si="418"/>
        <v>20</v>
      </c>
      <c r="T287" s="191">
        <f t="shared" si="419"/>
        <v>0.55000374953130859</v>
      </c>
      <c r="U287" s="191">
        <f t="shared" si="420"/>
        <v>1.5714392843751674</v>
      </c>
      <c r="V287" s="191">
        <f t="shared" si="421"/>
        <v>1.6240268194822105</v>
      </c>
      <c r="W287" s="175">
        <f t="shared" si="422"/>
        <v>350</v>
      </c>
      <c r="X287" s="386">
        <f t="shared" si="423"/>
        <v>312.94339151113479</v>
      </c>
      <c r="Z287" s="191">
        <f t="shared" si="424"/>
        <v>0.49177153920619554</v>
      </c>
      <c r="AA287" s="153">
        <f t="shared" si="425"/>
        <v>1.452081316553727</v>
      </c>
      <c r="AB287" s="153">
        <f t="shared" si="426"/>
        <v>6.9425636786934669E-2</v>
      </c>
      <c r="AC287" s="153"/>
      <c r="AD287" s="153">
        <f t="shared" si="427"/>
        <v>0.44291338582677164</v>
      </c>
      <c r="AE287" s="317">
        <f t="shared" si="428"/>
        <v>2137.3629629629631</v>
      </c>
      <c r="AF287" s="463">
        <f t="shared" si="429"/>
        <v>1.1626476377952754E-2</v>
      </c>
      <c r="AH287" s="153">
        <f t="shared" si="430"/>
        <v>0.49338481069908446</v>
      </c>
      <c r="AI287" s="153">
        <f t="shared" si="431"/>
        <v>0.55000374953130859</v>
      </c>
      <c r="AJ287" s="153">
        <f t="shared" si="432"/>
        <v>1.4962990737268953</v>
      </c>
      <c r="AL287" s="317">
        <f t="shared" si="433"/>
        <v>71</v>
      </c>
      <c r="AM287" s="147">
        <f t="shared" si="434"/>
        <v>312.94339151113479</v>
      </c>
      <c r="AO287">
        <f t="shared" si="435"/>
        <v>71</v>
      </c>
      <c r="AP287">
        <f t="shared" si="436"/>
        <v>312.94339151113479</v>
      </c>
      <c r="AR287" s="5">
        <f t="shared" si="406"/>
        <v>3.1954661038573779</v>
      </c>
      <c r="AS287" s="5">
        <f t="shared" si="385"/>
        <v>1.5714392843751674</v>
      </c>
      <c r="AT287" s="5">
        <f t="shared" si="386"/>
        <v>1.6240268194822105</v>
      </c>
      <c r="AU287" s="153">
        <f t="shared" si="387"/>
        <v>0.49177153920619554</v>
      </c>
      <c r="CI287" s="59">
        <f t="shared" si="437"/>
        <v>-50</v>
      </c>
    </row>
    <row r="288" spans="5:87" x14ac:dyDescent="0.25">
      <c r="E288" s="150">
        <v>72</v>
      </c>
      <c r="F288" s="191">
        <f t="shared" si="438"/>
        <v>7.1999999999999995E-2</v>
      </c>
      <c r="G288" s="191">
        <f t="shared" si="407"/>
        <v>7.1999999999999995E-2</v>
      </c>
      <c r="H288" s="191">
        <f t="shared" si="408"/>
        <v>1.44</v>
      </c>
      <c r="I288" s="191">
        <f t="shared" si="409"/>
        <v>1.1519999999999999</v>
      </c>
      <c r="J288" s="472">
        <f t="shared" si="410"/>
        <v>21</v>
      </c>
      <c r="K288" s="386">
        <f t="shared" si="411"/>
        <v>20.32</v>
      </c>
      <c r="L288" s="386">
        <f t="shared" si="412"/>
        <v>41.32</v>
      </c>
      <c r="M288" s="386"/>
      <c r="N288" s="191">
        <f t="shared" si="413"/>
        <v>0.49177153920619554</v>
      </c>
      <c r="O288" s="152">
        <f t="shared" si="414"/>
        <v>1.9363504356243948</v>
      </c>
      <c r="P288" s="152">
        <f t="shared" si="415"/>
        <v>2.7883446272991286</v>
      </c>
      <c r="Q288" s="191">
        <f t="shared" si="416"/>
        <v>9.6817521781219745E-2</v>
      </c>
      <c r="R288" s="191">
        <f t="shared" si="417"/>
        <v>0.12102190222652467</v>
      </c>
      <c r="S288" s="191">
        <f t="shared" si="418"/>
        <v>20</v>
      </c>
      <c r="T288" s="191">
        <f t="shared" si="419"/>
        <v>0.55775028121484804</v>
      </c>
      <c r="U288" s="191">
        <f t="shared" si="420"/>
        <v>1.593572232042423</v>
      </c>
      <c r="V288" s="191">
        <f t="shared" si="421"/>
        <v>1.6469004366580158</v>
      </c>
      <c r="W288" s="175">
        <f t="shared" si="422"/>
        <v>350</v>
      </c>
      <c r="X288" s="386">
        <f t="shared" si="423"/>
        <v>308.5969555179247</v>
      </c>
      <c r="Z288" s="191">
        <f t="shared" si="424"/>
        <v>0.49177153920619554</v>
      </c>
      <c r="AA288" s="153">
        <f t="shared" si="425"/>
        <v>1.452081316553727</v>
      </c>
      <c r="AB288" s="153">
        <f t="shared" si="426"/>
        <v>6.9425636786934669E-2</v>
      </c>
      <c r="AC288" s="153"/>
      <c r="AD288" s="153">
        <f t="shared" si="427"/>
        <v>0.44291338582677164</v>
      </c>
      <c r="AE288" s="317">
        <f t="shared" si="428"/>
        <v>2167.4666666666672</v>
      </c>
      <c r="AF288" s="463">
        <f t="shared" si="429"/>
        <v>1.1626476377952754E-2</v>
      </c>
      <c r="AH288" s="153">
        <f t="shared" si="430"/>
        <v>0.49684720272649502</v>
      </c>
      <c r="AI288" s="153">
        <f t="shared" si="431"/>
        <v>0.55775028121484804</v>
      </c>
      <c r="AJ288" s="153">
        <f t="shared" si="432"/>
        <v>1.5020372453443318</v>
      </c>
      <c r="AL288" s="317">
        <f t="shared" si="433"/>
        <v>72</v>
      </c>
      <c r="AM288" s="147">
        <f t="shared" si="434"/>
        <v>308.5969555179247</v>
      </c>
      <c r="AO288">
        <f t="shared" si="435"/>
        <v>72</v>
      </c>
      <c r="AP288">
        <f t="shared" si="436"/>
        <v>308.5969555179247</v>
      </c>
      <c r="AR288" s="5">
        <f t="shared" si="406"/>
        <v>3.2404726687004386</v>
      </c>
      <c r="AS288" s="5">
        <f t="shared" si="385"/>
        <v>1.593572232042423</v>
      </c>
      <c r="AT288" s="5">
        <f t="shared" si="386"/>
        <v>1.6469004366580156</v>
      </c>
      <c r="AU288" s="153">
        <f t="shared" si="387"/>
        <v>0.4917715392061956</v>
      </c>
      <c r="CI288" s="59">
        <f t="shared" si="437"/>
        <v>-50</v>
      </c>
    </row>
    <row r="289" spans="5:87" x14ac:dyDescent="0.25">
      <c r="E289" s="150">
        <v>73</v>
      </c>
      <c r="F289" s="191">
        <f t="shared" si="438"/>
        <v>7.2999999999999995E-2</v>
      </c>
      <c r="G289" s="191">
        <f t="shared" si="407"/>
        <v>7.2999999999999995E-2</v>
      </c>
      <c r="H289" s="191">
        <f t="shared" si="408"/>
        <v>1.46</v>
      </c>
      <c r="I289" s="191">
        <f t="shared" si="409"/>
        <v>1.1679999999999999</v>
      </c>
      <c r="J289" s="472">
        <f t="shared" si="410"/>
        <v>21</v>
      </c>
      <c r="K289" s="386">
        <f t="shared" si="411"/>
        <v>20.32</v>
      </c>
      <c r="L289" s="386">
        <f t="shared" si="412"/>
        <v>41.32</v>
      </c>
      <c r="M289" s="386"/>
      <c r="N289" s="191">
        <f t="shared" si="413"/>
        <v>0.49177153920619554</v>
      </c>
      <c r="O289" s="152">
        <f t="shared" si="414"/>
        <v>1.9363504356243948</v>
      </c>
      <c r="P289" s="152">
        <f t="shared" si="415"/>
        <v>2.7883446272991286</v>
      </c>
      <c r="Q289" s="191">
        <f t="shared" si="416"/>
        <v>9.6817521781219745E-2</v>
      </c>
      <c r="R289" s="191">
        <f t="shared" si="417"/>
        <v>0.12102190222652467</v>
      </c>
      <c r="S289" s="191">
        <f t="shared" si="418"/>
        <v>20</v>
      </c>
      <c r="T289" s="191">
        <f t="shared" si="419"/>
        <v>0.56549681289838771</v>
      </c>
      <c r="U289" s="191">
        <f t="shared" si="420"/>
        <v>1.6157051797096793</v>
      </c>
      <c r="V289" s="191">
        <f t="shared" si="421"/>
        <v>1.6697740538338222</v>
      </c>
      <c r="W289" s="175">
        <f t="shared" si="422"/>
        <v>350</v>
      </c>
      <c r="X289" s="386">
        <f t="shared" si="423"/>
        <v>304.36959996288454</v>
      </c>
      <c r="Z289" s="191">
        <f t="shared" si="424"/>
        <v>0.49177153920619554</v>
      </c>
      <c r="AA289" s="153">
        <f t="shared" si="425"/>
        <v>1.452081316553727</v>
      </c>
      <c r="AB289" s="153">
        <f t="shared" si="426"/>
        <v>6.9425636786934669E-2</v>
      </c>
      <c r="AC289" s="153"/>
      <c r="AD289" s="153">
        <f t="shared" si="427"/>
        <v>0.44291338582677164</v>
      </c>
      <c r="AE289" s="317">
        <f t="shared" si="428"/>
        <v>2197.5703703703707</v>
      </c>
      <c r="AF289" s="463">
        <f t="shared" si="429"/>
        <v>1.1626476377952754E-2</v>
      </c>
      <c r="AH289" s="153">
        <f t="shared" si="430"/>
        <v>0.50028563269967519</v>
      </c>
      <c r="AI289" s="153">
        <f t="shared" si="431"/>
        <v>0.56549681289838771</v>
      </c>
      <c r="AJ289" s="153">
        <f t="shared" si="432"/>
        <v>1.5077754169617685</v>
      </c>
      <c r="AL289" s="317">
        <f t="shared" si="433"/>
        <v>73</v>
      </c>
      <c r="AM289" s="147">
        <f t="shared" si="434"/>
        <v>304.36959996288454</v>
      </c>
      <c r="AO289">
        <f t="shared" si="435"/>
        <v>73</v>
      </c>
      <c r="AP289">
        <f t="shared" si="436"/>
        <v>304.36959996288454</v>
      </c>
      <c r="AR289" s="5">
        <f t="shared" si="406"/>
        <v>3.2854792335435015</v>
      </c>
      <c r="AS289" s="5">
        <f t="shared" si="385"/>
        <v>1.6157051797096793</v>
      </c>
      <c r="AT289" s="5">
        <f t="shared" si="386"/>
        <v>1.6697740538338222</v>
      </c>
      <c r="AU289" s="153">
        <f t="shared" si="387"/>
        <v>0.49177153920619554</v>
      </c>
      <c r="CI289" s="59">
        <f t="shared" si="437"/>
        <v>-50</v>
      </c>
    </row>
    <row r="290" spans="5:87" x14ac:dyDescent="0.25">
      <c r="E290" s="150">
        <v>74</v>
      </c>
      <c r="F290" s="191">
        <f t="shared" si="438"/>
        <v>7.3999999999999996E-2</v>
      </c>
      <c r="G290" s="191">
        <f t="shared" si="407"/>
        <v>7.3999999999999996E-2</v>
      </c>
      <c r="H290" s="191">
        <f t="shared" si="408"/>
        <v>1.48</v>
      </c>
      <c r="I290" s="191">
        <f t="shared" si="409"/>
        <v>1.1839999999999999</v>
      </c>
      <c r="J290" s="472">
        <f t="shared" si="410"/>
        <v>21</v>
      </c>
      <c r="K290" s="386">
        <f t="shared" si="411"/>
        <v>20.32</v>
      </c>
      <c r="L290" s="386">
        <f t="shared" si="412"/>
        <v>41.32</v>
      </c>
      <c r="M290" s="386"/>
      <c r="N290" s="191">
        <f t="shared" si="413"/>
        <v>0.49177153920619554</v>
      </c>
      <c r="O290" s="152">
        <f t="shared" si="414"/>
        <v>1.9363504356243948</v>
      </c>
      <c r="P290" s="152">
        <f t="shared" si="415"/>
        <v>2.7883446272991286</v>
      </c>
      <c r="Q290" s="191">
        <f t="shared" si="416"/>
        <v>9.6817521781219745E-2</v>
      </c>
      <c r="R290" s="191">
        <f t="shared" si="417"/>
        <v>0.12102190222652467</v>
      </c>
      <c r="S290" s="191">
        <f t="shared" si="418"/>
        <v>20</v>
      </c>
      <c r="T290" s="191">
        <f t="shared" si="419"/>
        <v>0.57324334458192716</v>
      </c>
      <c r="U290" s="191">
        <f t="shared" si="420"/>
        <v>1.6378381273769349</v>
      </c>
      <c r="V290" s="191">
        <f t="shared" si="421"/>
        <v>1.6926476710096274</v>
      </c>
      <c r="W290" s="175">
        <f t="shared" si="422"/>
        <v>350</v>
      </c>
      <c r="X290" s="386">
        <f t="shared" si="423"/>
        <v>300.25649726068343</v>
      </c>
      <c r="Z290" s="191">
        <f t="shared" si="424"/>
        <v>0.49177153920619554</v>
      </c>
      <c r="AA290" s="153">
        <f t="shared" si="425"/>
        <v>1.452081316553727</v>
      </c>
      <c r="AB290" s="153">
        <f t="shared" si="426"/>
        <v>6.9425636786934669E-2</v>
      </c>
      <c r="AC290" s="153"/>
      <c r="AD290" s="153">
        <f t="shared" si="427"/>
        <v>0.44291338582677164</v>
      </c>
      <c r="AE290" s="317">
        <f t="shared" si="428"/>
        <v>2227.6740740740743</v>
      </c>
      <c r="AF290" s="463">
        <f t="shared" si="429"/>
        <v>1.1626476377952754E-2</v>
      </c>
      <c r="AH290" s="153">
        <f t="shared" si="430"/>
        <v>0.50370059133803458</v>
      </c>
      <c r="AI290" s="153">
        <f t="shared" si="431"/>
        <v>0.57324334458192716</v>
      </c>
      <c r="AJ290" s="153">
        <f t="shared" si="432"/>
        <v>1.5135135885792053</v>
      </c>
      <c r="AL290" s="317">
        <f t="shared" si="433"/>
        <v>74</v>
      </c>
      <c r="AM290" s="147">
        <f t="shared" si="434"/>
        <v>300.25649726068343</v>
      </c>
      <c r="AO290">
        <f t="shared" si="435"/>
        <v>74</v>
      </c>
      <c r="AP290">
        <f t="shared" si="436"/>
        <v>300.25649726068343</v>
      </c>
      <c r="AR290" s="5">
        <f t="shared" si="406"/>
        <v>3.3304857983865626</v>
      </c>
      <c r="AS290" s="5">
        <f t="shared" si="385"/>
        <v>1.6378381273769349</v>
      </c>
      <c r="AT290" s="5">
        <f t="shared" si="386"/>
        <v>1.6926476710096277</v>
      </c>
      <c r="AU290" s="153">
        <f t="shared" si="387"/>
        <v>0.49177153920619554</v>
      </c>
      <c r="CI290" s="59">
        <f t="shared" si="437"/>
        <v>-50</v>
      </c>
    </row>
    <row r="291" spans="5:87" x14ac:dyDescent="0.25">
      <c r="E291" s="150">
        <v>75</v>
      </c>
      <c r="F291" s="191">
        <f t="shared" si="438"/>
        <v>7.5000000000000011E-2</v>
      </c>
      <c r="G291" s="191">
        <f t="shared" si="407"/>
        <v>7.5000000000000011E-2</v>
      </c>
      <c r="H291" s="191">
        <f t="shared" si="408"/>
        <v>1.5000000000000002</v>
      </c>
      <c r="I291" s="191">
        <f t="shared" si="409"/>
        <v>1.2000000000000002</v>
      </c>
      <c r="J291" s="472">
        <f t="shared" si="410"/>
        <v>21</v>
      </c>
      <c r="K291" s="386">
        <f t="shared" si="411"/>
        <v>20.32</v>
      </c>
      <c r="L291" s="386">
        <f t="shared" si="412"/>
        <v>41.32</v>
      </c>
      <c r="M291" s="386"/>
      <c r="N291" s="191">
        <f t="shared" si="413"/>
        <v>0.49177153920619554</v>
      </c>
      <c r="O291" s="152">
        <f t="shared" si="414"/>
        <v>1.9363504356243948</v>
      </c>
      <c r="P291" s="152">
        <f t="shared" si="415"/>
        <v>2.7883446272991286</v>
      </c>
      <c r="Q291" s="191">
        <f t="shared" si="416"/>
        <v>9.6817521781219745E-2</v>
      </c>
      <c r="R291" s="191">
        <f t="shared" si="417"/>
        <v>0.12102190222652467</v>
      </c>
      <c r="S291" s="191">
        <f t="shared" si="418"/>
        <v>20</v>
      </c>
      <c r="T291" s="191">
        <f t="shared" si="419"/>
        <v>0.58098987626546683</v>
      </c>
      <c r="U291" s="191">
        <f t="shared" si="420"/>
        <v>1.6599710750441909</v>
      </c>
      <c r="V291" s="191">
        <f t="shared" si="421"/>
        <v>1.7155212881854336</v>
      </c>
      <c r="W291" s="175">
        <f t="shared" si="422"/>
        <v>350</v>
      </c>
      <c r="X291" s="386">
        <f t="shared" si="423"/>
        <v>296.2530772972076</v>
      </c>
      <c r="Z291" s="191">
        <f t="shared" si="424"/>
        <v>0.49177153920619554</v>
      </c>
      <c r="AA291" s="153">
        <f t="shared" si="425"/>
        <v>1.452081316553727</v>
      </c>
      <c r="AB291" s="153">
        <f t="shared" si="426"/>
        <v>6.9425636786934669E-2</v>
      </c>
      <c r="AC291" s="153"/>
      <c r="AD291" s="153">
        <f t="shared" si="427"/>
        <v>0.44291338582677164</v>
      </c>
      <c r="AE291" s="317">
        <f t="shared" si="428"/>
        <v>2257.7777777777783</v>
      </c>
      <c r="AF291" s="463">
        <f t="shared" si="429"/>
        <v>1.1626476377952754E-2</v>
      </c>
      <c r="AH291" s="153">
        <f t="shared" si="430"/>
        <v>0.50709255283710997</v>
      </c>
      <c r="AI291" s="153">
        <f t="shared" si="431"/>
        <v>0.58098987626546683</v>
      </c>
      <c r="AJ291" s="153">
        <f t="shared" si="432"/>
        <v>1.519251760196642</v>
      </c>
      <c r="AL291" s="317">
        <f t="shared" si="433"/>
        <v>75.000000000000014</v>
      </c>
      <c r="AM291" s="147">
        <f t="shared" si="434"/>
        <v>296.2530772972076</v>
      </c>
      <c r="AO291">
        <f t="shared" si="435"/>
        <v>75.000000000000014</v>
      </c>
      <c r="AP291">
        <f t="shared" si="436"/>
        <v>296.2530772972076</v>
      </c>
      <c r="AR291" s="5">
        <f t="shared" si="406"/>
        <v>3.3754923632296245</v>
      </c>
      <c r="AS291" s="5">
        <f t="shared" si="385"/>
        <v>1.6599710750441909</v>
      </c>
      <c r="AT291" s="5">
        <f t="shared" si="386"/>
        <v>1.7155212881854336</v>
      </c>
      <c r="AU291" s="153">
        <f t="shared" si="387"/>
        <v>0.49177153920619554</v>
      </c>
      <c r="CI291" s="59">
        <f t="shared" si="437"/>
        <v>-50</v>
      </c>
    </row>
    <row r="292" spans="5:87" x14ac:dyDescent="0.25">
      <c r="E292" s="150">
        <v>76</v>
      </c>
      <c r="F292" s="191">
        <f t="shared" si="438"/>
        <v>7.6000000000000012E-2</v>
      </c>
      <c r="G292" s="191">
        <f t="shared" si="407"/>
        <v>7.6000000000000012E-2</v>
      </c>
      <c r="H292" s="191">
        <f t="shared" si="408"/>
        <v>1.5200000000000002</v>
      </c>
      <c r="I292" s="191">
        <f t="shared" si="409"/>
        <v>1.2160000000000002</v>
      </c>
      <c r="J292" s="472">
        <f t="shared" si="410"/>
        <v>21</v>
      </c>
      <c r="K292" s="386">
        <f t="shared" si="411"/>
        <v>20.32</v>
      </c>
      <c r="L292" s="386">
        <f t="shared" si="412"/>
        <v>41.32</v>
      </c>
      <c r="M292" s="386"/>
      <c r="N292" s="191">
        <f t="shared" si="413"/>
        <v>0.49177153920619554</v>
      </c>
      <c r="O292" s="152">
        <f t="shared" si="414"/>
        <v>1.9363504356243948</v>
      </c>
      <c r="P292" s="152">
        <f t="shared" si="415"/>
        <v>2.7883446272991286</v>
      </c>
      <c r="Q292" s="191">
        <f t="shared" si="416"/>
        <v>9.6817521781219745E-2</v>
      </c>
      <c r="R292" s="191">
        <f t="shared" si="417"/>
        <v>0.12102190222652467</v>
      </c>
      <c r="S292" s="191">
        <f t="shared" si="418"/>
        <v>20</v>
      </c>
      <c r="T292" s="191">
        <f t="shared" si="419"/>
        <v>0.5887364079490065</v>
      </c>
      <c r="U292" s="191">
        <f t="shared" si="420"/>
        <v>1.6821040227114472</v>
      </c>
      <c r="V292" s="191">
        <f t="shared" si="421"/>
        <v>1.7383949053612398</v>
      </c>
      <c r="W292" s="175">
        <f t="shared" si="422"/>
        <v>350</v>
      </c>
      <c r="X292" s="386">
        <f t="shared" si="423"/>
        <v>292.35501049066539</v>
      </c>
      <c r="Z292" s="191">
        <f t="shared" si="424"/>
        <v>0.49177153920619554</v>
      </c>
      <c r="AA292" s="153">
        <f t="shared" si="425"/>
        <v>1.452081316553727</v>
      </c>
      <c r="AB292" s="153">
        <f t="shared" si="426"/>
        <v>6.9425636786934669E-2</v>
      </c>
      <c r="AC292" s="153"/>
      <c r="AD292" s="153">
        <f t="shared" si="427"/>
        <v>0.44291338582677164</v>
      </c>
      <c r="AE292" s="317">
        <f t="shared" si="428"/>
        <v>2287.8814814814823</v>
      </c>
      <c r="AF292" s="463">
        <f t="shared" si="429"/>
        <v>1.1626476377952754E-2</v>
      </c>
      <c r="AH292" s="153">
        <f t="shared" si="430"/>
        <v>0.51046197563719531</v>
      </c>
      <c r="AI292" s="153">
        <f t="shared" si="431"/>
        <v>0.5887364079490065</v>
      </c>
      <c r="AJ292" s="153">
        <f t="shared" si="432"/>
        <v>1.5249899318140789</v>
      </c>
      <c r="AL292" s="317">
        <f t="shared" si="433"/>
        <v>76.000000000000014</v>
      </c>
      <c r="AM292" s="147">
        <f t="shared" si="434"/>
        <v>292.35501049066539</v>
      </c>
      <c r="AO292">
        <f t="shared" si="435"/>
        <v>76.000000000000014</v>
      </c>
      <c r="AP292">
        <f t="shared" si="436"/>
        <v>292.35501049066539</v>
      </c>
      <c r="AR292" s="5">
        <f t="shared" si="406"/>
        <v>3.4204989280726865</v>
      </c>
      <c r="AS292" s="5">
        <f t="shared" si="385"/>
        <v>1.6821040227114472</v>
      </c>
      <c r="AT292" s="5">
        <f t="shared" si="386"/>
        <v>1.7383949053612393</v>
      </c>
      <c r="AU292" s="153">
        <f t="shared" si="387"/>
        <v>0.4917715392061956</v>
      </c>
      <c r="CI292" s="59">
        <f t="shared" si="437"/>
        <v>-50</v>
      </c>
    </row>
    <row r="293" spans="5:87" x14ac:dyDescent="0.25">
      <c r="E293" s="150">
        <v>77</v>
      </c>
      <c r="F293" s="191">
        <f t="shared" si="438"/>
        <v>7.7000000000000013E-2</v>
      </c>
      <c r="G293" s="191">
        <f t="shared" si="407"/>
        <v>7.7000000000000013E-2</v>
      </c>
      <c r="H293" s="191">
        <f t="shared" si="408"/>
        <v>1.5400000000000003</v>
      </c>
      <c r="I293" s="191">
        <f t="shared" si="409"/>
        <v>1.2320000000000002</v>
      </c>
      <c r="J293" s="472">
        <f t="shared" si="410"/>
        <v>21</v>
      </c>
      <c r="K293" s="386">
        <f t="shared" si="411"/>
        <v>20.32</v>
      </c>
      <c r="L293" s="386">
        <f t="shared" si="412"/>
        <v>41.32</v>
      </c>
      <c r="M293" s="386"/>
      <c r="N293" s="191">
        <f t="shared" si="413"/>
        <v>0.49177153920619554</v>
      </c>
      <c r="O293" s="152">
        <f t="shared" si="414"/>
        <v>1.9363504356243948</v>
      </c>
      <c r="P293" s="152">
        <f t="shared" si="415"/>
        <v>2.7883446272991286</v>
      </c>
      <c r="Q293" s="191">
        <f t="shared" si="416"/>
        <v>9.6817521781219745E-2</v>
      </c>
      <c r="R293" s="191">
        <f t="shared" si="417"/>
        <v>0.12102190222652467</v>
      </c>
      <c r="S293" s="191">
        <f t="shared" si="418"/>
        <v>20</v>
      </c>
      <c r="T293" s="191">
        <f t="shared" si="419"/>
        <v>0.59648293963254595</v>
      </c>
      <c r="U293" s="191">
        <f t="shared" si="420"/>
        <v>1.7042369703787028</v>
      </c>
      <c r="V293" s="191">
        <f t="shared" si="421"/>
        <v>1.761268522537045</v>
      </c>
      <c r="W293" s="175">
        <f t="shared" si="422"/>
        <v>350</v>
      </c>
      <c r="X293" s="386">
        <f t="shared" si="423"/>
        <v>288.55819217260489</v>
      </c>
      <c r="Z293" s="191">
        <f t="shared" si="424"/>
        <v>0.49177153920619554</v>
      </c>
      <c r="AA293" s="153">
        <f t="shared" si="425"/>
        <v>1.452081316553727</v>
      </c>
      <c r="AB293" s="153">
        <f t="shared" si="426"/>
        <v>6.9425636786934669E-2</v>
      </c>
      <c r="AC293" s="153"/>
      <c r="AD293" s="153">
        <f t="shared" si="427"/>
        <v>0.44291338582677164</v>
      </c>
      <c r="AE293" s="317">
        <f t="shared" si="428"/>
        <v>2317.9851851851863</v>
      </c>
      <c r="AF293" s="463">
        <f t="shared" si="429"/>
        <v>1.1626476377952754E-2</v>
      </c>
      <c r="AH293" s="153">
        <f t="shared" si="430"/>
        <v>0.51380930314660522</v>
      </c>
      <c r="AI293" s="153">
        <f t="shared" si="431"/>
        <v>0.59648293963254595</v>
      </c>
      <c r="AJ293" s="153">
        <f t="shared" si="432"/>
        <v>1.5307281034315154</v>
      </c>
      <c r="AL293" s="317">
        <f t="shared" si="433"/>
        <v>77.000000000000014</v>
      </c>
      <c r="AM293" s="147">
        <f t="shared" si="434"/>
        <v>288.55819217260489</v>
      </c>
      <c r="AO293">
        <f t="shared" si="435"/>
        <v>77.000000000000014</v>
      </c>
      <c r="AP293">
        <f t="shared" si="436"/>
        <v>288.55819217260489</v>
      </c>
      <c r="AR293" s="5">
        <f t="shared" si="406"/>
        <v>3.4655054929157472</v>
      </c>
      <c r="AS293" s="5">
        <f t="shared" si="385"/>
        <v>1.7042369703787028</v>
      </c>
      <c r="AT293" s="5">
        <f t="shared" si="386"/>
        <v>1.7612685225370444</v>
      </c>
      <c r="AU293" s="153">
        <f t="shared" si="387"/>
        <v>0.49177153920619565</v>
      </c>
      <c r="CI293" s="59">
        <f t="shared" si="437"/>
        <v>-50</v>
      </c>
    </row>
    <row r="294" spans="5:87" x14ac:dyDescent="0.25">
      <c r="E294" s="150">
        <v>78</v>
      </c>
      <c r="F294" s="191">
        <f t="shared" si="438"/>
        <v>7.8000000000000014E-2</v>
      </c>
      <c r="G294" s="191">
        <f t="shared" si="407"/>
        <v>7.8000000000000014E-2</v>
      </c>
      <c r="H294" s="191">
        <f t="shared" si="408"/>
        <v>1.5600000000000003</v>
      </c>
      <c r="I294" s="191">
        <f t="shared" si="409"/>
        <v>1.2480000000000002</v>
      </c>
      <c r="J294" s="472">
        <f t="shared" si="410"/>
        <v>21</v>
      </c>
      <c r="K294" s="386">
        <f t="shared" si="411"/>
        <v>20.32</v>
      </c>
      <c r="L294" s="386">
        <f t="shared" si="412"/>
        <v>41.32</v>
      </c>
      <c r="M294" s="386"/>
      <c r="N294" s="191">
        <f t="shared" si="413"/>
        <v>0.49177153920619554</v>
      </c>
      <c r="O294" s="152">
        <f t="shared" si="414"/>
        <v>1.9363504356243948</v>
      </c>
      <c r="P294" s="152">
        <f t="shared" si="415"/>
        <v>2.7883446272991286</v>
      </c>
      <c r="Q294" s="191">
        <f t="shared" si="416"/>
        <v>9.6817521781219745E-2</v>
      </c>
      <c r="R294" s="191">
        <f t="shared" si="417"/>
        <v>0.12102190222652467</v>
      </c>
      <c r="S294" s="191">
        <f t="shared" si="418"/>
        <v>20</v>
      </c>
      <c r="T294" s="191">
        <f t="shared" si="419"/>
        <v>0.60422947131608562</v>
      </c>
      <c r="U294" s="191">
        <f t="shared" si="420"/>
        <v>1.7263699180459591</v>
      </c>
      <c r="V294" s="191">
        <f t="shared" si="421"/>
        <v>1.7841421397128514</v>
      </c>
      <c r="W294" s="175">
        <f t="shared" si="422"/>
        <v>350</v>
      </c>
      <c r="X294" s="386">
        <f t="shared" si="423"/>
        <v>284.85872817039188</v>
      </c>
      <c r="Z294" s="191">
        <f t="shared" si="424"/>
        <v>0.49177153920619554</v>
      </c>
      <c r="AA294" s="153">
        <f t="shared" si="425"/>
        <v>1.452081316553727</v>
      </c>
      <c r="AB294" s="153">
        <f t="shared" si="426"/>
        <v>6.9425636786934669E-2</v>
      </c>
      <c r="AC294" s="153"/>
      <c r="AD294" s="153">
        <f t="shared" si="427"/>
        <v>0.44291338582677164</v>
      </c>
      <c r="AE294" s="317">
        <f t="shared" si="428"/>
        <v>2348.0888888888894</v>
      </c>
      <c r="AF294" s="463">
        <f t="shared" si="429"/>
        <v>1.1626476377952754E-2</v>
      </c>
      <c r="AH294" s="153">
        <f t="shared" si="430"/>
        <v>0.51713496442280082</v>
      </c>
      <c r="AI294" s="153">
        <f t="shared" si="431"/>
        <v>0.60422947131608562</v>
      </c>
      <c r="AJ294" s="153">
        <f t="shared" si="432"/>
        <v>1.5364662750489522</v>
      </c>
      <c r="AL294" s="317">
        <f t="shared" si="433"/>
        <v>78.000000000000014</v>
      </c>
      <c r="AM294" s="147">
        <f t="shared" si="434"/>
        <v>284.85872817039188</v>
      </c>
      <c r="AO294">
        <f t="shared" si="435"/>
        <v>78.000000000000014</v>
      </c>
      <c r="AP294">
        <f t="shared" si="436"/>
        <v>284.85872817039188</v>
      </c>
      <c r="AR294" s="5">
        <f t="shared" si="406"/>
        <v>3.51051205775881</v>
      </c>
      <c r="AS294" s="5">
        <f t="shared" si="385"/>
        <v>1.7263699180459591</v>
      </c>
      <c r="AT294" s="5">
        <f t="shared" si="386"/>
        <v>1.784142139712851</v>
      </c>
      <c r="AU294" s="153">
        <f t="shared" si="387"/>
        <v>0.4917715392061956</v>
      </c>
      <c r="CI294" s="59">
        <f t="shared" si="437"/>
        <v>-50</v>
      </c>
    </row>
    <row r="295" spans="5:87" x14ac:dyDescent="0.25">
      <c r="E295" s="150">
        <v>79</v>
      </c>
      <c r="F295" s="191">
        <f t="shared" si="438"/>
        <v>7.9000000000000015E-2</v>
      </c>
      <c r="G295" s="191">
        <f t="shared" si="407"/>
        <v>7.9000000000000015E-2</v>
      </c>
      <c r="H295" s="191">
        <f t="shared" si="408"/>
        <v>1.5800000000000003</v>
      </c>
      <c r="I295" s="191">
        <f t="shared" si="409"/>
        <v>1.2640000000000002</v>
      </c>
      <c r="J295" s="472">
        <f t="shared" si="410"/>
        <v>21</v>
      </c>
      <c r="K295" s="386">
        <f t="shared" si="411"/>
        <v>20.32</v>
      </c>
      <c r="L295" s="386">
        <f t="shared" si="412"/>
        <v>41.32</v>
      </c>
      <c r="M295" s="386"/>
      <c r="N295" s="191">
        <f t="shared" si="413"/>
        <v>0.49177153920619554</v>
      </c>
      <c r="O295" s="152">
        <f t="shared" si="414"/>
        <v>1.9363504356243948</v>
      </c>
      <c r="P295" s="152">
        <f t="shared" si="415"/>
        <v>2.7883446272991286</v>
      </c>
      <c r="Q295" s="191">
        <f t="shared" si="416"/>
        <v>9.6817521781219745E-2</v>
      </c>
      <c r="R295" s="191">
        <f t="shared" si="417"/>
        <v>0.12102190222652467</v>
      </c>
      <c r="S295" s="191">
        <f t="shared" si="418"/>
        <v>20</v>
      </c>
      <c r="T295" s="191">
        <f t="shared" si="419"/>
        <v>0.61197600299962507</v>
      </c>
      <c r="U295" s="191">
        <f t="shared" si="420"/>
        <v>1.7485028657132147</v>
      </c>
      <c r="V295" s="191">
        <f t="shared" si="421"/>
        <v>1.8070157568886567</v>
      </c>
      <c r="W295" s="175">
        <f t="shared" si="422"/>
        <v>350</v>
      </c>
      <c r="X295" s="386">
        <f t="shared" si="423"/>
        <v>281.25292148469077</v>
      </c>
      <c r="Z295" s="191">
        <f t="shared" si="424"/>
        <v>0.49177153920619554</v>
      </c>
      <c r="AA295" s="153">
        <f t="shared" si="425"/>
        <v>1.452081316553727</v>
      </c>
      <c r="AB295" s="153">
        <f t="shared" si="426"/>
        <v>6.9425636786934669E-2</v>
      </c>
      <c r="AC295" s="153"/>
      <c r="AD295" s="153">
        <f t="shared" si="427"/>
        <v>0.44291338582677164</v>
      </c>
      <c r="AE295" s="317">
        <f t="shared" si="428"/>
        <v>2378.1925925925934</v>
      </c>
      <c r="AF295" s="463">
        <f t="shared" si="429"/>
        <v>1.1626476377952754E-2</v>
      </c>
      <c r="AH295" s="153">
        <f t="shared" si="430"/>
        <v>0.52043937481434177</v>
      </c>
      <c r="AI295" s="153">
        <f t="shared" si="431"/>
        <v>0.61197600299962507</v>
      </c>
      <c r="AJ295" s="153">
        <f t="shared" si="432"/>
        <v>1.5422044466663889</v>
      </c>
      <c r="AL295" s="317">
        <f t="shared" si="433"/>
        <v>79.000000000000014</v>
      </c>
      <c r="AM295" s="147">
        <f t="shared" si="434"/>
        <v>281.25292148469077</v>
      </c>
      <c r="AO295">
        <f t="shared" si="435"/>
        <v>79.000000000000014</v>
      </c>
      <c r="AP295">
        <f t="shared" si="436"/>
        <v>281.25292148469077</v>
      </c>
      <c r="AR295" s="5">
        <f t="shared" si="406"/>
        <v>3.5555186226018711</v>
      </c>
      <c r="AS295" s="5">
        <f t="shared" si="385"/>
        <v>1.7485028657132147</v>
      </c>
      <c r="AT295" s="5">
        <f t="shared" si="386"/>
        <v>1.8070157568886565</v>
      </c>
      <c r="AU295" s="153">
        <f t="shared" si="387"/>
        <v>0.4917715392061956</v>
      </c>
      <c r="CI295" s="59">
        <f t="shared" si="437"/>
        <v>-50</v>
      </c>
    </row>
    <row r="296" spans="5:87" x14ac:dyDescent="0.25">
      <c r="E296" s="150">
        <v>80</v>
      </c>
      <c r="F296" s="191">
        <f t="shared" si="438"/>
        <v>8.0000000000000016E-2</v>
      </c>
      <c r="G296" s="191">
        <f t="shared" si="407"/>
        <v>8.0000000000000016E-2</v>
      </c>
      <c r="H296" s="191">
        <f t="shared" si="408"/>
        <v>1.6000000000000003</v>
      </c>
      <c r="I296" s="191">
        <f t="shared" si="409"/>
        <v>1.2800000000000002</v>
      </c>
      <c r="J296" s="472">
        <f t="shared" si="410"/>
        <v>21</v>
      </c>
      <c r="K296" s="386">
        <f t="shared" si="411"/>
        <v>20.32</v>
      </c>
      <c r="L296" s="386">
        <f t="shared" si="412"/>
        <v>41.32</v>
      </c>
      <c r="M296" s="386"/>
      <c r="N296" s="191">
        <f t="shared" si="413"/>
        <v>0.49177153920619554</v>
      </c>
      <c r="O296" s="152">
        <f t="shared" si="414"/>
        <v>1.9363504356243948</v>
      </c>
      <c r="P296" s="152">
        <f t="shared" si="415"/>
        <v>2.7883446272991286</v>
      </c>
      <c r="Q296" s="191">
        <f t="shared" si="416"/>
        <v>9.6817521781219745E-2</v>
      </c>
      <c r="R296" s="191">
        <f t="shared" si="417"/>
        <v>0.12102190222652467</v>
      </c>
      <c r="S296" s="191">
        <f t="shared" si="418"/>
        <v>20</v>
      </c>
      <c r="T296" s="191">
        <f t="shared" si="419"/>
        <v>0.61972253468316474</v>
      </c>
      <c r="U296" s="191">
        <f t="shared" si="420"/>
        <v>1.7706358133804707</v>
      </c>
      <c r="V296" s="191">
        <f t="shared" si="421"/>
        <v>1.8298893740644628</v>
      </c>
      <c r="W296" s="175">
        <f t="shared" si="422"/>
        <v>350</v>
      </c>
      <c r="X296" s="386">
        <f t="shared" si="423"/>
        <v>277.73725996613206</v>
      </c>
      <c r="Z296" s="191">
        <f t="shared" si="424"/>
        <v>0.49177153920619554</v>
      </c>
      <c r="AA296" s="153">
        <f t="shared" si="425"/>
        <v>1.452081316553727</v>
      </c>
      <c r="AB296" s="153">
        <f t="shared" si="426"/>
        <v>6.9425636786934669E-2</v>
      </c>
      <c r="AC296" s="153"/>
      <c r="AD296" s="153">
        <f t="shared" si="427"/>
        <v>0.44291338582677164</v>
      </c>
      <c r="AE296" s="317">
        <f t="shared" si="428"/>
        <v>2408.296296296297</v>
      </c>
      <c r="AF296" s="463">
        <f t="shared" si="429"/>
        <v>1.1626476377952754E-2</v>
      </c>
      <c r="AH296" s="153">
        <f t="shared" si="430"/>
        <v>0.5237229365663818</v>
      </c>
      <c r="AI296" s="153">
        <f t="shared" si="431"/>
        <v>0.61972253468316474</v>
      </c>
      <c r="AJ296" s="153">
        <f t="shared" si="432"/>
        <v>1.5479426182838256</v>
      </c>
      <c r="AL296" s="317">
        <f t="shared" si="433"/>
        <v>80.000000000000014</v>
      </c>
      <c r="AM296" s="147">
        <f t="shared" si="434"/>
        <v>277.73725996613206</v>
      </c>
      <c r="AO296">
        <f t="shared" si="435"/>
        <v>80.000000000000014</v>
      </c>
      <c r="AP296">
        <f t="shared" si="436"/>
        <v>277.73725996613206</v>
      </c>
      <c r="AR296" s="5">
        <f t="shared" si="406"/>
        <v>3.600525187444934</v>
      </c>
      <c r="AS296" s="5">
        <f t="shared" si="385"/>
        <v>1.7706358133804707</v>
      </c>
      <c r="AT296" s="5">
        <f t="shared" si="386"/>
        <v>1.8298893740644633</v>
      </c>
      <c r="AU296" s="153">
        <f t="shared" si="387"/>
        <v>0.49177153920619548</v>
      </c>
      <c r="CI296" s="59">
        <f t="shared" si="437"/>
        <v>-50</v>
      </c>
    </row>
    <row r="297" spans="5:87" x14ac:dyDescent="0.25">
      <c r="E297" s="150">
        <v>81</v>
      </c>
      <c r="F297" s="191">
        <f t="shared" si="438"/>
        <v>8.1000000000000016E-2</v>
      </c>
      <c r="G297" s="191">
        <f t="shared" si="407"/>
        <v>8.1000000000000016E-2</v>
      </c>
      <c r="H297" s="191">
        <f t="shared" si="408"/>
        <v>1.6200000000000003</v>
      </c>
      <c r="I297" s="191">
        <f t="shared" si="409"/>
        <v>1.2960000000000003</v>
      </c>
      <c r="J297" s="472">
        <f t="shared" si="410"/>
        <v>21</v>
      </c>
      <c r="K297" s="386">
        <f t="shared" si="411"/>
        <v>20.32</v>
      </c>
      <c r="L297" s="386">
        <f t="shared" si="412"/>
        <v>41.32</v>
      </c>
      <c r="M297" s="386"/>
      <c r="N297" s="191">
        <f t="shared" si="413"/>
        <v>0.49177153920619554</v>
      </c>
      <c r="O297" s="152">
        <f t="shared" si="414"/>
        <v>1.9363504356243948</v>
      </c>
      <c r="P297" s="152">
        <f t="shared" si="415"/>
        <v>2.7883446272991286</v>
      </c>
      <c r="Q297" s="191">
        <f t="shared" si="416"/>
        <v>9.6817521781219745E-2</v>
      </c>
      <c r="R297" s="191">
        <f t="shared" si="417"/>
        <v>0.12102190222652467</v>
      </c>
      <c r="S297" s="191">
        <f t="shared" si="418"/>
        <v>20</v>
      </c>
      <c r="T297" s="191">
        <f t="shared" si="419"/>
        <v>0.62746906636670419</v>
      </c>
      <c r="U297" s="191">
        <f t="shared" si="420"/>
        <v>1.7927687610477263</v>
      </c>
      <c r="V297" s="191">
        <f t="shared" si="421"/>
        <v>1.8527629912402683</v>
      </c>
      <c r="W297" s="175">
        <f t="shared" si="422"/>
        <v>350</v>
      </c>
      <c r="X297" s="386">
        <f t="shared" si="423"/>
        <v>274.30840490482188</v>
      </c>
      <c r="Z297" s="191">
        <f t="shared" si="424"/>
        <v>0.49177153920619554</v>
      </c>
      <c r="AA297" s="153">
        <f t="shared" si="425"/>
        <v>1.452081316553727</v>
      </c>
      <c r="AB297" s="153">
        <f t="shared" si="426"/>
        <v>6.9425636786934669E-2</v>
      </c>
      <c r="AC297" s="153"/>
      <c r="AD297" s="153">
        <f t="shared" si="427"/>
        <v>0.44291338582677164</v>
      </c>
      <c r="AE297" s="317">
        <f t="shared" si="428"/>
        <v>2438.400000000001</v>
      </c>
      <c r="AF297" s="463">
        <f t="shared" si="429"/>
        <v>1.1626476377952754E-2</v>
      </c>
      <c r="AH297" s="153">
        <f t="shared" si="430"/>
        <v>0.52698603939220789</v>
      </c>
      <c r="AI297" s="153">
        <f t="shared" si="431"/>
        <v>0.62746906636670419</v>
      </c>
      <c r="AJ297" s="153">
        <f t="shared" si="432"/>
        <v>1.5536807899012623</v>
      </c>
      <c r="AL297" s="317">
        <f t="shared" si="433"/>
        <v>81.000000000000014</v>
      </c>
      <c r="AM297" s="147">
        <f t="shared" si="434"/>
        <v>274.30840490482188</v>
      </c>
      <c r="AO297">
        <f t="shared" si="435"/>
        <v>81.000000000000014</v>
      </c>
      <c r="AP297">
        <f t="shared" si="436"/>
        <v>274.30840490482188</v>
      </c>
      <c r="AR297" s="5">
        <f t="shared" si="406"/>
        <v>3.6455317522879946</v>
      </c>
      <c r="AS297" s="5">
        <f t="shared" si="385"/>
        <v>1.7927687610477263</v>
      </c>
      <c r="AT297" s="5">
        <f t="shared" si="386"/>
        <v>1.8527629912402683</v>
      </c>
      <c r="AU297" s="153">
        <f t="shared" si="387"/>
        <v>0.49177153920619554</v>
      </c>
      <c r="CI297" s="59">
        <f t="shared" si="437"/>
        <v>-50</v>
      </c>
    </row>
    <row r="298" spans="5:87" x14ac:dyDescent="0.25">
      <c r="E298" s="150">
        <v>82</v>
      </c>
      <c r="F298" s="191">
        <f t="shared" si="438"/>
        <v>8.2000000000000003E-2</v>
      </c>
      <c r="G298" s="191">
        <f t="shared" si="407"/>
        <v>8.2000000000000003E-2</v>
      </c>
      <c r="H298" s="191">
        <f t="shared" si="408"/>
        <v>1.6400000000000001</v>
      </c>
      <c r="I298" s="191">
        <f t="shared" si="409"/>
        <v>1.3120000000000001</v>
      </c>
      <c r="J298" s="472">
        <f t="shared" si="410"/>
        <v>21</v>
      </c>
      <c r="K298" s="386">
        <f t="shared" si="411"/>
        <v>20.32</v>
      </c>
      <c r="L298" s="386">
        <f t="shared" si="412"/>
        <v>41.32</v>
      </c>
      <c r="M298" s="386"/>
      <c r="N298" s="191">
        <f t="shared" si="413"/>
        <v>0.49177153920619554</v>
      </c>
      <c r="O298" s="152">
        <f t="shared" si="414"/>
        <v>1.9363504356243948</v>
      </c>
      <c r="P298" s="152">
        <f t="shared" si="415"/>
        <v>2.7883446272991286</v>
      </c>
      <c r="Q298" s="191">
        <f t="shared" si="416"/>
        <v>9.6817521781219745E-2</v>
      </c>
      <c r="R298" s="191">
        <f t="shared" si="417"/>
        <v>0.12102190222652467</v>
      </c>
      <c r="S298" s="191">
        <f t="shared" si="418"/>
        <v>20</v>
      </c>
      <c r="T298" s="191">
        <f t="shared" si="419"/>
        <v>0.63521559805024363</v>
      </c>
      <c r="U298" s="191">
        <f t="shared" si="420"/>
        <v>1.8149017087149819</v>
      </c>
      <c r="V298" s="191">
        <f t="shared" si="421"/>
        <v>1.8756366084160736</v>
      </c>
      <c r="W298" s="175">
        <f t="shared" si="422"/>
        <v>350</v>
      </c>
      <c r="X298" s="386">
        <f t="shared" si="423"/>
        <v>270.96318045476306</v>
      </c>
      <c r="Z298" s="191">
        <f t="shared" si="424"/>
        <v>0.49177153920619554</v>
      </c>
      <c r="AA298" s="153">
        <f t="shared" si="425"/>
        <v>1.452081316553727</v>
      </c>
      <c r="AB298" s="153">
        <f t="shared" si="426"/>
        <v>6.9425636786934669E-2</v>
      </c>
      <c r="AC298" s="153"/>
      <c r="AD298" s="153">
        <f t="shared" si="427"/>
        <v>0.44291338582677164</v>
      </c>
      <c r="AE298" s="317">
        <f t="shared" si="428"/>
        <v>2468.5037037037041</v>
      </c>
      <c r="AF298" s="463">
        <f t="shared" si="429"/>
        <v>1.1626476377952754E-2</v>
      </c>
      <c r="AH298" s="153">
        <f t="shared" si="430"/>
        <v>0.53022906101312206</v>
      </c>
      <c r="AI298" s="153">
        <f t="shared" si="431"/>
        <v>0.63521559805024363</v>
      </c>
      <c r="AJ298" s="153">
        <f t="shared" si="432"/>
        <v>1.5594189615186989</v>
      </c>
      <c r="AL298" s="317">
        <f t="shared" si="433"/>
        <v>82</v>
      </c>
      <c r="AM298" s="147">
        <f t="shared" si="434"/>
        <v>270.96318045476306</v>
      </c>
      <c r="AO298">
        <f t="shared" si="435"/>
        <v>82</v>
      </c>
      <c r="AP298">
        <f t="shared" si="436"/>
        <v>270.96318045476306</v>
      </c>
      <c r="AR298" s="5">
        <f t="shared" si="406"/>
        <v>3.6905383171310562</v>
      </c>
      <c r="AS298" s="5">
        <f t="shared" si="385"/>
        <v>1.8149017087149819</v>
      </c>
      <c r="AT298" s="5">
        <f t="shared" si="386"/>
        <v>1.8756366084160743</v>
      </c>
      <c r="AU298" s="153">
        <f t="shared" si="387"/>
        <v>0.49177153920619548</v>
      </c>
      <c r="CI298" s="59">
        <f t="shared" si="437"/>
        <v>-50</v>
      </c>
    </row>
    <row r="299" spans="5:87" x14ac:dyDescent="0.25">
      <c r="E299" s="150">
        <v>83</v>
      </c>
      <c r="F299" s="191">
        <f t="shared" si="438"/>
        <v>8.3000000000000004E-2</v>
      </c>
      <c r="G299" s="191">
        <f t="shared" si="407"/>
        <v>8.3000000000000004E-2</v>
      </c>
      <c r="H299" s="191">
        <f t="shared" si="408"/>
        <v>1.6600000000000001</v>
      </c>
      <c r="I299" s="191">
        <f t="shared" si="409"/>
        <v>1.3280000000000001</v>
      </c>
      <c r="J299" s="472">
        <f t="shared" si="410"/>
        <v>21</v>
      </c>
      <c r="K299" s="386">
        <f t="shared" si="411"/>
        <v>20.32</v>
      </c>
      <c r="L299" s="386">
        <f t="shared" si="412"/>
        <v>41.32</v>
      </c>
      <c r="M299" s="386"/>
      <c r="N299" s="191">
        <f t="shared" si="413"/>
        <v>0.49177153920619554</v>
      </c>
      <c r="O299" s="152">
        <f t="shared" si="414"/>
        <v>1.9363504356243948</v>
      </c>
      <c r="P299" s="152">
        <f t="shared" si="415"/>
        <v>2.7883446272991286</v>
      </c>
      <c r="Q299" s="191">
        <f t="shared" si="416"/>
        <v>9.6817521781219745E-2</v>
      </c>
      <c r="R299" s="191">
        <f t="shared" si="417"/>
        <v>0.12102190222652467</v>
      </c>
      <c r="S299" s="191">
        <f t="shared" si="418"/>
        <v>20</v>
      </c>
      <c r="T299" s="191">
        <f t="shared" si="419"/>
        <v>0.64296212973378331</v>
      </c>
      <c r="U299" s="191">
        <f t="shared" si="420"/>
        <v>1.8370346563822382</v>
      </c>
      <c r="V299" s="191">
        <f t="shared" si="421"/>
        <v>1.89851022559188</v>
      </c>
      <c r="W299" s="175">
        <f t="shared" si="422"/>
        <v>350</v>
      </c>
      <c r="X299" s="386">
        <f t="shared" si="423"/>
        <v>267.69856382277794</v>
      </c>
      <c r="Z299" s="191">
        <f t="shared" si="424"/>
        <v>0.49177153920619554</v>
      </c>
      <c r="AA299" s="153">
        <f t="shared" si="425"/>
        <v>1.452081316553727</v>
      </c>
      <c r="AB299" s="153">
        <f t="shared" si="426"/>
        <v>6.9425636786934669E-2</v>
      </c>
      <c r="AC299" s="153"/>
      <c r="AD299" s="153">
        <f t="shared" si="427"/>
        <v>0.44291338582677164</v>
      </c>
      <c r="AE299" s="317">
        <f t="shared" si="428"/>
        <v>2498.6074074074081</v>
      </c>
      <c r="AF299" s="463">
        <f t="shared" si="429"/>
        <v>1.1626476377952754E-2</v>
      </c>
      <c r="AH299" s="153">
        <f t="shared" si="430"/>
        <v>0.53345236766878124</v>
      </c>
      <c r="AI299" s="153">
        <f t="shared" si="431"/>
        <v>0.64296212973378331</v>
      </c>
      <c r="AJ299" s="153">
        <f t="shared" si="432"/>
        <v>1.5651571331361358</v>
      </c>
      <c r="AL299" s="317">
        <f t="shared" si="433"/>
        <v>83</v>
      </c>
      <c r="AM299" s="147">
        <f t="shared" si="434"/>
        <v>267.69856382277794</v>
      </c>
      <c r="AO299">
        <f t="shared" si="435"/>
        <v>83</v>
      </c>
      <c r="AP299">
        <f t="shared" si="436"/>
        <v>267.69856382277794</v>
      </c>
      <c r="AR299" s="5">
        <f t="shared" si="406"/>
        <v>3.7355448819741182</v>
      </c>
      <c r="AS299" s="5">
        <f t="shared" si="385"/>
        <v>1.8370346563822382</v>
      </c>
      <c r="AT299" s="5">
        <f t="shared" si="386"/>
        <v>1.89851022559188</v>
      </c>
      <c r="AU299" s="153">
        <f t="shared" si="387"/>
        <v>0.49177153920619554</v>
      </c>
      <c r="CI299" s="59">
        <f t="shared" si="437"/>
        <v>-50</v>
      </c>
    </row>
    <row r="300" spans="5:87" x14ac:dyDescent="0.25">
      <c r="E300" s="150">
        <v>84</v>
      </c>
      <c r="F300" s="191">
        <f t="shared" si="438"/>
        <v>8.4000000000000005E-2</v>
      </c>
      <c r="G300" s="191">
        <f t="shared" si="407"/>
        <v>8.4000000000000005E-2</v>
      </c>
      <c r="H300" s="191">
        <f t="shared" si="408"/>
        <v>1.6800000000000002</v>
      </c>
      <c r="I300" s="191">
        <f t="shared" si="409"/>
        <v>1.3440000000000001</v>
      </c>
      <c r="J300" s="472">
        <f t="shared" si="410"/>
        <v>21</v>
      </c>
      <c r="K300" s="386">
        <f t="shared" si="411"/>
        <v>20.32</v>
      </c>
      <c r="L300" s="386">
        <f t="shared" si="412"/>
        <v>41.32</v>
      </c>
      <c r="M300" s="386"/>
      <c r="N300" s="191">
        <f t="shared" si="413"/>
        <v>0.49177153920619554</v>
      </c>
      <c r="O300" s="152">
        <f t="shared" si="414"/>
        <v>1.9363504356243948</v>
      </c>
      <c r="P300" s="152">
        <f t="shared" si="415"/>
        <v>2.7883446272991286</v>
      </c>
      <c r="Q300" s="191">
        <f t="shared" si="416"/>
        <v>9.6817521781219745E-2</v>
      </c>
      <c r="R300" s="191">
        <f t="shared" si="417"/>
        <v>0.12102190222652467</v>
      </c>
      <c r="S300" s="191">
        <f t="shared" si="418"/>
        <v>20</v>
      </c>
      <c r="T300" s="191">
        <f t="shared" si="419"/>
        <v>0.65070866141732275</v>
      </c>
      <c r="U300" s="191">
        <f t="shared" si="420"/>
        <v>1.8591676040494938</v>
      </c>
      <c r="V300" s="191">
        <f t="shared" si="421"/>
        <v>1.9213838427676855</v>
      </c>
      <c r="W300" s="175">
        <f t="shared" si="422"/>
        <v>350</v>
      </c>
      <c r="X300" s="386">
        <f t="shared" si="423"/>
        <v>264.51167615822112</v>
      </c>
      <c r="Z300" s="191">
        <f t="shared" si="424"/>
        <v>0.49177153920619554</v>
      </c>
      <c r="AA300" s="153">
        <f t="shared" si="425"/>
        <v>1.452081316553727</v>
      </c>
      <c r="AB300" s="153">
        <f t="shared" si="426"/>
        <v>6.9425636786934669E-2</v>
      </c>
      <c r="AC300" s="153"/>
      <c r="AD300" s="153">
        <f t="shared" si="427"/>
        <v>0.44291338582677164</v>
      </c>
      <c r="AE300" s="317">
        <f t="shared" si="428"/>
        <v>2528.7111111111117</v>
      </c>
      <c r="AF300" s="463">
        <f t="shared" si="429"/>
        <v>1.1626476377952754E-2</v>
      </c>
      <c r="AH300" s="153">
        <f t="shared" si="430"/>
        <v>0.53665631459994956</v>
      </c>
      <c r="AI300" s="153">
        <f t="shared" si="431"/>
        <v>0.65070866141732275</v>
      </c>
      <c r="AJ300" s="153">
        <f t="shared" si="432"/>
        <v>1.5708953047535723</v>
      </c>
      <c r="AL300" s="317">
        <f t="shared" si="433"/>
        <v>84</v>
      </c>
      <c r="AM300" s="147">
        <f t="shared" si="434"/>
        <v>264.51167615822112</v>
      </c>
      <c r="AO300">
        <f t="shared" si="435"/>
        <v>84</v>
      </c>
      <c r="AP300">
        <f t="shared" si="436"/>
        <v>264.51167615822112</v>
      </c>
      <c r="AR300" s="5">
        <f t="shared" si="406"/>
        <v>3.7805514468171793</v>
      </c>
      <c r="AS300" s="5">
        <f t="shared" si="385"/>
        <v>1.8591676040494938</v>
      </c>
      <c r="AT300" s="5">
        <f t="shared" si="386"/>
        <v>1.9213838427676855</v>
      </c>
      <c r="AU300" s="153">
        <f t="shared" si="387"/>
        <v>0.49177153920619554</v>
      </c>
      <c r="CI300" s="59">
        <f t="shared" si="437"/>
        <v>-50</v>
      </c>
    </row>
    <row r="301" spans="5:87" x14ac:dyDescent="0.25">
      <c r="E301" s="150">
        <v>85</v>
      </c>
      <c r="F301" s="191">
        <f t="shared" si="438"/>
        <v>8.5000000000000006E-2</v>
      </c>
      <c r="G301" s="191">
        <f t="shared" si="407"/>
        <v>8.5000000000000006E-2</v>
      </c>
      <c r="H301" s="191">
        <f t="shared" si="408"/>
        <v>1.7000000000000002</v>
      </c>
      <c r="I301" s="191">
        <f t="shared" si="409"/>
        <v>1.36</v>
      </c>
      <c r="J301" s="472">
        <f t="shared" si="410"/>
        <v>21</v>
      </c>
      <c r="K301" s="386">
        <f t="shared" si="411"/>
        <v>20.32</v>
      </c>
      <c r="L301" s="386">
        <f t="shared" si="412"/>
        <v>41.32</v>
      </c>
      <c r="M301" s="386"/>
      <c r="N301" s="191">
        <f t="shared" si="413"/>
        <v>0.49177153920619554</v>
      </c>
      <c r="O301" s="152">
        <f t="shared" si="414"/>
        <v>1.9363504356243948</v>
      </c>
      <c r="P301" s="152">
        <f t="shared" si="415"/>
        <v>2.7883446272991286</v>
      </c>
      <c r="Q301" s="191">
        <f t="shared" si="416"/>
        <v>9.6817521781219745E-2</v>
      </c>
      <c r="R301" s="191">
        <f t="shared" si="417"/>
        <v>0.12102190222652467</v>
      </c>
      <c r="S301" s="191">
        <f t="shared" si="418"/>
        <v>20</v>
      </c>
      <c r="T301" s="191">
        <f t="shared" si="419"/>
        <v>0.65845519310086242</v>
      </c>
      <c r="U301" s="191">
        <f t="shared" si="420"/>
        <v>1.8813005517167498</v>
      </c>
      <c r="V301" s="191">
        <f t="shared" si="421"/>
        <v>1.9442574599434914</v>
      </c>
      <c r="W301" s="175">
        <f t="shared" si="422"/>
        <v>350</v>
      </c>
      <c r="X301" s="386">
        <f t="shared" si="423"/>
        <v>261.39977408577141</v>
      </c>
      <c r="Z301" s="191">
        <f t="shared" si="424"/>
        <v>0.49177153920619554</v>
      </c>
      <c r="AA301" s="153">
        <f t="shared" si="425"/>
        <v>1.452081316553727</v>
      </c>
      <c r="AB301" s="153">
        <f t="shared" si="426"/>
        <v>6.9425636786934669E-2</v>
      </c>
      <c r="AC301" s="153"/>
      <c r="AD301" s="153">
        <f t="shared" si="427"/>
        <v>0.44291338582677164</v>
      </c>
      <c r="AE301" s="317">
        <f t="shared" si="428"/>
        <v>2558.8148148148152</v>
      </c>
      <c r="AF301" s="463">
        <f t="shared" si="429"/>
        <v>1.1626476377952754E-2</v>
      </c>
      <c r="AH301" s="153">
        <f t="shared" si="430"/>
        <v>0.5398412465054625</v>
      </c>
      <c r="AI301" s="153">
        <f t="shared" si="431"/>
        <v>0.65845519310086242</v>
      </c>
      <c r="AJ301" s="153">
        <f t="shared" si="432"/>
        <v>1.576633476371009</v>
      </c>
      <c r="AL301" s="317">
        <f t="shared" si="433"/>
        <v>85</v>
      </c>
      <c r="AM301" s="147">
        <f t="shared" si="434"/>
        <v>261.39977408577141</v>
      </c>
      <c r="AO301">
        <f t="shared" si="435"/>
        <v>85</v>
      </c>
      <c r="AP301">
        <f t="shared" si="436"/>
        <v>261.39977408577141</v>
      </c>
      <c r="AR301" s="5">
        <f t="shared" si="406"/>
        <v>3.8255580116602417</v>
      </c>
      <c r="AS301" s="5">
        <f t="shared" si="385"/>
        <v>1.8813005517167498</v>
      </c>
      <c r="AT301" s="5">
        <f t="shared" si="386"/>
        <v>1.9442574599434919</v>
      </c>
      <c r="AU301" s="153">
        <f t="shared" si="387"/>
        <v>0.49177153920619548</v>
      </c>
      <c r="CI301" s="59">
        <f t="shared" si="437"/>
        <v>-50</v>
      </c>
    </row>
    <row r="302" spans="5:87" x14ac:dyDescent="0.25">
      <c r="E302" s="150">
        <v>86</v>
      </c>
      <c r="F302" s="191">
        <f t="shared" si="438"/>
        <v>8.6000000000000007E-2</v>
      </c>
      <c r="G302" s="191">
        <f t="shared" si="407"/>
        <v>8.6000000000000007E-2</v>
      </c>
      <c r="H302" s="191">
        <f t="shared" si="408"/>
        <v>1.7200000000000002</v>
      </c>
      <c r="I302" s="191">
        <f t="shared" si="409"/>
        <v>1.3760000000000001</v>
      </c>
      <c r="J302" s="472">
        <f t="shared" si="410"/>
        <v>21</v>
      </c>
      <c r="K302" s="386">
        <f t="shared" si="411"/>
        <v>20.32</v>
      </c>
      <c r="L302" s="386">
        <f t="shared" si="412"/>
        <v>41.32</v>
      </c>
      <c r="M302" s="386"/>
      <c r="N302" s="191">
        <f t="shared" si="413"/>
        <v>0.49177153920619554</v>
      </c>
      <c r="O302" s="152">
        <f t="shared" si="414"/>
        <v>1.9363504356243948</v>
      </c>
      <c r="P302" s="152">
        <f t="shared" si="415"/>
        <v>2.7883446272991286</v>
      </c>
      <c r="Q302" s="191">
        <f t="shared" si="416"/>
        <v>9.6817521781219745E-2</v>
      </c>
      <c r="R302" s="191">
        <f t="shared" si="417"/>
        <v>0.12102190222652467</v>
      </c>
      <c r="S302" s="191">
        <f t="shared" si="418"/>
        <v>20</v>
      </c>
      <c r="T302" s="191">
        <f t="shared" si="419"/>
        <v>0.66620172478440187</v>
      </c>
      <c r="U302" s="191">
        <f t="shared" si="420"/>
        <v>1.9034334993840054</v>
      </c>
      <c r="V302" s="191">
        <f t="shared" si="421"/>
        <v>1.9671310771192971</v>
      </c>
      <c r="W302" s="175">
        <f t="shared" si="422"/>
        <v>350</v>
      </c>
      <c r="X302" s="386">
        <f t="shared" si="423"/>
        <v>258.36024182896017</v>
      </c>
      <c r="Z302" s="191">
        <f t="shared" si="424"/>
        <v>0.49177153920619554</v>
      </c>
      <c r="AA302" s="153">
        <f t="shared" si="425"/>
        <v>1.452081316553727</v>
      </c>
      <c r="AB302" s="153">
        <f t="shared" si="426"/>
        <v>6.9425636786934669E-2</v>
      </c>
      <c r="AC302" s="153"/>
      <c r="AD302" s="153">
        <f t="shared" si="427"/>
        <v>0.44291338582677164</v>
      </c>
      <c r="AE302" s="317">
        <f t="shared" si="428"/>
        <v>2588.9185185185192</v>
      </c>
      <c r="AF302" s="463">
        <f t="shared" si="429"/>
        <v>1.1626476377952754E-2</v>
      </c>
      <c r="AH302" s="153">
        <f t="shared" si="430"/>
        <v>0.54300749797506742</v>
      </c>
      <c r="AI302" s="153">
        <f t="shared" si="431"/>
        <v>0.66620172478440187</v>
      </c>
      <c r="AJ302" s="153">
        <f t="shared" si="432"/>
        <v>1.5823716479884458</v>
      </c>
      <c r="AL302" s="317">
        <f t="shared" si="433"/>
        <v>86</v>
      </c>
      <c r="AM302" s="147">
        <f t="shared" si="434"/>
        <v>258.36024182896017</v>
      </c>
      <c r="AO302">
        <f t="shared" si="435"/>
        <v>86</v>
      </c>
      <c r="AP302">
        <f t="shared" si="436"/>
        <v>258.36024182896017</v>
      </c>
      <c r="AR302" s="5">
        <f t="shared" si="406"/>
        <v>3.8705645765033023</v>
      </c>
      <c r="AS302" s="5">
        <f t="shared" si="385"/>
        <v>1.9034334993840054</v>
      </c>
      <c r="AT302" s="5">
        <f t="shared" si="386"/>
        <v>1.9671310771192969</v>
      </c>
      <c r="AU302" s="153">
        <f t="shared" si="387"/>
        <v>0.49177153920619554</v>
      </c>
      <c r="CI302" s="59">
        <f t="shared" si="437"/>
        <v>-50</v>
      </c>
    </row>
    <row r="303" spans="5:87" x14ac:dyDescent="0.25">
      <c r="E303" s="150">
        <v>87</v>
      </c>
      <c r="F303" s="191">
        <f t="shared" si="438"/>
        <v>8.7000000000000008E-2</v>
      </c>
      <c r="G303" s="191">
        <f t="shared" si="407"/>
        <v>8.7000000000000008E-2</v>
      </c>
      <c r="H303" s="191">
        <f t="shared" si="408"/>
        <v>1.7400000000000002</v>
      </c>
      <c r="I303" s="191">
        <f t="shared" si="409"/>
        <v>1.3920000000000001</v>
      </c>
      <c r="J303" s="472">
        <f t="shared" si="410"/>
        <v>21</v>
      </c>
      <c r="K303" s="386">
        <f t="shared" si="411"/>
        <v>20.32</v>
      </c>
      <c r="L303" s="386">
        <f t="shared" si="412"/>
        <v>41.32</v>
      </c>
      <c r="M303" s="386"/>
      <c r="N303" s="191">
        <f t="shared" si="413"/>
        <v>0.49177153920619554</v>
      </c>
      <c r="O303" s="152">
        <f t="shared" si="414"/>
        <v>1.9363504356243948</v>
      </c>
      <c r="P303" s="152">
        <f t="shared" si="415"/>
        <v>2.7883446272991286</v>
      </c>
      <c r="Q303" s="191">
        <f t="shared" si="416"/>
        <v>9.6817521781219745E-2</v>
      </c>
      <c r="R303" s="191">
        <f t="shared" si="417"/>
        <v>0.12102190222652467</v>
      </c>
      <c r="S303" s="191">
        <f t="shared" si="418"/>
        <v>20</v>
      </c>
      <c r="T303" s="191">
        <f t="shared" si="419"/>
        <v>0.67394825646794154</v>
      </c>
      <c r="U303" s="191">
        <f t="shared" si="420"/>
        <v>1.9255664470512615</v>
      </c>
      <c r="V303" s="191">
        <f t="shared" si="421"/>
        <v>1.9900046942951028</v>
      </c>
      <c r="W303" s="175">
        <f t="shared" si="422"/>
        <v>350</v>
      </c>
      <c r="X303" s="386">
        <f t="shared" si="423"/>
        <v>255.39058387690312</v>
      </c>
      <c r="Z303" s="191">
        <f t="shared" si="424"/>
        <v>0.49177153920619554</v>
      </c>
      <c r="AA303" s="153">
        <f t="shared" si="425"/>
        <v>1.452081316553727</v>
      </c>
      <c r="AB303" s="153">
        <f t="shared" si="426"/>
        <v>6.9425636786934669E-2</v>
      </c>
      <c r="AC303" s="153"/>
      <c r="AD303" s="153">
        <f t="shared" si="427"/>
        <v>0.44291338582677164</v>
      </c>
      <c r="AE303" s="317">
        <f t="shared" si="428"/>
        <v>2619.0222222222228</v>
      </c>
      <c r="AF303" s="463">
        <f t="shared" si="429"/>
        <v>1.1626476377952754E-2</v>
      </c>
      <c r="AH303" s="153">
        <f t="shared" si="430"/>
        <v>0.54615539389967971</v>
      </c>
      <c r="AI303" s="153">
        <f t="shared" si="431"/>
        <v>0.67394825646794154</v>
      </c>
      <c r="AJ303" s="153">
        <f t="shared" si="432"/>
        <v>1.5881098196058825</v>
      </c>
      <c r="AL303" s="317">
        <f t="shared" si="433"/>
        <v>87.000000000000014</v>
      </c>
      <c r="AM303" s="147">
        <f t="shared" si="434"/>
        <v>255.39058387690312</v>
      </c>
      <c r="AO303">
        <f t="shared" si="435"/>
        <v>87.000000000000014</v>
      </c>
      <c r="AP303">
        <f t="shared" si="436"/>
        <v>255.39058387690312</v>
      </c>
      <c r="AR303" s="5">
        <f t="shared" si="406"/>
        <v>3.9155711413463647</v>
      </c>
      <c r="AS303" s="5">
        <f t="shared" si="385"/>
        <v>1.9255664470512615</v>
      </c>
      <c r="AT303" s="5">
        <f t="shared" si="386"/>
        <v>1.9900046942951033</v>
      </c>
      <c r="AU303" s="153">
        <f t="shared" si="387"/>
        <v>0.49177153920619548</v>
      </c>
      <c r="CI303" s="59">
        <f t="shared" si="437"/>
        <v>-50</v>
      </c>
    </row>
    <row r="304" spans="5:87" x14ac:dyDescent="0.25">
      <c r="E304" s="150">
        <v>88</v>
      </c>
      <c r="F304" s="191">
        <f t="shared" si="438"/>
        <v>8.8000000000000009E-2</v>
      </c>
      <c r="G304" s="191">
        <f t="shared" si="407"/>
        <v>8.8000000000000009E-2</v>
      </c>
      <c r="H304" s="191">
        <f t="shared" si="408"/>
        <v>1.7600000000000002</v>
      </c>
      <c r="I304" s="191">
        <f t="shared" si="409"/>
        <v>1.4080000000000001</v>
      </c>
      <c r="J304" s="472">
        <f t="shared" si="410"/>
        <v>21</v>
      </c>
      <c r="K304" s="386">
        <f t="shared" si="411"/>
        <v>20.32</v>
      </c>
      <c r="L304" s="386">
        <f t="shared" si="412"/>
        <v>41.32</v>
      </c>
      <c r="M304" s="386"/>
      <c r="N304" s="191">
        <f t="shared" si="413"/>
        <v>0.49177153920619554</v>
      </c>
      <c r="O304" s="152">
        <f t="shared" si="414"/>
        <v>1.9363504356243948</v>
      </c>
      <c r="P304" s="152">
        <f t="shared" si="415"/>
        <v>2.7883446272991286</v>
      </c>
      <c r="Q304" s="191">
        <f t="shared" si="416"/>
        <v>9.6817521781219745E-2</v>
      </c>
      <c r="R304" s="191">
        <f t="shared" si="417"/>
        <v>0.12102190222652467</v>
      </c>
      <c r="S304" s="191">
        <f t="shared" si="418"/>
        <v>20</v>
      </c>
      <c r="T304" s="191">
        <f t="shared" si="419"/>
        <v>0.6816947881514811</v>
      </c>
      <c r="U304" s="191">
        <f t="shared" si="420"/>
        <v>1.9476993947185175</v>
      </c>
      <c r="V304" s="191">
        <f t="shared" si="421"/>
        <v>2.0128783114709088</v>
      </c>
      <c r="W304" s="175">
        <f t="shared" si="422"/>
        <v>350</v>
      </c>
      <c r="X304" s="386">
        <f t="shared" si="423"/>
        <v>252.48841815102924</v>
      </c>
      <c r="Z304" s="191">
        <f t="shared" si="424"/>
        <v>0.49177153920619554</v>
      </c>
      <c r="AA304" s="153">
        <f t="shared" si="425"/>
        <v>1.452081316553727</v>
      </c>
      <c r="AB304" s="153">
        <f t="shared" si="426"/>
        <v>6.9425636786934669E-2</v>
      </c>
      <c r="AC304" s="153"/>
      <c r="AD304" s="153">
        <f t="shared" si="427"/>
        <v>0.44291338582677164</v>
      </c>
      <c r="AE304" s="317">
        <f t="shared" si="428"/>
        <v>2649.1259259259268</v>
      </c>
      <c r="AF304" s="463">
        <f t="shared" si="429"/>
        <v>1.1626476377952754E-2</v>
      </c>
      <c r="AH304" s="153">
        <f t="shared" si="430"/>
        <v>0.54928524986047611</v>
      </c>
      <c r="AI304" s="153">
        <f t="shared" si="431"/>
        <v>0.6816947881514811</v>
      </c>
      <c r="AJ304" s="153">
        <f t="shared" si="432"/>
        <v>1.5938479912233192</v>
      </c>
      <c r="AL304" s="317">
        <f t="shared" si="433"/>
        <v>88.000000000000014</v>
      </c>
      <c r="AM304" s="147">
        <f t="shared" si="434"/>
        <v>252.48841815102924</v>
      </c>
      <c r="AO304">
        <f t="shared" si="435"/>
        <v>88.000000000000014</v>
      </c>
      <c r="AP304">
        <f t="shared" si="436"/>
        <v>252.48841815102924</v>
      </c>
      <c r="AR304" s="5">
        <f t="shared" si="406"/>
        <v>3.9605777061894263</v>
      </c>
      <c r="AS304" s="5">
        <f t="shared" si="385"/>
        <v>1.9476993947185175</v>
      </c>
      <c r="AT304" s="5">
        <f t="shared" si="386"/>
        <v>2.0128783114709088</v>
      </c>
      <c r="AU304" s="153">
        <f t="shared" si="387"/>
        <v>0.49177153920619554</v>
      </c>
      <c r="CI304" s="59">
        <f t="shared" si="437"/>
        <v>-50</v>
      </c>
    </row>
    <row r="305" spans="4:87" x14ac:dyDescent="0.25">
      <c r="E305" s="150">
        <v>89</v>
      </c>
      <c r="F305" s="191">
        <f t="shared" si="438"/>
        <v>8.900000000000001E-2</v>
      </c>
      <c r="G305" s="191">
        <f t="shared" si="407"/>
        <v>8.900000000000001E-2</v>
      </c>
      <c r="H305" s="191">
        <f t="shared" si="408"/>
        <v>1.7800000000000002</v>
      </c>
      <c r="I305" s="191">
        <f t="shared" si="409"/>
        <v>1.4240000000000002</v>
      </c>
      <c r="J305" s="472">
        <f t="shared" si="410"/>
        <v>21</v>
      </c>
      <c r="K305" s="386">
        <f t="shared" si="411"/>
        <v>20.32</v>
      </c>
      <c r="L305" s="386">
        <f t="shared" si="412"/>
        <v>41.32</v>
      </c>
      <c r="M305" s="386"/>
      <c r="N305" s="191">
        <f t="shared" si="413"/>
        <v>0.49177153920619554</v>
      </c>
      <c r="O305" s="152">
        <f t="shared" si="414"/>
        <v>1.9363504356243948</v>
      </c>
      <c r="P305" s="152">
        <f t="shared" si="415"/>
        <v>2.7883446272991286</v>
      </c>
      <c r="Q305" s="191">
        <f t="shared" si="416"/>
        <v>9.6817521781219745E-2</v>
      </c>
      <c r="R305" s="191">
        <f t="shared" si="417"/>
        <v>0.12102190222652467</v>
      </c>
      <c r="S305" s="191">
        <f t="shared" si="418"/>
        <v>20</v>
      </c>
      <c r="T305" s="191">
        <f t="shared" si="419"/>
        <v>0.68944131983502066</v>
      </c>
      <c r="U305" s="191">
        <f t="shared" si="420"/>
        <v>1.9698323423857731</v>
      </c>
      <c r="V305" s="191">
        <f t="shared" si="421"/>
        <v>2.0357519286467145</v>
      </c>
      <c r="W305" s="175">
        <f t="shared" si="422"/>
        <v>350</v>
      </c>
      <c r="X305" s="386">
        <f t="shared" si="423"/>
        <v>249.65146963247832</v>
      </c>
      <c r="Z305" s="191">
        <f t="shared" si="424"/>
        <v>0.49177153920619554</v>
      </c>
      <c r="AA305" s="153">
        <f t="shared" si="425"/>
        <v>1.452081316553727</v>
      </c>
      <c r="AB305" s="153">
        <f t="shared" si="426"/>
        <v>6.9425636786934669E-2</v>
      </c>
      <c r="AC305" s="153"/>
      <c r="AD305" s="153">
        <f t="shared" si="427"/>
        <v>0.44291338582677164</v>
      </c>
      <c r="AE305" s="317">
        <f t="shared" si="428"/>
        <v>2679.2296296296299</v>
      </c>
      <c r="AF305" s="463">
        <f t="shared" si="429"/>
        <v>1.1626476377952754E-2</v>
      </c>
      <c r="AH305" s="153">
        <f t="shared" si="430"/>
        <v>0.55239737249814758</v>
      </c>
      <c r="AI305" s="153">
        <f t="shared" si="431"/>
        <v>0.68944131983502066</v>
      </c>
      <c r="AJ305" s="153">
        <f t="shared" si="432"/>
        <v>1.5995861628407559</v>
      </c>
      <c r="AL305" s="317">
        <f t="shared" si="433"/>
        <v>89.000000000000014</v>
      </c>
      <c r="AM305" s="147">
        <f t="shared" si="434"/>
        <v>249.65146963247832</v>
      </c>
      <c r="AO305">
        <f t="shared" si="435"/>
        <v>89.000000000000014</v>
      </c>
      <c r="AP305">
        <f t="shared" si="436"/>
        <v>249.65146963247832</v>
      </c>
      <c r="AR305" s="5">
        <f t="shared" si="406"/>
        <v>4.0055842710324878</v>
      </c>
      <c r="AS305" s="5">
        <f t="shared" si="385"/>
        <v>1.9698323423857731</v>
      </c>
      <c r="AT305" s="5">
        <f t="shared" si="386"/>
        <v>2.0357519286467145</v>
      </c>
      <c r="AU305" s="153">
        <f t="shared" si="387"/>
        <v>0.49177153920619548</v>
      </c>
      <c r="CI305" s="59">
        <f t="shared" si="437"/>
        <v>-50</v>
      </c>
    </row>
    <row r="306" spans="4:87" x14ac:dyDescent="0.25">
      <c r="E306" s="150">
        <v>90</v>
      </c>
      <c r="F306" s="191">
        <f t="shared" si="438"/>
        <v>9.0000000000000011E-2</v>
      </c>
      <c r="G306" s="191">
        <f t="shared" si="407"/>
        <v>9.0000000000000011E-2</v>
      </c>
      <c r="H306" s="191">
        <f t="shared" si="408"/>
        <v>1.8000000000000003</v>
      </c>
      <c r="I306" s="191">
        <f t="shared" si="409"/>
        <v>1.4400000000000002</v>
      </c>
      <c r="J306" s="472">
        <f t="shared" si="410"/>
        <v>21</v>
      </c>
      <c r="K306" s="386">
        <f t="shared" si="411"/>
        <v>20.32</v>
      </c>
      <c r="L306" s="386">
        <f t="shared" si="412"/>
        <v>41.32</v>
      </c>
      <c r="M306" s="386"/>
      <c r="N306" s="191">
        <f t="shared" si="413"/>
        <v>0.49177153920619554</v>
      </c>
      <c r="O306" s="152">
        <f t="shared" si="414"/>
        <v>1.9363504356243948</v>
      </c>
      <c r="P306" s="152">
        <f t="shared" si="415"/>
        <v>2.7883446272991286</v>
      </c>
      <c r="Q306" s="191">
        <f t="shared" si="416"/>
        <v>9.6817521781219745E-2</v>
      </c>
      <c r="R306" s="191">
        <f t="shared" si="417"/>
        <v>0.12102190222652467</v>
      </c>
      <c r="S306" s="191">
        <f t="shared" si="418"/>
        <v>20</v>
      </c>
      <c r="T306" s="191">
        <f t="shared" si="419"/>
        <v>0.69718785151856022</v>
      </c>
      <c r="U306" s="191">
        <f t="shared" si="420"/>
        <v>1.9919652900530291</v>
      </c>
      <c r="V306" s="191">
        <f t="shared" si="421"/>
        <v>2.0586255458225207</v>
      </c>
      <c r="W306" s="175">
        <f t="shared" si="422"/>
        <v>350</v>
      </c>
      <c r="X306" s="386">
        <f t="shared" si="423"/>
        <v>246.87756441433967</v>
      </c>
      <c r="Z306" s="191">
        <f t="shared" si="424"/>
        <v>0.49177153920619554</v>
      </c>
      <c r="AA306" s="153">
        <f t="shared" si="425"/>
        <v>1.452081316553727</v>
      </c>
      <c r="AB306" s="153">
        <f t="shared" si="426"/>
        <v>6.9425636786934669E-2</v>
      </c>
      <c r="AC306" s="153"/>
      <c r="AD306" s="153">
        <f t="shared" si="427"/>
        <v>0.44291338582677164</v>
      </c>
      <c r="AE306" s="317">
        <f t="shared" si="428"/>
        <v>2709.3333333333339</v>
      </c>
      <c r="AF306" s="463">
        <f t="shared" si="429"/>
        <v>1.1626476377952754E-2</v>
      </c>
      <c r="AH306" s="153">
        <f t="shared" si="430"/>
        <v>0.5554920598635309</v>
      </c>
      <c r="AI306" s="153">
        <f t="shared" si="431"/>
        <v>0.69718785151856022</v>
      </c>
      <c r="AJ306" s="153">
        <f t="shared" si="432"/>
        <v>1.6053243344581927</v>
      </c>
      <c r="AL306" s="317">
        <f t="shared" si="433"/>
        <v>90.000000000000014</v>
      </c>
      <c r="AM306" s="147">
        <f t="shared" si="434"/>
        <v>246.87756441433967</v>
      </c>
      <c r="AO306">
        <f t="shared" si="435"/>
        <v>90.000000000000014</v>
      </c>
      <c r="AP306">
        <f t="shared" si="436"/>
        <v>246.87756441433967</v>
      </c>
      <c r="AR306" s="5">
        <f t="shared" si="406"/>
        <v>4.0505908358755498</v>
      </c>
      <c r="AS306" s="5">
        <f t="shared" si="385"/>
        <v>1.9919652900530291</v>
      </c>
      <c r="AT306" s="5">
        <f t="shared" si="386"/>
        <v>2.0586255458225207</v>
      </c>
      <c r="AU306" s="153">
        <f t="shared" si="387"/>
        <v>0.49177153920619548</v>
      </c>
      <c r="CI306" s="59">
        <f t="shared" si="437"/>
        <v>-50</v>
      </c>
    </row>
    <row r="307" spans="4:87" x14ac:dyDescent="0.25">
      <c r="E307" s="150">
        <v>91</v>
      </c>
      <c r="F307" s="191">
        <f t="shared" si="438"/>
        <v>9.1000000000000011E-2</v>
      </c>
      <c r="G307" s="191">
        <f t="shared" si="407"/>
        <v>9.1000000000000011E-2</v>
      </c>
      <c r="H307" s="191">
        <f t="shared" si="408"/>
        <v>1.8200000000000003</v>
      </c>
      <c r="I307" s="191">
        <f t="shared" si="409"/>
        <v>1.4560000000000002</v>
      </c>
      <c r="J307" s="472">
        <f t="shared" si="410"/>
        <v>21</v>
      </c>
      <c r="K307" s="386">
        <f t="shared" si="411"/>
        <v>20.32</v>
      </c>
      <c r="L307" s="386">
        <f t="shared" si="412"/>
        <v>41.32</v>
      </c>
      <c r="M307" s="386"/>
      <c r="N307" s="191">
        <f t="shared" si="413"/>
        <v>0.49177153920619554</v>
      </c>
      <c r="O307" s="152">
        <f t="shared" si="414"/>
        <v>1.9363504356243948</v>
      </c>
      <c r="P307" s="152">
        <f t="shared" si="415"/>
        <v>2.7883446272991286</v>
      </c>
      <c r="Q307" s="191">
        <f t="shared" si="416"/>
        <v>9.6817521781219745E-2</v>
      </c>
      <c r="R307" s="191">
        <f t="shared" si="417"/>
        <v>0.12102190222652467</v>
      </c>
      <c r="S307" s="191">
        <f t="shared" si="418"/>
        <v>20</v>
      </c>
      <c r="T307" s="191">
        <f t="shared" si="419"/>
        <v>0.70493438320209989</v>
      </c>
      <c r="U307" s="191">
        <f t="shared" si="420"/>
        <v>2.0140982377202858</v>
      </c>
      <c r="V307" s="191">
        <f t="shared" si="421"/>
        <v>2.0814991629983268</v>
      </c>
      <c r="W307" s="175">
        <f t="shared" si="422"/>
        <v>350</v>
      </c>
      <c r="X307" s="386">
        <f t="shared" si="423"/>
        <v>244.16462414605013</v>
      </c>
      <c r="Z307" s="191">
        <f t="shared" si="424"/>
        <v>0.49177153920619554</v>
      </c>
      <c r="AA307" s="153">
        <f t="shared" si="425"/>
        <v>1.452081316553727</v>
      </c>
      <c r="AB307" s="153">
        <f t="shared" si="426"/>
        <v>6.9425636786934669E-2</v>
      </c>
      <c r="AC307" s="153"/>
      <c r="AD307" s="153">
        <f t="shared" si="427"/>
        <v>0.44291338582677164</v>
      </c>
      <c r="AE307" s="317">
        <f t="shared" si="428"/>
        <v>2739.437037037038</v>
      </c>
      <c r="AF307" s="463">
        <f t="shared" si="429"/>
        <v>1.1626476377952754E-2</v>
      </c>
      <c r="AH307" s="153">
        <f t="shared" si="430"/>
        <v>0.55856960175075765</v>
      </c>
      <c r="AI307" s="153">
        <f t="shared" si="431"/>
        <v>0.70493438320209989</v>
      </c>
      <c r="AJ307" s="153">
        <f t="shared" si="432"/>
        <v>1.6110625060756294</v>
      </c>
      <c r="AL307" s="317">
        <f t="shared" si="433"/>
        <v>91.000000000000014</v>
      </c>
      <c r="AM307" s="147">
        <f t="shared" si="434"/>
        <v>244.16462414605013</v>
      </c>
      <c r="AO307">
        <f t="shared" si="435"/>
        <v>91.000000000000014</v>
      </c>
      <c r="AP307">
        <f t="shared" si="436"/>
        <v>244.16462414605013</v>
      </c>
      <c r="AR307" s="5">
        <f t="shared" si="406"/>
        <v>4.0955974007186127</v>
      </c>
      <c r="AS307" s="5">
        <f t="shared" ref="AS307:AS316" si="439">L*AI307/J307*1000000</f>
        <v>2.0140982377202858</v>
      </c>
      <c r="AT307" s="5">
        <f t="shared" ref="AT307:AT316" si="440">AR307-AS307</f>
        <v>2.0814991629983268</v>
      </c>
      <c r="AU307" s="153">
        <f t="shared" ref="AU307:AU316" si="441">AS307/AR307</f>
        <v>0.49177153920619554</v>
      </c>
      <c r="CI307" s="59">
        <f t="shared" si="437"/>
        <v>-50</v>
      </c>
    </row>
    <row r="308" spans="4:87" x14ac:dyDescent="0.25">
      <c r="E308" s="150">
        <v>92</v>
      </c>
      <c r="F308" s="191">
        <f t="shared" si="438"/>
        <v>9.2000000000000012E-2</v>
      </c>
      <c r="G308" s="191">
        <f t="shared" si="407"/>
        <v>9.2000000000000012E-2</v>
      </c>
      <c r="H308" s="191">
        <f t="shared" si="408"/>
        <v>1.8400000000000003</v>
      </c>
      <c r="I308" s="191">
        <f t="shared" si="409"/>
        <v>1.4720000000000002</v>
      </c>
      <c r="J308" s="472">
        <f t="shared" si="410"/>
        <v>21</v>
      </c>
      <c r="K308" s="386">
        <f t="shared" si="411"/>
        <v>20.32</v>
      </c>
      <c r="L308" s="386">
        <f t="shared" si="412"/>
        <v>41.32</v>
      </c>
      <c r="M308" s="386"/>
      <c r="N308" s="191">
        <f t="shared" si="413"/>
        <v>0.49177153920619554</v>
      </c>
      <c r="O308" s="152">
        <f t="shared" si="414"/>
        <v>1.9363504356243948</v>
      </c>
      <c r="P308" s="152">
        <f t="shared" si="415"/>
        <v>2.7883446272991286</v>
      </c>
      <c r="Q308" s="191">
        <f t="shared" si="416"/>
        <v>9.6817521781219745E-2</v>
      </c>
      <c r="R308" s="191">
        <f t="shared" si="417"/>
        <v>0.12102190222652467</v>
      </c>
      <c r="S308" s="191">
        <f t="shared" si="418"/>
        <v>20</v>
      </c>
      <c r="T308" s="191">
        <f t="shared" si="419"/>
        <v>0.71268091488563934</v>
      </c>
      <c r="U308" s="191">
        <f t="shared" si="420"/>
        <v>2.0362311853875408</v>
      </c>
      <c r="V308" s="191">
        <f t="shared" si="421"/>
        <v>2.1043727801741317</v>
      </c>
      <c r="W308" s="175">
        <f t="shared" si="422"/>
        <v>350</v>
      </c>
      <c r="X308" s="386">
        <f t="shared" si="423"/>
        <v>241.51066084011495</v>
      </c>
      <c r="Z308" s="191">
        <f t="shared" si="424"/>
        <v>0.49177153920619554</v>
      </c>
      <c r="AA308" s="153">
        <f t="shared" si="425"/>
        <v>1.452081316553727</v>
      </c>
      <c r="AB308" s="153">
        <f t="shared" si="426"/>
        <v>6.9425636786934669E-2</v>
      </c>
      <c r="AC308" s="153"/>
      <c r="AD308" s="153">
        <f t="shared" si="427"/>
        <v>0.44291338582677164</v>
      </c>
      <c r="AE308" s="317">
        <f t="shared" si="428"/>
        <v>2769.5407407407415</v>
      </c>
      <c r="AF308" s="463">
        <f t="shared" si="429"/>
        <v>1.1626476377952754E-2</v>
      </c>
      <c r="AH308" s="153">
        <f t="shared" si="430"/>
        <v>0.56163028001397097</v>
      </c>
      <c r="AI308" s="153">
        <f t="shared" si="431"/>
        <v>0.71268091488563934</v>
      </c>
      <c r="AJ308" s="153">
        <f t="shared" si="432"/>
        <v>1.6168006776930661</v>
      </c>
      <c r="AL308" s="317">
        <f t="shared" si="433"/>
        <v>92.000000000000014</v>
      </c>
      <c r="AM308" s="147">
        <f t="shared" si="434"/>
        <v>241.51066084011495</v>
      </c>
      <c r="AO308">
        <f t="shared" si="435"/>
        <v>92.000000000000014</v>
      </c>
      <c r="AP308">
        <f t="shared" si="436"/>
        <v>241.51066084011495</v>
      </c>
      <c r="AR308" s="5">
        <f t="shared" si="406"/>
        <v>4.140603965561672</v>
      </c>
      <c r="AS308" s="5">
        <f t="shared" si="439"/>
        <v>2.0362311853875408</v>
      </c>
      <c r="AT308" s="5">
        <f t="shared" si="440"/>
        <v>2.1043727801741312</v>
      </c>
      <c r="AU308" s="153">
        <f t="shared" si="441"/>
        <v>0.4917715392061956</v>
      </c>
      <c r="CI308" s="59">
        <f t="shared" si="437"/>
        <v>-50</v>
      </c>
    </row>
    <row r="309" spans="4:87" x14ac:dyDescent="0.25">
      <c r="E309" s="150">
        <v>93</v>
      </c>
      <c r="F309" s="191">
        <f t="shared" si="438"/>
        <v>9.3000000000000013E-2</v>
      </c>
      <c r="G309" s="191">
        <f t="shared" si="407"/>
        <v>9.3000000000000013E-2</v>
      </c>
      <c r="H309" s="191">
        <f t="shared" si="408"/>
        <v>1.8600000000000003</v>
      </c>
      <c r="I309" s="191">
        <f t="shared" si="409"/>
        <v>1.4880000000000002</v>
      </c>
      <c r="J309" s="472">
        <f t="shared" si="410"/>
        <v>21</v>
      </c>
      <c r="K309" s="386">
        <f t="shared" si="411"/>
        <v>20.32</v>
      </c>
      <c r="L309" s="386">
        <f t="shared" si="412"/>
        <v>41.32</v>
      </c>
      <c r="M309" s="386"/>
      <c r="N309" s="191">
        <f t="shared" si="413"/>
        <v>0.49177153920619554</v>
      </c>
      <c r="O309" s="152">
        <f t="shared" si="414"/>
        <v>1.9363504356243948</v>
      </c>
      <c r="P309" s="152">
        <f t="shared" si="415"/>
        <v>2.7883446272991286</v>
      </c>
      <c r="Q309" s="191">
        <f t="shared" si="416"/>
        <v>9.6817521781219745E-2</v>
      </c>
      <c r="R309" s="191">
        <f t="shared" si="417"/>
        <v>0.12102190222652467</v>
      </c>
      <c r="S309" s="191">
        <f t="shared" si="418"/>
        <v>20</v>
      </c>
      <c r="T309" s="191">
        <f t="shared" si="419"/>
        <v>0.72042744656917901</v>
      </c>
      <c r="U309" s="191">
        <f t="shared" si="420"/>
        <v>2.0583641330547975</v>
      </c>
      <c r="V309" s="191">
        <f t="shared" si="421"/>
        <v>2.1272463973499383</v>
      </c>
      <c r="W309" s="175">
        <f t="shared" si="422"/>
        <v>350</v>
      </c>
      <c r="X309" s="386">
        <f t="shared" si="423"/>
        <v>238.91377201387704</v>
      </c>
      <c r="Z309" s="191">
        <f t="shared" si="424"/>
        <v>0.49177153920619554</v>
      </c>
      <c r="AA309" s="153">
        <f t="shared" si="425"/>
        <v>1.452081316553727</v>
      </c>
      <c r="AB309" s="153">
        <f t="shared" si="426"/>
        <v>6.9425636786934669E-2</v>
      </c>
      <c r="AC309" s="153"/>
      <c r="AD309" s="153">
        <f t="shared" si="427"/>
        <v>0.44291338582677164</v>
      </c>
      <c r="AE309" s="317">
        <f t="shared" si="428"/>
        <v>2799.6444444444455</v>
      </c>
      <c r="AF309" s="463">
        <f t="shared" si="429"/>
        <v>1.1626476377952754E-2</v>
      </c>
      <c r="AH309" s="153">
        <f t="shared" si="430"/>
        <v>0.56467436886859224</v>
      </c>
      <c r="AI309" s="153">
        <f t="shared" si="431"/>
        <v>0.72042744656917901</v>
      </c>
      <c r="AJ309" s="153">
        <f t="shared" si="432"/>
        <v>1.6225388493105029</v>
      </c>
      <c r="AL309" s="317">
        <f t="shared" si="433"/>
        <v>93.000000000000014</v>
      </c>
      <c r="AM309" s="147">
        <f t="shared" si="434"/>
        <v>238.91377201387704</v>
      </c>
      <c r="AO309">
        <f t="shared" si="435"/>
        <v>93.000000000000014</v>
      </c>
      <c r="AP309">
        <f t="shared" si="436"/>
        <v>238.91377201387704</v>
      </c>
      <c r="AR309" s="5">
        <f t="shared" si="406"/>
        <v>4.1856105304047357</v>
      </c>
      <c r="AS309" s="5">
        <f t="shared" si="439"/>
        <v>2.0583641330547975</v>
      </c>
      <c r="AT309" s="5">
        <f t="shared" si="440"/>
        <v>2.1272463973499383</v>
      </c>
      <c r="AU309" s="153">
        <f t="shared" si="441"/>
        <v>0.49177153920619554</v>
      </c>
      <c r="CI309" s="59">
        <f t="shared" si="437"/>
        <v>-50</v>
      </c>
    </row>
    <row r="310" spans="4:87" x14ac:dyDescent="0.25">
      <c r="E310" s="150">
        <v>94</v>
      </c>
      <c r="F310" s="191">
        <f t="shared" si="438"/>
        <v>9.4E-2</v>
      </c>
      <c r="G310" s="191">
        <f t="shared" si="407"/>
        <v>9.4E-2</v>
      </c>
      <c r="H310" s="191">
        <f t="shared" si="408"/>
        <v>1.88</v>
      </c>
      <c r="I310" s="191">
        <f t="shared" si="409"/>
        <v>1.504</v>
      </c>
      <c r="J310" s="472">
        <f t="shared" si="410"/>
        <v>21</v>
      </c>
      <c r="K310" s="386">
        <f t="shared" si="411"/>
        <v>20.32</v>
      </c>
      <c r="L310" s="386">
        <f t="shared" si="412"/>
        <v>41.32</v>
      </c>
      <c r="M310" s="386"/>
      <c r="N310" s="191">
        <f t="shared" si="413"/>
        <v>0.49177153920619554</v>
      </c>
      <c r="O310" s="152">
        <f t="shared" si="414"/>
        <v>1.9363504356243948</v>
      </c>
      <c r="P310" s="152">
        <f t="shared" si="415"/>
        <v>2.7883446272991286</v>
      </c>
      <c r="Q310" s="191">
        <f t="shared" si="416"/>
        <v>9.6817521781219745E-2</v>
      </c>
      <c r="R310" s="191">
        <f t="shared" si="417"/>
        <v>0.12102190222652467</v>
      </c>
      <c r="S310" s="191">
        <f t="shared" si="418"/>
        <v>20</v>
      </c>
      <c r="T310" s="191">
        <f t="shared" si="419"/>
        <v>0.72817397825271835</v>
      </c>
      <c r="U310" s="191">
        <f t="shared" si="420"/>
        <v>2.0804970807220524</v>
      </c>
      <c r="V310" s="191">
        <f t="shared" si="421"/>
        <v>2.1501200145257431</v>
      </c>
      <c r="W310" s="175">
        <f t="shared" si="422"/>
        <v>350</v>
      </c>
      <c r="X310" s="386">
        <f t="shared" si="423"/>
        <v>236.37213614138909</v>
      </c>
      <c r="Z310" s="191">
        <f t="shared" si="424"/>
        <v>0.49177153920619554</v>
      </c>
      <c r="AA310" s="153">
        <f t="shared" si="425"/>
        <v>1.452081316553727</v>
      </c>
      <c r="AB310" s="153">
        <f t="shared" si="426"/>
        <v>6.9425636786934669E-2</v>
      </c>
      <c r="AC310" s="153"/>
      <c r="AD310" s="153">
        <f t="shared" si="427"/>
        <v>0.44291338582677164</v>
      </c>
      <c r="AE310" s="317">
        <f t="shared" si="428"/>
        <v>2829.7481481481486</v>
      </c>
      <c r="AF310" s="463">
        <f t="shared" si="429"/>
        <v>1.1626476377952754E-2</v>
      </c>
      <c r="AH310" s="153">
        <f t="shared" si="430"/>
        <v>0.56770213517804768</v>
      </c>
      <c r="AI310" s="153">
        <f t="shared" si="431"/>
        <v>0.72817397825271835</v>
      </c>
      <c r="AJ310" s="153">
        <f t="shared" si="432"/>
        <v>1.6282770209279396</v>
      </c>
      <c r="AL310" s="317">
        <f t="shared" si="433"/>
        <v>94</v>
      </c>
      <c r="AM310" s="147">
        <f t="shared" si="434"/>
        <v>236.37213614138909</v>
      </c>
      <c r="AO310">
        <f t="shared" si="435"/>
        <v>94</v>
      </c>
      <c r="AP310">
        <f t="shared" si="436"/>
        <v>236.37213614138909</v>
      </c>
      <c r="AR310" s="5">
        <f t="shared" si="406"/>
        <v>4.2306170952477959</v>
      </c>
      <c r="AS310" s="5">
        <f t="shared" si="439"/>
        <v>2.0804970807220524</v>
      </c>
      <c r="AT310" s="5">
        <f t="shared" si="440"/>
        <v>2.1501200145257435</v>
      </c>
      <c r="AU310" s="153">
        <f t="shared" si="441"/>
        <v>0.49177153920619548</v>
      </c>
      <c r="CI310" s="59">
        <f t="shared" si="437"/>
        <v>-50</v>
      </c>
    </row>
    <row r="311" spans="4:87" x14ac:dyDescent="0.25">
      <c r="E311" s="150">
        <v>95</v>
      </c>
      <c r="F311" s="191">
        <f t="shared" si="438"/>
        <v>9.5000000000000001E-2</v>
      </c>
      <c r="G311" s="191">
        <f t="shared" si="407"/>
        <v>9.5000000000000001E-2</v>
      </c>
      <c r="H311" s="191">
        <f t="shared" si="408"/>
        <v>1.9</v>
      </c>
      <c r="I311" s="191">
        <f t="shared" si="409"/>
        <v>1.52</v>
      </c>
      <c r="J311" s="472">
        <f t="shared" si="410"/>
        <v>21</v>
      </c>
      <c r="K311" s="386">
        <f t="shared" si="411"/>
        <v>20.32</v>
      </c>
      <c r="L311" s="386">
        <f t="shared" si="412"/>
        <v>41.32</v>
      </c>
      <c r="M311" s="386"/>
      <c r="N311" s="191">
        <f t="shared" si="413"/>
        <v>0.49177153920619554</v>
      </c>
      <c r="O311" s="152">
        <f t="shared" si="414"/>
        <v>1.9363504356243948</v>
      </c>
      <c r="P311" s="152">
        <f t="shared" si="415"/>
        <v>2.7883446272991286</v>
      </c>
      <c r="Q311" s="191">
        <f t="shared" si="416"/>
        <v>9.6817521781219745E-2</v>
      </c>
      <c r="R311" s="191">
        <f t="shared" si="417"/>
        <v>0.12102190222652467</v>
      </c>
      <c r="S311" s="191">
        <f t="shared" si="418"/>
        <v>20</v>
      </c>
      <c r="T311" s="191">
        <f t="shared" si="419"/>
        <v>0.73592050993625791</v>
      </c>
      <c r="U311" s="191">
        <f t="shared" si="420"/>
        <v>2.1026300283893082</v>
      </c>
      <c r="V311" s="191">
        <f t="shared" si="421"/>
        <v>2.1729936317015488</v>
      </c>
      <c r="W311" s="175">
        <f t="shared" si="422"/>
        <v>350</v>
      </c>
      <c r="X311" s="386">
        <f t="shared" si="423"/>
        <v>233.88400839253237</v>
      </c>
      <c r="Z311" s="191">
        <f t="shared" si="424"/>
        <v>0.49177153920619554</v>
      </c>
      <c r="AA311" s="153">
        <f t="shared" si="425"/>
        <v>1.452081316553727</v>
      </c>
      <c r="AB311" s="153">
        <f t="shared" si="426"/>
        <v>6.9425636786934669E-2</v>
      </c>
      <c r="AC311" s="153"/>
      <c r="AD311" s="153">
        <f t="shared" si="427"/>
        <v>0.44291338582677164</v>
      </c>
      <c r="AE311" s="317">
        <f t="shared" si="428"/>
        <v>2859.8518518518522</v>
      </c>
      <c r="AF311" s="463">
        <f t="shared" si="429"/>
        <v>1.1626476377952754E-2</v>
      </c>
      <c r="AH311" s="153">
        <f t="shared" si="430"/>
        <v>0.57071383872680514</v>
      </c>
      <c r="AI311" s="153">
        <f t="shared" si="431"/>
        <v>0.73592050993625791</v>
      </c>
      <c r="AJ311" s="153">
        <f t="shared" si="432"/>
        <v>1.6340151925453763</v>
      </c>
      <c r="AL311" s="317">
        <f t="shared" si="433"/>
        <v>95</v>
      </c>
      <c r="AM311" s="147">
        <f t="shared" si="434"/>
        <v>233.88400839253237</v>
      </c>
      <c r="AO311">
        <f t="shared" si="435"/>
        <v>95</v>
      </c>
      <c r="AP311">
        <f t="shared" si="436"/>
        <v>233.88400839253237</v>
      </c>
      <c r="AR311" s="5">
        <f t="shared" si="406"/>
        <v>4.275623660090857</v>
      </c>
      <c r="AS311" s="5">
        <f t="shared" si="439"/>
        <v>2.1026300283893082</v>
      </c>
      <c r="AT311" s="5">
        <f t="shared" si="440"/>
        <v>2.1729936317015488</v>
      </c>
      <c r="AU311" s="153">
        <f t="shared" si="441"/>
        <v>0.49177153920619554</v>
      </c>
      <c r="CI311" s="59">
        <f t="shared" si="437"/>
        <v>-50</v>
      </c>
    </row>
    <row r="312" spans="4:87" x14ac:dyDescent="0.25">
      <c r="E312" s="150">
        <v>96</v>
      </c>
      <c r="F312" s="191">
        <f t="shared" si="438"/>
        <v>9.6000000000000002E-2</v>
      </c>
      <c r="G312" s="191">
        <f t="shared" si="407"/>
        <v>9.6000000000000002E-2</v>
      </c>
      <c r="H312" s="191">
        <f t="shared" si="408"/>
        <v>1.92</v>
      </c>
      <c r="I312" s="191">
        <f t="shared" si="409"/>
        <v>1.536</v>
      </c>
      <c r="J312" s="472">
        <f t="shared" si="410"/>
        <v>21</v>
      </c>
      <c r="K312" s="386">
        <f t="shared" si="411"/>
        <v>20.32</v>
      </c>
      <c r="L312" s="386">
        <f t="shared" si="412"/>
        <v>41.32</v>
      </c>
      <c r="M312" s="386"/>
      <c r="N312" s="191">
        <f t="shared" si="413"/>
        <v>0.49177153920619554</v>
      </c>
      <c r="O312" s="152">
        <f t="shared" ref="O312:O316" si="442">N312*J312*Isw_max*0.5*Efficiency*Pout/(Pout+Pout2)</f>
        <v>1.9363504356243948</v>
      </c>
      <c r="P312" s="152">
        <f t="shared" si="415"/>
        <v>2.7883446272991286</v>
      </c>
      <c r="Q312" s="191">
        <f t="shared" si="416"/>
        <v>9.6817521781219745E-2</v>
      </c>
      <c r="R312" s="191">
        <f t="shared" si="417"/>
        <v>0.12102190222652467</v>
      </c>
      <c r="S312" s="191">
        <f t="shared" si="418"/>
        <v>20</v>
      </c>
      <c r="T312" s="191">
        <f t="shared" si="419"/>
        <v>0.74366704161979746</v>
      </c>
      <c r="U312" s="191">
        <f t="shared" si="420"/>
        <v>2.1247629760565645</v>
      </c>
      <c r="V312" s="191">
        <f t="shared" si="421"/>
        <v>2.195867248877355</v>
      </c>
      <c r="W312" s="175">
        <f t="shared" si="422"/>
        <v>350</v>
      </c>
      <c r="X312" s="386">
        <f t="shared" si="423"/>
        <v>231.44771663844344</v>
      </c>
      <c r="Z312" s="191">
        <f t="shared" si="424"/>
        <v>0.49177153920619554</v>
      </c>
      <c r="AA312" s="153">
        <f t="shared" si="425"/>
        <v>1.452081316553727</v>
      </c>
      <c r="AB312" s="153">
        <f t="shared" ref="AB312:AB316" si="443">0.5*AA312*Z312*Nps*W312/1000*(Pout/(Pout+Pout2))</f>
        <v>6.9425636786934669E-2</v>
      </c>
      <c r="AC312" s="153"/>
      <c r="AD312" s="153">
        <f t="shared" si="427"/>
        <v>0.44291338582677164</v>
      </c>
      <c r="AE312" s="317">
        <f t="shared" ref="AE312:AE316" si="444">MAX(10, F312/(0.5*AD312/1000000*Isw_min*Nps)/1000*Pout_total/Pout)</f>
        <v>2889.9555555555557</v>
      </c>
      <c r="AF312" s="463">
        <f t="shared" si="429"/>
        <v>1.1626476377952754E-2</v>
      </c>
      <c r="AH312" s="153">
        <f t="shared" si="430"/>
        <v>0.57370973248050894</v>
      </c>
      <c r="AI312" s="153">
        <f t="shared" ref="AI312:AI316" si="445">MAX(IF(F312&gt;AB312,T312,AH312),Isw_min)</f>
        <v>0.74366704161979746</v>
      </c>
      <c r="AJ312" s="153">
        <f t="shared" ref="AJ312:AJ316" si="446">IF(F312&gt;AF312, (AI312-Isw_min)/1.08*0.8+1.2, AE312*0.2/350+1)</f>
        <v>1.6397533641628128</v>
      </c>
      <c r="AL312" s="317">
        <f t="shared" si="433"/>
        <v>96</v>
      </c>
      <c r="AM312" s="147">
        <f t="shared" si="434"/>
        <v>231.44771663844344</v>
      </c>
      <c r="AO312">
        <f t="shared" si="435"/>
        <v>96</v>
      </c>
      <c r="AP312">
        <f t="shared" si="436"/>
        <v>231.44771663844344</v>
      </c>
      <c r="AR312" s="5">
        <f t="shared" si="406"/>
        <v>4.320630224933919</v>
      </c>
      <c r="AS312" s="5">
        <f t="shared" si="439"/>
        <v>2.1247629760565645</v>
      </c>
      <c r="AT312" s="5">
        <f t="shared" si="440"/>
        <v>2.1958672488773545</v>
      </c>
      <c r="AU312" s="153">
        <f t="shared" si="441"/>
        <v>0.4917715392061956</v>
      </c>
      <c r="CI312" s="59">
        <f t="shared" si="437"/>
        <v>-50</v>
      </c>
    </row>
    <row r="313" spans="4:87" x14ac:dyDescent="0.25">
      <c r="E313" s="150">
        <v>97</v>
      </c>
      <c r="F313" s="191">
        <f t="shared" ref="F313:F316" si="447">IF(PLOT_TYPE=1, E313/100*Iout_max, min_I*EXP(O313*rr/100))</f>
        <v>9.7000000000000003E-2</v>
      </c>
      <c r="G313" s="191">
        <f t="shared" si="407"/>
        <v>9.7000000000000003E-2</v>
      </c>
      <c r="H313" s="191">
        <f t="shared" si="408"/>
        <v>1.94</v>
      </c>
      <c r="I313" s="191">
        <f t="shared" si="409"/>
        <v>1.552</v>
      </c>
      <c r="J313" s="472">
        <f t="shared" si="410"/>
        <v>21</v>
      </c>
      <c r="K313" s="386">
        <f t="shared" si="411"/>
        <v>20.282375624993762</v>
      </c>
      <c r="L313" s="386">
        <f t="shared" si="412"/>
        <v>41.32</v>
      </c>
      <c r="M313" s="386"/>
      <c r="N313" s="191">
        <f t="shared" si="413"/>
        <v>0.49177153920619554</v>
      </c>
      <c r="O313" s="152">
        <f t="shared" si="442"/>
        <v>1.9363504356243948</v>
      </c>
      <c r="P313" s="152">
        <f t="shared" si="415"/>
        <v>2.7883446272991286</v>
      </c>
      <c r="Q313" s="191">
        <f t="shared" si="416"/>
        <v>9.6817521781219745E-2</v>
      </c>
      <c r="R313" s="191">
        <f t="shared" si="417"/>
        <v>0.12102190222652467</v>
      </c>
      <c r="S313" s="191">
        <f t="shared" si="418"/>
        <v>19.962375624993761</v>
      </c>
      <c r="T313" s="191">
        <f t="shared" si="419"/>
        <v>0.75</v>
      </c>
      <c r="U313" s="191">
        <f t="shared" si="420"/>
        <v>2.1428571428571432</v>
      </c>
      <c r="V313" s="191">
        <f t="shared" si="421"/>
        <v>2.2186750128297086</v>
      </c>
      <c r="W313" s="175">
        <f t="shared" si="422"/>
        <v>350</v>
      </c>
      <c r="X313" s="386">
        <f t="shared" si="423"/>
        <v>229.27722742938724</v>
      </c>
      <c r="Z313" s="191">
        <f t="shared" si="424"/>
        <v>0.4913083444915442</v>
      </c>
      <c r="AA313" s="153">
        <f t="shared" si="425"/>
        <v>1.4534047300241595</v>
      </c>
      <c r="AB313" s="153">
        <f t="shared" si="443"/>
        <v>6.9423459756811773E-2</v>
      </c>
      <c r="AC313" s="153"/>
      <c r="AD313" s="153">
        <f t="shared" si="427"/>
        <v>0.44373500256594167</v>
      </c>
      <c r="AE313" s="317">
        <f t="shared" si="444"/>
        <v>2914.6524972213265</v>
      </c>
      <c r="AF313" s="463">
        <f t="shared" si="429"/>
        <v>1.1648043817355968E-2</v>
      </c>
      <c r="AH313" s="153">
        <f t="shared" si="430"/>
        <v>0.57669006283395297</v>
      </c>
      <c r="AI313" s="153">
        <f t="shared" si="445"/>
        <v>0.75</v>
      </c>
      <c r="AJ313" s="153">
        <f t="shared" si="446"/>
        <v>1.6444444444444444</v>
      </c>
      <c r="AL313" s="317">
        <f t="shared" si="433"/>
        <v>97</v>
      </c>
      <c r="AM313" s="147">
        <f t="shared" si="434"/>
        <v>229.27722742938724</v>
      </c>
      <c r="AO313" t="str">
        <f t="shared" si="435"/>
        <v/>
      </c>
      <c r="AP313" t="str">
        <f t="shared" si="436"/>
        <v/>
      </c>
      <c r="AR313" s="5">
        <f t="shared" si="406"/>
        <v>4.3615321556868523</v>
      </c>
      <c r="AS313" s="5">
        <f t="shared" si="439"/>
        <v>2.1428571428571432</v>
      </c>
      <c r="AT313" s="5">
        <f t="shared" si="440"/>
        <v>2.218675012829709</v>
      </c>
      <c r="AU313" s="153">
        <f t="shared" si="441"/>
        <v>0.49130834449154415</v>
      </c>
      <c r="CI313" s="59">
        <f t="shared" si="437"/>
        <v>229.27722742938724</v>
      </c>
    </row>
    <row r="314" spans="4:87" x14ac:dyDescent="0.25">
      <c r="E314" s="150">
        <v>98</v>
      </c>
      <c r="F314" s="191">
        <f t="shared" si="447"/>
        <v>9.8000000000000004E-2</v>
      </c>
      <c r="G314" s="191">
        <f t="shared" si="407"/>
        <v>9.8000000000000004E-2</v>
      </c>
      <c r="H314" s="191">
        <f t="shared" si="408"/>
        <v>1.96</v>
      </c>
      <c r="I314" s="191">
        <f t="shared" si="409"/>
        <v>1.5680000000000001</v>
      </c>
      <c r="J314" s="472">
        <f t="shared" si="410"/>
        <v>21</v>
      </c>
      <c r="K314" s="386">
        <f t="shared" si="411"/>
        <v>20.078677914534641</v>
      </c>
      <c r="L314" s="386">
        <f t="shared" si="412"/>
        <v>41.32</v>
      </c>
      <c r="M314" s="386"/>
      <c r="N314" s="191">
        <f t="shared" si="413"/>
        <v>0.49177153920619554</v>
      </c>
      <c r="O314" s="152">
        <f t="shared" si="442"/>
        <v>1.9363504356243948</v>
      </c>
      <c r="P314" s="152">
        <f t="shared" si="415"/>
        <v>2.7883446272991286</v>
      </c>
      <c r="Q314" s="191">
        <f t="shared" si="416"/>
        <v>9.6817521781219745E-2</v>
      </c>
      <c r="R314" s="191">
        <f t="shared" si="417"/>
        <v>0.12102190222652467</v>
      </c>
      <c r="S314" s="191">
        <f t="shared" si="418"/>
        <v>19.758677914534641</v>
      </c>
      <c r="T314" s="191">
        <f t="shared" si="419"/>
        <v>0.75</v>
      </c>
      <c r="U314" s="191">
        <f t="shared" si="420"/>
        <v>2.1428571428571432</v>
      </c>
      <c r="V314" s="191">
        <f t="shared" si="421"/>
        <v>2.241183418128601</v>
      </c>
      <c r="W314" s="175">
        <f t="shared" si="422"/>
        <v>350</v>
      </c>
      <c r="X314" s="386">
        <f t="shared" si="423"/>
        <v>228.10007938775817</v>
      </c>
      <c r="Z314" s="191">
        <f t="shared" si="424"/>
        <v>0.48878588440233889</v>
      </c>
      <c r="AA314" s="153">
        <f t="shared" si="425"/>
        <v>1.4606117588504604</v>
      </c>
      <c r="AB314" s="153">
        <f t="shared" si="443"/>
        <v>6.940951211426731E-2</v>
      </c>
      <c r="AC314" s="153"/>
      <c r="AD314" s="153">
        <f t="shared" si="427"/>
        <v>0.44823668362572028</v>
      </c>
      <c r="AE314" s="317">
        <f t="shared" si="444"/>
        <v>2915.1265712954</v>
      </c>
      <c r="AF314" s="463">
        <f t="shared" si="429"/>
        <v>1.1766212945175155E-2</v>
      </c>
      <c r="AH314" s="153">
        <f t="shared" si="430"/>
        <v>0.57965506984757753</v>
      </c>
      <c r="AI314" s="153">
        <f t="shared" si="445"/>
        <v>0.75</v>
      </c>
      <c r="AJ314" s="153">
        <f t="shared" si="446"/>
        <v>1.6444444444444444</v>
      </c>
      <c r="AL314" s="317">
        <f t="shared" si="433"/>
        <v>98</v>
      </c>
      <c r="AM314" s="147">
        <f t="shared" si="434"/>
        <v>228.10007938775817</v>
      </c>
      <c r="AO314" t="str">
        <f t="shared" si="435"/>
        <v/>
      </c>
      <c r="AP314" t="str">
        <f t="shared" si="436"/>
        <v/>
      </c>
      <c r="AR314" s="5">
        <f t="shared" si="406"/>
        <v>4.3840405609857438</v>
      </c>
      <c r="AS314" s="5">
        <f t="shared" si="439"/>
        <v>2.1428571428571432</v>
      </c>
      <c r="AT314" s="5">
        <f t="shared" si="440"/>
        <v>2.2411834181286006</v>
      </c>
      <c r="AU314" s="153">
        <f t="shared" si="441"/>
        <v>0.488785884402339</v>
      </c>
      <c r="CI314" s="59">
        <f t="shared" si="437"/>
        <v>-50</v>
      </c>
    </row>
    <row r="315" spans="4:87" x14ac:dyDescent="0.25">
      <c r="E315" s="150">
        <v>99</v>
      </c>
      <c r="F315" s="191">
        <f t="shared" si="447"/>
        <v>9.9000000000000005E-2</v>
      </c>
      <c r="G315" s="191">
        <f t="shared" si="407"/>
        <v>9.9000000000000005E-2</v>
      </c>
      <c r="H315" s="191">
        <f t="shared" si="408"/>
        <v>1.98</v>
      </c>
      <c r="I315" s="191">
        <f t="shared" si="409"/>
        <v>1.5840000000000001</v>
      </c>
      <c r="J315" s="472">
        <f t="shared" si="410"/>
        <v>21</v>
      </c>
      <c r="K315" s="386">
        <f t="shared" si="411"/>
        <v>19.87909530933732</v>
      </c>
      <c r="L315" s="386">
        <f t="shared" si="412"/>
        <v>41.32</v>
      </c>
      <c r="M315" s="386"/>
      <c r="N315" s="191">
        <f t="shared" si="413"/>
        <v>0.49177153920619554</v>
      </c>
      <c r="O315" s="152">
        <f t="shared" si="442"/>
        <v>1.9363504356243948</v>
      </c>
      <c r="P315" s="152">
        <f t="shared" si="415"/>
        <v>2.7883446272991286</v>
      </c>
      <c r="Q315" s="191">
        <f t="shared" si="416"/>
        <v>9.6817521781219745E-2</v>
      </c>
      <c r="R315" s="191">
        <f t="shared" si="417"/>
        <v>0.12102190222652467</v>
      </c>
      <c r="S315" s="191">
        <f t="shared" si="418"/>
        <v>19.559095309337319</v>
      </c>
      <c r="T315" s="191">
        <f t="shared" si="419"/>
        <v>0.75</v>
      </c>
      <c r="U315" s="191">
        <f t="shared" si="420"/>
        <v>2.1428571428571432</v>
      </c>
      <c r="V315" s="191">
        <f t="shared" si="421"/>
        <v>2.2636845037340936</v>
      </c>
      <c r="W315" s="175">
        <f t="shared" si="422"/>
        <v>350</v>
      </c>
      <c r="X315" s="386">
        <f t="shared" si="423"/>
        <v>226.93533391964397</v>
      </c>
      <c r="Z315" s="191">
        <f t="shared" si="424"/>
        <v>0.48629000125637994</v>
      </c>
      <c r="AA315" s="153">
        <f t="shared" si="425"/>
        <v>1.4677428535532004</v>
      </c>
      <c r="AB315" s="153">
        <f t="shared" si="443"/>
        <v>6.9392232204013887E-2</v>
      </c>
      <c r="AC315" s="153"/>
      <c r="AD315" s="153">
        <f t="shared" si="427"/>
        <v>0.45273690074681872</v>
      </c>
      <c r="AE315" s="317">
        <f t="shared" si="444"/>
        <v>2915.600645369474</v>
      </c>
      <c r="AF315" s="463">
        <f t="shared" si="429"/>
        <v>1.188434364460399E-2</v>
      </c>
      <c r="AH315" s="153">
        <f t="shared" si="430"/>
        <v>0.58260498747313472</v>
      </c>
      <c r="AI315" s="153">
        <f t="shared" si="445"/>
        <v>0.75</v>
      </c>
      <c r="AJ315" s="153">
        <f t="shared" si="446"/>
        <v>1.6444444444444444</v>
      </c>
      <c r="AL315" s="317">
        <f t="shared" si="433"/>
        <v>99</v>
      </c>
      <c r="AM315" s="147">
        <f t="shared" si="434"/>
        <v>226.93533391964397</v>
      </c>
      <c r="AO315" t="str">
        <f t="shared" si="435"/>
        <v/>
      </c>
      <c r="AP315" t="str">
        <f t="shared" si="436"/>
        <v/>
      </c>
      <c r="AR315" s="5">
        <f t="shared" si="406"/>
        <v>4.4065416465912364</v>
      </c>
      <c r="AS315" s="5">
        <f t="shared" si="439"/>
        <v>2.1428571428571432</v>
      </c>
      <c r="AT315" s="5">
        <f t="shared" si="440"/>
        <v>2.2636845037340931</v>
      </c>
      <c r="AU315" s="153">
        <f t="shared" si="441"/>
        <v>0.48629000125638</v>
      </c>
      <c r="CI315" s="59">
        <f t="shared" si="437"/>
        <v>-50</v>
      </c>
    </row>
    <row r="316" spans="4:87" x14ac:dyDescent="0.25">
      <c r="E316" s="150">
        <v>100</v>
      </c>
      <c r="F316" s="191">
        <f t="shared" si="447"/>
        <v>0.1</v>
      </c>
      <c r="G316" s="191">
        <f t="shared" si="407"/>
        <v>0.1</v>
      </c>
      <c r="H316" s="191">
        <f t="shared" si="408"/>
        <v>2</v>
      </c>
      <c r="I316" s="191">
        <f t="shared" si="409"/>
        <v>1.6</v>
      </c>
      <c r="J316" s="472">
        <f t="shared" si="410"/>
        <v>21</v>
      </c>
      <c r="K316" s="386">
        <f t="shared" si="411"/>
        <v>19.683504356243947</v>
      </c>
      <c r="L316" s="386">
        <f t="shared" si="412"/>
        <v>41.32</v>
      </c>
      <c r="M316" s="386"/>
      <c r="N316" s="191">
        <f t="shared" si="413"/>
        <v>0.49177153920619554</v>
      </c>
      <c r="O316" s="152">
        <f t="shared" si="442"/>
        <v>1.9363504356243948</v>
      </c>
      <c r="P316" s="152">
        <f t="shared" si="415"/>
        <v>2.7883446272991286</v>
      </c>
      <c r="Q316" s="191">
        <f t="shared" si="416"/>
        <v>9.6817521781219745E-2</v>
      </c>
      <c r="R316" s="191">
        <f t="shared" si="417"/>
        <v>0.12102190222652467</v>
      </c>
      <c r="S316" s="191">
        <f t="shared" si="418"/>
        <v>19.363504356243947</v>
      </c>
      <c r="T316" s="191">
        <f t="shared" si="419"/>
        <v>0.75</v>
      </c>
      <c r="U316" s="191">
        <f t="shared" si="420"/>
        <v>2.1428571428571432</v>
      </c>
      <c r="V316" s="191">
        <f t="shared" si="421"/>
        <v>2.286178273216132</v>
      </c>
      <c r="W316" s="175">
        <f t="shared" si="422"/>
        <v>350</v>
      </c>
      <c r="X316" s="386">
        <f t="shared" si="423"/>
        <v>225.78279603972706</v>
      </c>
      <c r="Z316" s="191">
        <f t="shared" si="424"/>
        <v>0.48382027722798654</v>
      </c>
      <c r="AA316" s="153">
        <f t="shared" si="425"/>
        <v>1.474799207920038</v>
      </c>
      <c r="AB316" s="153">
        <f t="shared" si="443"/>
        <v>6.9371726825283531E-2</v>
      </c>
      <c r="AC316" s="153"/>
      <c r="AD316" s="153">
        <f t="shared" si="427"/>
        <v>0.45723565464322646</v>
      </c>
      <c r="AE316" s="317">
        <f t="shared" si="444"/>
        <v>2916.074719443548</v>
      </c>
      <c r="AF316" s="463">
        <f t="shared" si="429"/>
        <v>1.2002435934384693E-2</v>
      </c>
      <c r="AH316" s="153">
        <f t="shared" si="430"/>
        <v>0.58554004376911994</v>
      </c>
      <c r="AI316" s="153">
        <f t="shared" si="445"/>
        <v>0.75</v>
      </c>
      <c r="AJ316" s="153">
        <f t="shared" si="446"/>
        <v>1.6444444444444444</v>
      </c>
      <c r="AL316" s="317">
        <f t="shared" si="433"/>
        <v>100</v>
      </c>
      <c r="AM316" s="147">
        <f t="shared" si="434"/>
        <v>225.78279603972706</v>
      </c>
      <c r="AO316" t="str">
        <f t="shared" si="435"/>
        <v/>
      </c>
      <c r="AP316" t="str">
        <f t="shared" si="436"/>
        <v/>
      </c>
      <c r="AR316" s="5">
        <f t="shared" si="406"/>
        <v>4.4290354160732752</v>
      </c>
      <c r="AS316" s="5">
        <f t="shared" si="439"/>
        <v>2.1428571428571432</v>
      </c>
      <c r="AT316" s="5">
        <f t="shared" si="440"/>
        <v>2.286178273216132</v>
      </c>
      <c r="AU316" s="153">
        <f t="shared" si="441"/>
        <v>0.48382027722798665</v>
      </c>
      <c r="CI316" s="59">
        <f t="shared" si="437"/>
        <v>-50</v>
      </c>
    </row>
    <row r="317" spans="4:87" x14ac:dyDescent="0.25">
      <c r="E317" s="150"/>
      <c r="F317" s="191"/>
      <c r="G317" s="191"/>
    </row>
    <row r="319" spans="4:87" x14ac:dyDescent="0.25">
      <c r="D319" s="59" t="s">
        <v>824</v>
      </c>
    </row>
    <row r="320" spans="4:87" x14ac:dyDescent="0.25">
      <c r="E320" s="59" t="s">
        <v>840</v>
      </c>
      <c r="K320" s="59"/>
      <c r="L320" s="59" t="s">
        <v>844</v>
      </c>
    </row>
    <row r="321" spans="5:16" x14ac:dyDescent="0.25">
      <c r="F321" s="59" t="s">
        <v>841</v>
      </c>
      <c r="G321" s="59" t="s">
        <v>842</v>
      </c>
      <c r="M321" s="59" t="s">
        <v>845</v>
      </c>
      <c r="N321" s="59" t="s">
        <v>846</v>
      </c>
    </row>
    <row r="322" spans="5:16" x14ac:dyDescent="0.25">
      <c r="F322">
        <f>'LM(2)518x PSR flyback converter'!E57</f>
        <v>0.01</v>
      </c>
      <c r="G322" s="649">
        <f>F322*Vout</f>
        <v>0.2</v>
      </c>
      <c r="M322">
        <f>'LM(2)518x PSR flyback converter'!L57</f>
        <v>-5.0000000000000001E-3</v>
      </c>
      <c r="N322" s="649">
        <f>M322*'LM(2)518x PSR flyback converter'!E12</f>
        <v>0.08</v>
      </c>
    </row>
    <row r="323" spans="5:16" x14ac:dyDescent="0.25">
      <c r="E323" t="s">
        <v>832</v>
      </c>
      <c r="L323" t="s">
        <v>832</v>
      </c>
    </row>
    <row r="324" spans="5:16" x14ac:dyDescent="0.25">
      <c r="F324" t="s">
        <v>833</v>
      </c>
      <c r="G324" t="s">
        <v>834</v>
      </c>
      <c r="H324" t="s">
        <v>835</v>
      </c>
      <c r="I324" s="59" t="s">
        <v>676</v>
      </c>
      <c r="M324" t="s">
        <v>833</v>
      </c>
      <c r="N324" t="s">
        <v>834</v>
      </c>
      <c r="O324" t="s">
        <v>835</v>
      </c>
      <c r="P324" s="59" t="s">
        <v>676</v>
      </c>
    </row>
    <row r="325" spans="5:16" x14ac:dyDescent="0.25">
      <c r="F325" s="648">
        <v>1.9999999999999999E-7</v>
      </c>
      <c r="G325">
        <f>VIN_max</f>
        <v>21</v>
      </c>
      <c r="H325">
        <f>15000</f>
        <v>15000</v>
      </c>
      <c r="I325">
        <f>L*0.9</f>
        <v>5.4000000000000005E-5</v>
      </c>
      <c r="M325" s="648">
        <v>1.9999999999999999E-7</v>
      </c>
      <c r="N325">
        <f>VIN_max</f>
        <v>21</v>
      </c>
      <c r="O325">
        <f>15000</f>
        <v>15000</v>
      </c>
      <c r="P325">
        <f>L*0.9</f>
        <v>5.4000000000000005E-5</v>
      </c>
    </row>
    <row r="326" spans="5:16" x14ac:dyDescent="0.25">
      <c r="G326" s="59" t="s">
        <v>836</v>
      </c>
      <c r="N326" s="59" t="s">
        <v>836</v>
      </c>
    </row>
    <row r="327" spans="5:16" x14ac:dyDescent="0.25">
      <c r="G327" s="649">
        <f>0.5*(G325/I325*F325)^2*H325*I325</f>
        <v>2.4499999999999995E-3</v>
      </c>
      <c r="N327" s="649">
        <f>0.5*(N325/P325*M325)^2*O325*P325</f>
        <v>2.4499999999999995E-3</v>
      </c>
    </row>
    <row r="328" spans="5:16" x14ac:dyDescent="0.25">
      <c r="E328" s="59" t="s">
        <v>843</v>
      </c>
      <c r="K328" s="59"/>
      <c r="L328" s="59" t="s">
        <v>847</v>
      </c>
    </row>
    <row r="329" spans="5:16" x14ac:dyDescent="0.25">
      <c r="G329" t="str">
        <f>IF(G322+N322&lt;G327, "Yes", IF(G322&lt;G327, "Yes", "No"))</f>
        <v>No</v>
      </c>
      <c r="H329">
        <f>(Vout*1.05)^2/(G327-G322)</f>
        <v>-2232.3462414578589</v>
      </c>
      <c r="N329" t="str">
        <f>IF(G322+N322&lt;N327, "Yes", IF(N322&lt;N327, "Yes", "No"))</f>
        <v>No</v>
      </c>
      <c r="O329">
        <f>(Vout2*1.05)^2/(N327-N322)</f>
        <v>-3639.4584139264989</v>
      </c>
    </row>
    <row r="332" spans="5:16" x14ac:dyDescent="0.25">
      <c r="E332" s="59"/>
    </row>
    <row r="333" spans="5:16" x14ac:dyDescent="0.25">
      <c r="F333" s="59"/>
      <c r="G333" s="59"/>
    </row>
    <row r="334" spans="5:16" x14ac:dyDescent="0.25">
      <c r="G334" s="649"/>
    </row>
    <row r="336" spans="5:16" x14ac:dyDescent="0.25">
      <c r="I336" s="59"/>
    </row>
    <row r="337" spans="5:7" x14ac:dyDescent="0.25">
      <c r="F337" s="648"/>
    </row>
    <row r="338" spans="5:7" x14ac:dyDescent="0.25">
      <c r="G338" s="59"/>
    </row>
    <row r="339" spans="5:7" x14ac:dyDescent="0.25">
      <c r="G339" s="649"/>
    </row>
    <row r="340" spans="5:7" x14ac:dyDescent="0.25">
      <c r="E340" s="59"/>
    </row>
  </sheetData>
  <sheetProtection algorithmName="SHA-512" hashValue="D3QYxlPpmciiQI9DTTlzMOcXfFhQSbJ4eelLCjnfSbOYBlU3XWvIY47HwtKpmaPXWUUjuI4foViosAoBGwTgnw==" saltValue="hapQzPptaR3pNKeZiM38vQ==" spinCount="100000" sheet="1" objects="1" scenarios="1"/>
  <mergeCells count="1">
    <mergeCell ref="N3:Z3"/>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rgb="FFFF0000"/>
  </sheetPr>
  <dimension ref="C3:S106"/>
  <sheetViews>
    <sheetView workbookViewId="0">
      <selection activeCell="V6" sqref="V6"/>
    </sheetView>
  </sheetViews>
  <sheetFormatPr defaultRowHeight="13.2" x14ac:dyDescent="0.25"/>
  <cols>
    <col min="3" max="3" width="7.6640625" customWidth="1"/>
    <col min="5" max="5" width="10.33203125" customWidth="1"/>
    <col min="7" max="7" width="10.6640625" customWidth="1"/>
    <col min="8" max="8" width="9.6640625" customWidth="1"/>
    <col min="9" max="9" width="9.5546875" customWidth="1"/>
    <col min="10" max="10" width="8.6640625" customWidth="1"/>
    <col min="11" max="11" width="9.6640625" customWidth="1"/>
    <col min="12" max="12" width="10.6640625" customWidth="1"/>
    <col min="13" max="13" width="15" customWidth="1"/>
    <col min="14" max="14" width="11.44140625" customWidth="1"/>
    <col min="15" max="16" width="11" customWidth="1"/>
    <col min="17" max="18" width="11.33203125" customWidth="1"/>
    <col min="19" max="19" width="5.33203125" customWidth="1"/>
  </cols>
  <sheetData>
    <row r="3" spans="3:19" ht="13.8" thickBot="1" x14ac:dyDescent="0.3"/>
    <row r="4" spans="3:19" x14ac:dyDescent="0.25">
      <c r="C4" s="194" t="s">
        <v>428</v>
      </c>
      <c r="D4" s="195"/>
      <c r="E4" s="196"/>
      <c r="F4" s="728" t="s">
        <v>189</v>
      </c>
      <c r="G4" s="729"/>
      <c r="H4" s="728"/>
      <c r="I4" s="728"/>
      <c r="J4" s="728"/>
      <c r="K4" s="729"/>
      <c r="L4" s="729"/>
      <c r="M4" s="729"/>
      <c r="N4" s="728"/>
      <c r="O4" s="731"/>
      <c r="P4" s="468"/>
      <c r="Q4" s="468"/>
      <c r="R4" s="468"/>
      <c r="S4" s="468"/>
    </row>
    <row r="5" spans="3:19" ht="45" customHeight="1" thickBot="1" x14ac:dyDescent="0.3">
      <c r="C5" s="214" t="s">
        <v>25</v>
      </c>
      <c r="D5" s="215" t="s">
        <v>419</v>
      </c>
      <c r="E5" s="216" t="s">
        <v>425</v>
      </c>
      <c r="F5" s="217" t="s">
        <v>48</v>
      </c>
      <c r="G5" s="462" t="s">
        <v>409</v>
      </c>
      <c r="H5" s="462" t="s">
        <v>410</v>
      </c>
      <c r="I5" s="462" t="s">
        <v>420</v>
      </c>
      <c r="J5" s="462" t="s">
        <v>421</v>
      </c>
      <c r="K5" s="462" t="s">
        <v>422</v>
      </c>
      <c r="L5" s="462" t="s">
        <v>423</v>
      </c>
      <c r="M5" s="219" t="s">
        <v>426</v>
      </c>
      <c r="N5" s="218" t="s">
        <v>427</v>
      </c>
      <c r="O5" s="218" t="s">
        <v>424</v>
      </c>
      <c r="P5" s="218" t="s">
        <v>429</v>
      </c>
      <c r="Q5" s="218" t="s">
        <v>430</v>
      </c>
      <c r="R5" s="218" t="s">
        <v>431</v>
      </c>
      <c r="S5" s="218"/>
    </row>
    <row r="6" spans="3:19" x14ac:dyDescent="0.25">
      <c r="C6" s="150">
        <v>0.1</v>
      </c>
      <c r="D6" s="464">
        <f>VIN_min</f>
        <v>9</v>
      </c>
      <c r="E6" s="386">
        <f t="shared" ref="E6:E37" si="0">(Vout+Vfwd1)*Nps</f>
        <v>20.32</v>
      </c>
      <c r="F6" s="191">
        <f t="shared" ref="F6:F37" si="1">(Vout+Vfwd1)*Nps/((Vout+Vfwd1)*Nps+D6)</f>
        <v>0.69304229195088674</v>
      </c>
      <c r="G6" s="152">
        <f t="shared" ref="G6:G37" si="2">F6*D6*Isw_max*0.5*Efficiency</f>
        <v>2.1051159618008182</v>
      </c>
      <c r="H6" s="191">
        <f t="shared" ref="H6:H37" si="3">G6/Vout</f>
        <v>0.1052557980900409</v>
      </c>
      <c r="I6" s="386">
        <f t="shared" ref="I6:I37" si="4">(Vout+Vfwd1)*Nps+D6</f>
        <v>29.32</v>
      </c>
      <c r="J6" s="152">
        <f t="shared" ref="J6:J37" si="5">MIN(2*Vout*Iout/(Efficiency*D6*F6), 1.35)</f>
        <v>0.71254982016136881</v>
      </c>
      <c r="K6" s="152">
        <f t="shared" ref="K6:K37" si="6">L*J6/D6*1000000</f>
        <v>4.7503321344091249</v>
      </c>
      <c r="L6" s="152">
        <f t="shared" ref="L6:L37" si="7">L*J6/((Vout+Vfwd1)*Nps)*1000000</f>
        <v>2.1039856894528608</v>
      </c>
      <c r="M6" s="386">
        <f>MIN(1/(K6+L6)*1000, 350)</f>
        <v>145.89343909888345</v>
      </c>
      <c r="N6" s="175">
        <f t="shared" ref="N6:N37" si="8">IF(1/((350000*L)*(1/D6+1/E6))&gt;Isw_min, 350, 0.001/((Isw_min*L)*(1/D6+1/E6)))</f>
        <v>350</v>
      </c>
      <c r="O6" s="191">
        <f t="shared" ref="O6:O37" si="9">1/((N6*1000*L)*(1/D6+1/E6))</f>
        <v>0.29701812512180864</v>
      </c>
      <c r="P6" s="153">
        <f t="shared" ref="P6:P37" si="10">L*O6/E6*1000000</f>
        <v>0.87702202299746645</v>
      </c>
      <c r="Q6" s="153">
        <f t="shared" ref="Q6:Q37" si="11">0.5*P6*O6*Nps*N6/1000</f>
        <v>4.5586001468217563E-2</v>
      </c>
      <c r="R6" s="153">
        <f t="shared" ref="R6:R37" si="12">L*Isw_min/E6*1000000</f>
        <v>0.44291338582677164</v>
      </c>
    </row>
    <row r="7" spans="3:19" x14ac:dyDescent="0.25">
      <c r="C7" s="150">
        <v>1</v>
      </c>
      <c r="D7" s="5">
        <f t="shared" ref="D7:D38" si="13">C7/100*(VIN_max-VIN_min)+VIN_min</f>
        <v>9.1199999999999992</v>
      </c>
      <c r="E7" s="386">
        <f t="shared" si="0"/>
        <v>20.32</v>
      </c>
      <c r="F7" s="191">
        <f t="shared" si="1"/>
        <v>0.69021739130434789</v>
      </c>
      <c r="G7" s="152">
        <f t="shared" si="2"/>
        <v>2.124489130434783</v>
      </c>
      <c r="H7" s="191">
        <f t="shared" si="3"/>
        <v>0.10622445652173915</v>
      </c>
      <c r="I7" s="386">
        <f t="shared" si="4"/>
        <v>29.439999999999998</v>
      </c>
      <c r="J7" s="152">
        <f t="shared" si="5"/>
        <v>0.70605209436539718</v>
      </c>
      <c r="K7" s="152">
        <f t="shared" si="6"/>
        <v>4.6450795681934034</v>
      </c>
      <c r="L7" s="152">
        <f t="shared" si="7"/>
        <v>2.0847994912364087</v>
      </c>
      <c r="M7" s="386">
        <f t="shared" ref="M7:M70" si="14">MIN(1/(K7+L7)*1000, 350)</f>
        <v>148.59108034026465</v>
      </c>
      <c r="N7" s="175">
        <f t="shared" si="8"/>
        <v>350</v>
      </c>
      <c r="O7" s="191">
        <f t="shared" si="9"/>
        <v>0.29975155279503107</v>
      </c>
      <c r="P7" s="153">
        <f t="shared" si="10"/>
        <v>0.8850931677018633</v>
      </c>
      <c r="Q7" s="153">
        <f t="shared" si="11"/>
        <v>4.6428908992708615E-2</v>
      </c>
      <c r="R7" s="153">
        <f t="shared" si="12"/>
        <v>0.44291338582677164</v>
      </c>
    </row>
    <row r="8" spans="3:19" x14ac:dyDescent="0.25">
      <c r="C8" s="150">
        <v>2</v>
      </c>
      <c r="D8" s="5">
        <f t="shared" si="13"/>
        <v>9.24</v>
      </c>
      <c r="E8" s="386">
        <f t="shared" si="0"/>
        <v>20.32</v>
      </c>
      <c r="F8" s="191">
        <f t="shared" si="1"/>
        <v>0.68741542625169139</v>
      </c>
      <c r="G8" s="152">
        <f t="shared" si="2"/>
        <v>2.1437050067658996</v>
      </c>
      <c r="H8" s="191">
        <f t="shared" si="3"/>
        <v>0.10718525033829499</v>
      </c>
      <c r="I8" s="386">
        <f t="shared" si="4"/>
        <v>29.560000000000002</v>
      </c>
      <c r="J8" s="152">
        <f t="shared" si="5"/>
        <v>0.69972314066802255</v>
      </c>
      <c r="K8" s="152">
        <f t="shared" si="6"/>
        <v>4.5436567575845617</v>
      </c>
      <c r="L8" s="152">
        <f t="shared" si="7"/>
        <v>2.066111635830775</v>
      </c>
      <c r="M8" s="386">
        <f t="shared" si="14"/>
        <v>151.29123147434362</v>
      </c>
      <c r="N8" s="175">
        <f t="shared" si="8"/>
        <v>350</v>
      </c>
      <c r="O8" s="191">
        <f t="shared" si="9"/>
        <v>0.30246278755074429</v>
      </c>
      <c r="P8" s="153">
        <f t="shared" si="10"/>
        <v>0.89309878213802441</v>
      </c>
      <c r="Q8" s="153">
        <f t="shared" si="11"/>
        <v>4.7272600760637301E-2</v>
      </c>
      <c r="R8" s="153">
        <f t="shared" si="12"/>
        <v>0.44291338582677164</v>
      </c>
    </row>
    <row r="9" spans="3:19" x14ac:dyDescent="0.25">
      <c r="C9" s="150">
        <v>3</v>
      </c>
      <c r="D9" s="5">
        <f t="shared" si="13"/>
        <v>9.36</v>
      </c>
      <c r="E9" s="386">
        <f t="shared" si="0"/>
        <v>20.32</v>
      </c>
      <c r="F9" s="191">
        <f t="shared" si="1"/>
        <v>0.6846361185983828</v>
      </c>
      <c r="G9" s="152">
        <f t="shared" si="2"/>
        <v>2.1627654986522913</v>
      </c>
      <c r="H9" s="191">
        <f t="shared" si="3"/>
        <v>0.10813827493261456</v>
      </c>
      <c r="I9" s="386">
        <f t="shared" si="4"/>
        <v>29.68</v>
      </c>
      <c r="J9" s="152">
        <f t="shared" si="5"/>
        <v>0.69355646783468305</v>
      </c>
      <c r="K9" s="152">
        <f t="shared" si="6"/>
        <v>4.4458747938120711</v>
      </c>
      <c r="L9" s="152">
        <f t="shared" si="7"/>
        <v>2.0479029562047728</v>
      </c>
      <c r="M9" s="386">
        <f t="shared" si="14"/>
        <v>153.99356714932324</v>
      </c>
      <c r="N9" s="175">
        <f t="shared" si="8"/>
        <v>350</v>
      </c>
      <c r="O9" s="191">
        <f t="shared" si="9"/>
        <v>0.3051520985752792</v>
      </c>
      <c r="P9" s="153">
        <f t="shared" si="10"/>
        <v>0.90103966114747802</v>
      </c>
      <c r="Q9" s="153">
        <f t="shared" si="11"/>
        <v>4.8116975112274495E-2</v>
      </c>
      <c r="R9" s="153">
        <f t="shared" si="12"/>
        <v>0.44291338582677164</v>
      </c>
    </row>
    <row r="10" spans="3:19" x14ac:dyDescent="0.25">
      <c r="C10" s="150">
        <v>4</v>
      </c>
      <c r="D10" s="5">
        <f t="shared" si="13"/>
        <v>9.48</v>
      </c>
      <c r="E10" s="386">
        <f t="shared" si="0"/>
        <v>20.32</v>
      </c>
      <c r="F10" s="191">
        <f t="shared" si="1"/>
        <v>0.68187919463087243</v>
      </c>
      <c r="G10" s="152">
        <f t="shared" si="2"/>
        <v>2.1816724832214764</v>
      </c>
      <c r="H10" s="191">
        <f t="shared" si="3"/>
        <v>0.10908362416107382</v>
      </c>
      <c r="I10" s="386">
        <f t="shared" si="4"/>
        <v>29.8</v>
      </c>
      <c r="J10" s="152">
        <f t="shared" si="5"/>
        <v>0.68754591330092174</v>
      </c>
      <c r="K10" s="152">
        <f t="shared" si="6"/>
        <v>4.3515564132969731</v>
      </c>
      <c r="L10" s="152">
        <f t="shared" si="7"/>
        <v>2.0301552558098086</v>
      </c>
      <c r="M10" s="386">
        <f t="shared" si="14"/>
        <v>156.69777198504573</v>
      </c>
      <c r="N10" s="175">
        <f t="shared" si="8"/>
        <v>350</v>
      </c>
      <c r="O10" s="191">
        <f t="shared" si="9"/>
        <v>0.30781975071907958</v>
      </c>
      <c r="P10" s="153">
        <f t="shared" si="10"/>
        <v>0.90891658676893594</v>
      </c>
      <c r="Q10" s="153">
        <f t="shared" si="11"/>
        <v>4.8961933503638838E-2</v>
      </c>
      <c r="R10" s="153">
        <f t="shared" si="12"/>
        <v>0.44291338582677164</v>
      </c>
    </row>
    <row r="11" spans="3:19" x14ac:dyDescent="0.25">
      <c r="C11" s="150">
        <v>5</v>
      </c>
      <c r="D11" s="5">
        <f t="shared" si="13"/>
        <v>9.6</v>
      </c>
      <c r="E11" s="386">
        <f t="shared" si="0"/>
        <v>20.32</v>
      </c>
      <c r="F11" s="191">
        <f t="shared" si="1"/>
        <v>0.67914438502673791</v>
      </c>
      <c r="G11" s="152">
        <f t="shared" si="2"/>
        <v>2.2004278074866308</v>
      </c>
      <c r="H11" s="191">
        <f t="shared" si="3"/>
        <v>0.11002139037433153</v>
      </c>
      <c r="I11" s="386">
        <f t="shared" si="4"/>
        <v>29.92</v>
      </c>
      <c r="J11" s="152">
        <f t="shared" si="5"/>
        <v>0.68168562263050458</v>
      </c>
      <c r="K11" s="152">
        <f t="shared" si="6"/>
        <v>4.2605351414406538</v>
      </c>
      <c r="L11" s="152">
        <f t="shared" si="7"/>
        <v>2.012851247924718</v>
      </c>
      <c r="M11" s="386">
        <f t="shared" si="14"/>
        <v>159.4035402785324</v>
      </c>
      <c r="N11" s="175">
        <f t="shared" si="8"/>
        <v>350</v>
      </c>
      <c r="O11" s="191">
        <f t="shared" si="9"/>
        <v>0.3104660045836517</v>
      </c>
      <c r="P11" s="153">
        <f t="shared" si="10"/>
        <v>0.91673032849503444</v>
      </c>
      <c r="Q11" s="153">
        <f t="shared" si="11"/>
        <v>4.9807380414489587E-2</v>
      </c>
      <c r="R11" s="153">
        <f t="shared" si="12"/>
        <v>0.44291338582677164</v>
      </c>
    </row>
    <row r="12" spans="3:19" x14ac:dyDescent="0.25">
      <c r="C12" s="150">
        <v>6</v>
      </c>
      <c r="D12" s="5">
        <f t="shared" si="13"/>
        <v>9.7200000000000006</v>
      </c>
      <c r="E12" s="386">
        <f t="shared" si="0"/>
        <v>20.32</v>
      </c>
      <c r="F12" s="191">
        <f t="shared" si="1"/>
        <v>0.67643142476697737</v>
      </c>
      <c r="G12" s="152">
        <f t="shared" si="2"/>
        <v>2.2190332889480695</v>
      </c>
      <c r="H12" s="191">
        <f t="shared" si="3"/>
        <v>0.11095166444740348</v>
      </c>
      <c r="I12" s="386">
        <f t="shared" si="4"/>
        <v>30.04</v>
      </c>
      <c r="J12" s="152">
        <f t="shared" si="5"/>
        <v>0.67597003049515925</v>
      </c>
      <c r="K12" s="152">
        <f t="shared" si="6"/>
        <v>4.1726545092293783</v>
      </c>
      <c r="L12" s="152">
        <f t="shared" si="7"/>
        <v>1.9959744994935804</v>
      </c>
      <c r="M12" s="386">
        <f t="shared" si="14"/>
        <v>162.1105757188374</v>
      </c>
      <c r="N12" s="175">
        <f t="shared" si="8"/>
        <v>350</v>
      </c>
      <c r="O12" s="191">
        <f t="shared" si="9"/>
        <v>0.31309111660642952</v>
      </c>
      <c r="P12" s="153">
        <f t="shared" si="10"/>
        <v>0.92448164352292184</v>
      </c>
      <c r="Q12" s="153">
        <f t="shared" si="11"/>
        <v>5.0653223259229281E-2</v>
      </c>
      <c r="R12" s="153">
        <f t="shared" si="12"/>
        <v>0.44291338582677164</v>
      </c>
    </row>
    <row r="13" spans="3:19" x14ac:dyDescent="0.25">
      <c r="C13" s="150">
        <v>7</v>
      </c>
      <c r="D13" s="5">
        <f t="shared" si="13"/>
        <v>9.84</v>
      </c>
      <c r="E13" s="386">
        <f t="shared" si="0"/>
        <v>20.32</v>
      </c>
      <c r="F13" s="191">
        <f t="shared" si="1"/>
        <v>0.67374005305039786</v>
      </c>
      <c r="G13" s="152">
        <f t="shared" si="2"/>
        <v>2.2374907161803717</v>
      </c>
      <c r="H13" s="191">
        <f t="shared" si="3"/>
        <v>0.11187453580901859</v>
      </c>
      <c r="I13" s="386">
        <f t="shared" si="4"/>
        <v>30.16</v>
      </c>
      <c r="J13" s="152">
        <f t="shared" si="5"/>
        <v>0.67039384304604199</v>
      </c>
      <c r="K13" s="152">
        <f t="shared" si="6"/>
        <v>4.087767335646598</v>
      </c>
      <c r="L13" s="152">
        <f t="shared" si="7"/>
        <v>1.9795093790729585</v>
      </c>
      <c r="M13" s="386">
        <f t="shared" si="14"/>
        <v>164.81859111089221</v>
      </c>
      <c r="N13" s="175">
        <f t="shared" si="8"/>
        <v>350</v>
      </c>
      <c r="O13" s="191">
        <f t="shared" si="9"/>
        <v>0.31569533914361497</v>
      </c>
      <c r="P13" s="153">
        <f t="shared" si="10"/>
        <v>0.93217127699886304</v>
      </c>
      <c r="Q13" s="153">
        <f t="shared" si="11"/>
        <v>5.1499372300616221E-2</v>
      </c>
      <c r="R13" s="153">
        <f t="shared" si="12"/>
        <v>0.44291338582677164</v>
      </c>
    </row>
    <row r="14" spans="3:19" s="59" customFormat="1" x14ac:dyDescent="0.25">
      <c r="C14" s="150">
        <v>8</v>
      </c>
      <c r="D14" s="170">
        <f t="shared" si="13"/>
        <v>9.9600000000000009</v>
      </c>
      <c r="E14" s="386">
        <f t="shared" si="0"/>
        <v>20.32</v>
      </c>
      <c r="F14" s="191">
        <f t="shared" si="1"/>
        <v>0.67107001321003956</v>
      </c>
      <c r="G14" s="152">
        <f t="shared" si="2"/>
        <v>2.2558018494055485</v>
      </c>
      <c r="H14" s="191">
        <f t="shared" si="3"/>
        <v>0.11279009247027742</v>
      </c>
      <c r="I14" s="386">
        <f t="shared" si="4"/>
        <v>30.28</v>
      </c>
      <c r="J14" s="152">
        <f t="shared" si="5"/>
        <v>0.66495202155955413</v>
      </c>
      <c r="K14" s="152">
        <f t="shared" si="6"/>
        <v>4.0057350696358682</v>
      </c>
      <c r="L14" s="152">
        <f t="shared" si="7"/>
        <v>1.9634410085419909</v>
      </c>
      <c r="M14" s="386">
        <f t="shared" si="14"/>
        <v>167.52730810803263</v>
      </c>
      <c r="N14" s="175">
        <f t="shared" si="8"/>
        <v>350</v>
      </c>
      <c r="O14" s="191">
        <f t="shared" si="9"/>
        <v>0.3182789205510474</v>
      </c>
      <c r="P14" s="153">
        <f t="shared" si="10"/>
        <v>0.93979996225702978</v>
      </c>
      <c r="Q14" s="469">
        <f t="shared" si="11"/>
        <v>5.2345740566189444E-2</v>
      </c>
      <c r="R14" s="153">
        <f t="shared" si="12"/>
        <v>0.44291338582677164</v>
      </c>
    </row>
    <row r="15" spans="3:19" x14ac:dyDescent="0.25">
      <c r="C15" s="150">
        <v>9</v>
      </c>
      <c r="D15" s="5">
        <f t="shared" si="13"/>
        <v>10.08</v>
      </c>
      <c r="E15" s="386">
        <f t="shared" si="0"/>
        <v>20.32</v>
      </c>
      <c r="F15" s="191">
        <f t="shared" si="1"/>
        <v>0.66842105263157903</v>
      </c>
      <c r="G15" s="152">
        <f t="shared" si="2"/>
        <v>2.2739684210526319</v>
      </c>
      <c r="H15" s="191">
        <f t="shared" si="3"/>
        <v>0.11369842105263159</v>
      </c>
      <c r="I15" s="386">
        <f t="shared" si="4"/>
        <v>30.4</v>
      </c>
      <c r="J15" s="152">
        <f t="shared" si="5"/>
        <v>0.65963976725131568</v>
      </c>
      <c r="K15" s="152">
        <f t="shared" si="6"/>
        <v>3.9264271860197364</v>
      </c>
      <c r="L15" s="152">
        <f t="shared" si="7"/>
        <v>1.9477552182617588</v>
      </c>
      <c r="M15" s="386">
        <f t="shared" si="14"/>
        <v>170.23645695290861</v>
      </c>
      <c r="N15" s="175">
        <f t="shared" si="8"/>
        <v>350</v>
      </c>
      <c r="O15" s="191">
        <f t="shared" si="9"/>
        <v>0.32084210526315787</v>
      </c>
      <c r="P15" s="153">
        <f t="shared" si="10"/>
        <v>0.94736842105263164</v>
      </c>
      <c r="Q15" s="153">
        <f t="shared" si="11"/>
        <v>5.3192243767313019E-2</v>
      </c>
      <c r="R15" s="153">
        <f t="shared" si="12"/>
        <v>0.44291338582677164</v>
      </c>
    </row>
    <row r="16" spans="3:19" x14ac:dyDescent="0.25">
      <c r="C16" s="150">
        <v>10</v>
      </c>
      <c r="D16" s="5">
        <f t="shared" si="13"/>
        <v>10.199999999999999</v>
      </c>
      <c r="E16" s="386">
        <f t="shared" si="0"/>
        <v>20.32</v>
      </c>
      <c r="F16" s="191">
        <f t="shared" si="1"/>
        <v>0.66579292267365664</v>
      </c>
      <c r="G16" s="152">
        <f t="shared" si="2"/>
        <v>2.2919921363040632</v>
      </c>
      <c r="H16" s="191">
        <f t="shared" si="3"/>
        <v>0.11459960681520316</v>
      </c>
      <c r="I16" s="386">
        <f t="shared" si="4"/>
        <v>30.52</v>
      </c>
      <c r="J16" s="152">
        <f t="shared" si="5"/>
        <v>0.65445250716209491</v>
      </c>
      <c r="K16" s="152">
        <f t="shared" si="6"/>
        <v>3.8497206303652645</v>
      </c>
      <c r="L16" s="152">
        <f t="shared" si="7"/>
        <v>1.9324385053998865</v>
      </c>
      <c r="M16" s="386">
        <f t="shared" si="14"/>
        <v>172.94577622649092</v>
      </c>
      <c r="N16" s="175">
        <f t="shared" si="8"/>
        <v>350</v>
      </c>
      <c r="O16" s="191">
        <f t="shared" si="9"/>
        <v>0.32338513387006179</v>
      </c>
      <c r="P16" s="153">
        <f t="shared" si="10"/>
        <v>0.95487736378955257</v>
      </c>
      <c r="Q16" s="153">
        <f t="shared" si="11"/>
        <v>5.4038800220750832E-2</v>
      </c>
      <c r="R16" s="153">
        <f t="shared" si="12"/>
        <v>0.44291338582677164</v>
      </c>
    </row>
    <row r="17" spans="3:18" x14ac:dyDescent="0.25">
      <c r="C17" s="150">
        <v>11</v>
      </c>
      <c r="D17" s="5">
        <f t="shared" si="13"/>
        <v>10.32</v>
      </c>
      <c r="E17" s="386">
        <f t="shared" si="0"/>
        <v>20.32</v>
      </c>
      <c r="F17" s="191">
        <f t="shared" si="1"/>
        <v>0.66318537859007831</v>
      </c>
      <c r="G17" s="152">
        <f t="shared" si="2"/>
        <v>2.3098746736292428</v>
      </c>
      <c r="H17" s="191">
        <f t="shared" si="3"/>
        <v>0.11549373368146214</v>
      </c>
      <c r="I17" s="386">
        <f t="shared" si="4"/>
        <v>30.64</v>
      </c>
      <c r="J17" s="152">
        <f t="shared" si="5"/>
        <v>0.64938588102843731</v>
      </c>
      <c r="K17" s="152">
        <f t="shared" si="6"/>
        <v>3.7754993083048678</v>
      </c>
      <c r="L17" s="152">
        <f t="shared" si="7"/>
        <v>1.9174779951627083</v>
      </c>
      <c r="M17" s="386">
        <f t="shared" si="14"/>
        <v>175.65501260489881</v>
      </c>
      <c r="N17" s="175">
        <f t="shared" si="8"/>
        <v>350</v>
      </c>
      <c r="O17" s="191">
        <f t="shared" si="9"/>
        <v>0.32590824319283856</v>
      </c>
      <c r="P17" s="153">
        <f t="shared" si="10"/>
        <v>0.9623274897426336</v>
      </c>
      <c r="Q17" s="153">
        <f t="shared" si="11"/>
        <v>5.4885330772684315E-2</v>
      </c>
      <c r="R17" s="153">
        <f t="shared" si="12"/>
        <v>0.44291338582677164</v>
      </c>
    </row>
    <row r="18" spans="3:18" x14ac:dyDescent="0.25">
      <c r="C18" s="150">
        <v>12</v>
      </c>
      <c r="D18" s="5">
        <f t="shared" si="13"/>
        <v>10.44</v>
      </c>
      <c r="E18" s="386">
        <f t="shared" si="0"/>
        <v>20.32</v>
      </c>
      <c r="F18" s="191">
        <f t="shared" si="1"/>
        <v>0.66059817945383625</v>
      </c>
      <c r="G18" s="152">
        <f t="shared" si="2"/>
        <v>2.3276176853055919</v>
      </c>
      <c r="H18" s="191">
        <f t="shared" si="3"/>
        <v>0.11638088426527959</v>
      </c>
      <c r="I18" s="386">
        <f t="shared" si="4"/>
        <v>30.759999999999998</v>
      </c>
      <c r="J18" s="152">
        <f t="shared" si="5"/>
        <v>0.64443572905877189</v>
      </c>
      <c r="K18" s="152">
        <f t="shared" si="6"/>
        <v>3.7036536152802988</v>
      </c>
      <c r="L18" s="152">
        <f t="shared" si="7"/>
        <v>1.9028614047010983</v>
      </c>
      <c r="M18" s="386">
        <f t="shared" si="14"/>
        <v>178.36392062378141</v>
      </c>
      <c r="N18" s="175">
        <f t="shared" si="8"/>
        <v>350</v>
      </c>
      <c r="O18" s="191">
        <f t="shared" si="9"/>
        <v>0.32841166635704999</v>
      </c>
      <c r="P18" s="153">
        <f t="shared" si="10"/>
        <v>0.96971948727475388</v>
      </c>
      <c r="Q18" s="153">
        <f t="shared" si="11"/>
        <v>5.5731758725091063E-2</v>
      </c>
      <c r="R18" s="153">
        <f t="shared" si="12"/>
        <v>0.44291338582677164</v>
      </c>
    </row>
    <row r="19" spans="3:18" x14ac:dyDescent="0.25">
      <c r="C19" s="150">
        <v>13</v>
      </c>
      <c r="D19" s="5">
        <f t="shared" si="13"/>
        <v>10.56</v>
      </c>
      <c r="E19" s="386">
        <f t="shared" si="0"/>
        <v>20.32</v>
      </c>
      <c r="F19" s="191">
        <f t="shared" si="1"/>
        <v>0.65803108808290156</v>
      </c>
      <c r="G19" s="152">
        <f t="shared" si="2"/>
        <v>2.3452227979274611</v>
      </c>
      <c r="H19" s="191">
        <f t="shared" si="3"/>
        <v>0.11726113989637306</v>
      </c>
      <c r="I19" s="386">
        <f t="shared" si="4"/>
        <v>30.880000000000003</v>
      </c>
      <c r="J19" s="152">
        <f t="shared" si="5"/>
        <v>0.63959808054296241</v>
      </c>
      <c r="K19" s="152">
        <f t="shared" si="6"/>
        <v>3.6340800030850136</v>
      </c>
      <c r="L19" s="152">
        <f t="shared" si="7"/>
        <v>1.8885770094772512</v>
      </c>
      <c r="M19" s="386">
        <f t="shared" si="14"/>
        <v>181.07226244999868</v>
      </c>
      <c r="N19" s="175">
        <f t="shared" si="8"/>
        <v>350</v>
      </c>
      <c r="O19" s="191">
        <f t="shared" si="9"/>
        <v>0.33089563286454476</v>
      </c>
      <c r="P19" s="153">
        <f t="shared" si="10"/>
        <v>0.97705403404885272</v>
      </c>
      <c r="Q19" s="153">
        <f t="shared" si="11"/>
        <v>5.6578009764404025E-2</v>
      </c>
      <c r="R19" s="153">
        <f t="shared" si="12"/>
        <v>0.44291338582677164</v>
      </c>
    </row>
    <row r="20" spans="3:18" x14ac:dyDescent="0.25">
      <c r="C20" s="150">
        <v>14</v>
      </c>
      <c r="D20" s="5">
        <f t="shared" si="13"/>
        <v>10.68</v>
      </c>
      <c r="E20" s="386">
        <f t="shared" si="0"/>
        <v>20.32</v>
      </c>
      <c r="F20" s="191">
        <f t="shared" si="1"/>
        <v>0.65548387096774197</v>
      </c>
      <c r="G20" s="152">
        <f t="shared" si="2"/>
        <v>2.3626916129032258</v>
      </c>
      <c r="H20" s="191">
        <f t="shared" si="3"/>
        <v>0.11813458064516129</v>
      </c>
      <c r="I20" s="386">
        <f t="shared" si="4"/>
        <v>31</v>
      </c>
      <c r="J20" s="152">
        <f t="shared" si="5"/>
        <v>0.63486914322975541</v>
      </c>
      <c r="K20" s="152">
        <f t="shared" si="6"/>
        <v>3.5666805799424468</v>
      </c>
      <c r="L20" s="152">
        <f t="shared" si="7"/>
        <v>1.8746136118988843</v>
      </c>
      <c r="M20" s="386">
        <f t="shared" si="14"/>
        <v>183.77980766035375</v>
      </c>
      <c r="N20" s="175">
        <f t="shared" si="8"/>
        <v>350</v>
      </c>
      <c r="O20" s="191">
        <f t="shared" si="9"/>
        <v>0.33336036866359448</v>
      </c>
      <c r="P20" s="153">
        <f t="shared" si="10"/>
        <v>0.98433179723502318</v>
      </c>
      <c r="Q20" s="153">
        <f t="shared" si="11"/>
        <v>5.7424011892374019E-2</v>
      </c>
      <c r="R20" s="153">
        <f t="shared" si="12"/>
        <v>0.44291338582677164</v>
      </c>
    </row>
    <row r="21" spans="3:18" x14ac:dyDescent="0.25">
      <c r="C21" s="150">
        <v>15</v>
      </c>
      <c r="D21" s="5">
        <f t="shared" si="13"/>
        <v>10.8</v>
      </c>
      <c r="E21" s="386">
        <f t="shared" si="0"/>
        <v>20.32</v>
      </c>
      <c r="F21" s="191">
        <f t="shared" si="1"/>
        <v>0.65295629820051415</v>
      </c>
      <c r="G21" s="152">
        <f t="shared" si="2"/>
        <v>2.3800257069408741</v>
      </c>
      <c r="H21" s="191">
        <f t="shared" si="3"/>
        <v>0.11900128534704371</v>
      </c>
      <c r="I21" s="386">
        <f t="shared" si="4"/>
        <v>31.12</v>
      </c>
      <c r="J21" s="152">
        <f t="shared" si="5"/>
        <v>0.63024529341239743</v>
      </c>
      <c r="K21" s="152">
        <f t="shared" si="6"/>
        <v>3.5013627411799857</v>
      </c>
      <c r="L21" s="152">
        <f t="shared" si="7"/>
        <v>1.8609605120444803</v>
      </c>
      <c r="M21" s="386">
        <f t="shared" si="14"/>
        <v>186.48633302714103</v>
      </c>
      <c r="N21" s="175">
        <f t="shared" si="8"/>
        <v>350</v>
      </c>
      <c r="O21" s="191">
        <f t="shared" si="9"/>
        <v>0.33580609621740731</v>
      </c>
      <c r="P21" s="153">
        <f t="shared" si="10"/>
        <v>0.9915534337128169</v>
      </c>
      <c r="Q21" s="153">
        <f t="shared" si="11"/>
        <v>5.8269695359061686E-2</v>
      </c>
      <c r="R21" s="153">
        <f t="shared" si="12"/>
        <v>0.44291338582677164</v>
      </c>
    </row>
    <row r="22" spans="3:18" s="3" customFormat="1" x14ac:dyDescent="0.25">
      <c r="C22" s="238">
        <v>16</v>
      </c>
      <c r="D22" s="465">
        <f t="shared" si="13"/>
        <v>10.92</v>
      </c>
      <c r="E22" s="466">
        <f t="shared" si="0"/>
        <v>20.32</v>
      </c>
      <c r="F22" s="467">
        <f t="shared" si="1"/>
        <v>0.65044814340588986</v>
      </c>
      <c r="G22" s="289">
        <f t="shared" si="2"/>
        <v>2.3972266325224072</v>
      </c>
      <c r="H22" s="467">
        <f t="shared" si="3"/>
        <v>0.11986133162612037</v>
      </c>
      <c r="I22" s="466">
        <f t="shared" si="4"/>
        <v>31.240000000000002</v>
      </c>
      <c r="J22" s="152">
        <f t="shared" si="5"/>
        <v>0.62572306666794864</v>
      </c>
      <c r="K22" s="289">
        <f t="shared" si="6"/>
        <v>3.4380388278458716</v>
      </c>
      <c r="L22" s="289">
        <f t="shared" si="7"/>
        <v>1.8476074803187459</v>
      </c>
      <c r="M22" s="466">
        <f t="shared" si="14"/>
        <v>189.19162231027883</v>
      </c>
      <c r="N22" s="291">
        <f t="shared" si="8"/>
        <v>350</v>
      </c>
      <c r="O22" s="467">
        <f t="shared" si="9"/>
        <v>0.3382330345710628</v>
      </c>
      <c r="P22" s="153">
        <f t="shared" si="10"/>
        <v>0.99871959026888635</v>
      </c>
      <c r="Q22" s="470">
        <f t="shared" si="11"/>
        <v>5.9114992597887432E-2</v>
      </c>
      <c r="R22" s="153">
        <f t="shared" si="12"/>
        <v>0.44291338582677164</v>
      </c>
    </row>
    <row r="23" spans="3:18" x14ac:dyDescent="0.25">
      <c r="C23" s="150">
        <v>17</v>
      </c>
      <c r="D23" s="5">
        <f t="shared" si="13"/>
        <v>11.04</v>
      </c>
      <c r="E23" s="386">
        <f t="shared" si="0"/>
        <v>20.32</v>
      </c>
      <c r="F23" s="191">
        <f t="shared" si="1"/>
        <v>0.64795918367346939</v>
      </c>
      <c r="G23" s="152">
        <f t="shared" si="2"/>
        <v>2.4142959183673467</v>
      </c>
      <c r="H23" s="191">
        <f t="shared" si="3"/>
        <v>0.12071479591836734</v>
      </c>
      <c r="I23" s="386">
        <f t="shared" si="4"/>
        <v>31.36</v>
      </c>
      <c r="J23" s="152">
        <f t="shared" si="5"/>
        <v>0.62129914920055285</v>
      </c>
      <c r="K23" s="152">
        <f t="shared" si="6"/>
        <v>3.3766258108725702</v>
      </c>
      <c r="L23" s="152">
        <f t="shared" si="7"/>
        <v>1.8345447318913961</v>
      </c>
      <c r="M23" s="386">
        <f t="shared" si="14"/>
        <v>191.89546605581006</v>
      </c>
      <c r="N23" s="175">
        <f t="shared" si="8"/>
        <v>350</v>
      </c>
      <c r="O23" s="191">
        <f t="shared" si="9"/>
        <v>0.34064139941690957</v>
      </c>
      <c r="P23" s="153">
        <f t="shared" si="10"/>
        <v>1.0058309037900872</v>
      </c>
      <c r="Q23" s="153">
        <f t="shared" si="11"/>
        <v>5.9959838162670288E-2</v>
      </c>
      <c r="R23" s="153">
        <f t="shared" si="12"/>
        <v>0.44291338582677164</v>
      </c>
    </row>
    <row r="24" spans="3:18" x14ac:dyDescent="0.25">
      <c r="C24" s="150">
        <v>18</v>
      </c>
      <c r="D24" s="5">
        <f t="shared" si="13"/>
        <v>11.16</v>
      </c>
      <c r="E24" s="386">
        <f t="shared" si="0"/>
        <v>20.32</v>
      </c>
      <c r="F24" s="191">
        <f t="shared" si="1"/>
        <v>0.64548919949174077</v>
      </c>
      <c r="G24" s="152">
        <f t="shared" si="2"/>
        <v>2.4312350698856418</v>
      </c>
      <c r="H24" s="191">
        <f t="shared" si="3"/>
        <v>0.12156175349428208</v>
      </c>
      <c r="I24" s="386">
        <f t="shared" si="4"/>
        <v>31.48</v>
      </c>
      <c r="J24" s="152">
        <f t="shared" si="5"/>
        <v>0.61697036974320862</v>
      </c>
      <c r="K24" s="152">
        <f t="shared" si="6"/>
        <v>3.3170449986194015</v>
      </c>
      <c r="L24" s="152">
        <f t="shared" si="7"/>
        <v>1.8217629027850648</v>
      </c>
      <c r="M24" s="386">
        <f t="shared" si="14"/>
        <v>194.59766140055441</v>
      </c>
      <c r="N24" s="175">
        <f t="shared" si="8"/>
        <v>350</v>
      </c>
      <c r="O24" s="191">
        <f t="shared" si="9"/>
        <v>0.34303140315846803</v>
      </c>
      <c r="P24" s="153">
        <f t="shared" si="10"/>
        <v>1.0128880014521695</v>
      </c>
      <c r="Q24" s="153">
        <f t="shared" si="11"/>
        <v>6.0804168666589976E-2</v>
      </c>
      <c r="R24" s="153">
        <f t="shared" si="12"/>
        <v>0.44291338582677164</v>
      </c>
    </row>
    <row r="25" spans="3:18" x14ac:dyDescent="0.25">
      <c r="C25" s="150">
        <v>19</v>
      </c>
      <c r="D25" s="5">
        <f t="shared" si="13"/>
        <v>11.280000000000001</v>
      </c>
      <c r="E25" s="386">
        <f t="shared" si="0"/>
        <v>20.32</v>
      </c>
      <c r="F25" s="191">
        <f t="shared" si="1"/>
        <v>0.64303797468354429</v>
      </c>
      <c r="G25" s="152">
        <f t="shared" si="2"/>
        <v>2.4480455696202532</v>
      </c>
      <c r="H25" s="191">
        <f t="shared" si="3"/>
        <v>0.12240227848101266</v>
      </c>
      <c r="I25" s="386">
        <f t="shared" si="4"/>
        <v>31.6</v>
      </c>
      <c r="J25" s="152">
        <f t="shared" si="5"/>
        <v>0.61273369197644612</v>
      </c>
      <c r="K25" s="152">
        <f t="shared" si="6"/>
        <v>3.2592217658321601</v>
      </c>
      <c r="L25" s="152">
        <f t="shared" si="7"/>
        <v>1.8092530274895062</v>
      </c>
      <c r="M25" s="386">
        <f t="shared" si="14"/>
        <v>197.29801188271114</v>
      </c>
      <c r="N25" s="175">
        <f t="shared" si="8"/>
        <v>350</v>
      </c>
      <c r="O25" s="191">
        <f t="shared" si="9"/>
        <v>0.34540325497287527</v>
      </c>
      <c r="P25" s="153">
        <f t="shared" si="10"/>
        <v>1.0198915009041591</v>
      </c>
      <c r="Q25" s="153">
        <f t="shared" si="11"/>
        <v>6.164792272300685E-2</v>
      </c>
      <c r="R25" s="153">
        <f t="shared" si="12"/>
        <v>0.44291338582677164</v>
      </c>
    </row>
    <row r="26" spans="3:18" x14ac:dyDescent="0.25">
      <c r="C26" s="150">
        <v>20</v>
      </c>
      <c r="D26" s="5">
        <f t="shared" si="13"/>
        <v>11.4</v>
      </c>
      <c r="E26" s="386">
        <f t="shared" si="0"/>
        <v>20.32</v>
      </c>
      <c r="F26" s="191">
        <f t="shared" si="1"/>
        <v>0.64060529634300134</v>
      </c>
      <c r="G26" s="152">
        <f t="shared" si="2"/>
        <v>2.4647288776796978</v>
      </c>
      <c r="H26" s="191">
        <f t="shared" si="3"/>
        <v>0.12323644388398489</v>
      </c>
      <c r="I26" s="386">
        <f t="shared" si="4"/>
        <v>31.72</v>
      </c>
      <c r="J26" s="152">
        <f t="shared" si="5"/>
        <v>0.60858620742582614</v>
      </c>
      <c r="K26" s="152">
        <f t="shared" si="6"/>
        <v>3.20308530224119</v>
      </c>
      <c r="L26" s="152">
        <f t="shared" si="7"/>
        <v>1.7970065179896442</v>
      </c>
      <c r="M26" s="386">
        <f t="shared" si="14"/>
        <v>199.99632725821303</v>
      </c>
      <c r="N26" s="175">
        <f t="shared" si="8"/>
        <v>350</v>
      </c>
      <c r="O26" s="191">
        <f t="shared" si="9"/>
        <v>0.34775716087191499</v>
      </c>
      <c r="P26" s="153">
        <f t="shared" si="10"/>
        <v>1.0268420104485678</v>
      </c>
      <c r="Q26" s="153">
        <f t="shared" si="11"/>
        <v>6.2491040888080558E-2</v>
      </c>
      <c r="R26" s="153">
        <f t="shared" si="12"/>
        <v>0.44291338582677164</v>
      </c>
    </row>
    <row r="27" spans="3:18" x14ac:dyDescent="0.25">
      <c r="C27" s="150">
        <v>21</v>
      </c>
      <c r="D27" s="5">
        <f t="shared" si="13"/>
        <v>11.52</v>
      </c>
      <c r="E27" s="386">
        <f t="shared" si="0"/>
        <v>20.32</v>
      </c>
      <c r="F27" s="191">
        <f t="shared" si="1"/>
        <v>0.63819095477386933</v>
      </c>
      <c r="G27" s="152">
        <f t="shared" si="2"/>
        <v>2.4812864321608035</v>
      </c>
      <c r="H27" s="191">
        <f t="shared" si="3"/>
        <v>0.12406432160804018</v>
      </c>
      <c r="I27" s="386">
        <f t="shared" si="4"/>
        <v>31.84</v>
      </c>
      <c r="J27" s="152">
        <f t="shared" si="5"/>
        <v>0.60452512880334408</v>
      </c>
      <c r="K27" s="152">
        <f t="shared" si="6"/>
        <v>3.1485683791840842</v>
      </c>
      <c r="L27" s="152">
        <f t="shared" si="7"/>
        <v>1.7850151441043627</v>
      </c>
      <c r="M27" s="386">
        <f t="shared" si="14"/>
        <v>202.69242332264332</v>
      </c>
      <c r="N27" s="175">
        <f t="shared" si="8"/>
        <v>350</v>
      </c>
      <c r="O27" s="191">
        <f t="shared" si="9"/>
        <v>0.35009332376166552</v>
      </c>
      <c r="P27" s="153">
        <f t="shared" si="10"/>
        <v>1.0337401292175163</v>
      </c>
      <c r="Q27" s="153">
        <f t="shared" si="11"/>
        <v>6.3333465605125427E-2</v>
      </c>
      <c r="R27" s="153">
        <f t="shared" si="12"/>
        <v>0.44291338582677164</v>
      </c>
    </row>
    <row r="28" spans="3:18" x14ac:dyDescent="0.25">
      <c r="C28" s="150">
        <v>22</v>
      </c>
      <c r="D28" s="5">
        <f t="shared" si="13"/>
        <v>11.64</v>
      </c>
      <c r="E28" s="386">
        <f t="shared" si="0"/>
        <v>20.32</v>
      </c>
      <c r="F28" s="191">
        <f t="shared" si="1"/>
        <v>0.63579474342928655</v>
      </c>
      <c r="G28" s="152">
        <f t="shared" si="2"/>
        <v>2.4977196495619522</v>
      </c>
      <c r="H28" s="191">
        <f t="shared" si="3"/>
        <v>0.12488598247809761</v>
      </c>
      <c r="I28" s="386">
        <f t="shared" si="4"/>
        <v>31.96</v>
      </c>
      <c r="J28" s="152">
        <f t="shared" si="5"/>
        <v>0.60054778376070694</v>
      </c>
      <c r="K28" s="152">
        <f t="shared" si="6"/>
        <v>3.0956071327871495</v>
      </c>
      <c r="L28" s="152">
        <f t="shared" si="7"/>
        <v>1.7732710150414577</v>
      </c>
      <c r="M28" s="386">
        <f t="shared" si="14"/>
        <v>205.3861217385311</v>
      </c>
      <c r="N28" s="175">
        <f t="shared" si="8"/>
        <v>350</v>
      </c>
      <c r="O28" s="191">
        <f t="shared" si="9"/>
        <v>0.35241194350080463</v>
      </c>
      <c r="P28" s="153">
        <f t="shared" si="10"/>
        <v>1.0405864473448956</v>
      </c>
      <c r="Q28" s="153">
        <f t="shared" si="11"/>
        <v>6.4175141150647166E-2</v>
      </c>
      <c r="R28" s="153">
        <f t="shared" si="12"/>
        <v>0.44291338582677164</v>
      </c>
    </row>
    <row r="29" spans="3:18" x14ac:dyDescent="0.25">
      <c r="C29" s="150">
        <v>23</v>
      </c>
      <c r="D29" s="5">
        <f t="shared" si="13"/>
        <v>11.76</v>
      </c>
      <c r="E29" s="386">
        <f t="shared" si="0"/>
        <v>20.32</v>
      </c>
      <c r="F29" s="191">
        <f t="shared" si="1"/>
        <v>0.6334164588528679</v>
      </c>
      <c r="G29" s="152">
        <f t="shared" si="2"/>
        <v>2.5140299251870331</v>
      </c>
      <c r="H29" s="191">
        <f t="shared" si="3"/>
        <v>0.12570149625935165</v>
      </c>
      <c r="I29" s="386">
        <f t="shared" si="4"/>
        <v>32.08</v>
      </c>
      <c r="J29" s="152">
        <f t="shared" si="5"/>
        <v>0.59665160902506231</v>
      </c>
      <c r="K29" s="152">
        <f t="shared" si="6"/>
        <v>3.0441408623727675</v>
      </c>
      <c r="L29" s="152">
        <f t="shared" si="7"/>
        <v>1.761766562081877</v>
      </c>
      <c r="M29" s="386">
        <f t="shared" si="14"/>
        <v>208.07724986784908</v>
      </c>
      <c r="N29" s="175">
        <f t="shared" si="8"/>
        <v>350</v>
      </c>
      <c r="O29" s="191">
        <f t="shared" si="9"/>
        <v>0.35471321695760594</v>
      </c>
      <c r="P29" s="153">
        <f t="shared" si="10"/>
        <v>1.0473815461346632</v>
      </c>
      <c r="Q29" s="153">
        <f t="shared" si="11"/>
        <v>6.5016013582005053E-2</v>
      </c>
      <c r="R29" s="153">
        <f t="shared" si="12"/>
        <v>0.44291338582677164</v>
      </c>
    </row>
    <row r="30" spans="3:18" x14ac:dyDescent="0.25">
      <c r="C30" s="150">
        <v>24</v>
      </c>
      <c r="D30" s="5">
        <f t="shared" si="13"/>
        <v>11.879999999999999</v>
      </c>
      <c r="E30" s="386">
        <f t="shared" si="0"/>
        <v>20.32</v>
      </c>
      <c r="F30" s="191">
        <f t="shared" si="1"/>
        <v>0.63105590062111794</v>
      </c>
      <c r="G30" s="152">
        <f t="shared" si="2"/>
        <v>2.5302186335403722</v>
      </c>
      <c r="H30" s="191">
        <f t="shared" si="3"/>
        <v>0.1265109316770186</v>
      </c>
      <c r="I30" s="386">
        <f t="shared" si="4"/>
        <v>32.200000000000003</v>
      </c>
      <c r="J30" s="152">
        <f t="shared" si="5"/>
        <v>0.59283414489013797</v>
      </c>
      <c r="K30" s="152">
        <f t="shared" si="6"/>
        <v>2.9941118428794851</v>
      </c>
      <c r="L30" s="152">
        <f t="shared" si="7"/>
        <v>1.7504945223133996</v>
      </c>
      <c r="M30" s="386">
        <f t="shared" si="14"/>
        <v>210.76564060954433</v>
      </c>
      <c r="N30" s="175">
        <f t="shared" si="8"/>
        <v>350</v>
      </c>
      <c r="O30" s="191">
        <f t="shared" si="9"/>
        <v>0.35699733806566103</v>
      </c>
      <c r="P30" s="153">
        <f t="shared" si="10"/>
        <v>1.054125998225377</v>
      </c>
      <c r="Q30" s="153">
        <f t="shared" si="11"/>
        <v>6.5856030686646777E-2</v>
      </c>
      <c r="R30" s="153">
        <f t="shared" si="12"/>
        <v>0.44291338582677164</v>
      </c>
    </row>
    <row r="31" spans="3:18" x14ac:dyDescent="0.25">
      <c r="C31" s="150">
        <v>25</v>
      </c>
      <c r="D31" s="5">
        <f t="shared" si="13"/>
        <v>12</v>
      </c>
      <c r="E31" s="386">
        <f t="shared" si="0"/>
        <v>20.32</v>
      </c>
      <c r="F31" s="191">
        <f t="shared" si="1"/>
        <v>0.62871287128712872</v>
      </c>
      <c r="G31" s="152">
        <f t="shared" si="2"/>
        <v>2.5462871287128714</v>
      </c>
      <c r="H31" s="191">
        <f t="shared" si="3"/>
        <v>0.12731435643564357</v>
      </c>
      <c r="I31" s="386">
        <f t="shared" si="4"/>
        <v>32.32</v>
      </c>
      <c r="J31" s="152">
        <f t="shared" si="5"/>
        <v>0.58909303003791191</v>
      </c>
      <c r="K31" s="152">
        <f t="shared" si="6"/>
        <v>2.9454651501895595</v>
      </c>
      <c r="L31" s="152">
        <f t="shared" si="7"/>
        <v>1.7394479233402909</v>
      </c>
      <c r="M31" s="386">
        <f t="shared" si="14"/>
        <v>213.45113224193707</v>
      </c>
      <c r="N31" s="175">
        <f t="shared" si="8"/>
        <v>350</v>
      </c>
      <c r="O31" s="191">
        <f t="shared" si="9"/>
        <v>0.35926449787835929</v>
      </c>
      <c r="P31" s="153">
        <f t="shared" si="10"/>
        <v>1.0608203677510608</v>
      </c>
      <c r="Q31" s="153">
        <f t="shared" si="11"/>
        <v>6.6695141932863716E-2</v>
      </c>
      <c r="R31" s="153">
        <f t="shared" si="12"/>
        <v>0.44291338582677164</v>
      </c>
    </row>
    <row r="32" spans="3:18" x14ac:dyDescent="0.25">
      <c r="C32" s="150">
        <v>26</v>
      </c>
      <c r="D32" s="5">
        <f t="shared" si="13"/>
        <v>12.120000000000001</v>
      </c>
      <c r="E32" s="386">
        <f t="shared" si="0"/>
        <v>20.32</v>
      </c>
      <c r="F32" s="191">
        <f t="shared" si="1"/>
        <v>0.6263871763255241</v>
      </c>
      <c r="G32" s="152">
        <f t="shared" si="2"/>
        <v>2.5622367447595567</v>
      </c>
      <c r="H32" s="191">
        <f t="shared" si="3"/>
        <v>0.12811183723797784</v>
      </c>
      <c r="I32" s="386">
        <f t="shared" si="4"/>
        <v>32.44</v>
      </c>
      <c r="J32" s="152">
        <f t="shared" si="5"/>
        <v>0.58542599666790818</v>
      </c>
      <c r="K32" s="152">
        <f t="shared" si="6"/>
        <v>2.8981484983559809</v>
      </c>
      <c r="L32" s="152">
        <f t="shared" si="7"/>
        <v>1.7286200689013038</v>
      </c>
      <c r="M32" s="386">
        <f t="shared" si="14"/>
        <v>216.13356826982871</v>
      </c>
      <c r="N32" s="175">
        <f t="shared" si="8"/>
        <v>350</v>
      </c>
      <c r="O32" s="191">
        <f t="shared" si="9"/>
        <v>0.36151488462215964</v>
      </c>
      <c r="P32" s="153">
        <f t="shared" si="10"/>
        <v>1.0674652104985027</v>
      </c>
      <c r="Q32" s="153">
        <f t="shared" si="11"/>
        <v>6.7533298422018731E-2</v>
      </c>
      <c r="R32" s="153">
        <f t="shared" si="12"/>
        <v>0.44291338582677164</v>
      </c>
    </row>
    <row r="33" spans="3:18" x14ac:dyDescent="0.25">
      <c r="C33" s="150">
        <v>27</v>
      </c>
      <c r="D33" s="5">
        <f t="shared" si="13"/>
        <v>12.24</v>
      </c>
      <c r="E33" s="386">
        <f t="shared" si="0"/>
        <v>20.32</v>
      </c>
      <c r="F33" s="191">
        <f t="shared" si="1"/>
        <v>0.62407862407862402</v>
      </c>
      <c r="G33" s="152">
        <f t="shared" si="2"/>
        <v>2.5780687960687958</v>
      </c>
      <c r="H33" s="191">
        <f t="shared" si="3"/>
        <v>0.1289034398034398</v>
      </c>
      <c r="I33" s="386">
        <f t="shared" si="4"/>
        <v>32.56</v>
      </c>
      <c r="J33" s="152">
        <f t="shared" si="5"/>
        <v>0.5818308659130027</v>
      </c>
      <c r="K33" s="152">
        <f t="shared" si="6"/>
        <v>2.8521120878088366</v>
      </c>
      <c r="L33" s="152">
        <f t="shared" si="7"/>
        <v>1.7180045253336693</v>
      </c>
      <c r="M33" s="386">
        <f t="shared" si="14"/>
        <v>218.81279727616828</v>
      </c>
      <c r="N33" s="175">
        <f t="shared" si="8"/>
        <v>350</v>
      </c>
      <c r="O33" s="191">
        <f t="shared" si="9"/>
        <v>0.36374868374868374</v>
      </c>
      <c r="P33" s="153">
        <f t="shared" si="10"/>
        <v>1.0740610740610741</v>
      </c>
      <c r="Q33" s="153">
        <f t="shared" si="11"/>
        <v>6.837045284219731E-2</v>
      </c>
      <c r="R33" s="153">
        <f t="shared" si="12"/>
        <v>0.44291338582677164</v>
      </c>
    </row>
    <row r="34" spans="3:18" x14ac:dyDescent="0.25">
      <c r="C34" s="150">
        <v>28</v>
      </c>
      <c r="D34" s="5">
        <f t="shared" si="13"/>
        <v>12.36</v>
      </c>
      <c r="E34" s="386">
        <f t="shared" si="0"/>
        <v>20.32</v>
      </c>
      <c r="F34" s="191">
        <f t="shared" si="1"/>
        <v>0.6217870257037944</v>
      </c>
      <c r="G34" s="152">
        <f t="shared" si="2"/>
        <v>2.5937845777233783</v>
      </c>
      <c r="H34" s="191">
        <f t="shared" si="3"/>
        <v>0.12968922888616891</v>
      </c>
      <c r="I34" s="386">
        <f t="shared" si="4"/>
        <v>32.68</v>
      </c>
      <c r="J34" s="152">
        <f t="shared" si="5"/>
        <v>0.57830554352227004</v>
      </c>
      <c r="K34" s="152">
        <f t="shared" si="6"/>
        <v>2.8073084637003407</v>
      </c>
      <c r="L34" s="152">
        <f t="shared" si="7"/>
        <v>1.7075951088256007</v>
      </c>
      <c r="M34" s="386">
        <f t="shared" si="14"/>
        <v>221.48867277812815</v>
      </c>
      <c r="N34" s="175">
        <f t="shared" si="8"/>
        <v>350</v>
      </c>
      <c r="O34" s="191">
        <f t="shared" si="9"/>
        <v>0.36596607798566183</v>
      </c>
      <c r="P34" s="153">
        <f t="shared" si="10"/>
        <v>1.080608497989159</v>
      </c>
      <c r="Q34" s="153">
        <f t="shared" si="11"/>
        <v>6.9206559423237154E-2</v>
      </c>
      <c r="R34" s="153">
        <f t="shared" si="12"/>
        <v>0.44291338582677164</v>
      </c>
    </row>
    <row r="35" spans="3:18" x14ac:dyDescent="0.25">
      <c r="C35" s="150">
        <v>29</v>
      </c>
      <c r="D35" s="5">
        <f t="shared" si="13"/>
        <v>12.48</v>
      </c>
      <c r="E35" s="386">
        <f t="shared" si="0"/>
        <v>20.32</v>
      </c>
      <c r="F35" s="191">
        <f t="shared" si="1"/>
        <v>0.61951219512195133</v>
      </c>
      <c r="G35" s="152">
        <f t="shared" si="2"/>
        <v>2.6093853658536594</v>
      </c>
      <c r="H35" s="191">
        <f t="shared" si="3"/>
        <v>0.13046926829268296</v>
      </c>
      <c r="I35" s="386">
        <f t="shared" si="4"/>
        <v>32.799999999999997</v>
      </c>
      <c r="J35" s="152">
        <f t="shared" si="5"/>
        <v>0.57484801579289746</v>
      </c>
      <c r="K35" s="152">
        <f t="shared" si="6"/>
        <v>2.7636923836196994</v>
      </c>
      <c r="L35" s="152">
        <f t="shared" si="7"/>
        <v>1.6973858734042251</v>
      </c>
      <c r="M35" s="386">
        <f t="shared" si="14"/>
        <v>224.16105308744801</v>
      </c>
      <c r="N35" s="175">
        <f t="shared" si="8"/>
        <v>350</v>
      </c>
      <c r="O35" s="191">
        <f t="shared" si="9"/>
        <v>0.3681672473867596</v>
      </c>
      <c r="P35" s="153">
        <f t="shared" si="10"/>
        <v>1.0871080139372822</v>
      </c>
      <c r="Q35" s="153">
        <f t="shared" si="11"/>
        <v>7.0041573893090847E-2</v>
      </c>
      <c r="R35" s="153">
        <f t="shared" si="12"/>
        <v>0.44291338582677164</v>
      </c>
    </row>
    <row r="36" spans="3:18" x14ac:dyDescent="0.25">
      <c r="C36" s="150">
        <v>30</v>
      </c>
      <c r="D36" s="5">
        <f t="shared" si="13"/>
        <v>12.6</v>
      </c>
      <c r="E36" s="386">
        <f t="shared" si="0"/>
        <v>20.32</v>
      </c>
      <c r="F36" s="191">
        <f t="shared" si="1"/>
        <v>0.61725394896719321</v>
      </c>
      <c r="G36" s="152">
        <f t="shared" si="2"/>
        <v>2.6248724179829894</v>
      </c>
      <c r="H36" s="191">
        <f t="shared" si="3"/>
        <v>0.13124362089914948</v>
      </c>
      <c r="I36" s="386">
        <f t="shared" si="4"/>
        <v>32.92</v>
      </c>
      <c r="J36" s="152">
        <f t="shared" si="5"/>
        <v>0.57145634573456094</v>
      </c>
      <c r="K36" s="152">
        <f t="shared" si="6"/>
        <v>2.7212206939741002</v>
      </c>
      <c r="L36" s="152">
        <f t="shared" si="7"/>
        <v>1.687371099609924</v>
      </c>
      <c r="M36" s="386">
        <f t="shared" si="14"/>
        <v>226.82980117490905</v>
      </c>
      <c r="N36" s="175">
        <f t="shared" si="8"/>
        <v>350</v>
      </c>
      <c r="O36" s="191">
        <f t="shared" si="9"/>
        <v>0.37035236938031596</v>
      </c>
      <c r="P36" s="153">
        <f t="shared" si="10"/>
        <v>1.0935601458080195</v>
      </c>
      <c r="Q36" s="153">
        <f t="shared" si="11"/>
        <v>7.0875453435479671E-2</v>
      </c>
      <c r="R36" s="153">
        <f t="shared" si="12"/>
        <v>0.44291338582677164</v>
      </c>
    </row>
    <row r="37" spans="3:18" x14ac:dyDescent="0.25">
      <c r="C37" s="150">
        <v>31</v>
      </c>
      <c r="D37" s="5">
        <f t="shared" si="13"/>
        <v>12.719999999999999</v>
      </c>
      <c r="E37" s="386">
        <f t="shared" si="0"/>
        <v>20.32</v>
      </c>
      <c r="F37" s="191">
        <f t="shared" si="1"/>
        <v>0.61501210653753025</v>
      </c>
      <c r="G37" s="152">
        <f t="shared" si="2"/>
        <v>2.6402469733656173</v>
      </c>
      <c r="H37" s="191">
        <f t="shared" si="3"/>
        <v>0.13201234866828088</v>
      </c>
      <c r="I37" s="386">
        <f t="shared" si="4"/>
        <v>33.04</v>
      </c>
      <c r="J37" s="152">
        <f t="shared" si="5"/>
        <v>0.56812866945091001</v>
      </c>
      <c r="K37" s="152">
        <f t="shared" si="6"/>
        <v>2.6798522143910848</v>
      </c>
      <c r="L37" s="152">
        <f t="shared" si="7"/>
        <v>1.6775452838117419</v>
      </c>
      <c r="M37" s="386">
        <f t="shared" si="14"/>
        <v>229.49478453880826</v>
      </c>
      <c r="N37" s="175">
        <f t="shared" si="8"/>
        <v>350</v>
      </c>
      <c r="O37" s="191">
        <f t="shared" si="9"/>
        <v>0.37252161881701829</v>
      </c>
      <c r="P37" s="153">
        <f t="shared" si="10"/>
        <v>1.0999654098927705</v>
      </c>
      <c r="Q37" s="153">
        <f t="shared" si="11"/>
        <v>7.1708156648796484E-2</v>
      </c>
      <c r="R37" s="153">
        <f t="shared" si="12"/>
        <v>0.44291338582677164</v>
      </c>
    </row>
    <row r="38" spans="3:18" x14ac:dyDescent="0.25">
      <c r="C38" s="150">
        <v>32</v>
      </c>
      <c r="D38" s="5">
        <f t="shared" si="13"/>
        <v>12.84</v>
      </c>
      <c r="E38" s="386">
        <f t="shared" ref="E38:E69" si="15">(Vout+Vfwd1)*Nps</f>
        <v>20.32</v>
      </c>
      <c r="F38" s="191">
        <f t="shared" ref="F38:F69" si="16">(Vout+Vfwd1)*Nps/((Vout+Vfwd1)*Nps+D38)</f>
        <v>0.61278648974668282</v>
      </c>
      <c r="G38" s="152">
        <f t="shared" ref="G38:G69" si="17">F38*D38*Isw_max*0.5*Efficiency</f>
        <v>2.6555102533172499</v>
      </c>
      <c r="H38" s="191">
        <f t="shared" ref="H38:H69" si="18">G38/Vout</f>
        <v>0.13277551266586249</v>
      </c>
      <c r="I38" s="386">
        <f t="shared" ref="I38:I69" si="19">(Vout+Vfwd1)*Nps+D38</f>
        <v>33.159999999999997</v>
      </c>
      <c r="J38" s="152">
        <f t="shared" ref="J38:J69" si="20">MIN(2*Vout*Iout/(Efficiency*D38*F38), 1.35)</f>
        <v>0.56486319272396235</v>
      </c>
      <c r="K38" s="152">
        <f t="shared" ref="K38:K69" si="21">L*J38/D38*1000000</f>
        <v>2.6395476295512261</v>
      </c>
      <c r="L38" s="152">
        <f t="shared" ref="L38:L69" si="22">L*J38/((Vout+Vfwd1)*Nps)*1000000</f>
        <v>1.6679031281219359</v>
      </c>
      <c r="M38" s="386">
        <f t="shared" si="14"/>
        <v>232.15587507730189</v>
      </c>
      <c r="N38" s="175">
        <f t="shared" ref="N38:N69" si="23">IF(1/((350000*L)*(1/D38+1/E38))&gt;Isw_min, 350, 0.001/((Isw_min*L)*(1/D38+1/E38)))</f>
        <v>350</v>
      </c>
      <c r="O38" s="191">
        <f t="shared" ref="O38:O69" si="24">1/((N38*1000*L)*(1/D38+1/E38))</f>
        <v>0.37467516801654321</v>
      </c>
      <c r="P38" s="153">
        <f t="shared" ref="P38:P69" si="25">L*O38/E38*1000000</f>
        <v>1.1063243150094779</v>
      </c>
      <c r="Q38" s="153">
        <f t="shared" ref="Q38:Q69" si="26">0.5*P38*O38*Nps*N38/1000</f>
        <v>7.2539643506218568E-2</v>
      </c>
      <c r="R38" s="153">
        <f t="shared" ref="R38:R69" si="27">L*Isw_min/E38*1000000</f>
        <v>0.44291338582677164</v>
      </c>
    </row>
    <row r="39" spans="3:18" x14ac:dyDescent="0.25">
      <c r="C39" s="150">
        <v>33</v>
      </c>
      <c r="D39" s="5">
        <f t="shared" ref="D39:D70" si="28">C39/100*(VIN_max-VIN_min)+VIN_min</f>
        <v>12.96</v>
      </c>
      <c r="E39" s="386">
        <f t="shared" si="15"/>
        <v>20.32</v>
      </c>
      <c r="F39" s="191">
        <f t="shared" si="16"/>
        <v>0.61057692307692302</v>
      </c>
      <c r="G39" s="152">
        <f t="shared" si="17"/>
        <v>2.6706634615384615</v>
      </c>
      <c r="H39" s="191">
        <f t="shared" si="18"/>
        <v>0.13353317307692308</v>
      </c>
      <c r="I39" s="386">
        <f t="shared" si="19"/>
        <v>33.28</v>
      </c>
      <c r="J39" s="152">
        <f t="shared" si="20"/>
        <v>0.56165818778825483</v>
      </c>
      <c r="K39" s="152">
        <f t="shared" si="21"/>
        <v>2.600269387908587</v>
      </c>
      <c r="L39" s="152">
        <f t="shared" si="22"/>
        <v>1.6584395308708311</v>
      </c>
      <c r="M39" s="386">
        <f t="shared" si="14"/>
        <v>234.81294896449705</v>
      </c>
      <c r="N39" s="175">
        <f t="shared" si="23"/>
        <v>350</v>
      </c>
      <c r="O39" s="191">
        <f t="shared" si="24"/>
        <v>0.37681318681318693</v>
      </c>
      <c r="P39" s="153">
        <f t="shared" si="25"/>
        <v>1.1126373626373631</v>
      </c>
      <c r="Q39" s="153">
        <f t="shared" si="26"/>
        <v>7.3369875316990754E-2</v>
      </c>
      <c r="R39" s="153">
        <f t="shared" si="27"/>
        <v>0.44291338582677164</v>
      </c>
    </row>
    <row r="40" spans="3:18" x14ac:dyDescent="0.25">
      <c r="C40" s="150">
        <v>34</v>
      </c>
      <c r="D40" s="5">
        <f t="shared" si="28"/>
        <v>13.08</v>
      </c>
      <c r="E40" s="386">
        <f t="shared" si="15"/>
        <v>20.32</v>
      </c>
      <c r="F40" s="191">
        <f t="shared" si="16"/>
        <v>0.60838323353293422</v>
      </c>
      <c r="G40" s="152">
        <f t="shared" si="17"/>
        <v>2.6857077844311386</v>
      </c>
      <c r="H40" s="191">
        <f t="shared" si="18"/>
        <v>0.13428538922155692</v>
      </c>
      <c r="I40" s="386">
        <f t="shared" si="19"/>
        <v>33.4</v>
      </c>
      <c r="J40" s="152">
        <f t="shared" si="20"/>
        <v>0.55851199028256016</v>
      </c>
      <c r="K40" s="152">
        <f t="shared" si="21"/>
        <v>2.5619816068007348</v>
      </c>
      <c r="L40" s="152">
        <f t="shared" si="22"/>
        <v>1.6491495776059848</v>
      </c>
      <c r="M40" s="386">
        <f t="shared" si="14"/>
        <v>237.46588653017324</v>
      </c>
      <c r="N40" s="175">
        <f t="shared" si="23"/>
        <v>350</v>
      </c>
      <c r="O40" s="191">
        <f t="shared" si="24"/>
        <v>0.37893584260051327</v>
      </c>
      <c r="P40" s="153">
        <f t="shared" si="25"/>
        <v>1.1189050470487596</v>
      </c>
      <c r="Q40" s="153">
        <f t="shared" si="26"/>
        <v>7.4198814688843012E-2</v>
      </c>
      <c r="R40" s="153">
        <f t="shared" si="27"/>
        <v>0.44291338582677164</v>
      </c>
    </row>
    <row r="41" spans="3:18" x14ac:dyDescent="0.25">
      <c r="C41" s="150">
        <v>35</v>
      </c>
      <c r="D41" s="5">
        <f t="shared" si="28"/>
        <v>13.2</v>
      </c>
      <c r="E41" s="386">
        <f t="shared" si="15"/>
        <v>20.32</v>
      </c>
      <c r="F41" s="191">
        <f t="shared" si="16"/>
        <v>0.60620525059665875</v>
      </c>
      <c r="G41" s="152">
        <f t="shared" si="17"/>
        <v>2.7006443914081144</v>
      </c>
      <c r="H41" s="191">
        <f t="shared" si="18"/>
        <v>0.13503221957040573</v>
      </c>
      <c r="I41" s="386">
        <f t="shared" si="19"/>
        <v>33.519999999999996</v>
      </c>
      <c r="J41" s="152">
        <f t="shared" si="20"/>
        <v>0.55542299636787829</v>
      </c>
      <c r="K41" s="152">
        <f t="shared" si="21"/>
        <v>2.524649983490356</v>
      </c>
      <c r="L41" s="152">
        <f t="shared" si="22"/>
        <v>1.6400285325823176</v>
      </c>
      <c r="M41" s="386">
        <f t="shared" si="14"/>
        <v>240.11457214301578</v>
      </c>
      <c r="N41" s="175">
        <f t="shared" si="23"/>
        <v>350</v>
      </c>
      <c r="O41" s="191">
        <f t="shared" si="24"/>
        <v>0.38104330037504264</v>
      </c>
      <c r="P41" s="153">
        <f t="shared" si="25"/>
        <v>1.1251278554381181</v>
      </c>
      <c r="Q41" s="153">
        <f t="shared" si="26"/>
        <v>7.5026425491506024E-2</v>
      </c>
      <c r="R41" s="153">
        <f t="shared" si="27"/>
        <v>0.44291338582677164</v>
      </c>
    </row>
    <row r="42" spans="3:18" x14ac:dyDescent="0.25">
      <c r="C42" s="150">
        <v>36</v>
      </c>
      <c r="D42" s="5">
        <f t="shared" si="28"/>
        <v>13.32</v>
      </c>
      <c r="E42" s="386">
        <f t="shared" si="15"/>
        <v>20.32</v>
      </c>
      <c r="F42" s="191">
        <f t="shared" si="16"/>
        <v>0.60404280618311534</v>
      </c>
      <c r="G42" s="152">
        <f t="shared" si="17"/>
        <v>2.715474435196195</v>
      </c>
      <c r="H42" s="191">
        <f t="shared" si="18"/>
        <v>0.13577372175980976</v>
      </c>
      <c r="I42" s="386">
        <f t="shared" si="19"/>
        <v>33.64</v>
      </c>
      <c r="J42" s="152">
        <f t="shared" si="20"/>
        <v>0.55238966000120848</v>
      </c>
      <c r="K42" s="152">
        <f t="shared" si="21"/>
        <v>2.4882417117171554</v>
      </c>
      <c r="L42" s="152">
        <f t="shared" si="22"/>
        <v>1.6310718307122298</v>
      </c>
      <c r="M42" s="386">
        <f t="shared" si="14"/>
        <v>242.75889409725417</v>
      </c>
      <c r="N42" s="175">
        <f t="shared" si="23"/>
        <v>350</v>
      </c>
      <c r="O42" s="191">
        <f t="shared" si="24"/>
        <v>0.38313572277900459</v>
      </c>
      <c r="P42" s="153">
        <f t="shared" si="25"/>
        <v>1.131306268048242</v>
      </c>
      <c r="Q42" s="153">
        <f t="shared" si="26"/>
        <v>7.5852672821289255E-2</v>
      </c>
      <c r="R42" s="153">
        <f t="shared" si="27"/>
        <v>0.44291338582677164</v>
      </c>
    </row>
    <row r="43" spans="3:18" x14ac:dyDescent="0.25">
      <c r="C43" s="150">
        <v>37</v>
      </c>
      <c r="D43" s="5">
        <f t="shared" si="28"/>
        <v>13.44</v>
      </c>
      <c r="E43" s="386">
        <f t="shared" si="15"/>
        <v>20.32</v>
      </c>
      <c r="F43" s="191">
        <f t="shared" si="16"/>
        <v>0.6018957345971564</v>
      </c>
      <c r="G43" s="152">
        <f t="shared" si="17"/>
        <v>2.7301990521327015</v>
      </c>
      <c r="H43" s="191">
        <f t="shared" si="18"/>
        <v>0.13650995260663507</v>
      </c>
      <c r="I43" s="386">
        <f t="shared" si="19"/>
        <v>33.76</v>
      </c>
      <c r="J43" s="152">
        <f t="shared" si="20"/>
        <v>0.54941049035537226</v>
      </c>
      <c r="K43" s="152">
        <f t="shared" si="21"/>
        <v>2.4527254033721979</v>
      </c>
      <c r="L43" s="152">
        <f t="shared" si="22"/>
        <v>1.6222750699469655</v>
      </c>
      <c r="M43" s="386">
        <f t="shared" si="14"/>
        <v>245.39874450259424</v>
      </c>
      <c r="N43" s="175">
        <f t="shared" si="23"/>
        <v>350</v>
      </c>
      <c r="O43" s="191">
        <f t="shared" si="24"/>
        <v>0.3852132701421801</v>
      </c>
      <c r="P43" s="153">
        <f t="shared" si="25"/>
        <v>1.1374407582938388</v>
      </c>
      <c r="Q43" s="153">
        <f t="shared" si="26"/>
        <v>7.6677522966689879E-2</v>
      </c>
      <c r="R43" s="153">
        <f t="shared" si="27"/>
        <v>0.44291338582677164</v>
      </c>
    </row>
    <row r="44" spans="3:18" x14ac:dyDescent="0.25">
      <c r="C44" s="150">
        <v>38</v>
      </c>
      <c r="D44" s="5">
        <f t="shared" si="28"/>
        <v>13.56</v>
      </c>
      <c r="E44" s="386">
        <f t="shared" si="15"/>
        <v>20.32</v>
      </c>
      <c r="F44" s="191">
        <f t="shared" si="16"/>
        <v>0.59976387249114516</v>
      </c>
      <c r="G44" s="152">
        <f t="shared" si="17"/>
        <v>2.744819362455726</v>
      </c>
      <c r="H44" s="191">
        <f t="shared" si="18"/>
        <v>0.1372409681227863</v>
      </c>
      <c r="I44" s="386">
        <f t="shared" si="19"/>
        <v>33.880000000000003</v>
      </c>
      <c r="J44" s="152">
        <f t="shared" si="20"/>
        <v>0.54648404937583395</v>
      </c>
      <c r="K44" s="152">
        <f t="shared" si="21"/>
        <v>2.4180710149373179</v>
      </c>
      <c r="L44" s="152">
        <f t="shared" si="22"/>
        <v>1.6136340040625017</v>
      </c>
      <c r="M44" s="386">
        <f t="shared" si="14"/>
        <v>248.03401917734519</v>
      </c>
      <c r="N44" s="175">
        <f t="shared" si="23"/>
        <v>350</v>
      </c>
      <c r="O44" s="191">
        <f t="shared" si="24"/>
        <v>0.38727610052285377</v>
      </c>
      <c r="P44" s="153">
        <f t="shared" si="25"/>
        <v>1.1435317928824424</v>
      </c>
      <c r="Q44" s="153">
        <f t="shared" si="26"/>
        <v>7.7500943374998493E-2</v>
      </c>
      <c r="R44" s="153">
        <f t="shared" si="27"/>
        <v>0.44291338582677164</v>
      </c>
    </row>
    <row r="45" spans="3:18" x14ac:dyDescent="0.25">
      <c r="C45" s="150">
        <v>39</v>
      </c>
      <c r="D45" s="5">
        <f t="shared" si="28"/>
        <v>13.68</v>
      </c>
      <c r="E45" s="386">
        <f t="shared" si="15"/>
        <v>20.32</v>
      </c>
      <c r="F45" s="191">
        <f t="shared" si="16"/>
        <v>0.59764705882352942</v>
      </c>
      <c r="G45" s="152">
        <f t="shared" si="17"/>
        <v>2.7593364705882353</v>
      </c>
      <c r="H45" s="191">
        <f t="shared" si="18"/>
        <v>0.13796682352941175</v>
      </c>
      <c r="I45" s="386">
        <f t="shared" si="19"/>
        <v>34</v>
      </c>
      <c r="J45" s="152">
        <f t="shared" si="20"/>
        <v>0.54360894946611205</v>
      </c>
      <c r="K45" s="152">
        <f t="shared" si="21"/>
        <v>2.3842497783601404</v>
      </c>
      <c r="L45" s="152">
        <f t="shared" si="22"/>
        <v>1.6051445358251339</v>
      </c>
      <c r="M45" s="386">
        <f t="shared" si="14"/>
        <v>250.66461754463671</v>
      </c>
      <c r="N45" s="175">
        <f t="shared" si="23"/>
        <v>350</v>
      </c>
      <c r="O45" s="191">
        <f t="shared" si="24"/>
        <v>0.38932436974789925</v>
      </c>
      <c r="P45" s="153">
        <f t="shared" si="25"/>
        <v>1.1495798319327735</v>
      </c>
      <c r="Q45" s="153">
        <f t="shared" si="26"/>
        <v>7.8322902619871515E-2</v>
      </c>
      <c r="R45" s="153">
        <f t="shared" si="27"/>
        <v>0.44291338582677164</v>
      </c>
    </row>
    <row r="46" spans="3:18" x14ac:dyDescent="0.25">
      <c r="C46" s="150">
        <v>40</v>
      </c>
      <c r="D46" s="5">
        <f t="shared" si="28"/>
        <v>13.8</v>
      </c>
      <c r="E46" s="386">
        <f t="shared" si="15"/>
        <v>20.32</v>
      </c>
      <c r="F46" s="191">
        <f t="shared" si="16"/>
        <v>0.5955451348182883</v>
      </c>
      <c r="G46" s="152">
        <f t="shared" si="17"/>
        <v>2.7737514654161783</v>
      </c>
      <c r="H46" s="191">
        <f t="shared" si="18"/>
        <v>0.13868757327080891</v>
      </c>
      <c r="I46" s="386">
        <f t="shared" si="19"/>
        <v>34.120000000000005</v>
      </c>
      <c r="J46" s="152">
        <f t="shared" si="20"/>
        <v>0.54078385129395057</v>
      </c>
      <c r="K46" s="152">
        <f t="shared" si="21"/>
        <v>2.3512341360606546</v>
      </c>
      <c r="L46" s="152">
        <f t="shared" si="22"/>
        <v>1.5968027105136335</v>
      </c>
      <c r="M46" s="386">
        <f t="shared" si="14"/>
        <v>253.29044253163445</v>
      </c>
      <c r="N46" s="175">
        <f t="shared" si="23"/>
        <v>350</v>
      </c>
      <c r="O46" s="191">
        <f t="shared" si="24"/>
        <v>0.39135823145201809</v>
      </c>
      <c r="P46" s="153">
        <f t="shared" si="25"/>
        <v>1.1555853290906046</v>
      </c>
      <c r="Q46" s="153">
        <f t="shared" si="26"/>
        <v>7.9143370369839525E-2</v>
      </c>
      <c r="R46" s="153">
        <f t="shared" si="27"/>
        <v>0.44291338582677164</v>
      </c>
    </row>
    <row r="47" spans="3:18" x14ac:dyDescent="0.25">
      <c r="C47" s="150">
        <v>41</v>
      </c>
      <c r="D47" s="5">
        <f t="shared" si="28"/>
        <v>13.92</v>
      </c>
      <c r="E47" s="386">
        <f t="shared" si="15"/>
        <v>20.32</v>
      </c>
      <c r="F47" s="191">
        <f t="shared" si="16"/>
        <v>0.59345794392523366</v>
      </c>
      <c r="G47" s="152">
        <f t="shared" si="17"/>
        <v>2.788065420560748</v>
      </c>
      <c r="H47" s="191">
        <f t="shared" si="18"/>
        <v>0.1394032710280374</v>
      </c>
      <c r="I47" s="386">
        <f t="shared" si="19"/>
        <v>34.24</v>
      </c>
      <c r="J47" s="152">
        <f t="shared" si="20"/>
        <v>0.53800746171096425</v>
      </c>
      <c r="K47" s="152">
        <f t="shared" si="21"/>
        <v>2.3189976797886387</v>
      </c>
      <c r="L47" s="152">
        <f t="shared" si="22"/>
        <v>1.5886047097764691</v>
      </c>
      <c r="M47" s="386">
        <f t="shared" si="14"/>
        <v>255.91140047165695</v>
      </c>
      <c r="N47" s="175">
        <f t="shared" si="23"/>
        <v>350</v>
      </c>
      <c r="O47" s="191">
        <f t="shared" si="24"/>
        <v>0.39337783711615493</v>
      </c>
      <c r="P47" s="153">
        <f t="shared" si="25"/>
        <v>1.1615487316421897</v>
      </c>
      <c r="Q47" s="153">
        <f t="shared" si="26"/>
        <v>7.9962317357723092E-2</v>
      </c>
      <c r="R47" s="153">
        <f t="shared" si="27"/>
        <v>0.44291338582677164</v>
      </c>
    </row>
    <row r="48" spans="3:18" x14ac:dyDescent="0.25">
      <c r="C48" s="150">
        <v>42</v>
      </c>
      <c r="D48" s="5">
        <f t="shared" si="28"/>
        <v>14.04</v>
      </c>
      <c r="E48" s="386">
        <f t="shared" si="15"/>
        <v>20.32</v>
      </c>
      <c r="F48" s="191">
        <f t="shared" si="16"/>
        <v>0.59138533178114083</v>
      </c>
      <c r="G48" s="152">
        <f t="shared" si="17"/>
        <v>2.8022793946449358</v>
      </c>
      <c r="H48" s="191">
        <f t="shared" si="18"/>
        <v>0.1401139697322468</v>
      </c>
      <c r="I48" s="386">
        <f t="shared" si="19"/>
        <v>34.36</v>
      </c>
      <c r="J48" s="152">
        <f t="shared" si="20"/>
        <v>0.53527853177896934</v>
      </c>
      <c r="K48" s="152">
        <f t="shared" si="21"/>
        <v>2.2875150930725185</v>
      </c>
      <c r="L48" s="152">
        <f t="shared" si="22"/>
        <v>1.5805468458040433</v>
      </c>
      <c r="M48" s="386">
        <f t="shared" si="14"/>
        <v>258.52740100910574</v>
      </c>
      <c r="N48" s="175">
        <f t="shared" si="23"/>
        <v>350</v>
      </c>
      <c r="O48" s="191">
        <f t="shared" si="24"/>
        <v>0.39538333610510562</v>
      </c>
      <c r="P48" s="153">
        <f t="shared" si="25"/>
        <v>1.1674704806253118</v>
      </c>
      <c r="Q48" s="153">
        <f t="shared" si="26"/>
        <v>8.0779715350926692E-2</v>
      </c>
      <c r="R48" s="153">
        <f t="shared" si="27"/>
        <v>0.44291338582677164</v>
      </c>
    </row>
    <row r="49" spans="3:18" x14ac:dyDescent="0.25">
      <c r="C49" s="150">
        <v>43</v>
      </c>
      <c r="D49" s="5">
        <f t="shared" si="28"/>
        <v>14.16</v>
      </c>
      <c r="E49" s="386">
        <f t="shared" si="15"/>
        <v>20.32</v>
      </c>
      <c r="F49" s="191">
        <f t="shared" si="16"/>
        <v>0.58932714617169368</v>
      </c>
      <c r="G49" s="152">
        <f t="shared" si="17"/>
        <v>2.816394431554524</v>
      </c>
      <c r="H49" s="191">
        <f t="shared" si="18"/>
        <v>0.14081972157772621</v>
      </c>
      <c r="I49" s="386">
        <f t="shared" si="19"/>
        <v>34.480000000000004</v>
      </c>
      <c r="J49" s="152">
        <f t="shared" si="20"/>
        <v>0.53259585489666905</v>
      </c>
      <c r="K49" s="152">
        <f t="shared" si="21"/>
        <v>2.2567620970197839</v>
      </c>
      <c r="L49" s="152">
        <f t="shared" si="22"/>
        <v>1.5726255557972513</v>
      </c>
      <c r="M49" s="386">
        <f t="shared" si="14"/>
        <v>261.13835700712201</v>
      </c>
      <c r="N49" s="175">
        <f t="shared" si="23"/>
        <v>350</v>
      </c>
      <c r="O49" s="191">
        <f t="shared" si="24"/>
        <v>0.39737487570434205</v>
      </c>
      <c r="P49" s="153">
        <f t="shared" si="25"/>
        <v>1.1733510109380179</v>
      </c>
      <c r="Q49" s="153">
        <f t="shared" si="26"/>
        <v>8.1595537122585313E-2</v>
      </c>
      <c r="R49" s="153">
        <f t="shared" si="27"/>
        <v>0.44291338582677164</v>
      </c>
    </row>
    <row r="50" spans="3:18" x14ac:dyDescent="0.25">
      <c r="C50" s="150">
        <v>44</v>
      </c>
      <c r="D50" s="5">
        <f t="shared" si="28"/>
        <v>14.280000000000001</v>
      </c>
      <c r="E50" s="386">
        <f t="shared" si="15"/>
        <v>20.32</v>
      </c>
      <c r="F50" s="191">
        <f t="shared" si="16"/>
        <v>0.58728323699421958</v>
      </c>
      <c r="G50" s="152">
        <f t="shared" si="17"/>
        <v>2.830411560693642</v>
      </c>
      <c r="H50" s="191">
        <f t="shared" si="18"/>
        <v>0.1415205780346821</v>
      </c>
      <c r="I50" s="386">
        <f t="shared" si="19"/>
        <v>34.6</v>
      </c>
      <c r="J50" s="152">
        <f t="shared" si="20"/>
        <v>0.52995826502079391</v>
      </c>
      <c r="K50" s="152">
        <f t="shared" si="21"/>
        <v>2.2267153992470332</v>
      </c>
      <c r="L50" s="152">
        <f t="shared" si="22"/>
        <v>1.5648373967149427</v>
      </c>
      <c r="M50" s="386">
        <f t="shared" si="14"/>
        <v>263.7441844578837</v>
      </c>
      <c r="N50" s="175">
        <f t="shared" si="23"/>
        <v>350</v>
      </c>
      <c r="O50" s="191">
        <f t="shared" si="24"/>
        <v>0.39935260115606935</v>
      </c>
      <c r="P50" s="153">
        <f t="shared" si="25"/>
        <v>1.1791907514450868</v>
      </c>
      <c r="Q50" s="153">
        <f t="shared" si="26"/>
        <v>8.2409756423535693E-2</v>
      </c>
      <c r="R50" s="153">
        <f t="shared" si="27"/>
        <v>0.44291338582677164</v>
      </c>
    </row>
    <row r="51" spans="3:18" x14ac:dyDescent="0.25">
      <c r="C51" s="150">
        <v>45</v>
      </c>
      <c r="D51" s="5">
        <f t="shared" si="28"/>
        <v>14.4</v>
      </c>
      <c r="E51" s="386">
        <f t="shared" si="15"/>
        <v>20.32</v>
      </c>
      <c r="F51" s="191">
        <f t="shared" si="16"/>
        <v>0.58525345622119818</v>
      </c>
      <c r="G51" s="152">
        <f t="shared" si="17"/>
        <v>2.8443317972350237</v>
      </c>
      <c r="H51" s="191">
        <f t="shared" si="18"/>
        <v>0.14221658986175117</v>
      </c>
      <c r="I51" s="386">
        <f t="shared" si="19"/>
        <v>34.72</v>
      </c>
      <c r="J51" s="152">
        <f t="shared" si="20"/>
        <v>0.52736463497618347</v>
      </c>
      <c r="K51" s="152">
        <f t="shared" si="21"/>
        <v>2.1973526457340977</v>
      </c>
      <c r="L51" s="152">
        <f t="shared" si="22"/>
        <v>1.5571790402840062</v>
      </c>
      <c r="M51" s="386">
        <f t="shared" si="14"/>
        <v>266.344802395464</v>
      </c>
      <c r="N51" s="175">
        <f t="shared" si="23"/>
        <v>350</v>
      </c>
      <c r="O51" s="191">
        <f t="shared" si="24"/>
        <v>0.40131665569453584</v>
      </c>
      <c r="P51" s="153">
        <f t="shared" si="25"/>
        <v>1.184990125082291</v>
      </c>
      <c r="Q51" s="153">
        <f t="shared" si="26"/>
        <v>8.322234795508808E-2</v>
      </c>
      <c r="R51" s="153">
        <f t="shared" si="27"/>
        <v>0.44291338582677164</v>
      </c>
    </row>
    <row r="52" spans="3:18" x14ac:dyDescent="0.25">
      <c r="C52" s="150">
        <v>46</v>
      </c>
      <c r="D52" s="5">
        <f t="shared" si="28"/>
        <v>14.52</v>
      </c>
      <c r="E52" s="386">
        <f t="shared" si="15"/>
        <v>20.32</v>
      </c>
      <c r="F52" s="191">
        <f t="shared" si="16"/>
        <v>0.58323765786452353</v>
      </c>
      <c r="G52" s="152">
        <f t="shared" si="17"/>
        <v>2.8581561423650976</v>
      </c>
      <c r="H52" s="191">
        <f t="shared" si="18"/>
        <v>0.14290780711825488</v>
      </c>
      <c r="I52" s="386">
        <f t="shared" si="19"/>
        <v>34.840000000000003</v>
      </c>
      <c r="J52" s="152">
        <f t="shared" si="20"/>
        <v>0.5248138748496658</v>
      </c>
      <c r="K52" s="152">
        <f t="shared" si="21"/>
        <v>2.1686523754118419</v>
      </c>
      <c r="L52" s="152">
        <f t="shared" si="22"/>
        <v>1.5496472682568871</v>
      </c>
      <c r="M52" s="386">
        <f t="shared" si="14"/>
        <v>268.94013281117157</v>
      </c>
      <c r="N52" s="175">
        <f t="shared" si="23"/>
        <v>350</v>
      </c>
      <c r="O52" s="191">
        <f t="shared" si="24"/>
        <v>0.40326718058061345</v>
      </c>
      <c r="P52" s="153">
        <f t="shared" si="25"/>
        <v>1.1907495489585043</v>
      </c>
      <c r="Q52" s="153">
        <f t="shared" si="26"/>
        <v>8.4033287342573301E-2</v>
      </c>
      <c r="R52" s="153">
        <f t="shared" si="27"/>
        <v>0.44291338582677164</v>
      </c>
    </row>
    <row r="53" spans="3:18" x14ac:dyDescent="0.25">
      <c r="C53" s="150">
        <v>47</v>
      </c>
      <c r="D53" s="5">
        <f t="shared" si="28"/>
        <v>14.64</v>
      </c>
      <c r="E53" s="386">
        <f t="shared" si="15"/>
        <v>20.32</v>
      </c>
      <c r="F53" s="191">
        <f t="shared" si="16"/>
        <v>0.58123569794050345</v>
      </c>
      <c r="G53" s="152">
        <f t="shared" si="17"/>
        <v>2.8718855835240276</v>
      </c>
      <c r="H53" s="191">
        <f t="shared" si="18"/>
        <v>0.14359427917620138</v>
      </c>
      <c r="I53" s="386">
        <f t="shared" si="19"/>
        <v>34.96</v>
      </c>
      <c r="J53" s="152">
        <f t="shared" si="20"/>
        <v>0.52230493046292714</v>
      </c>
      <c r="K53" s="152">
        <f t="shared" si="21"/>
        <v>2.1405939773070788</v>
      </c>
      <c r="L53" s="152">
        <f t="shared" si="22"/>
        <v>1.542238967902344</v>
      </c>
      <c r="M53" s="386">
        <f t="shared" si="14"/>
        <v>271.53010057129683</v>
      </c>
      <c r="N53" s="175">
        <f t="shared" si="23"/>
        <v>350</v>
      </c>
      <c r="O53" s="191">
        <f t="shared" si="24"/>
        <v>0.40520431513566529</v>
      </c>
      <c r="P53" s="153">
        <f t="shared" si="25"/>
        <v>1.1964694344557048</v>
      </c>
      <c r="Q53" s="153">
        <f t="shared" si="26"/>
        <v>8.4842551109641617E-2</v>
      </c>
      <c r="R53" s="153">
        <f t="shared" si="27"/>
        <v>0.44291338582677164</v>
      </c>
    </row>
    <row r="54" spans="3:18" x14ac:dyDescent="0.25">
      <c r="C54" s="150">
        <v>48</v>
      </c>
      <c r="D54" s="5">
        <f t="shared" si="28"/>
        <v>14.76</v>
      </c>
      <c r="E54" s="386">
        <f t="shared" si="15"/>
        <v>20.32</v>
      </c>
      <c r="F54" s="191">
        <f t="shared" si="16"/>
        <v>0.57924743443557591</v>
      </c>
      <c r="G54" s="152">
        <f t="shared" si="17"/>
        <v>2.8855210946408216</v>
      </c>
      <c r="H54" s="191">
        <f t="shared" si="18"/>
        <v>0.14427605473204108</v>
      </c>
      <c r="I54" s="386">
        <f t="shared" si="19"/>
        <v>35.08</v>
      </c>
      <c r="J54" s="152">
        <f t="shared" si="20"/>
        <v>0.51983678191987515</v>
      </c>
      <c r="K54" s="152">
        <f t="shared" si="21"/>
        <v>2.1131576500807938</v>
      </c>
      <c r="L54" s="152">
        <f t="shared" si="22"/>
        <v>1.5349511277161667</v>
      </c>
      <c r="M54" s="386">
        <f t="shared" si="14"/>
        <v>274.11463333719047</v>
      </c>
      <c r="N54" s="175">
        <f t="shared" si="23"/>
        <v>350</v>
      </c>
      <c r="O54" s="191">
        <f t="shared" si="24"/>
        <v>0.40712819677471901</v>
      </c>
      <c r="P54" s="153">
        <f t="shared" si="25"/>
        <v>1.2021501873269262</v>
      </c>
      <c r="Q54" s="153">
        <f t="shared" si="26"/>
        <v>8.5650116653290378E-2</v>
      </c>
      <c r="R54" s="153">
        <f t="shared" si="27"/>
        <v>0.44291338582677164</v>
      </c>
    </row>
    <row r="55" spans="3:18" x14ac:dyDescent="0.25">
      <c r="C55" s="150">
        <v>49</v>
      </c>
      <c r="D55" s="5">
        <f t="shared" si="28"/>
        <v>14.879999999999999</v>
      </c>
      <c r="E55" s="386">
        <f t="shared" si="15"/>
        <v>20.32</v>
      </c>
      <c r="F55" s="191">
        <f t="shared" si="16"/>
        <v>0.57727272727272727</v>
      </c>
      <c r="G55" s="152">
        <f t="shared" si="17"/>
        <v>2.8990636363636364</v>
      </c>
      <c r="H55" s="191">
        <f t="shared" si="18"/>
        <v>0.14495318181818181</v>
      </c>
      <c r="I55" s="386">
        <f t="shared" si="19"/>
        <v>35.200000000000003</v>
      </c>
      <c r="J55" s="152">
        <f t="shared" si="20"/>
        <v>0.51740844222429183</v>
      </c>
      <c r="K55" s="152">
        <f t="shared" si="21"/>
        <v>2.0863243638076283</v>
      </c>
      <c r="L55" s="152">
        <f t="shared" si="22"/>
        <v>1.5277808333394443</v>
      </c>
      <c r="M55" s="386">
        <f t="shared" si="14"/>
        <v>276.69366148760332</v>
      </c>
      <c r="N55" s="175">
        <f t="shared" si="23"/>
        <v>350</v>
      </c>
      <c r="O55" s="191">
        <f t="shared" si="24"/>
        <v>0.40903896103896098</v>
      </c>
      <c r="P55" s="153">
        <f t="shared" si="25"/>
        <v>1.2077922077922076</v>
      </c>
      <c r="Q55" s="153">
        <f t="shared" si="26"/>
        <v>8.6455962219598559E-2</v>
      </c>
      <c r="R55" s="153">
        <f t="shared" si="27"/>
        <v>0.44291338582677164</v>
      </c>
    </row>
    <row r="56" spans="3:18" x14ac:dyDescent="0.25">
      <c r="C56" s="150">
        <v>50</v>
      </c>
      <c r="D56" s="5">
        <f t="shared" si="28"/>
        <v>15</v>
      </c>
      <c r="E56" s="386">
        <f t="shared" si="15"/>
        <v>20.32</v>
      </c>
      <c r="F56" s="191">
        <f t="shared" si="16"/>
        <v>0.57531143827859565</v>
      </c>
      <c r="G56" s="152">
        <f t="shared" si="17"/>
        <v>2.9125141562853907</v>
      </c>
      <c r="H56" s="191">
        <f t="shared" si="18"/>
        <v>0.14562570781426953</v>
      </c>
      <c r="I56" s="386">
        <f t="shared" si="19"/>
        <v>35.32</v>
      </c>
      <c r="J56" s="152">
        <f t="shared" si="20"/>
        <v>0.51501895596383784</v>
      </c>
      <c r="K56" s="152">
        <f t="shared" si="21"/>
        <v>2.0600758238553514</v>
      </c>
      <c r="L56" s="152">
        <f t="shared" si="22"/>
        <v>1.5207252636727495</v>
      </c>
      <c r="M56" s="386">
        <f t="shared" si="14"/>
        <v>279.2671180432198</v>
      </c>
      <c r="N56" s="175">
        <f t="shared" si="23"/>
        <v>350</v>
      </c>
      <c r="O56" s="191">
        <f t="shared" si="24"/>
        <v>0.41093674162756838</v>
      </c>
      <c r="P56" s="153">
        <f t="shared" si="25"/>
        <v>1.2133958906325839</v>
      </c>
      <c r="Q56" s="153">
        <f t="shared" si="26"/>
        <v>8.7260066880146189E-2</v>
      </c>
      <c r="R56" s="153">
        <f t="shared" si="27"/>
        <v>0.44291338582677164</v>
      </c>
    </row>
    <row r="57" spans="3:18" x14ac:dyDescent="0.25">
      <c r="C57" s="150">
        <v>51</v>
      </c>
      <c r="D57" s="5">
        <f t="shared" si="28"/>
        <v>15.120000000000001</v>
      </c>
      <c r="E57" s="386">
        <f t="shared" si="15"/>
        <v>20.32</v>
      </c>
      <c r="F57" s="191">
        <f t="shared" si="16"/>
        <v>0.57336343115124155</v>
      </c>
      <c r="G57" s="152">
        <f t="shared" si="17"/>
        <v>2.9258735891647856</v>
      </c>
      <c r="H57" s="191">
        <f t="shared" si="18"/>
        <v>0.14629367945823929</v>
      </c>
      <c r="I57" s="386">
        <f t="shared" si="19"/>
        <v>35.44</v>
      </c>
      <c r="J57" s="152">
        <f t="shared" si="20"/>
        <v>0.51266739805672434</v>
      </c>
      <c r="K57" s="152">
        <f t="shared" si="21"/>
        <v>2.0343944367330331</v>
      </c>
      <c r="L57" s="152">
        <f t="shared" si="22"/>
        <v>1.5137816871753671</v>
      </c>
      <c r="M57" s="386">
        <f t="shared" si="14"/>
        <v>281.8349385933177</v>
      </c>
      <c r="N57" s="175">
        <f t="shared" si="23"/>
        <v>350</v>
      </c>
      <c r="O57" s="191">
        <f t="shared" si="24"/>
        <v>0.41282167042889395</v>
      </c>
      <c r="P57" s="153">
        <f t="shared" si="25"/>
        <v>1.2189616252821671</v>
      </c>
      <c r="Q57" s="153">
        <f t="shared" si="26"/>
        <v>8.806241050909816E-2</v>
      </c>
      <c r="R57" s="153">
        <f t="shared" si="27"/>
        <v>0.44291338582677164</v>
      </c>
    </row>
    <row r="58" spans="3:18" x14ac:dyDescent="0.25">
      <c r="C58" s="150">
        <v>52</v>
      </c>
      <c r="D58" s="5">
        <f t="shared" si="28"/>
        <v>15.24</v>
      </c>
      <c r="E58" s="386">
        <f t="shared" si="15"/>
        <v>20.32</v>
      </c>
      <c r="F58" s="191">
        <f t="shared" si="16"/>
        <v>0.5714285714285714</v>
      </c>
      <c r="G58" s="152">
        <f t="shared" si="17"/>
        <v>2.9391428571428571</v>
      </c>
      <c r="H58" s="191">
        <f t="shared" si="18"/>
        <v>0.14695714285714284</v>
      </c>
      <c r="I58" s="386">
        <f t="shared" si="19"/>
        <v>35.56</v>
      </c>
      <c r="J58" s="152">
        <f t="shared" si="20"/>
        <v>0.51035287255759698</v>
      </c>
      <c r="K58" s="152">
        <f t="shared" si="21"/>
        <v>2.009263277785815</v>
      </c>
      <c r="L58" s="152">
        <f t="shared" si="22"/>
        <v>1.5069474583393612</v>
      </c>
      <c r="M58" s="386">
        <f t="shared" si="14"/>
        <v>284.39706122448979</v>
      </c>
      <c r="N58" s="175">
        <f t="shared" si="23"/>
        <v>350</v>
      </c>
      <c r="O58" s="191">
        <f t="shared" si="24"/>
        <v>0.41469387755102044</v>
      </c>
      <c r="P58" s="153">
        <f t="shared" si="25"/>
        <v>1.2244897959183674</v>
      </c>
      <c r="Q58" s="153">
        <f t="shared" si="26"/>
        <v>8.886297376093294E-2</v>
      </c>
      <c r="R58" s="153">
        <f t="shared" si="27"/>
        <v>0.44291338582677164</v>
      </c>
    </row>
    <row r="59" spans="3:18" x14ac:dyDescent="0.25">
      <c r="C59" s="150">
        <v>53</v>
      </c>
      <c r="D59" s="5">
        <f t="shared" si="28"/>
        <v>15.36</v>
      </c>
      <c r="E59" s="386">
        <f t="shared" si="15"/>
        <v>20.32</v>
      </c>
      <c r="F59" s="191">
        <f t="shared" si="16"/>
        <v>0.56950672645739908</v>
      </c>
      <c r="G59" s="152">
        <f t="shared" si="17"/>
        <v>2.9523228699551569</v>
      </c>
      <c r="H59" s="191">
        <f t="shared" si="18"/>
        <v>0.14761614349775784</v>
      </c>
      <c r="I59" s="386">
        <f t="shared" si="19"/>
        <v>35.68</v>
      </c>
      <c r="J59" s="152">
        <f t="shared" si="20"/>
        <v>0.50807451151939342</v>
      </c>
      <c r="K59" s="152">
        <f t="shared" si="21"/>
        <v>1.9846660606226305</v>
      </c>
      <c r="L59" s="152">
        <f t="shared" si="22"/>
        <v>1.5002200143289175</v>
      </c>
      <c r="M59" s="386">
        <f t="shared" si="14"/>
        <v>286.9534264513664</v>
      </c>
      <c r="N59" s="175">
        <f t="shared" si="23"/>
        <v>350</v>
      </c>
      <c r="O59" s="191">
        <f t="shared" si="24"/>
        <v>0.41655349135169761</v>
      </c>
      <c r="P59" s="153">
        <f t="shared" si="25"/>
        <v>1.2299807815502881</v>
      </c>
      <c r="Q59" s="153">
        <f t="shared" si="26"/>
        <v>8.9661738048795903E-2</v>
      </c>
      <c r="R59" s="153">
        <f t="shared" si="27"/>
        <v>0.44291338582677164</v>
      </c>
    </row>
    <row r="60" spans="3:18" x14ac:dyDescent="0.25">
      <c r="C60" s="150">
        <v>54</v>
      </c>
      <c r="D60" s="5">
        <f t="shared" si="28"/>
        <v>15.48</v>
      </c>
      <c r="E60" s="386">
        <f t="shared" si="15"/>
        <v>20.32</v>
      </c>
      <c r="F60" s="191">
        <f t="shared" si="16"/>
        <v>0.56759776536312856</v>
      </c>
      <c r="G60" s="152">
        <f t="shared" si="17"/>
        <v>2.9654145251396655</v>
      </c>
      <c r="H60" s="191">
        <f t="shared" si="18"/>
        <v>0.14827072625698329</v>
      </c>
      <c r="I60" s="386">
        <f t="shared" si="19"/>
        <v>35.799999999999997</v>
      </c>
      <c r="J60" s="152">
        <f t="shared" si="20"/>
        <v>0.50583147390813865</v>
      </c>
      <c r="K60" s="152">
        <f t="shared" si="21"/>
        <v>1.96058710817108</v>
      </c>
      <c r="L60" s="152">
        <f t="shared" si="22"/>
        <v>1.493596871776</v>
      </c>
      <c r="M60" s="386">
        <f t="shared" si="14"/>
        <v>289.50397714927755</v>
      </c>
      <c r="N60" s="175">
        <f t="shared" si="23"/>
        <v>350</v>
      </c>
      <c r="O60" s="191">
        <f t="shared" si="24"/>
        <v>0.41840063846767761</v>
      </c>
      <c r="P60" s="153">
        <f t="shared" si="25"/>
        <v>1.2354349561053475</v>
      </c>
      <c r="Q60" s="153">
        <f t="shared" si="26"/>
        <v>9.0458685523458815E-2</v>
      </c>
      <c r="R60" s="153">
        <f t="shared" si="27"/>
        <v>0.44291338582677164</v>
      </c>
    </row>
    <row r="61" spans="3:18" x14ac:dyDescent="0.25">
      <c r="C61" s="150">
        <v>55</v>
      </c>
      <c r="D61" s="5">
        <f t="shared" si="28"/>
        <v>15.600000000000001</v>
      </c>
      <c r="E61" s="386">
        <f t="shared" si="15"/>
        <v>20.32</v>
      </c>
      <c r="F61" s="191">
        <f t="shared" si="16"/>
        <v>0.56570155902004449</v>
      </c>
      <c r="G61" s="152">
        <f t="shared" si="17"/>
        <v>2.9784187082405342</v>
      </c>
      <c r="H61" s="191">
        <f t="shared" si="18"/>
        <v>0.14892093541202672</v>
      </c>
      <c r="I61" s="386">
        <f t="shared" si="19"/>
        <v>35.92</v>
      </c>
      <c r="J61" s="152">
        <f t="shared" si="20"/>
        <v>0.50362294456782641</v>
      </c>
      <c r="K61" s="152">
        <f t="shared" si="21"/>
        <v>1.9370113252608707</v>
      </c>
      <c r="L61" s="152">
        <f t="shared" si="22"/>
        <v>1.4870756237238969</v>
      </c>
      <c r="M61" s="386">
        <f t="shared" si="14"/>
        <v>292.04865848879717</v>
      </c>
      <c r="N61" s="175">
        <f t="shared" si="23"/>
        <v>350</v>
      </c>
      <c r="O61" s="191">
        <f t="shared" si="24"/>
        <v>0.42023544384346173</v>
      </c>
      <c r="P61" s="153">
        <f t="shared" si="25"/>
        <v>1.2408526885141586</v>
      </c>
      <c r="Q61" s="153">
        <f t="shared" si="26"/>
        <v>9.1253799052867554E-2</v>
      </c>
      <c r="R61" s="153">
        <f t="shared" si="27"/>
        <v>0.44291338582677164</v>
      </c>
    </row>
    <row r="62" spans="3:18" x14ac:dyDescent="0.25">
      <c r="C62" s="150">
        <v>56</v>
      </c>
      <c r="D62" s="5">
        <f t="shared" si="28"/>
        <v>15.72</v>
      </c>
      <c r="E62" s="386">
        <f t="shared" si="15"/>
        <v>20.32</v>
      </c>
      <c r="F62" s="191">
        <f t="shared" si="16"/>
        <v>0.56381798002219763</v>
      </c>
      <c r="G62" s="152">
        <f t="shared" si="17"/>
        <v>2.99133629300777</v>
      </c>
      <c r="H62" s="191">
        <f t="shared" si="18"/>
        <v>0.14956681465038851</v>
      </c>
      <c r="I62" s="386">
        <f t="shared" si="19"/>
        <v>36.04</v>
      </c>
      <c r="J62" s="152">
        <f t="shared" si="20"/>
        <v>0.50144813323270965</v>
      </c>
      <c r="K62" s="152">
        <f t="shared" si="21"/>
        <v>1.9139241726439298</v>
      </c>
      <c r="L62" s="152">
        <f t="shared" si="22"/>
        <v>1.4806539367107567</v>
      </c>
      <c r="M62" s="386">
        <f t="shared" si="14"/>
        <v>294.58741787211414</v>
      </c>
      <c r="N62" s="175">
        <f t="shared" si="23"/>
        <v>350</v>
      </c>
      <c r="O62" s="191">
        <f t="shared" si="24"/>
        <v>0.42205803075947357</v>
      </c>
      <c r="P62" s="153">
        <f t="shared" si="25"/>
        <v>1.2462343427937213</v>
      </c>
      <c r="Q62" s="153">
        <f t="shared" si="26"/>
        <v>9.2047062202260332E-2</v>
      </c>
      <c r="R62" s="153">
        <f t="shared" si="27"/>
        <v>0.44291338582677164</v>
      </c>
    </row>
    <row r="63" spans="3:18" x14ac:dyDescent="0.25">
      <c r="C63" s="150">
        <v>57</v>
      </c>
      <c r="D63" s="5">
        <f t="shared" si="28"/>
        <v>15.84</v>
      </c>
      <c r="E63" s="386">
        <f t="shared" si="15"/>
        <v>20.32</v>
      </c>
      <c r="F63" s="191">
        <f t="shared" si="16"/>
        <v>0.56194690265486735</v>
      </c>
      <c r="G63" s="152">
        <f t="shared" si="17"/>
        <v>3.0041681415929213</v>
      </c>
      <c r="H63" s="191">
        <f t="shared" si="18"/>
        <v>0.15020840707964606</v>
      </c>
      <c r="I63" s="386">
        <f t="shared" si="19"/>
        <v>36.159999999999997</v>
      </c>
      <c r="J63" s="152">
        <f t="shared" si="20"/>
        <v>0.4993062735844887</v>
      </c>
      <c r="K63" s="152">
        <f t="shared" si="21"/>
        <v>1.8913116423654877</v>
      </c>
      <c r="L63" s="152">
        <f t="shared" si="22"/>
        <v>1.474329547985695</v>
      </c>
      <c r="M63" s="386">
        <f t="shared" si="14"/>
        <v>297.1202048711724</v>
      </c>
      <c r="N63" s="175">
        <f t="shared" si="23"/>
        <v>350</v>
      </c>
      <c r="O63" s="191">
        <f t="shared" si="24"/>
        <v>0.4238685208596713</v>
      </c>
      <c r="P63" s="153">
        <f t="shared" si="25"/>
        <v>1.2515802781289507</v>
      </c>
      <c r="Q63" s="153">
        <f t="shared" si="26"/>
        <v>9.2838459214839519E-2</v>
      </c>
      <c r="R63" s="153">
        <f t="shared" si="27"/>
        <v>0.44291338582677164</v>
      </c>
    </row>
    <row r="64" spans="3:18" x14ac:dyDescent="0.25">
      <c r="C64" s="150">
        <v>58</v>
      </c>
      <c r="D64" s="5">
        <f t="shared" si="28"/>
        <v>15.959999999999999</v>
      </c>
      <c r="E64" s="386">
        <f t="shared" si="15"/>
        <v>20.32</v>
      </c>
      <c r="F64" s="191">
        <f t="shared" si="16"/>
        <v>0.56008820286659311</v>
      </c>
      <c r="G64" s="152">
        <f t="shared" si="17"/>
        <v>3.016915104740904</v>
      </c>
      <c r="H64" s="191">
        <f t="shared" si="18"/>
        <v>0.15084575523704519</v>
      </c>
      <c r="I64" s="386">
        <f t="shared" si="19"/>
        <v>36.28</v>
      </c>
      <c r="J64" s="152">
        <f t="shared" si="20"/>
        <v>0.49719662235203066</v>
      </c>
      <c r="K64" s="152">
        <f t="shared" si="21"/>
        <v>1.8691602344061304</v>
      </c>
      <c r="L64" s="152">
        <f t="shared" si="22"/>
        <v>1.4681002628504842</v>
      </c>
      <c r="M64" s="386">
        <f t="shared" si="14"/>
        <v>299.64697116753308</v>
      </c>
      <c r="N64" s="175">
        <f t="shared" si="23"/>
        <v>350</v>
      </c>
      <c r="O64" s="191">
        <f t="shared" si="24"/>
        <v>0.42566703417861079</v>
      </c>
      <c r="P64" s="153">
        <f t="shared" si="25"/>
        <v>1.2568908489525912</v>
      </c>
      <c r="Q64" s="153">
        <f t="shared" si="26"/>
        <v>9.3627974992980006E-2</v>
      </c>
      <c r="R64" s="153">
        <f t="shared" si="27"/>
        <v>0.44291338582677164</v>
      </c>
    </row>
    <row r="65" spans="3:18" x14ac:dyDescent="0.25">
      <c r="C65" s="150">
        <v>59</v>
      </c>
      <c r="D65" s="5">
        <f t="shared" si="28"/>
        <v>16.079999999999998</v>
      </c>
      <c r="E65" s="386">
        <f t="shared" si="15"/>
        <v>20.32</v>
      </c>
      <c r="F65" s="191">
        <f t="shared" si="16"/>
        <v>0.55824175824175826</v>
      </c>
      <c r="G65" s="152">
        <f t="shared" si="17"/>
        <v>3.029578021978022</v>
      </c>
      <c r="H65" s="191">
        <f t="shared" si="18"/>
        <v>0.15147890109890111</v>
      </c>
      <c r="I65" s="386">
        <f t="shared" si="19"/>
        <v>36.4</v>
      </c>
      <c r="J65" s="152">
        <f t="shared" si="20"/>
        <v>0.49511845845140007</v>
      </c>
      <c r="K65" s="152">
        <f t="shared" si="21"/>
        <v>1.8474569345201497</v>
      </c>
      <c r="L65" s="152">
        <f t="shared" si="22"/>
        <v>1.4619639521202759</v>
      </c>
      <c r="M65" s="386">
        <f t="shared" si="14"/>
        <v>302.16767049390171</v>
      </c>
      <c r="N65" s="175">
        <f t="shared" si="23"/>
        <v>350</v>
      </c>
      <c r="O65" s="191">
        <f t="shared" si="24"/>
        <v>0.42745368916797488</v>
      </c>
      <c r="P65" s="153">
        <f t="shared" si="25"/>
        <v>1.2621664050235479</v>
      </c>
      <c r="Q65" s="153">
        <f t="shared" si="26"/>
        <v>9.4415595079959308E-2</v>
      </c>
      <c r="R65" s="153">
        <f t="shared" si="27"/>
        <v>0.44291338582677164</v>
      </c>
    </row>
    <row r="66" spans="3:18" x14ac:dyDescent="0.25">
      <c r="C66" s="150">
        <v>60</v>
      </c>
      <c r="D66" s="5">
        <f t="shared" si="28"/>
        <v>16.2</v>
      </c>
      <c r="E66" s="386">
        <f t="shared" si="15"/>
        <v>20.32</v>
      </c>
      <c r="F66" s="191">
        <f t="shared" si="16"/>
        <v>0.55640744797371311</v>
      </c>
      <c r="G66" s="152">
        <f t="shared" si="17"/>
        <v>3.0421577217962761</v>
      </c>
      <c r="H66" s="191">
        <f t="shared" si="18"/>
        <v>0.15210788608981379</v>
      </c>
      <c r="I66" s="386">
        <f t="shared" si="19"/>
        <v>36.519999999999996</v>
      </c>
      <c r="J66" s="152">
        <f t="shared" si="20"/>
        <v>0.49307108216411211</v>
      </c>
      <c r="K66" s="152">
        <f t="shared" si="21"/>
        <v>1.8261891932004153</v>
      </c>
      <c r="L66" s="152">
        <f t="shared" si="22"/>
        <v>1.4559185496971814</v>
      </c>
      <c r="M66" s="386">
        <f t="shared" si="14"/>
        <v>304.68225857727435</v>
      </c>
      <c r="N66" s="175">
        <f t="shared" si="23"/>
        <v>350</v>
      </c>
      <c r="O66" s="191">
        <f t="shared" si="24"/>
        <v>0.42922860272257862</v>
      </c>
      <c r="P66" s="153">
        <f t="shared" si="25"/>
        <v>1.2674072915036771</v>
      </c>
      <c r="Q66" s="153">
        <f t="shared" si="26"/>
        <v>9.5201305642192979E-2</v>
      </c>
      <c r="R66" s="153">
        <f t="shared" si="27"/>
        <v>0.44291338582677164</v>
      </c>
    </row>
    <row r="67" spans="3:18" x14ac:dyDescent="0.25">
      <c r="C67" s="150">
        <v>61</v>
      </c>
      <c r="D67" s="5">
        <f t="shared" si="28"/>
        <v>16.32</v>
      </c>
      <c r="E67" s="386">
        <f t="shared" si="15"/>
        <v>20.32</v>
      </c>
      <c r="F67" s="191">
        <f t="shared" si="16"/>
        <v>0.55458515283842791</v>
      </c>
      <c r="G67" s="152">
        <f t="shared" si="17"/>
        <v>3.0546550218340611</v>
      </c>
      <c r="H67" s="191">
        <f t="shared" si="18"/>
        <v>0.15273275109170306</v>
      </c>
      <c r="I67" s="386">
        <f t="shared" si="19"/>
        <v>36.64</v>
      </c>
      <c r="J67" s="152">
        <f t="shared" si="20"/>
        <v>0.49105381435163747</v>
      </c>
      <c r="K67" s="152">
        <f t="shared" si="21"/>
        <v>1.8053449057045496</v>
      </c>
      <c r="L67" s="152">
        <f t="shared" si="22"/>
        <v>1.4499620502508983</v>
      </c>
      <c r="M67" s="386">
        <f t="shared" si="14"/>
        <v>307.19069308365584</v>
      </c>
      <c r="N67" s="175">
        <f t="shared" si="23"/>
        <v>350</v>
      </c>
      <c r="O67" s="191">
        <f t="shared" si="24"/>
        <v>0.43099189020586404</v>
      </c>
      <c r="P67" s="153">
        <f t="shared" si="25"/>
        <v>1.2726138490330632</v>
      </c>
      <c r="Q67" s="153">
        <f t="shared" si="26"/>
        <v>9.598509345196099E-2</v>
      </c>
      <c r="R67" s="153">
        <f t="shared" si="27"/>
        <v>0.44291338582677164</v>
      </c>
    </row>
    <row r="68" spans="3:18" x14ac:dyDescent="0.25">
      <c r="C68" s="150">
        <v>62</v>
      </c>
      <c r="D68" s="5">
        <f t="shared" si="28"/>
        <v>16.439999999999998</v>
      </c>
      <c r="E68" s="386">
        <f t="shared" si="15"/>
        <v>20.32</v>
      </c>
      <c r="F68" s="191">
        <f t="shared" si="16"/>
        <v>0.55277475516866159</v>
      </c>
      <c r="G68" s="152">
        <f t="shared" si="17"/>
        <v>3.0670707290533179</v>
      </c>
      <c r="H68" s="191">
        <f t="shared" si="18"/>
        <v>0.15335353645266589</v>
      </c>
      <c r="I68" s="386">
        <f t="shared" si="19"/>
        <v>36.76</v>
      </c>
      <c r="J68" s="152">
        <f t="shared" si="20"/>
        <v>0.48906599570430836</v>
      </c>
      <c r="K68" s="152">
        <f t="shared" si="21"/>
        <v>1.7849123930814177</v>
      </c>
      <c r="L68" s="152">
        <f t="shared" si="22"/>
        <v>1.4440925070009105</v>
      </c>
      <c r="M68" s="386">
        <f t="shared" si="14"/>
        <v>309.69293356430131</v>
      </c>
      <c r="N68" s="175">
        <f t="shared" si="23"/>
        <v>350</v>
      </c>
      <c r="O68" s="191">
        <f t="shared" si="24"/>
        <v>0.43274366547489501</v>
      </c>
      <c r="P68" s="153">
        <f t="shared" si="25"/>
        <v>1.277786413803824</v>
      </c>
      <c r="Q68" s="153">
        <f t="shared" si="26"/>
        <v>9.6766945870610355E-2</v>
      </c>
      <c r="R68" s="153">
        <f t="shared" si="27"/>
        <v>0.44291338582677164</v>
      </c>
    </row>
    <row r="69" spans="3:18" x14ac:dyDescent="0.25">
      <c r="C69" s="150">
        <v>63</v>
      </c>
      <c r="D69" s="5">
        <f t="shared" si="28"/>
        <v>16.560000000000002</v>
      </c>
      <c r="E69" s="386">
        <f t="shared" si="15"/>
        <v>20.32</v>
      </c>
      <c r="F69" s="191">
        <f t="shared" si="16"/>
        <v>0.55097613882863339</v>
      </c>
      <c r="G69" s="152">
        <f t="shared" si="17"/>
        <v>3.0794056399132321</v>
      </c>
      <c r="H69" s="191">
        <f t="shared" si="18"/>
        <v>0.1539702819956616</v>
      </c>
      <c r="I69" s="386">
        <f t="shared" si="19"/>
        <v>36.880000000000003</v>
      </c>
      <c r="J69" s="152">
        <f t="shared" si="20"/>
        <v>0.48710698602288238</v>
      </c>
      <c r="K69" s="152">
        <f t="shared" si="21"/>
        <v>1.764880384140878</v>
      </c>
      <c r="L69" s="152">
        <f t="shared" si="22"/>
        <v>1.4383080295951252</v>
      </c>
      <c r="M69" s="386">
        <f t="shared" si="14"/>
        <v>312.18894140343781</v>
      </c>
      <c r="N69" s="175">
        <f t="shared" si="23"/>
        <v>350</v>
      </c>
      <c r="O69" s="191">
        <f t="shared" si="24"/>
        <v>0.43448404090486525</v>
      </c>
      <c r="P69" s="153">
        <f t="shared" si="25"/>
        <v>1.2829253176324762</v>
      </c>
      <c r="Q69" s="153">
        <f t="shared" si="26"/>
        <v>9.7546850832220311E-2</v>
      </c>
      <c r="R69" s="153">
        <f t="shared" si="27"/>
        <v>0.44291338582677164</v>
      </c>
    </row>
    <row r="70" spans="3:18" x14ac:dyDescent="0.25">
      <c r="C70" s="150">
        <v>64</v>
      </c>
      <c r="D70" s="5">
        <f t="shared" si="28"/>
        <v>16.68</v>
      </c>
      <c r="E70" s="386">
        <f t="shared" ref="E70:E106" si="29">(Vout+Vfwd1)*Nps</f>
        <v>20.32</v>
      </c>
      <c r="F70" s="191">
        <f t="shared" ref="F70:F106" si="30">(Vout+Vfwd1)*Nps/((Vout+Vfwd1)*Nps+D70)</f>
        <v>0.54918918918918924</v>
      </c>
      <c r="G70" s="152">
        <f t="shared" ref="G70:G101" si="31">F70*D70*Isw_max*0.5*Efficiency</f>
        <v>3.0916605405405413</v>
      </c>
      <c r="H70" s="191">
        <f t="shared" ref="H70:H101" si="32">G70/Vout</f>
        <v>0.15458302702702706</v>
      </c>
      <c r="I70" s="386">
        <f t="shared" ref="I70:I106" si="33">(Vout+Vfwd1)*Nps+D70</f>
        <v>37</v>
      </c>
      <c r="J70" s="152">
        <f t="shared" ref="J70:J106" si="34">MIN(2*Vout*Iout/(Efficiency*D70*F70), 1.35)</f>
        <v>0.48517616353111737</v>
      </c>
      <c r="K70" s="152">
        <f t="shared" ref="K70:K101" si="35">L*J70/D70*1000000</f>
        <v>1.7452379983133719</v>
      </c>
      <c r="L70" s="152">
        <f t="shared" ref="L70:L106" si="36">L*J70/((Vout+Vfwd1)*Nps)*1000000</f>
        <v>1.432606782080071</v>
      </c>
      <c r="M70" s="386">
        <f t="shared" si="14"/>
        <v>314.6786797674215</v>
      </c>
      <c r="N70" s="175">
        <f t="shared" ref="N70:N106" si="37">IF(1/((350000*L)*(1/D70+1/E70))&gt;Isw_min, 350, 0.001/((Isw_min*L)*(1/D70+1/E70)))</f>
        <v>350</v>
      </c>
      <c r="O70" s="191">
        <f t="shared" ref="O70:O101" si="38">1/((N70*1000*L)*(1/D70+1/E70))</f>
        <v>0.4362131274131274</v>
      </c>
      <c r="P70" s="153">
        <f t="shared" ref="P70:P101" si="39">L*O70/E70*1000000</f>
        <v>1.2880308880308879</v>
      </c>
      <c r="Q70" s="153">
        <f t="shared" ref="Q70:Q101" si="40">0.5*P70*O70*Nps*N70/1000</f>
        <v>9.8324796827715749E-2</v>
      </c>
      <c r="R70" s="153">
        <f t="shared" ref="R70:R106" si="41">L*Isw_min/E70*1000000</f>
        <v>0.44291338582677164</v>
      </c>
    </row>
    <row r="71" spans="3:18" x14ac:dyDescent="0.25">
      <c r="C71" s="150">
        <v>65</v>
      </c>
      <c r="D71" s="5">
        <f t="shared" ref="D71:D102" si="42">C71/100*(VIN_max-VIN_min)+VIN_min</f>
        <v>16.8</v>
      </c>
      <c r="E71" s="386">
        <f t="shared" si="29"/>
        <v>20.32</v>
      </c>
      <c r="F71" s="191">
        <f t="shared" si="30"/>
        <v>0.54741379310344818</v>
      </c>
      <c r="G71" s="152">
        <f t="shared" si="31"/>
        <v>3.1038362068965513</v>
      </c>
      <c r="H71" s="191">
        <f t="shared" si="32"/>
        <v>0.15519181034482757</v>
      </c>
      <c r="I71" s="386">
        <f t="shared" si="33"/>
        <v>37.120000000000005</v>
      </c>
      <c r="J71" s="152">
        <f t="shared" si="34"/>
        <v>0.48327292421780615</v>
      </c>
      <c r="K71" s="152">
        <f t="shared" si="35"/>
        <v>1.7259747293493077</v>
      </c>
      <c r="L71" s="152">
        <f t="shared" si="36"/>
        <v>1.4269869809580891</v>
      </c>
      <c r="M71" s="386">
        <f t="shared" ref="M71:M106" si="43">MIN(1/(K71+L71)*1000, 350)</f>
        <v>317.16211355529128</v>
      </c>
      <c r="N71" s="175">
        <f t="shared" si="37"/>
        <v>350</v>
      </c>
      <c r="O71" s="191">
        <f t="shared" si="38"/>
        <v>0.43793103448275861</v>
      </c>
      <c r="P71" s="153">
        <f t="shared" si="39"/>
        <v>1.2931034482758621</v>
      </c>
      <c r="Q71" s="153">
        <f t="shared" si="40"/>
        <v>9.9100772889417377E-2</v>
      </c>
      <c r="R71" s="153">
        <f t="shared" si="41"/>
        <v>0.44291338582677164</v>
      </c>
    </row>
    <row r="72" spans="3:18" x14ac:dyDescent="0.25">
      <c r="C72" s="150">
        <v>66</v>
      </c>
      <c r="D72" s="5">
        <f t="shared" si="42"/>
        <v>16.920000000000002</v>
      </c>
      <c r="E72" s="386">
        <f t="shared" si="29"/>
        <v>20.32</v>
      </c>
      <c r="F72" s="191">
        <f t="shared" si="30"/>
        <v>0.54564983888292162</v>
      </c>
      <c r="G72" s="152">
        <f t="shared" si="31"/>
        <v>3.1159334049409244</v>
      </c>
      <c r="H72" s="191">
        <f t="shared" si="32"/>
        <v>0.15579667024704622</v>
      </c>
      <c r="I72" s="386">
        <f t="shared" si="33"/>
        <v>37.24</v>
      </c>
      <c r="J72" s="152">
        <f t="shared" si="34"/>
        <v>0.48139668120681128</v>
      </c>
      <c r="K72" s="152">
        <f t="shared" si="35"/>
        <v>1.7070804298113875</v>
      </c>
      <c r="L72" s="152">
        <f t="shared" si="36"/>
        <v>1.4214468933271986</v>
      </c>
      <c r="M72" s="386">
        <f t="shared" si="43"/>
        <v>319.63920935067461</v>
      </c>
      <c r="N72" s="175">
        <f t="shared" si="37"/>
        <v>350</v>
      </c>
      <c r="O72" s="191">
        <f t="shared" si="38"/>
        <v>0.43963787018566824</v>
      </c>
      <c r="P72" s="153">
        <f t="shared" si="39"/>
        <v>1.2981433174773669</v>
      </c>
      <c r="Q72" s="153">
        <f t="shared" si="40"/>
        <v>9.9874768576013781E-2</v>
      </c>
      <c r="R72" s="153">
        <f t="shared" si="41"/>
        <v>0.44291338582677164</v>
      </c>
    </row>
    <row r="73" spans="3:18" x14ac:dyDescent="0.25">
      <c r="C73" s="150">
        <v>67</v>
      </c>
      <c r="D73" s="5">
        <f t="shared" si="42"/>
        <v>17.04</v>
      </c>
      <c r="E73" s="386">
        <f t="shared" si="29"/>
        <v>20.32</v>
      </c>
      <c r="F73" s="191">
        <f t="shared" si="30"/>
        <v>0.54389721627408993</v>
      </c>
      <c r="G73" s="152">
        <f t="shared" si="31"/>
        <v>3.1279528907922911</v>
      </c>
      <c r="H73" s="191">
        <f t="shared" si="32"/>
        <v>0.15639764453961455</v>
      </c>
      <c r="I73" s="386">
        <f t="shared" si="33"/>
        <v>37.36</v>
      </c>
      <c r="J73" s="152">
        <f t="shared" si="34"/>
        <v>0.47954686415371789</v>
      </c>
      <c r="K73" s="152">
        <f t="shared" si="35"/>
        <v>1.6885452963159082</v>
      </c>
      <c r="L73" s="152">
        <f t="shared" si="36"/>
        <v>1.4159848350995607</v>
      </c>
      <c r="M73" s="386">
        <f t="shared" si="43"/>
        <v>322.10993537500735</v>
      </c>
      <c r="N73" s="175">
        <f t="shared" si="37"/>
        <v>350</v>
      </c>
      <c r="O73" s="191">
        <f t="shared" si="38"/>
        <v>0.44133374120526159</v>
      </c>
      <c r="P73" s="153">
        <f t="shared" si="39"/>
        <v>1.3031508106454575</v>
      </c>
      <c r="Q73" s="153">
        <f t="shared" si="40"/>
        <v>0.10064677395794511</v>
      </c>
      <c r="R73" s="153">
        <f t="shared" si="41"/>
        <v>0.44291338582677164</v>
      </c>
    </row>
    <row r="74" spans="3:18" x14ac:dyDescent="0.25">
      <c r="C74" s="150">
        <v>68</v>
      </c>
      <c r="D74" s="5">
        <f t="shared" si="42"/>
        <v>17.16</v>
      </c>
      <c r="E74" s="386">
        <f t="shared" si="29"/>
        <v>20.32</v>
      </c>
      <c r="F74" s="191">
        <f t="shared" si="30"/>
        <v>0.5421558164354322</v>
      </c>
      <c r="G74" s="152">
        <f t="shared" si="31"/>
        <v>3.1398954108858055</v>
      </c>
      <c r="H74" s="191">
        <f t="shared" si="32"/>
        <v>0.15699477054429029</v>
      </c>
      <c r="I74" s="386">
        <f t="shared" si="33"/>
        <v>37.480000000000004</v>
      </c>
      <c r="J74" s="152">
        <f t="shared" si="34"/>
        <v>0.47772291866780053</v>
      </c>
      <c r="K74" s="152">
        <f t="shared" si="35"/>
        <v>1.6703598554818202</v>
      </c>
      <c r="L74" s="152">
        <f t="shared" si="36"/>
        <v>1.4105991692946867</v>
      </c>
      <c r="M74" s="386">
        <f t="shared" si="43"/>
        <v>324.57426144203265</v>
      </c>
      <c r="N74" s="175">
        <f t="shared" si="37"/>
        <v>350</v>
      </c>
      <c r="O74" s="191">
        <f t="shared" si="38"/>
        <v>0.44301875285866749</v>
      </c>
      <c r="P74" s="153">
        <f t="shared" si="39"/>
        <v>1.3081262387559081</v>
      </c>
      <c r="Q74" s="153">
        <f t="shared" si="40"/>
        <v>0.10141677960318483</v>
      </c>
      <c r="R74" s="153">
        <f t="shared" si="41"/>
        <v>0.44291338582677164</v>
      </c>
    </row>
    <row r="75" spans="3:18" x14ac:dyDescent="0.25">
      <c r="C75" s="150">
        <v>69</v>
      </c>
      <c r="D75" s="5">
        <f t="shared" si="42"/>
        <v>17.28</v>
      </c>
      <c r="E75" s="386">
        <f t="shared" si="29"/>
        <v>20.32</v>
      </c>
      <c r="F75" s="191">
        <f t="shared" si="30"/>
        <v>0.54042553191489362</v>
      </c>
      <c r="G75" s="152">
        <f t="shared" si="31"/>
        <v>3.15176170212766</v>
      </c>
      <c r="H75" s="191">
        <f t="shared" si="32"/>
        <v>0.157588085106383</v>
      </c>
      <c r="I75" s="386">
        <f t="shared" si="33"/>
        <v>37.6</v>
      </c>
      <c r="J75" s="152">
        <f t="shared" si="34"/>
        <v>0.47592430575807648</v>
      </c>
      <c r="K75" s="152">
        <f t="shared" si="35"/>
        <v>1.6525149505488765</v>
      </c>
      <c r="L75" s="152">
        <f t="shared" si="36"/>
        <v>1.4052883044037692</v>
      </c>
      <c r="M75" s="386">
        <f t="shared" si="43"/>
        <v>327.03215891353562</v>
      </c>
      <c r="N75" s="175">
        <f t="shared" si="37"/>
        <v>350</v>
      </c>
      <c r="O75" s="191">
        <f t="shared" si="38"/>
        <v>0.44469300911854104</v>
      </c>
      <c r="P75" s="153">
        <f t="shared" si="39"/>
        <v>1.3130699088145898</v>
      </c>
      <c r="Q75" s="153">
        <f t="shared" si="40"/>
        <v>0.10218477656340946</v>
      </c>
      <c r="R75" s="153">
        <f t="shared" si="41"/>
        <v>0.44291338582677164</v>
      </c>
    </row>
    <row r="76" spans="3:18" x14ac:dyDescent="0.25">
      <c r="C76" s="150">
        <v>70</v>
      </c>
      <c r="D76" s="5">
        <f t="shared" si="42"/>
        <v>17.399999999999999</v>
      </c>
      <c r="E76" s="386">
        <f t="shared" si="29"/>
        <v>20.32</v>
      </c>
      <c r="F76" s="191">
        <f t="shared" si="30"/>
        <v>0.53870625662778371</v>
      </c>
      <c r="G76" s="152">
        <f t="shared" si="31"/>
        <v>3.1635524920466596</v>
      </c>
      <c r="H76" s="191">
        <f t="shared" si="32"/>
        <v>0.15817762460233298</v>
      </c>
      <c r="I76" s="386">
        <f t="shared" si="33"/>
        <v>37.72</v>
      </c>
      <c r="J76" s="152">
        <f t="shared" si="34"/>
        <v>0.47415050130227976</v>
      </c>
      <c r="K76" s="152">
        <f t="shared" si="35"/>
        <v>1.6350017286285512</v>
      </c>
      <c r="L76" s="152">
        <f t="shared" si="36"/>
        <v>1.4000506928216923</v>
      </c>
      <c r="M76" s="386">
        <f t="shared" si="43"/>
        <v>329.48360065628407</v>
      </c>
      <c r="N76" s="175">
        <f t="shared" si="37"/>
        <v>350</v>
      </c>
      <c r="O76" s="191">
        <f t="shared" si="38"/>
        <v>0.44635661263444926</v>
      </c>
      <c r="P76" s="153">
        <f t="shared" si="39"/>
        <v>1.3179821239206178</v>
      </c>
      <c r="Q76" s="153">
        <f t="shared" si="40"/>
        <v>0.10295075636054368</v>
      </c>
      <c r="R76" s="153">
        <f t="shared" si="41"/>
        <v>0.44291338582677164</v>
      </c>
    </row>
    <row r="77" spans="3:18" x14ac:dyDescent="0.25">
      <c r="C77" s="150">
        <v>71</v>
      </c>
      <c r="D77" s="5">
        <f t="shared" si="42"/>
        <v>17.52</v>
      </c>
      <c r="E77" s="386">
        <f t="shared" si="29"/>
        <v>20.32</v>
      </c>
      <c r="F77" s="191">
        <f t="shared" si="30"/>
        <v>0.53699788583509511</v>
      </c>
      <c r="G77" s="152">
        <f t="shared" si="31"/>
        <v>3.1752684989429176</v>
      </c>
      <c r="H77" s="191">
        <f t="shared" si="32"/>
        <v>0.15876342494714588</v>
      </c>
      <c r="I77" s="386">
        <f t="shared" si="33"/>
        <v>37.840000000000003</v>
      </c>
      <c r="J77" s="152">
        <f t="shared" si="34"/>
        <v>0.47240099553765819</v>
      </c>
      <c r="K77" s="152">
        <f t="shared" si="35"/>
        <v>1.6178116285536239</v>
      </c>
      <c r="L77" s="152">
        <f t="shared" si="36"/>
        <v>1.394884829343479</v>
      </c>
      <c r="M77" s="386">
        <f t="shared" si="43"/>
        <v>331.92856100013859</v>
      </c>
      <c r="N77" s="175">
        <f t="shared" si="37"/>
        <v>350</v>
      </c>
      <c r="O77" s="191">
        <f t="shared" si="38"/>
        <v>0.44800966475385079</v>
      </c>
      <c r="P77" s="153">
        <f t="shared" si="39"/>
        <v>1.3228631833282996</v>
      </c>
      <c r="Q77" s="153">
        <f t="shared" si="40"/>
        <v>0.10371471097367159</v>
      </c>
      <c r="R77" s="153">
        <f t="shared" si="41"/>
        <v>0.44291338582677164</v>
      </c>
    </row>
    <row r="78" spans="3:18" x14ac:dyDescent="0.25">
      <c r="C78" s="150">
        <v>72</v>
      </c>
      <c r="D78" s="5">
        <f t="shared" si="42"/>
        <v>17.64</v>
      </c>
      <c r="E78" s="386">
        <f t="shared" si="29"/>
        <v>20.32</v>
      </c>
      <c r="F78" s="191">
        <f t="shared" si="30"/>
        <v>0.53530031612223394</v>
      </c>
      <c r="G78" s="152">
        <f t="shared" si="31"/>
        <v>3.1869104320337196</v>
      </c>
      <c r="H78" s="191">
        <f t="shared" si="32"/>
        <v>0.15934552160168597</v>
      </c>
      <c r="I78" s="386">
        <f t="shared" si="33"/>
        <v>37.96</v>
      </c>
      <c r="J78" s="152">
        <f t="shared" si="34"/>
        <v>0.47067529257255536</v>
      </c>
      <c r="K78" s="152">
        <f t="shared" si="35"/>
        <v>1.6009363692944059</v>
      </c>
      <c r="L78" s="152">
        <f t="shared" si="36"/>
        <v>1.3897892497221123</v>
      </c>
      <c r="M78" s="386">
        <f t="shared" si="43"/>
        <v>334.36701569729547</v>
      </c>
      <c r="N78" s="175">
        <f t="shared" si="37"/>
        <v>350</v>
      </c>
      <c r="O78" s="191">
        <f t="shared" si="38"/>
        <v>0.44965226554267657</v>
      </c>
      <c r="P78" s="153">
        <f t="shared" si="39"/>
        <v>1.3277133825079033</v>
      </c>
      <c r="Q78" s="153">
        <f t="shared" si="40"/>
        <v>0.10447663282630158</v>
      </c>
      <c r="R78" s="153">
        <f t="shared" si="41"/>
        <v>0.44291338582677164</v>
      </c>
    </row>
    <row r="79" spans="3:18" x14ac:dyDescent="0.25">
      <c r="C79" s="150">
        <v>73</v>
      </c>
      <c r="D79" s="5">
        <f t="shared" si="42"/>
        <v>17.759999999999998</v>
      </c>
      <c r="E79" s="386">
        <f t="shared" si="29"/>
        <v>20.32</v>
      </c>
      <c r="F79" s="191">
        <f t="shared" si="30"/>
        <v>0.53361344537815125</v>
      </c>
      <c r="G79" s="152">
        <f t="shared" si="31"/>
        <v>3.1984789915966387</v>
      </c>
      <c r="H79" s="191">
        <f t="shared" si="32"/>
        <v>0.15992394957983194</v>
      </c>
      <c r="I79" s="386">
        <f t="shared" si="33"/>
        <v>38.08</v>
      </c>
      <c r="J79" s="152">
        <f t="shared" si="34"/>
        <v>0.46897290991779184</v>
      </c>
      <c r="K79" s="152">
        <f t="shared" si="35"/>
        <v>1.5843679389114591</v>
      </c>
      <c r="L79" s="152">
        <f t="shared" si="36"/>
        <v>1.3847625292848185</v>
      </c>
      <c r="M79" s="386">
        <f t="shared" si="43"/>
        <v>336.79894188263535</v>
      </c>
      <c r="N79" s="175">
        <f t="shared" si="37"/>
        <v>350</v>
      </c>
      <c r="O79" s="191">
        <f t="shared" si="38"/>
        <v>0.4512845138055222</v>
      </c>
      <c r="P79" s="153">
        <f t="shared" si="39"/>
        <v>1.3325330132052822</v>
      </c>
      <c r="Q79" s="153">
        <f t="shared" si="40"/>
        <v>0.10523651477397682</v>
      </c>
      <c r="R79" s="153">
        <f t="shared" si="41"/>
        <v>0.44291338582677164</v>
      </c>
    </row>
    <row r="80" spans="3:18" x14ac:dyDescent="0.25">
      <c r="C80" s="150">
        <v>74</v>
      </c>
      <c r="D80" s="5">
        <f t="shared" si="42"/>
        <v>17.88</v>
      </c>
      <c r="E80" s="386">
        <f t="shared" si="29"/>
        <v>20.32</v>
      </c>
      <c r="F80" s="191">
        <f t="shared" si="30"/>
        <v>0.53193717277486907</v>
      </c>
      <c r="G80" s="152">
        <f t="shared" si="31"/>
        <v>3.209974869109947</v>
      </c>
      <c r="H80" s="191">
        <f t="shared" si="32"/>
        <v>0.16049874345549736</v>
      </c>
      <c r="I80" s="386">
        <f t="shared" si="33"/>
        <v>38.200000000000003</v>
      </c>
      <c r="J80" s="152">
        <f t="shared" si="34"/>
        <v>0.46729337803691773</v>
      </c>
      <c r="K80" s="152">
        <f t="shared" si="35"/>
        <v>1.5680985840165025</v>
      </c>
      <c r="L80" s="152">
        <f t="shared" si="36"/>
        <v>1.3798032816050718</v>
      </c>
      <c r="M80" s="386">
        <f t="shared" si="43"/>
        <v>339.22431803514155</v>
      </c>
      <c r="N80" s="175">
        <f t="shared" si="37"/>
        <v>350</v>
      </c>
      <c r="O80" s="191">
        <f t="shared" si="38"/>
        <v>0.45290650710545993</v>
      </c>
      <c r="P80" s="153">
        <f t="shared" si="39"/>
        <v>1.3373223635003739</v>
      </c>
      <c r="Q80" s="153">
        <f t="shared" si="40"/>
        <v>0.10599435009222019</v>
      </c>
      <c r="R80" s="153">
        <f t="shared" si="41"/>
        <v>0.44291338582677164</v>
      </c>
    </row>
    <row r="81" spans="3:18" x14ac:dyDescent="0.25">
      <c r="C81" s="150">
        <v>75</v>
      </c>
      <c r="D81" s="5">
        <f t="shared" si="42"/>
        <v>18</v>
      </c>
      <c r="E81" s="386">
        <f t="shared" si="29"/>
        <v>20.32</v>
      </c>
      <c r="F81" s="191">
        <f t="shared" si="30"/>
        <v>0.53027139874739038</v>
      </c>
      <c r="G81" s="152">
        <f t="shared" si="31"/>
        <v>3.2213987473903969</v>
      </c>
      <c r="H81" s="191">
        <f t="shared" si="32"/>
        <v>0.16106993736951986</v>
      </c>
      <c r="I81" s="386">
        <f t="shared" si="33"/>
        <v>38.32</v>
      </c>
      <c r="J81" s="152">
        <f t="shared" si="34"/>
        <v>0.46563623991445519</v>
      </c>
      <c r="K81" s="152">
        <f t="shared" si="35"/>
        <v>1.5521207997148505</v>
      </c>
      <c r="L81" s="152">
        <f t="shared" si="36"/>
        <v>1.3749101572277218</v>
      </c>
      <c r="M81" s="386">
        <f t="shared" si="43"/>
        <v>341.64312394035937</v>
      </c>
      <c r="N81" s="175">
        <f t="shared" si="37"/>
        <v>350</v>
      </c>
      <c r="O81" s="191">
        <f t="shared" si="38"/>
        <v>0.45451834178347755</v>
      </c>
      <c r="P81" s="153">
        <f t="shared" si="39"/>
        <v>1.342081717864599</v>
      </c>
      <c r="Q81" s="153">
        <f t="shared" si="40"/>
        <v>0.10675013246480423</v>
      </c>
      <c r="R81" s="153">
        <f t="shared" si="41"/>
        <v>0.44291338582677164</v>
      </c>
    </row>
    <row r="82" spans="3:18" x14ac:dyDescent="0.25">
      <c r="C82" s="150">
        <v>76</v>
      </c>
      <c r="D82" s="5">
        <f t="shared" si="42"/>
        <v>18.12</v>
      </c>
      <c r="E82" s="386">
        <f t="shared" si="29"/>
        <v>20.32</v>
      </c>
      <c r="F82" s="191">
        <f t="shared" si="30"/>
        <v>0.52861602497398552</v>
      </c>
      <c r="G82" s="152">
        <f t="shared" si="31"/>
        <v>3.2327513007284092</v>
      </c>
      <c r="H82" s="191">
        <f t="shared" si="32"/>
        <v>0.16163756503642046</v>
      </c>
      <c r="I82" s="386">
        <f t="shared" si="33"/>
        <v>38.44</v>
      </c>
      <c r="J82" s="152">
        <f t="shared" si="34"/>
        <v>0.46400105064129671</v>
      </c>
      <c r="K82" s="152">
        <f t="shared" si="35"/>
        <v>1.5364273200042937</v>
      </c>
      <c r="L82" s="152">
        <f t="shared" si="36"/>
        <v>1.3700818424447738</v>
      </c>
      <c r="M82" s="386">
        <f t="shared" si="43"/>
        <v>344.05534065386718</v>
      </c>
      <c r="N82" s="175">
        <f t="shared" si="37"/>
        <v>350</v>
      </c>
      <c r="O82" s="191">
        <f t="shared" si="38"/>
        <v>0.45612011297755317</v>
      </c>
      <c r="P82" s="153">
        <f t="shared" si="39"/>
        <v>1.3468113572171845</v>
      </c>
      <c r="Q82" s="153">
        <f t="shared" si="40"/>
        <v>0.10750385597233694</v>
      </c>
      <c r="R82" s="153">
        <f t="shared" si="41"/>
        <v>0.44291338582677164</v>
      </c>
    </row>
    <row r="83" spans="3:18" x14ac:dyDescent="0.25">
      <c r="C83" s="150">
        <v>77</v>
      </c>
      <c r="D83" s="5">
        <f t="shared" si="42"/>
        <v>18.240000000000002</v>
      </c>
      <c r="E83" s="386">
        <f t="shared" si="29"/>
        <v>20.32</v>
      </c>
      <c r="F83" s="191">
        <f t="shared" si="30"/>
        <v>0.52697095435684649</v>
      </c>
      <c r="G83" s="152">
        <f t="shared" si="31"/>
        <v>3.2440331950207479</v>
      </c>
      <c r="H83" s="191">
        <f t="shared" si="32"/>
        <v>0.1622016597510374</v>
      </c>
      <c r="I83" s="386">
        <f t="shared" si="33"/>
        <v>38.56</v>
      </c>
      <c r="J83" s="152">
        <f t="shared" si="34"/>
        <v>0.46238737701646926</v>
      </c>
      <c r="K83" s="152">
        <f t="shared" si="35"/>
        <v>1.5210111086068066</v>
      </c>
      <c r="L83" s="152">
        <f t="shared" si="36"/>
        <v>1.3653170581194958</v>
      </c>
      <c r="M83" s="386">
        <f t="shared" si="43"/>
        <v>346.46095046572907</v>
      </c>
      <c r="N83" s="175">
        <f t="shared" si="37"/>
        <v>350</v>
      </c>
      <c r="O83" s="191">
        <f t="shared" si="38"/>
        <v>0.45771191464137528</v>
      </c>
      <c r="P83" s="153">
        <f t="shared" si="39"/>
        <v>1.3515115589804387</v>
      </c>
      <c r="Q83" s="153">
        <f t="shared" si="40"/>
        <v>0.10825551508115515</v>
      </c>
      <c r="R83" s="153">
        <f t="shared" si="41"/>
        <v>0.44291338582677164</v>
      </c>
    </row>
    <row r="84" spans="3:18" x14ac:dyDescent="0.25">
      <c r="C84" s="150">
        <v>78</v>
      </c>
      <c r="D84" s="5">
        <f t="shared" si="42"/>
        <v>18.36</v>
      </c>
      <c r="E84" s="386">
        <f t="shared" si="29"/>
        <v>20.32</v>
      </c>
      <c r="F84" s="191">
        <f t="shared" si="30"/>
        <v>0.52533609100310241</v>
      </c>
      <c r="G84" s="152">
        <f t="shared" si="31"/>
        <v>3.255245087900724</v>
      </c>
      <c r="H84" s="191">
        <f t="shared" si="32"/>
        <v>0.16276225439503619</v>
      </c>
      <c r="I84" s="386">
        <f t="shared" si="33"/>
        <v>38.68</v>
      </c>
      <c r="J84" s="152">
        <f t="shared" si="34"/>
        <v>0.4607947971645156</v>
      </c>
      <c r="K84" s="152">
        <f t="shared" si="35"/>
        <v>1.5058653502108352</v>
      </c>
      <c r="L84" s="152">
        <f t="shared" si="36"/>
        <v>1.3606145585566405</v>
      </c>
      <c r="M84" s="386">
        <f t="shared" si="43"/>
        <v>348.85993686590268</v>
      </c>
      <c r="N84" s="175">
        <f t="shared" si="37"/>
        <v>350</v>
      </c>
      <c r="O84" s="191">
        <f t="shared" si="38"/>
        <v>0.4592938395627123</v>
      </c>
      <c r="P84" s="153">
        <f t="shared" si="39"/>
        <v>1.3561825971339931</v>
      </c>
      <c r="Q84" s="153">
        <f t="shared" si="40"/>
        <v>0.10900510463251546</v>
      </c>
      <c r="R84" s="153">
        <f t="shared" si="41"/>
        <v>0.44291338582677164</v>
      </c>
    </row>
    <row r="85" spans="3:18" x14ac:dyDescent="0.25">
      <c r="C85" s="150">
        <v>79</v>
      </c>
      <c r="D85" s="5">
        <f t="shared" si="42"/>
        <v>18.48</v>
      </c>
      <c r="E85" s="386">
        <f t="shared" si="29"/>
        <v>20.32</v>
      </c>
      <c r="F85" s="191">
        <f t="shared" si="30"/>
        <v>0.52371134020618559</v>
      </c>
      <c r="G85" s="152">
        <f t="shared" si="31"/>
        <v>3.2663876288659797</v>
      </c>
      <c r="H85" s="191">
        <f t="shared" si="32"/>
        <v>0.16331938144329899</v>
      </c>
      <c r="I85" s="386">
        <f t="shared" si="33"/>
        <v>38.799999999999997</v>
      </c>
      <c r="J85" s="152">
        <f t="shared" si="34"/>
        <v>0.45922290016778194</v>
      </c>
      <c r="K85" s="152">
        <f t="shared" si="35"/>
        <v>1.4909834421031882</v>
      </c>
      <c r="L85" s="152">
        <f t="shared" si="36"/>
        <v>1.3559731304166789</v>
      </c>
      <c r="M85" s="386">
        <f t="shared" si="43"/>
        <v>350</v>
      </c>
      <c r="N85" s="175">
        <f t="shared" si="37"/>
        <v>350</v>
      </c>
      <c r="O85" s="191">
        <f t="shared" si="38"/>
        <v>0.46086597938144336</v>
      </c>
      <c r="P85" s="153">
        <f t="shared" si="39"/>
        <v>1.3608247422680413</v>
      </c>
      <c r="Q85" s="153">
        <f t="shared" si="40"/>
        <v>0.1097526198320757</v>
      </c>
      <c r="R85" s="153">
        <f t="shared" si="41"/>
        <v>0.44291338582677164</v>
      </c>
    </row>
    <row r="86" spans="3:18" x14ac:dyDescent="0.25">
      <c r="C86" s="150">
        <v>80</v>
      </c>
      <c r="D86" s="5">
        <f t="shared" si="42"/>
        <v>18.600000000000001</v>
      </c>
      <c r="E86" s="386">
        <f t="shared" si="29"/>
        <v>20.32</v>
      </c>
      <c r="F86" s="191">
        <f t="shared" si="30"/>
        <v>0.52209660842754368</v>
      </c>
      <c r="G86" s="152">
        <f t="shared" si="31"/>
        <v>3.2774614594039053</v>
      </c>
      <c r="H86" s="191">
        <f t="shared" si="32"/>
        <v>0.16387307297019527</v>
      </c>
      <c r="I86" s="386">
        <f t="shared" si="33"/>
        <v>38.92</v>
      </c>
      <c r="J86" s="152">
        <f t="shared" si="34"/>
        <v>0.4576712857129418</v>
      </c>
      <c r="K86" s="152">
        <f t="shared" si="35"/>
        <v>1.47635898617078</v>
      </c>
      <c r="L86" s="152">
        <f t="shared" si="36"/>
        <v>1.3513915916720722</v>
      </c>
      <c r="M86" s="386">
        <f t="shared" si="43"/>
        <v>350</v>
      </c>
      <c r="N86" s="175">
        <f t="shared" si="37"/>
        <v>350</v>
      </c>
      <c r="O86" s="191">
        <f t="shared" si="38"/>
        <v>0.46242842460725303</v>
      </c>
      <c r="P86" s="153">
        <f t="shared" si="39"/>
        <v>1.3654382616355896</v>
      </c>
      <c r="Q86" s="153">
        <f t="shared" si="40"/>
        <v>0.11049805623965707</v>
      </c>
      <c r="R86" s="153">
        <f t="shared" si="41"/>
        <v>0.44291338582677164</v>
      </c>
    </row>
    <row r="87" spans="3:18" x14ac:dyDescent="0.25">
      <c r="C87" s="150">
        <v>81</v>
      </c>
      <c r="D87" s="5">
        <f t="shared" si="42"/>
        <v>18.72</v>
      </c>
      <c r="E87" s="386">
        <f t="shared" si="29"/>
        <v>20.32</v>
      </c>
      <c r="F87" s="191">
        <f t="shared" si="30"/>
        <v>0.52049180327868849</v>
      </c>
      <c r="G87" s="152">
        <f t="shared" si="31"/>
        <v>3.2884672131147532</v>
      </c>
      <c r="H87" s="191">
        <f t="shared" si="32"/>
        <v>0.16442336065573765</v>
      </c>
      <c r="I87" s="386">
        <f t="shared" si="33"/>
        <v>39.04</v>
      </c>
      <c r="J87" s="152">
        <f t="shared" si="34"/>
        <v>0.45613956375111242</v>
      </c>
      <c r="K87" s="152">
        <f t="shared" si="35"/>
        <v>1.4619857812535655</v>
      </c>
      <c r="L87" s="152">
        <f t="shared" si="36"/>
        <v>1.3468687906036785</v>
      </c>
      <c r="M87" s="386">
        <f t="shared" si="43"/>
        <v>350</v>
      </c>
      <c r="N87" s="175">
        <f t="shared" si="37"/>
        <v>350</v>
      </c>
      <c r="O87" s="191">
        <f t="shared" si="38"/>
        <v>0.46398126463700234</v>
      </c>
      <c r="P87" s="153">
        <f t="shared" si="39"/>
        <v>1.3700234192037473</v>
      </c>
      <c r="Q87" s="153">
        <f t="shared" si="40"/>
        <v>0.11124140975928133</v>
      </c>
      <c r="R87" s="153">
        <f t="shared" si="41"/>
        <v>0.44291338582677164</v>
      </c>
    </row>
    <row r="88" spans="3:18" x14ac:dyDescent="0.25">
      <c r="C88" s="150">
        <v>82</v>
      </c>
      <c r="D88" s="5">
        <f t="shared" si="42"/>
        <v>18.84</v>
      </c>
      <c r="E88" s="386">
        <f t="shared" si="29"/>
        <v>20.32</v>
      </c>
      <c r="F88" s="191">
        <f t="shared" si="30"/>
        <v>0.51889683350357518</v>
      </c>
      <c r="G88" s="152">
        <f t="shared" si="31"/>
        <v>3.2994055158324826</v>
      </c>
      <c r="H88" s="191">
        <f t="shared" si="32"/>
        <v>0.16497027579162413</v>
      </c>
      <c r="I88" s="386">
        <f t="shared" si="33"/>
        <v>39.159999999999997</v>
      </c>
      <c r="J88" s="152">
        <f t="shared" si="34"/>
        <v>0.45462735417096212</v>
      </c>
      <c r="K88" s="152">
        <f t="shared" si="35"/>
        <v>1.4478578158310895</v>
      </c>
      <c r="L88" s="152">
        <f t="shared" si="36"/>
        <v>1.3424036048355179</v>
      </c>
      <c r="M88" s="386">
        <f t="shared" si="43"/>
        <v>350</v>
      </c>
      <c r="N88" s="175">
        <f t="shared" si="37"/>
        <v>350</v>
      </c>
      <c r="O88" s="191">
        <f t="shared" si="38"/>
        <v>0.4655245877717788</v>
      </c>
      <c r="P88" s="153">
        <f t="shared" si="39"/>
        <v>1.3745804757040714</v>
      </c>
      <c r="Q88" s="153">
        <f t="shared" si="40"/>
        <v>0.11198267662947287</v>
      </c>
      <c r="R88" s="153">
        <f t="shared" si="41"/>
        <v>0.44291338582677164</v>
      </c>
    </row>
    <row r="89" spans="3:18" x14ac:dyDescent="0.25">
      <c r="C89" s="150">
        <v>83</v>
      </c>
      <c r="D89" s="5">
        <f t="shared" si="42"/>
        <v>18.96</v>
      </c>
      <c r="E89" s="386">
        <f t="shared" si="29"/>
        <v>20.32</v>
      </c>
      <c r="F89" s="191">
        <f t="shared" si="30"/>
        <v>0.51731160896130346</v>
      </c>
      <c r="G89" s="152">
        <f t="shared" si="31"/>
        <v>3.3102769857433811</v>
      </c>
      <c r="H89" s="191">
        <f t="shared" si="32"/>
        <v>0.16551384928716906</v>
      </c>
      <c r="I89" s="386">
        <f t="shared" si="33"/>
        <v>39.28</v>
      </c>
      <c r="J89" s="152">
        <f t="shared" si="34"/>
        <v>0.45313428648423171</v>
      </c>
      <c r="K89" s="152">
        <f t="shared" si="35"/>
        <v>1.4339692610260495</v>
      </c>
      <c r="L89" s="152">
        <f t="shared" si="36"/>
        <v>1.3379949404061959</v>
      </c>
      <c r="M89" s="386">
        <f t="shared" si="43"/>
        <v>350</v>
      </c>
      <c r="N89" s="175">
        <f t="shared" si="37"/>
        <v>350</v>
      </c>
      <c r="O89" s="191">
        <f t="shared" si="38"/>
        <v>0.46705848123363408</v>
      </c>
      <c r="P89" s="153">
        <f t="shared" si="39"/>
        <v>1.3791096886819905</v>
      </c>
      <c r="Q89" s="153">
        <f t="shared" si="40"/>
        <v>0.11272185341382007</v>
      </c>
      <c r="R89" s="153">
        <f t="shared" si="41"/>
        <v>0.44291338582677164</v>
      </c>
    </row>
    <row r="90" spans="3:18" x14ac:dyDescent="0.25">
      <c r="C90" s="150">
        <v>84</v>
      </c>
      <c r="D90" s="5">
        <f t="shared" si="42"/>
        <v>19.079999999999998</v>
      </c>
      <c r="E90" s="386">
        <f t="shared" si="29"/>
        <v>20.32</v>
      </c>
      <c r="F90" s="191">
        <f t="shared" si="30"/>
        <v>0.51573604060913714</v>
      </c>
      <c r="G90" s="152">
        <f t="shared" si="31"/>
        <v>3.3210822335025383</v>
      </c>
      <c r="H90" s="191">
        <f t="shared" si="32"/>
        <v>0.1660541116751269</v>
      </c>
      <c r="I90" s="386">
        <f t="shared" si="33"/>
        <v>39.4</v>
      </c>
      <c r="J90" s="152">
        <f t="shared" si="34"/>
        <v>0.4516599995231203</v>
      </c>
      <c r="K90" s="152">
        <f t="shared" si="35"/>
        <v>1.4203144639091834</v>
      </c>
      <c r="L90" s="152">
        <f t="shared" si="36"/>
        <v>1.3336417308753552</v>
      </c>
      <c r="M90" s="386">
        <f t="shared" si="43"/>
        <v>350</v>
      </c>
      <c r="N90" s="175">
        <f t="shared" si="37"/>
        <v>350</v>
      </c>
      <c r="O90" s="191">
        <f t="shared" si="38"/>
        <v>0.468583031182016</v>
      </c>
      <c r="P90" s="153">
        <f t="shared" si="39"/>
        <v>1.3836113125453227</v>
      </c>
      <c r="Q90" s="153">
        <f t="shared" si="40"/>
        <v>0.11345893699178762</v>
      </c>
      <c r="R90" s="153">
        <f t="shared" si="41"/>
        <v>0.44291338582677164</v>
      </c>
    </row>
    <row r="91" spans="3:18" x14ac:dyDescent="0.25">
      <c r="C91" s="150">
        <v>85</v>
      </c>
      <c r="D91" s="5">
        <f t="shared" si="42"/>
        <v>19.2</v>
      </c>
      <c r="E91" s="386">
        <f t="shared" si="29"/>
        <v>20.32</v>
      </c>
      <c r="F91" s="191">
        <f t="shared" si="30"/>
        <v>0.51417004048583004</v>
      </c>
      <c r="G91" s="152">
        <f t="shared" si="31"/>
        <v>3.3318218623481792</v>
      </c>
      <c r="H91" s="191">
        <f t="shared" si="32"/>
        <v>0.16659109311740897</v>
      </c>
      <c r="I91" s="386">
        <f t="shared" si="33"/>
        <v>39.519999999999996</v>
      </c>
      <c r="J91" s="152">
        <f t="shared" si="34"/>
        <v>0.45020414114902296</v>
      </c>
      <c r="K91" s="152">
        <f t="shared" si="35"/>
        <v>1.4068879410906969</v>
      </c>
      <c r="L91" s="152">
        <f t="shared" si="36"/>
        <v>1.3293429364636506</v>
      </c>
      <c r="M91" s="386">
        <f t="shared" si="43"/>
        <v>350</v>
      </c>
      <c r="N91" s="175">
        <f t="shared" si="37"/>
        <v>350</v>
      </c>
      <c r="O91" s="191">
        <f t="shared" si="38"/>
        <v>0.47009832272990171</v>
      </c>
      <c r="P91" s="153">
        <f t="shared" si="39"/>
        <v>1.3880855986119145</v>
      </c>
      <c r="Q91" s="153">
        <f t="shared" si="40"/>
        <v>0.1141939245497737</v>
      </c>
      <c r="R91" s="153">
        <f t="shared" si="41"/>
        <v>0.44291338582677164</v>
      </c>
    </row>
    <row r="92" spans="3:18" x14ac:dyDescent="0.25">
      <c r="C92" s="150">
        <v>86</v>
      </c>
      <c r="D92" s="5">
        <f t="shared" si="42"/>
        <v>19.32</v>
      </c>
      <c r="E92" s="386">
        <f t="shared" si="29"/>
        <v>20.32</v>
      </c>
      <c r="F92" s="191">
        <f t="shared" si="30"/>
        <v>0.51261352169525731</v>
      </c>
      <c r="G92" s="152">
        <f t="shared" si="31"/>
        <v>3.3424964682139255</v>
      </c>
      <c r="H92" s="191">
        <f t="shared" si="32"/>
        <v>0.16712482341069629</v>
      </c>
      <c r="I92" s="386">
        <f t="shared" si="33"/>
        <v>39.64</v>
      </c>
      <c r="J92" s="152">
        <f t="shared" si="34"/>
        <v>0.44876636797211944</v>
      </c>
      <c r="K92" s="152">
        <f t="shared" si="35"/>
        <v>1.3936843725842218</v>
      </c>
      <c r="L92" s="152">
        <f t="shared" si="36"/>
        <v>1.325097543224762</v>
      </c>
      <c r="M92" s="386">
        <f t="shared" si="43"/>
        <v>350</v>
      </c>
      <c r="N92" s="175">
        <f t="shared" si="37"/>
        <v>350</v>
      </c>
      <c r="O92" s="191">
        <f t="shared" si="38"/>
        <v>0.47160443995963675</v>
      </c>
      <c r="P92" s="153">
        <f t="shared" si="39"/>
        <v>1.3925327951564077</v>
      </c>
      <c r="Q92" s="153">
        <f t="shared" si="40"/>
        <v>0.11492681357240392</v>
      </c>
      <c r="R92" s="153">
        <f t="shared" si="41"/>
        <v>0.44291338582677164</v>
      </c>
    </row>
    <row r="93" spans="3:18" x14ac:dyDescent="0.25">
      <c r="C93" s="150">
        <v>87</v>
      </c>
      <c r="D93" s="5">
        <f t="shared" si="42"/>
        <v>19.439999999999998</v>
      </c>
      <c r="E93" s="386">
        <f t="shared" si="29"/>
        <v>20.32</v>
      </c>
      <c r="F93" s="191">
        <f t="shared" si="30"/>
        <v>0.51106639839034207</v>
      </c>
      <c r="G93" s="152">
        <f t="shared" si="31"/>
        <v>3.3531066398390341</v>
      </c>
      <c r="H93" s="191">
        <f t="shared" si="32"/>
        <v>0.16765533199195171</v>
      </c>
      <c r="I93" s="386">
        <f t="shared" si="33"/>
        <v>39.76</v>
      </c>
      <c r="J93" s="152">
        <f t="shared" si="34"/>
        <v>0.4473463450813504</v>
      </c>
      <c r="K93" s="152">
        <f t="shared" si="35"/>
        <v>1.3806985959300941</v>
      </c>
      <c r="L93" s="152">
        <f t="shared" si="36"/>
        <v>1.3209045622480819</v>
      </c>
      <c r="M93" s="386">
        <f t="shared" si="43"/>
        <v>350</v>
      </c>
      <c r="N93" s="175">
        <f t="shared" si="37"/>
        <v>350</v>
      </c>
      <c r="O93" s="191">
        <f t="shared" si="38"/>
        <v>0.47310146593848801</v>
      </c>
      <c r="P93" s="153">
        <f t="shared" si="39"/>
        <v>1.3969531474561654</v>
      </c>
      <c r="Q93" s="153">
        <f t="shared" si="40"/>
        <v>0.11565760183405692</v>
      </c>
      <c r="R93" s="153">
        <f t="shared" si="41"/>
        <v>0.44291338582677164</v>
      </c>
    </row>
    <row r="94" spans="3:18" x14ac:dyDescent="0.25">
      <c r="C94" s="150">
        <v>88</v>
      </c>
      <c r="D94" s="5">
        <f t="shared" si="42"/>
        <v>19.560000000000002</v>
      </c>
      <c r="E94" s="386">
        <f t="shared" si="29"/>
        <v>20.32</v>
      </c>
      <c r="F94" s="191">
        <f t="shared" si="30"/>
        <v>0.50952858575727178</v>
      </c>
      <c r="G94" s="152">
        <f t="shared" si="31"/>
        <v>3.3636529588766302</v>
      </c>
      <c r="H94" s="191">
        <f t="shared" si="32"/>
        <v>0.1681826479438315</v>
      </c>
      <c r="I94" s="386">
        <f t="shared" si="33"/>
        <v>39.880000000000003</v>
      </c>
      <c r="J94" s="152">
        <f t="shared" si="34"/>
        <v>0.44594374578433321</v>
      </c>
      <c r="K94" s="152">
        <f t="shared" si="35"/>
        <v>1.3679256005654392</v>
      </c>
      <c r="L94" s="152">
        <f t="shared" si="36"/>
        <v>1.3167630288907477</v>
      </c>
      <c r="M94" s="386">
        <f t="shared" si="43"/>
        <v>350</v>
      </c>
      <c r="N94" s="175">
        <f t="shared" si="37"/>
        <v>350</v>
      </c>
      <c r="O94" s="191">
        <f t="shared" si="38"/>
        <v>0.47458948273391605</v>
      </c>
      <c r="P94" s="153">
        <f t="shared" si="39"/>
        <v>1.4013468978363663</v>
      </c>
      <c r="Q94" s="153">
        <f t="shared" si="40"/>
        <v>0.11638628739061431</v>
      </c>
      <c r="R94" s="153">
        <f t="shared" si="41"/>
        <v>0.44291338582677164</v>
      </c>
    </row>
    <row r="95" spans="3:18" x14ac:dyDescent="0.25">
      <c r="C95" s="150">
        <v>89</v>
      </c>
      <c r="D95" s="5">
        <f t="shared" si="42"/>
        <v>19.68</v>
      </c>
      <c r="E95" s="386">
        <f t="shared" si="29"/>
        <v>20.32</v>
      </c>
      <c r="F95" s="191">
        <f t="shared" si="30"/>
        <v>0.50800000000000001</v>
      </c>
      <c r="G95" s="152">
        <f t="shared" si="31"/>
        <v>3.374136</v>
      </c>
      <c r="H95" s="191">
        <f t="shared" si="32"/>
        <v>0.16870679999999999</v>
      </c>
      <c r="I95" s="386">
        <f t="shared" si="33"/>
        <v>40</v>
      </c>
      <c r="J95" s="152">
        <f t="shared" si="34"/>
        <v>0.44455825135679183</v>
      </c>
      <c r="K95" s="152">
        <f t="shared" si="35"/>
        <v>1.3553605224292433</v>
      </c>
      <c r="L95" s="152">
        <f t="shared" si="36"/>
        <v>1.3126720020377711</v>
      </c>
      <c r="M95" s="386">
        <f t="shared" si="43"/>
        <v>350</v>
      </c>
      <c r="N95" s="175">
        <f t="shared" si="37"/>
        <v>350</v>
      </c>
      <c r="O95" s="191">
        <f t="shared" si="38"/>
        <v>0.47606857142857145</v>
      </c>
      <c r="P95" s="153">
        <f t="shared" si="39"/>
        <v>1.4057142857142857</v>
      </c>
      <c r="Q95" s="153">
        <f t="shared" si="40"/>
        <v>0.11711286857142858</v>
      </c>
      <c r="R95" s="153">
        <f t="shared" si="41"/>
        <v>0.44291338582677164</v>
      </c>
    </row>
    <row r="96" spans="3:18" x14ac:dyDescent="0.25">
      <c r="C96" s="150">
        <v>90</v>
      </c>
      <c r="D96" s="5">
        <f t="shared" si="42"/>
        <v>19.8</v>
      </c>
      <c r="E96" s="386">
        <f t="shared" si="29"/>
        <v>20.32</v>
      </c>
      <c r="F96" s="191">
        <f t="shared" si="30"/>
        <v>0.50648055832502492</v>
      </c>
      <c r="G96" s="152">
        <f t="shared" si="31"/>
        <v>3.3845563310069791</v>
      </c>
      <c r="H96" s="191">
        <f t="shared" si="32"/>
        <v>0.16922781655034896</v>
      </c>
      <c r="I96" s="386">
        <f t="shared" si="33"/>
        <v>40.120000000000005</v>
      </c>
      <c r="J96" s="152">
        <f t="shared" si="34"/>
        <v>0.44318955080109934</v>
      </c>
      <c r="K96" s="152">
        <f t="shared" si="35"/>
        <v>1.3429986387912101</v>
      </c>
      <c r="L96" s="152">
        <f t="shared" si="36"/>
        <v>1.3086305633890729</v>
      </c>
      <c r="M96" s="386">
        <f t="shared" si="43"/>
        <v>350</v>
      </c>
      <c r="N96" s="175">
        <f t="shared" si="37"/>
        <v>350</v>
      </c>
      <c r="O96" s="191">
        <f t="shared" si="38"/>
        <v>0.47753881213502353</v>
      </c>
      <c r="P96" s="153">
        <f t="shared" si="39"/>
        <v>1.4100555476427861</v>
      </c>
      <c r="Q96" s="153">
        <f t="shared" si="40"/>
        <v>0.11783734397150383</v>
      </c>
      <c r="R96" s="153">
        <f t="shared" si="41"/>
        <v>0.44291338582677164</v>
      </c>
    </row>
    <row r="97" spans="3:18" x14ac:dyDescent="0.25">
      <c r="C97" s="150">
        <v>91</v>
      </c>
      <c r="D97" s="5">
        <f t="shared" si="42"/>
        <v>19.920000000000002</v>
      </c>
      <c r="E97" s="386">
        <f t="shared" si="29"/>
        <v>20.32</v>
      </c>
      <c r="F97" s="191">
        <f t="shared" si="30"/>
        <v>0.50497017892644136</v>
      </c>
      <c r="G97" s="152">
        <f t="shared" si="31"/>
        <v>3.3949145129224654</v>
      </c>
      <c r="H97" s="191">
        <f t="shared" si="32"/>
        <v>0.16974572564612328</v>
      </c>
      <c r="I97" s="386">
        <f t="shared" si="33"/>
        <v>40.24</v>
      </c>
      <c r="J97" s="152">
        <f t="shared" si="34"/>
        <v>0.44183734061354774</v>
      </c>
      <c r="K97" s="152">
        <f t="shared" si="35"/>
        <v>1.3308353632938184</v>
      </c>
      <c r="L97" s="152">
        <f t="shared" si="36"/>
        <v>1.3046378167722867</v>
      </c>
      <c r="M97" s="386">
        <f t="shared" si="43"/>
        <v>350</v>
      </c>
      <c r="N97" s="175">
        <f t="shared" si="37"/>
        <v>350</v>
      </c>
      <c r="O97" s="191">
        <f t="shared" si="38"/>
        <v>0.47900028401022443</v>
      </c>
      <c r="P97" s="153">
        <f t="shared" si="39"/>
        <v>1.414370917353025</v>
      </c>
      <c r="Q97" s="153">
        <f t="shared" si="40"/>
        <v>0.11855971244388262</v>
      </c>
      <c r="R97" s="153">
        <f t="shared" si="41"/>
        <v>0.44291338582677164</v>
      </c>
    </row>
    <row r="98" spans="3:18" x14ac:dyDescent="0.25">
      <c r="C98" s="150">
        <v>92</v>
      </c>
      <c r="D98" s="5">
        <f t="shared" si="42"/>
        <v>20.04</v>
      </c>
      <c r="E98" s="386">
        <f t="shared" si="29"/>
        <v>20.32</v>
      </c>
      <c r="F98" s="191">
        <f t="shared" si="30"/>
        <v>0.50346878097125869</v>
      </c>
      <c r="G98" s="152">
        <f t="shared" si="31"/>
        <v>3.4052111000991081</v>
      </c>
      <c r="H98" s="191">
        <f t="shared" si="32"/>
        <v>0.17026055500495541</v>
      </c>
      <c r="I98" s="386">
        <f t="shared" si="33"/>
        <v>40.36</v>
      </c>
      <c r="J98" s="152">
        <f t="shared" si="34"/>
        <v>0.44050132455997881</v>
      </c>
      <c r="K98" s="152">
        <f t="shared" si="35"/>
        <v>1.3188662411975414</v>
      </c>
      <c r="L98" s="152">
        <f t="shared" si="36"/>
        <v>1.3006928874802524</v>
      </c>
      <c r="M98" s="386">
        <f t="shared" si="43"/>
        <v>350</v>
      </c>
      <c r="N98" s="175">
        <f t="shared" si="37"/>
        <v>350</v>
      </c>
      <c r="O98" s="191">
        <f t="shared" si="38"/>
        <v>0.48045306526971543</v>
      </c>
      <c r="P98" s="153">
        <f t="shared" si="39"/>
        <v>1.4186606257964038</v>
      </c>
      <c r="Q98" s="153">
        <f t="shared" si="40"/>
        <v>0.11927997309223362</v>
      </c>
      <c r="R98" s="153">
        <f t="shared" si="41"/>
        <v>0.44291338582677164</v>
      </c>
    </row>
    <row r="99" spans="3:18" x14ac:dyDescent="0.25">
      <c r="C99" s="150">
        <v>93</v>
      </c>
      <c r="D99" s="5">
        <f t="shared" si="42"/>
        <v>20.16</v>
      </c>
      <c r="E99" s="386">
        <f t="shared" si="29"/>
        <v>20.32</v>
      </c>
      <c r="F99" s="191">
        <f t="shared" si="30"/>
        <v>0.50197628458498023</v>
      </c>
      <c r="G99" s="152">
        <f t="shared" si="31"/>
        <v>3.4154466403162052</v>
      </c>
      <c r="H99" s="191">
        <f t="shared" si="32"/>
        <v>0.17077233201581027</v>
      </c>
      <c r="I99" s="386">
        <f t="shared" si="33"/>
        <v>40.480000000000004</v>
      </c>
      <c r="J99" s="152">
        <f t="shared" si="34"/>
        <v>0.43918121345942862</v>
      </c>
      <c r="K99" s="152">
        <f t="shared" si="35"/>
        <v>1.307086944819728</v>
      </c>
      <c r="L99" s="152">
        <f t="shared" si="36"/>
        <v>1.296794921632171</v>
      </c>
      <c r="M99" s="386">
        <f t="shared" si="43"/>
        <v>350</v>
      </c>
      <c r="N99" s="175">
        <f t="shared" si="37"/>
        <v>350</v>
      </c>
      <c r="O99" s="191">
        <f t="shared" si="38"/>
        <v>0.48189723320158107</v>
      </c>
      <c r="P99" s="153">
        <f t="shared" si="39"/>
        <v>1.422924901185771</v>
      </c>
      <c r="Q99" s="153">
        <f t="shared" si="40"/>
        <v>0.11999812526363482</v>
      </c>
      <c r="R99" s="153">
        <f t="shared" si="41"/>
        <v>0.44291338582677164</v>
      </c>
    </row>
    <row r="100" spans="3:18" x14ac:dyDescent="0.25">
      <c r="C100" s="150">
        <v>94</v>
      </c>
      <c r="D100" s="5">
        <f t="shared" si="42"/>
        <v>20.28</v>
      </c>
      <c r="E100" s="386">
        <f t="shared" si="29"/>
        <v>20.32</v>
      </c>
      <c r="F100" s="191">
        <f t="shared" si="30"/>
        <v>0.50049261083743846</v>
      </c>
      <c r="G100" s="152">
        <f t="shared" si="31"/>
        <v>3.4256216748768478</v>
      </c>
      <c r="H100" s="191">
        <f t="shared" si="32"/>
        <v>0.17128108374384238</v>
      </c>
      <c r="I100" s="386">
        <f t="shared" si="33"/>
        <v>40.6</v>
      </c>
      <c r="J100" s="152">
        <f t="shared" si="34"/>
        <v>0.43787672497545294</v>
      </c>
      <c r="K100" s="152">
        <f t="shared" si="35"/>
        <v>1.2954932691581447</v>
      </c>
      <c r="L100" s="152">
        <f t="shared" si="36"/>
        <v>1.2929430855574395</v>
      </c>
      <c r="M100" s="386">
        <f t="shared" si="43"/>
        <v>350</v>
      </c>
      <c r="N100" s="175">
        <f t="shared" si="37"/>
        <v>350</v>
      </c>
      <c r="O100" s="191">
        <f t="shared" si="38"/>
        <v>0.48333286418015481</v>
      </c>
      <c r="P100" s="153">
        <f t="shared" si="39"/>
        <v>1.4271639690358902</v>
      </c>
      <c r="Q100" s="153">
        <f t="shared" si="40"/>
        <v>0.12071416854154605</v>
      </c>
      <c r="R100" s="153">
        <f t="shared" si="41"/>
        <v>0.44291338582677164</v>
      </c>
    </row>
    <row r="101" spans="3:18" x14ac:dyDescent="0.25">
      <c r="C101" s="150">
        <v>95</v>
      </c>
      <c r="D101" s="5">
        <f t="shared" si="42"/>
        <v>20.399999999999999</v>
      </c>
      <c r="E101" s="386">
        <f t="shared" si="29"/>
        <v>20.32</v>
      </c>
      <c r="F101" s="191">
        <f t="shared" si="30"/>
        <v>0.49901768172888017</v>
      </c>
      <c r="G101" s="152">
        <f t="shared" si="31"/>
        <v>3.4357367387033402</v>
      </c>
      <c r="H101" s="191">
        <f t="shared" si="32"/>
        <v>0.171786836935167</v>
      </c>
      <c r="I101" s="386">
        <f t="shared" si="33"/>
        <v>40.72</v>
      </c>
      <c r="J101" s="152">
        <f t="shared" si="34"/>
        <v>0.43658758341481818</v>
      </c>
      <c r="K101" s="152">
        <f t="shared" si="35"/>
        <v>1.2840811276906419</v>
      </c>
      <c r="L101" s="152">
        <f t="shared" si="36"/>
        <v>1.2891365652012348</v>
      </c>
      <c r="M101" s="386">
        <f t="shared" si="43"/>
        <v>350</v>
      </c>
      <c r="N101" s="175">
        <f t="shared" si="37"/>
        <v>350</v>
      </c>
      <c r="O101" s="191">
        <f t="shared" si="38"/>
        <v>0.48476003367948362</v>
      </c>
      <c r="P101" s="153">
        <f t="shared" si="39"/>
        <v>1.4313780522031996</v>
      </c>
      <c r="Q101" s="153">
        <f t="shared" si="40"/>
        <v>0.12142810273896691</v>
      </c>
      <c r="R101" s="153">
        <f t="shared" si="41"/>
        <v>0.44291338582677164</v>
      </c>
    </row>
    <row r="102" spans="3:18" x14ac:dyDescent="0.25">
      <c r="C102" s="150">
        <v>96</v>
      </c>
      <c r="D102" s="5">
        <f t="shared" si="42"/>
        <v>20.52</v>
      </c>
      <c r="E102" s="386">
        <f t="shared" si="29"/>
        <v>20.32</v>
      </c>
      <c r="F102" s="191">
        <f t="shared" si="30"/>
        <v>0.49755142017629772</v>
      </c>
      <c r="G102" s="152">
        <f t="shared" ref="G102:G106" si="44">F102*D102*Isw_max*0.5*Efficiency</f>
        <v>3.4457923604309499</v>
      </c>
      <c r="H102" s="191">
        <f t="shared" ref="H102:H106" si="45">G102/Vout</f>
        <v>0.17228961802154749</v>
      </c>
      <c r="I102" s="386">
        <f t="shared" si="33"/>
        <v>40.840000000000003</v>
      </c>
      <c r="J102" s="152">
        <f t="shared" si="34"/>
        <v>0.4353135195332552</v>
      </c>
      <c r="K102" s="152">
        <f t="shared" ref="K102:K106" si="46">L*J102/D102*1000000</f>
        <v>1.2728465483428517</v>
      </c>
      <c r="L102" s="152">
        <f t="shared" si="36"/>
        <v>1.2853745655509505</v>
      </c>
      <c r="M102" s="386">
        <f t="shared" si="43"/>
        <v>350</v>
      </c>
      <c r="N102" s="175">
        <f t="shared" si="37"/>
        <v>350</v>
      </c>
      <c r="O102" s="191">
        <f t="shared" ref="O102:O106" si="47">1/((N102*1000*L)*(1/D102+1/E102))</f>
        <v>0.48617881628655385</v>
      </c>
      <c r="P102" s="153">
        <f t="shared" ref="P102:P106" si="48">L*O102/E102*1000000</f>
        <v>1.4355673709248638</v>
      </c>
      <c r="Q102" s="153">
        <f t="shared" ref="Q102:Q106" si="49">0.5*P102*O102*Nps*N102/1000</f>
        <v>0.12213992789177383</v>
      </c>
      <c r="R102" s="153">
        <f t="shared" si="41"/>
        <v>0.44291338582677164</v>
      </c>
    </row>
    <row r="103" spans="3:18" x14ac:dyDescent="0.25">
      <c r="C103" s="150">
        <v>97</v>
      </c>
      <c r="D103" s="5">
        <f t="shared" ref="D103:D106" si="50">C103/100*(VIN_max-VIN_min)+VIN_min</f>
        <v>20.64</v>
      </c>
      <c r="E103" s="386">
        <f t="shared" si="29"/>
        <v>20.32</v>
      </c>
      <c r="F103" s="191">
        <f t="shared" si="30"/>
        <v>0.49609375</v>
      </c>
      <c r="G103" s="152">
        <f t="shared" si="44"/>
        <v>3.4557890625000001</v>
      </c>
      <c r="H103" s="191">
        <f t="shared" si="45"/>
        <v>0.17278945312499999</v>
      </c>
      <c r="I103" s="386">
        <f t="shared" si="33"/>
        <v>40.96</v>
      </c>
      <c r="J103" s="152">
        <f t="shared" si="34"/>
        <v>0.43405427034798943</v>
      </c>
      <c r="K103" s="152">
        <f t="shared" si="46"/>
        <v>1.2617856696162484</v>
      </c>
      <c r="L103" s="152">
        <f t="shared" si="36"/>
        <v>1.2816563100826459</v>
      </c>
      <c r="M103" s="386">
        <f t="shared" si="43"/>
        <v>350</v>
      </c>
      <c r="N103" s="175">
        <f t="shared" si="37"/>
        <v>350</v>
      </c>
      <c r="O103" s="191">
        <f t="shared" si="47"/>
        <v>0.48758928571428573</v>
      </c>
      <c r="P103" s="153">
        <f t="shared" si="48"/>
        <v>1.439732142857143</v>
      </c>
      <c r="Q103" s="153">
        <f t="shared" si="49"/>
        <v>0.12284964425223217</v>
      </c>
      <c r="R103" s="153">
        <f t="shared" si="41"/>
        <v>0.44291338582677164</v>
      </c>
    </row>
    <row r="104" spans="3:18" x14ac:dyDescent="0.25">
      <c r="C104" s="150">
        <v>98</v>
      </c>
      <c r="D104" s="5">
        <f t="shared" si="50"/>
        <v>20.759999999999998</v>
      </c>
      <c r="E104" s="386">
        <f t="shared" si="29"/>
        <v>20.32</v>
      </c>
      <c r="F104" s="191">
        <f t="shared" si="30"/>
        <v>0.49464459591041871</v>
      </c>
      <c r="G104" s="152">
        <f t="shared" si="44"/>
        <v>3.4657273612463486</v>
      </c>
      <c r="H104" s="191">
        <f t="shared" si="45"/>
        <v>0.17328636806231743</v>
      </c>
      <c r="I104" s="386">
        <f t="shared" si="33"/>
        <v>41.08</v>
      </c>
      <c r="J104" s="152">
        <f t="shared" si="34"/>
        <v>0.43280957895677308</v>
      </c>
      <c r="K104" s="152">
        <f t="shared" si="46"/>
        <v>1.2508947368692866</v>
      </c>
      <c r="L104" s="152">
        <f t="shared" si="36"/>
        <v>1.2779810402266922</v>
      </c>
      <c r="M104" s="386">
        <f t="shared" si="43"/>
        <v>350</v>
      </c>
      <c r="N104" s="175">
        <f t="shared" si="37"/>
        <v>350</v>
      </c>
      <c r="O104" s="191">
        <f t="shared" si="47"/>
        <v>0.4889915148142997</v>
      </c>
      <c r="P104" s="153">
        <f t="shared" si="48"/>
        <v>1.4438725831130896</v>
      </c>
      <c r="Q104" s="153">
        <f t="shared" si="49"/>
        <v>0.12355725228267847</v>
      </c>
      <c r="R104" s="153">
        <f t="shared" si="41"/>
        <v>0.44291338582677164</v>
      </c>
    </row>
    <row r="105" spans="3:18" x14ac:dyDescent="0.25">
      <c r="C105" s="150">
        <v>99</v>
      </c>
      <c r="D105" s="5">
        <f t="shared" si="50"/>
        <v>20.88</v>
      </c>
      <c r="E105" s="386">
        <f t="shared" si="29"/>
        <v>20.32</v>
      </c>
      <c r="F105" s="191">
        <f t="shared" si="30"/>
        <v>0.4932038834951456</v>
      </c>
      <c r="G105" s="152">
        <f t="shared" si="44"/>
        <v>3.4756077669902909</v>
      </c>
      <c r="H105" s="191">
        <f t="shared" si="45"/>
        <v>0.17378038834951454</v>
      </c>
      <c r="I105" s="386">
        <f t="shared" si="33"/>
        <v>41.2</v>
      </c>
      <c r="J105" s="152">
        <f t="shared" si="34"/>
        <v>0.43157919436315678</v>
      </c>
      <c r="K105" s="152">
        <f t="shared" si="46"/>
        <v>1.2401700987447035</v>
      </c>
      <c r="L105" s="152">
        <f t="shared" si="36"/>
        <v>1.2743480148518409</v>
      </c>
      <c r="M105" s="386">
        <f t="shared" si="43"/>
        <v>350</v>
      </c>
      <c r="N105" s="175">
        <f t="shared" si="37"/>
        <v>350</v>
      </c>
      <c r="O105" s="191">
        <f t="shared" si="47"/>
        <v>0.49038557558945917</v>
      </c>
      <c r="P105" s="153">
        <f t="shared" si="48"/>
        <v>1.4479889042995839</v>
      </c>
      <c r="Q105" s="153">
        <f t="shared" si="49"/>
        <v>0.12426275264936781</v>
      </c>
      <c r="R105" s="153">
        <f t="shared" si="41"/>
        <v>0.44291338582677164</v>
      </c>
    </row>
    <row r="106" spans="3:18" x14ac:dyDescent="0.25">
      <c r="C106" s="150">
        <v>100</v>
      </c>
      <c r="D106" s="5">
        <f t="shared" si="50"/>
        <v>21</v>
      </c>
      <c r="E106" s="386">
        <f t="shared" si="29"/>
        <v>20.32</v>
      </c>
      <c r="F106" s="191">
        <f t="shared" si="30"/>
        <v>0.49177153920619554</v>
      </c>
      <c r="G106" s="152">
        <f t="shared" si="44"/>
        <v>3.4854307841239107</v>
      </c>
      <c r="H106" s="191">
        <f t="shared" si="45"/>
        <v>0.17427153920619554</v>
      </c>
      <c r="I106" s="386">
        <f t="shared" si="33"/>
        <v>41.32</v>
      </c>
      <c r="J106" s="152">
        <f t="shared" si="34"/>
        <v>0.43036287130775319</v>
      </c>
      <c r="K106" s="152">
        <f t="shared" si="46"/>
        <v>1.2296082037364378</v>
      </c>
      <c r="L106" s="152">
        <f t="shared" si="36"/>
        <v>1.2707565097669877</v>
      </c>
      <c r="M106" s="386">
        <f t="shared" si="43"/>
        <v>350</v>
      </c>
      <c r="N106" s="175">
        <f t="shared" si="37"/>
        <v>350</v>
      </c>
      <c r="O106" s="191">
        <f t="shared" si="47"/>
        <v>0.49177153920619554</v>
      </c>
      <c r="P106" s="153">
        <f t="shared" si="48"/>
        <v>1.452081316553727</v>
      </c>
      <c r="Q106" s="153">
        <f t="shared" si="49"/>
        <v>0.1249661462164824</v>
      </c>
      <c r="R106" s="153">
        <f t="shared" si="41"/>
        <v>0.44291338582677164</v>
      </c>
    </row>
  </sheetData>
  <mergeCells count="1">
    <mergeCell ref="F4:O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CC133"/>
  <sheetViews>
    <sheetView showWhiteSpace="0" zoomScale="85" zoomScaleNormal="85" workbookViewId="0">
      <pane ySplit="5" topLeftCell="A6" activePane="bottomLeft" state="frozen"/>
      <selection pane="bottomLeft" activeCell="E31" sqref="E31"/>
    </sheetView>
  </sheetViews>
  <sheetFormatPr defaultColWidth="9.33203125" defaultRowHeight="13.2" x14ac:dyDescent="0.25"/>
  <cols>
    <col min="1" max="1" width="15.6640625" style="150" customWidth="1"/>
    <col min="2" max="2" width="11.5546875" style="150" customWidth="1"/>
    <col min="3" max="3" width="9.33203125" style="150"/>
    <col min="4" max="4" width="12.44140625" style="150" bestFit="1" customWidth="1"/>
    <col min="5" max="5" width="51.44140625" style="150" customWidth="1"/>
    <col min="6" max="6" width="13.44140625" style="150" customWidth="1"/>
    <col min="7" max="7" width="10" style="150" customWidth="1"/>
    <col min="8" max="8" width="6.6640625" style="150" customWidth="1"/>
    <col min="9" max="9" width="12.44140625" style="150" bestFit="1" customWidth="1"/>
    <col min="10" max="10" width="9.33203125" style="190" customWidth="1"/>
    <col min="11" max="11" width="8.6640625"/>
    <col min="13" max="13" width="10.6640625" customWidth="1"/>
    <col min="14" max="14" width="12" style="150" customWidth="1"/>
    <col min="15" max="15" width="12.6640625" style="190" customWidth="1"/>
    <col min="16" max="16" width="11.44140625" style="190" customWidth="1"/>
    <col min="17" max="17" width="12.44140625" style="190" customWidth="1"/>
    <col min="18" max="19" width="10.5546875" style="175" customWidth="1"/>
    <col min="20" max="20" width="10" style="175" customWidth="1"/>
    <col min="21" max="21" width="10.5546875" style="175" customWidth="1"/>
    <col min="22" max="22" width="8.44140625" style="190" customWidth="1"/>
    <col min="23" max="23" width="9.33203125" style="190" customWidth="1"/>
    <col min="24" max="24" width="9.44140625" style="150" customWidth="1"/>
    <col min="25" max="25" width="9.44140625" style="190" customWidth="1"/>
    <col min="26" max="26" width="8.33203125" style="191" customWidth="1"/>
    <col min="27" max="27" width="9.5546875" style="190" customWidth="1"/>
    <col min="28" max="28" width="9.44140625" style="190" bestFit="1" customWidth="1"/>
    <col min="29" max="29" width="8.5546875" style="190" customWidth="1"/>
    <col min="30" max="30" width="9.6640625" style="192" customWidth="1"/>
    <col min="31" max="31" width="9.33203125" style="192" customWidth="1"/>
    <col min="32" max="32" width="8.33203125" style="190" customWidth="1"/>
    <col min="33" max="33" width="10.33203125" style="190" customWidth="1"/>
    <col min="34" max="34" width="9.44140625" style="190" customWidth="1"/>
    <col min="35" max="35" width="8.6640625"/>
    <col min="36" max="36" width="9.6640625" style="190" customWidth="1"/>
    <col min="37" max="37" width="11.5546875" style="190" customWidth="1"/>
    <col min="38" max="38" width="10.33203125" style="190" customWidth="1"/>
    <col min="39" max="39" width="11.33203125" style="190" customWidth="1"/>
    <col min="40" max="40" width="9.33203125" style="190"/>
    <col min="41" max="41" width="10.33203125" style="190" customWidth="1"/>
    <col min="42" max="43" width="9.6640625" style="190" customWidth="1"/>
    <col min="44" max="45" width="10.33203125" style="190" customWidth="1"/>
    <col min="46" max="46" width="10.44140625" style="190" customWidth="1"/>
    <col min="47" max="47" width="11.33203125" style="190" customWidth="1"/>
    <col min="48" max="48" width="11.6640625" style="190" customWidth="1"/>
    <col min="49" max="49" width="10.44140625" style="190" customWidth="1"/>
    <col min="50" max="50" width="11.44140625" style="190" customWidth="1"/>
    <col min="51" max="51" width="10.33203125" style="190" customWidth="1"/>
    <col min="52" max="52" width="10" style="152" bestFit="1" customWidth="1"/>
    <col min="53" max="55" width="12.6640625" style="299" customWidth="1"/>
    <col min="56" max="56" width="14" style="299" customWidth="1"/>
    <col min="57" max="57" width="12.6640625" style="299" customWidth="1"/>
    <col min="58" max="58" width="10.44140625" style="299" customWidth="1"/>
    <col min="59" max="59" width="9" style="299" customWidth="1"/>
    <col min="60" max="60" width="8.6640625" style="299" customWidth="1"/>
    <col min="61" max="61" width="10.6640625" style="299" customWidth="1"/>
    <col min="62" max="62" width="11.33203125" style="299" customWidth="1"/>
    <col min="63" max="64" width="9.33203125" style="299"/>
    <col min="65" max="65" width="8.6640625" style="152" customWidth="1"/>
    <col min="66" max="66" width="9.33203125" style="191"/>
    <col min="67" max="67" width="12.5546875" style="150" customWidth="1"/>
    <col min="68" max="68" width="13.5546875" style="152" customWidth="1"/>
    <col min="69" max="69" width="12.6640625" style="175" customWidth="1"/>
    <col min="70" max="70" width="3.6640625" style="150" customWidth="1"/>
    <col min="71" max="71" width="12.44140625" style="150" bestFit="1" customWidth="1"/>
    <col min="72" max="72" width="3.5546875" style="150" customWidth="1"/>
    <col min="73" max="73" width="9.33203125" style="152"/>
    <col min="74" max="74" width="11.33203125" style="152" customWidth="1"/>
    <col min="75" max="75" width="9.33203125" style="152"/>
    <col min="76" max="76" width="4.6640625" style="150" customWidth="1"/>
    <col min="77" max="77" width="3.6640625" style="150" customWidth="1"/>
    <col min="78" max="78" width="12.44140625" style="150" customWidth="1"/>
    <col min="79" max="79" width="11.6640625" style="150" customWidth="1"/>
    <col min="80" max="80" width="11.5546875" style="150" customWidth="1"/>
    <col min="81" max="81" width="11.6640625" style="150" customWidth="1"/>
    <col min="82" max="82" width="9.33203125" style="150"/>
    <col min="83" max="83" width="9.33203125" style="150" customWidth="1"/>
    <col min="84" max="16384" width="9.33203125" style="150"/>
  </cols>
  <sheetData>
    <row r="1" spans="1:81" x14ac:dyDescent="0.25">
      <c r="A1" s="732" t="s">
        <v>515</v>
      </c>
      <c r="B1" s="732"/>
      <c r="C1" s="732"/>
      <c r="D1" s="732"/>
      <c r="E1" s="732"/>
    </row>
    <row r="2" spans="1:81" ht="15.6" x14ac:dyDescent="0.25">
      <c r="A2" s="732"/>
      <c r="B2" s="732"/>
      <c r="C2" s="732"/>
      <c r="D2" s="732"/>
      <c r="E2" s="732"/>
      <c r="G2" s="733" t="s">
        <v>22</v>
      </c>
      <c r="H2" s="733"/>
      <c r="AF2" s="190">
        <v>1.9257738538542499E-2</v>
      </c>
      <c r="AG2" s="190">
        <v>7.417209872377299E-4</v>
      </c>
      <c r="AH2" s="190">
        <v>1.2403450565440797E-3</v>
      </c>
      <c r="AI2">
        <v>20</v>
      </c>
      <c r="AJ2" s="190">
        <v>7.1523178807947021</v>
      </c>
      <c r="AK2" s="190">
        <v>0</v>
      </c>
      <c r="AL2" s="190">
        <v>8.3629954314142624E-4</v>
      </c>
      <c r="AM2" s="190">
        <v>1.5780205303791562E-3</v>
      </c>
      <c r="AO2" s="240" t="e">
        <f>Ifb</f>
        <v>#NAME?</v>
      </c>
    </row>
    <row r="3" spans="1:81" ht="13.8" thickBot="1" x14ac:dyDescent="0.3">
      <c r="A3" s="732"/>
      <c r="B3" s="732"/>
      <c r="C3" s="732"/>
      <c r="D3" s="732"/>
      <c r="E3" s="732"/>
    </row>
    <row r="4" spans="1:81" ht="13.8" thickBot="1" x14ac:dyDescent="0.3">
      <c r="A4" s="734"/>
      <c r="B4" s="734"/>
      <c r="C4" s="734"/>
      <c r="D4" s="734"/>
      <c r="E4" s="734"/>
      <c r="H4" s="194" t="s">
        <v>23</v>
      </c>
      <c r="I4" s="195"/>
      <c r="J4" s="196"/>
      <c r="K4" s="735" t="s">
        <v>189</v>
      </c>
      <c r="L4" s="728"/>
      <c r="M4" s="729"/>
      <c r="N4" s="729"/>
      <c r="O4" s="729"/>
      <c r="P4" s="728"/>
      <c r="Q4" s="728"/>
      <c r="R4" s="729"/>
      <c r="S4" s="729"/>
      <c r="T4" s="729"/>
      <c r="U4" s="731"/>
      <c r="V4" s="197" t="s">
        <v>190</v>
      </c>
      <c r="W4" s="198"/>
      <c r="X4" s="199"/>
      <c r="Y4" s="200"/>
      <c r="Z4" s="201" t="s">
        <v>14</v>
      </c>
      <c r="AA4" s="202"/>
      <c r="AB4" s="196"/>
      <c r="AC4" s="197" t="s">
        <v>28</v>
      </c>
      <c r="AD4" s="203"/>
      <c r="AE4" s="204"/>
      <c r="AF4" s="197" t="s">
        <v>191</v>
      </c>
      <c r="AG4" s="198"/>
      <c r="AH4" s="198"/>
      <c r="AI4" s="385"/>
      <c r="AJ4" s="385"/>
      <c r="AK4" s="198"/>
      <c r="AL4" s="198"/>
      <c r="AM4" s="196"/>
      <c r="AN4" s="205" t="s">
        <v>192</v>
      </c>
      <c r="AO4" s="206"/>
      <c r="AP4" s="206"/>
      <c r="AQ4" s="205" t="s">
        <v>193</v>
      </c>
      <c r="AR4" s="393"/>
      <c r="AS4" s="393"/>
      <c r="AT4" s="206"/>
      <c r="AU4" s="207"/>
      <c r="AV4" s="208"/>
      <c r="AW4" s="209"/>
      <c r="AX4" s="197" t="s">
        <v>179</v>
      </c>
      <c r="AY4" s="198"/>
      <c r="AZ4" s="199"/>
      <c r="BA4" s="300"/>
      <c r="BB4" s="300"/>
      <c r="BC4" s="300"/>
      <c r="BD4" s="300"/>
      <c r="BE4" s="300"/>
      <c r="BF4" s="300"/>
      <c r="BG4" s="300"/>
      <c r="BH4" s="300"/>
      <c r="BI4" s="300"/>
      <c r="BJ4" s="300"/>
      <c r="BK4" s="300"/>
      <c r="BL4" s="300"/>
      <c r="BM4" s="293"/>
      <c r="BN4" s="297"/>
      <c r="BO4" s="199"/>
      <c r="BP4" s="295"/>
      <c r="BQ4" s="390"/>
      <c r="BR4" s="391"/>
      <c r="BS4" s="391"/>
      <c r="BT4" s="391"/>
      <c r="BU4" s="391"/>
      <c r="BV4" s="391"/>
      <c r="BW4" s="391"/>
      <c r="BX4" s="391"/>
      <c r="BY4" s="391"/>
      <c r="BZ4" s="391"/>
      <c r="CA4" s="391"/>
      <c r="CB4" s="391"/>
      <c r="CC4" s="392"/>
    </row>
    <row r="5" spans="1:81" ht="78" customHeight="1" thickBot="1" x14ac:dyDescent="0.55000000000000004">
      <c r="A5" s="210" t="s">
        <v>42</v>
      </c>
      <c r="B5" s="211"/>
      <c r="C5" s="211"/>
      <c r="D5" s="212"/>
      <c r="E5" s="213"/>
      <c r="H5" s="214" t="s">
        <v>25</v>
      </c>
      <c r="I5" s="215" t="s">
        <v>194</v>
      </c>
      <c r="J5" s="216" t="s">
        <v>195</v>
      </c>
      <c r="K5" s="224" t="s">
        <v>323</v>
      </c>
      <c r="L5" s="217" t="s">
        <v>48</v>
      </c>
      <c r="M5" s="217" t="s">
        <v>324</v>
      </c>
      <c r="N5" s="387" t="s">
        <v>196</v>
      </c>
      <c r="O5" s="460" t="s">
        <v>411</v>
      </c>
      <c r="P5" s="460" t="s">
        <v>412</v>
      </c>
      <c r="Q5" s="460" t="s">
        <v>413</v>
      </c>
      <c r="R5" s="218" t="s">
        <v>197</v>
      </c>
      <c r="S5" s="219" t="s">
        <v>198</v>
      </c>
      <c r="T5" s="219" t="s">
        <v>199</v>
      </c>
      <c r="U5" s="218" t="s">
        <v>328</v>
      </c>
      <c r="V5" s="220" t="s">
        <v>200</v>
      </c>
      <c r="W5" s="217" t="s">
        <v>201</v>
      </c>
      <c r="X5" s="215" t="s">
        <v>202</v>
      </c>
      <c r="Y5" s="216" t="s">
        <v>203</v>
      </c>
      <c r="Z5" s="221" t="s">
        <v>200</v>
      </c>
      <c r="AA5" s="217" t="s">
        <v>204</v>
      </c>
      <c r="AB5" s="216" t="s">
        <v>205</v>
      </c>
      <c r="AC5" s="220" t="s">
        <v>200</v>
      </c>
      <c r="AD5" s="222" t="s">
        <v>206</v>
      </c>
      <c r="AE5" s="223" t="s">
        <v>207</v>
      </c>
      <c r="AF5" s="220" t="s">
        <v>200</v>
      </c>
      <c r="AG5" s="217" t="s">
        <v>208</v>
      </c>
      <c r="AH5" s="217" t="s">
        <v>209</v>
      </c>
      <c r="AI5" s="217" t="s">
        <v>325</v>
      </c>
      <c r="AJ5" s="217" t="s">
        <v>322</v>
      </c>
      <c r="AK5" s="217" t="s">
        <v>210</v>
      </c>
      <c r="AL5" s="224" t="s">
        <v>211</v>
      </c>
      <c r="AM5" s="216" t="s">
        <v>212</v>
      </c>
      <c r="AN5" s="225" t="s">
        <v>200</v>
      </c>
      <c r="AO5" s="226" t="s">
        <v>213</v>
      </c>
      <c r="AP5" s="226" t="s">
        <v>214</v>
      </c>
      <c r="AQ5" s="226" t="s">
        <v>215</v>
      </c>
      <c r="AR5" s="226" t="s">
        <v>216</v>
      </c>
      <c r="AS5" s="227" t="s">
        <v>217</v>
      </c>
      <c r="AT5" s="225" t="s">
        <v>218</v>
      </c>
      <c r="AU5" s="225" t="s">
        <v>219</v>
      </c>
      <c r="AV5" s="225" t="s">
        <v>220</v>
      </c>
      <c r="AW5" s="228" t="s">
        <v>221</v>
      </c>
      <c r="AX5" s="220" t="s">
        <v>222</v>
      </c>
      <c r="AY5" s="217" t="s">
        <v>223</v>
      </c>
      <c r="AZ5" s="229" t="s">
        <v>224</v>
      </c>
      <c r="BA5" s="301" t="s">
        <v>225</v>
      </c>
      <c r="BB5" s="301" t="s">
        <v>226</v>
      </c>
      <c r="BC5" s="301" t="s">
        <v>227</v>
      </c>
      <c r="BD5" s="301" t="s">
        <v>228</v>
      </c>
      <c r="BE5" s="301" t="s">
        <v>229</v>
      </c>
      <c r="BF5" s="301" t="s">
        <v>230</v>
      </c>
      <c r="BG5" s="301" t="s">
        <v>231</v>
      </c>
      <c r="BH5" s="302" t="s">
        <v>232</v>
      </c>
      <c r="BI5" s="303" t="s">
        <v>233</v>
      </c>
      <c r="BJ5" s="304" t="s">
        <v>234</v>
      </c>
      <c r="BK5" s="305" t="s">
        <v>235</v>
      </c>
      <c r="BL5" s="304" t="s">
        <v>280</v>
      </c>
      <c r="BM5" s="294" t="s">
        <v>236</v>
      </c>
      <c r="BN5" s="298" t="s">
        <v>237</v>
      </c>
      <c r="BO5" s="230" t="s">
        <v>238</v>
      </c>
      <c r="BP5" s="296" t="s">
        <v>238</v>
      </c>
      <c r="BQ5" s="231" t="s">
        <v>239</v>
      </c>
      <c r="BR5" s="232"/>
      <c r="BS5" s="233" t="s">
        <v>240</v>
      </c>
      <c r="BT5" s="232"/>
      <c r="BU5" s="307" t="s">
        <v>282</v>
      </c>
      <c r="BV5" s="308" t="s">
        <v>283</v>
      </c>
      <c r="BW5" s="389" t="s">
        <v>281</v>
      </c>
      <c r="BX5" s="232"/>
      <c r="BY5" s="232"/>
      <c r="BZ5" s="388" t="s">
        <v>288</v>
      </c>
      <c r="CA5" s="228" t="s">
        <v>341</v>
      </c>
      <c r="CB5" s="308" t="s">
        <v>290</v>
      </c>
      <c r="CC5" s="389" t="s">
        <v>289</v>
      </c>
    </row>
    <row r="6" spans="1:81" x14ac:dyDescent="0.25">
      <c r="A6" s="234" t="s">
        <v>26</v>
      </c>
      <c r="B6" s="235" t="s">
        <v>43</v>
      </c>
      <c r="C6" s="236" t="s">
        <v>33</v>
      </c>
      <c r="D6" s="236" t="s">
        <v>90</v>
      </c>
      <c r="E6" s="237" t="s">
        <v>41</v>
      </c>
      <c r="F6" s="238"/>
      <c r="G6" s="238"/>
      <c r="H6" s="150">
        <v>0.1</v>
      </c>
      <c r="I6" s="397">
        <f t="shared" ref="I6:I37" si="0">IF(PLOT_TYPE=1, H6/100*Iout_max, min_I*EXP(H6*rr/100))</f>
        <v>1E-4</v>
      </c>
      <c r="J6" s="191"/>
      <c r="K6" s="191"/>
      <c r="L6" s="191"/>
      <c r="M6" s="191"/>
      <c r="N6" s="239"/>
      <c r="O6" s="152"/>
      <c r="P6" s="191"/>
      <c r="Q6" s="386"/>
      <c r="S6" s="240"/>
      <c r="T6" s="240"/>
      <c r="U6" s="240"/>
      <c r="AJ6" s="386"/>
      <c r="AY6" s="190">
        <f>Vout*I6</f>
        <v>2E-3</v>
      </c>
      <c r="AZ6" s="241">
        <f>AY6/(AY6+AX6)</f>
        <v>1</v>
      </c>
      <c r="BA6" s="299">
        <f t="shared" ref="BA6:BA9" si="1">AG6/($AY6+$AX6)</f>
        <v>0</v>
      </c>
      <c r="BB6" s="299">
        <f>AO6/($AY6+$AX6)</f>
        <v>0</v>
      </c>
      <c r="BC6" s="299" t="e">
        <f t="shared" ref="BC6:BC9" si="2">Vin*R6*(QgBot+Qg)/($AY6+$AX6)</f>
        <v>#NAME?</v>
      </c>
      <c r="BD6" s="299">
        <f t="shared" ref="BD6:BD9" si="3">AK6/($AY6+$AX6)</f>
        <v>0</v>
      </c>
      <c r="BE6" s="299">
        <f t="shared" ref="BE6:BE9" si="4">AQ6/(AX6+AY6)</f>
        <v>0</v>
      </c>
      <c r="BF6" s="299">
        <f t="shared" ref="BF6:BF9" si="5">AR6/($AY6+$AX6)</f>
        <v>0</v>
      </c>
      <c r="BG6" s="299">
        <f t="shared" ref="BG6:BG9" si="6">W6/($AY6+$AX6)</f>
        <v>0</v>
      </c>
      <c r="BH6" s="299">
        <f t="shared" ref="BH6:BH9" si="7">X6/($AY6+$AX6)</f>
        <v>0</v>
      </c>
      <c r="BI6" s="299">
        <f t="shared" ref="BI6:BI9" si="8">(AB6+AE6)/($AY6+$AX6)</f>
        <v>0</v>
      </c>
      <c r="BJ6" s="193">
        <f>AT6/($AY6+$AX6)</f>
        <v>0</v>
      </c>
      <c r="BK6" s="193">
        <f>AX6/($AY6+$AX6)</f>
        <v>0</v>
      </c>
      <c r="BL6" s="193">
        <f>AZ6</f>
        <v>1</v>
      </c>
      <c r="BM6" s="152">
        <f>100*BL6</f>
        <v>100</v>
      </c>
      <c r="BN6" s="191">
        <f xml:space="preserve"> CHOOSE(MODE, I6*1000,#REF!)</f>
        <v>0.1</v>
      </c>
      <c r="BO6" s="152">
        <v>59.702372085750142</v>
      </c>
      <c r="BP6" s="193">
        <f>BO6/100</f>
        <v>0.59702372085750144</v>
      </c>
      <c r="BQ6" s="242">
        <f t="shared" ref="BQ6:BQ9" si="9">R6/1000</f>
        <v>0</v>
      </c>
      <c r="BR6" s="243"/>
      <c r="BS6" s="193">
        <f>AL6/($AY6+$AX6)</f>
        <v>0</v>
      </c>
      <c r="BT6" s="243"/>
      <c r="BU6" s="152">
        <f>1000*AW6</f>
        <v>0</v>
      </c>
      <c r="BV6" s="152">
        <f>1000*AU6</f>
        <v>0</v>
      </c>
      <c r="BW6" s="152">
        <f t="shared" ref="BW6:BW9" si="10">1000*Y6</f>
        <v>0</v>
      </c>
      <c r="BX6" s="193"/>
      <c r="BY6" s="193"/>
      <c r="BZ6" s="152">
        <f xml:space="preserve"> IF(MODE=1, BM6,#REF!)</f>
        <v>100</v>
      </c>
      <c r="CA6" s="152">
        <f xml:space="preserve"> IF(MODE=1, BU6,#REF!)</f>
        <v>0</v>
      </c>
      <c r="CB6" s="152">
        <f xml:space="preserve"> IF(MODE=1, BV6,#REF!)</f>
        <v>0</v>
      </c>
      <c r="CC6" s="152">
        <f xml:space="preserve"> IF(MODE=1, BW6,#REF!)</f>
        <v>0</v>
      </c>
    </row>
    <row r="7" spans="1:81" x14ac:dyDescent="0.25">
      <c r="A7" s="360"/>
      <c r="B7" s="235"/>
      <c r="C7" s="236"/>
      <c r="D7" s="236"/>
      <c r="E7" s="237"/>
      <c r="F7" s="238"/>
      <c r="G7" s="238"/>
      <c r="H7" s="150">
        <v>1</v>
      </c>
      <c r="I7" s="397">
        <f t="shared" si="0"/>
        <v>1E-3</v>
      </c>
      <c r="J7" s="191"/>
      <c r="K7" s="191"/>
      <c r="L7" s="191"/>
      <c r="M7" s="191"/>
      <c r="N7" s="239"/>
      <c r="O7" s="152"/>
      <c r="P7" s="191"/>
      <c r="Q7" s="386"/>
      <c r="S7" s="240"/>
      <c r="T7" s="240"/>
      <c r="U7" s="240"/>
      <c r="AJ7" s="386"/>
      <c r="AY7" s="190">
        <f>Vout*I7</f>
        <v>0.02</v>
      </c>
      <c r="AZ7" s="241">
        <f>AY7/(AY7+AX7)</f>
        <v>1</v>
      </c>
      <c r="BA7" s="299">
        <f t="shared" si="1"/>
        <v>0</v>
      </c>
      <c r="BB7" s="299">
        <f>AO7/($AY7+$AX7)</f>
        <v>0</v>
      </c>
      <c r="BC7" s="299" t="e">
        <f t="shared" si="2"/>
        <v>#NAME?</v>
      </c>
      <c r="BD7" s="299">
        <f t="shared" ref="BD7" si="11">AK7/($AY7+$AX7)</f>
        <v>0</v>
      </c>
      <c r="BE7" s="299">
        <f t="shared" ref="BE7" si="12">AQ7/(AX7+AY7)</f>
        <v>0</v>
      </c>
      <c r="BF7" s="299">
        <f t="shared" ref="BF7" si="13">AR7/($AY7+$AX7)</f>
        <v>0</v>
      </c>
      <c r="BG7" s="299">
        <f t="shared" si="6"/>
        <v>0</v>
      </c>
      <c r="BH7" s="299">
        <f t="shared" si="7"/>
        <v>0</v>
      </c>
      <c r="BI7" s="299">
        <f t="shared" si="8"/>
        <v>0</v>
      </c>
      <c r="BJ7" s="193">
        <f>AT7/($AY7+$AX7)</f>
        <v>0</v>
      </c>
      <c r="BK7" s="193">
        <f t="shared" ref="BK7:BK9" si="14">AX7/($AY7+$AX7)</f>
        <v>0</v>
      </c>
      <c r="BL7" s="193">
        <f>AZ7</f>
        <v>1</v>
      </c>
      <c r="BM7" s="152">
        <f>100*BL7</f>
        <v>100</v>
      </c>
      <c r="BN7" s="191">
        <f xml:space="preserve"> CHOOSE(MODE, I7*1000,#REF!)</f>
        <v>1</v>
      </c>
      <c r="BO7" s="152">
        <v>83.682599061581868</v>
      </c>
      <c r="BP7" s="193">
        <f t="shared" ref="BP7:BP9" si="15">BO7/100</f>
        <v>0.83682599061581864</v>
      </c>
      <c r="BQ7" s="242">
        <f t="shared" si="9"/>
        <v>0</v>
      </c>
      <c r="BR7" s="243"/>
      <c r="BS7" s="193">
        <f>AL7/($AY7+$AX7)</f>
        <v>0</v>
      </c>
      <c r="BT7" s="243"/>
      <c r="BU7" s="152">
        <f>1000*AW7</f>
        <v>0</v>
      </c>
      <c r="BV7" s="152">
        <f>1000*AU7</f>
        <v>0</v>
      </c>
      <c r="BW7" s="152">
        <f t="shared" si="10"/>
        <v>0</v>
      </c>
      <c r="BX7" s="193"/>
      <c r="BY7" s="193"/>
      <c r="BZ7" s="152">
        <f xml:space="preserve"> IF(MODE=1, BM7,#REF!)</f>
        <v>100</v>
      </c>
      <c r="CA7" s="152">
        <f xml:space="preserve"> IF(MODE=1, BU7,#REF!)</f>
        <v>0</v>
      </c>
      <c r="CB7" s="152">
        <f xml:space="preserve"> IF(MODE=1, BV7,#REF!)</f>
        <v>0</v>
      </c>
      <c r="CC7" s="152">
        <f xml:space="preserve"> IF(MODE=1, BW7,#REF!)</f>
        <v>0</v>
      </c>
    </row>
    <row r="8" spans="1:81" x14ac:dyDescent="0.25">
      <c r="A8" s="244" t="s">
        <v>3</v>
      </c>
      <c r="B8" s="245">
        <f>Vin</f>
        <v>20</v>
      </c>
      <c r="C8" s="151" t="s">
        <v>0</v>
      </c>
      <c r="D8" s="172">
        <f>B8</f>
        <v>20</v>
      </c>
      <c r="E8" s="151" t="s">
        <v>3</v>
      </c>
      <c r="F8" s="238"/>
      <c r="G8" s="238"/>
      <c r="H8" s="150">
        <v>2</v>
      </c>
      <c r="I8" s="397">
        <f t="shared" si="0"/>
        <v>2E-3</v>
      </c>
      <c r="J8" s="191"/>
      <c r="K8" s="191"/>
      <c r="L8" s="191"/>
      <c r="M8" s="191"/>
      <c r="N8" s="239"/>
      <c r="O8" s="152"/>
      <c r="P8" s="191"/>
      <c r="Q8" s="386"/>
      <c r="S8" s="240"/>
      <c r="T8" s="240"/>
      <c r="U8" s="240"/>
      <c r="AJ8" s="386"/>
      <c r="AY8" s="190">
        <f>Vout*I8</f>
        <v>0.04</v>
      </c>
      <c r="AZ8" s="241">
        <f>AY8/(AY8+AX8)</f>
        <v>1</v>
      </c>
      <c r="BA8" s="299">
        <f t="shared" si="1"/>
        <v>0</v>
      </c>
      <c r="BB8" s="299">
        <f t="shared" ref="BB8:BB9" si="16">AO8/($AY8+$AX8)</f>
        <v>0</v>
      </c>
      <c r="BC8" s="299" t="e">
        <f t="shared" si="2"/>
        <v>#NAME?</v>
      </c>
      <c r="BD8" s="299">
        <f t="shared" si="3"/>
        <v>0</v>
      </c>
      <c r="BE8" s="299">
        <f t="shared" si="4"/>
        <v>0</v>
      </c>
      <c r="BF8" s="299">
        <f t="shared" si="5"/>
        <v>0</v>
      </c>
      <c r="BG8" s="299">
        <f t="shared" si="6"/>
        <v>0</v>
      </c>
      <c r="BH8" s="299">
        <f t="shared" si="7"/>
        <v>0</v>
      </c>
      <c r="BI8" s="299">
        <f t="shared" si="8"/>
        <v>0</v>
      </c>
      <c r="BJ8" s="193">
        <f t="shared" ref="BJ8:BJ9" si="17">AT8/($AY8+$AX8)</f>
        <v>0</v>
      </c>
      <c r="BK8" s="193">
        <f t="shared" si="14"/>
        <v>0</v>
      </c>
      <c r="BL8" s="193">
        <f t="shared" ref="BL8:BL9" si="18">AZ8</f>
        <v>1</v>
      </c>
      <c r="BM8" s="152">
        <f t="shared" ref="BM8:BM9" si="19">100*BL8</f>
        <v>100</v>
      </c>
      <c r="BN8" s="191">
        <f xml:space="preserve"> CHOOSE(MODE, I8*1000,#REF!)</f>
        <v>2</v>
      </c>
      <c r="BO8" s="152">
        <v>85.591306536493136</v>
      </c>
      <c r="BP8" s="193">
        <f t="shared" si="15"/>
        <v>0.85591306536493139</v>
      </c>
      <c r="BQ8" s="242">
        <f t="shared" si="9"/>
        <v>0</v>
      </c>
      <c r="BR8" s="243"/>
      <c r="BS8" s="193">
        <f t="shared" ref="BS8:BS9" si="20">AL8/($AY8+$AX8)</f>
        <v>0</v>
      </c>
      <c r="BT8" s="243"/>
      <c r="BU8" s="152">
        <f t="shared" ref="BU8:BU9" si="21">1000*AW8</f>
        <v>0</v>
      </c>
      <c r="BV8" s="152">
        <f t="shared" ref="BV8:BV9" si="22">1000*AU8</f>
        <v>0</v>
      </c>
      <c r="BW8" s="152">
        <f t="shared" si="10"/>
        <v>0</v>
      </c>
      <c r="BX8" s="193"/>
      <c r="BY8" s="193"/>
      <c r="BZ8" s="152">
        <f xml:space="preserve"> IF(MODE=1, BM8,#REF!)</f>
        <v>100</v>
      </c>
      <c r="CA8" s="152">
        <f xml:space="preserve"> IF(MODE=1, BU8,#REF!)</f>
        <v>0</v>
      </c>
      <c r="CB8" s="152">
        <f xml:space="preserve"> IF(MODE=1, BV8,#REF!)</f>
        <v>0</v>
      </c>
      <c r="CC8" s="152">
        <f xml:space="preserve"> IF(MODE=1, BW8,#REF!)</f>
        <v>0</v>
      </c>
    </row>
    <row r="9" spans="1:81" x14ac:dyDescent="0.25">
      <c r="A9" s="246" t="s">
        <v>4</v>
      </c>
      <c r="B9" s="245">
        <f>Vout</f>
        <v>20</v>
      </c>
      <c r="C9" s="151" t="s">
        <v>0</v>
      </c>
      <c r="D9" s="172">
        <f>B9</f>
        <v>20</v>
      </c>
      <c r="E9" s="151" t="s">
        <v>4</v>
      </c>
      <c r="F9" s="238"/>
      <c r="G9" s="238"/>
      <c r="H9" s="150">
        <v>3</v>
      </c>
      <c r="I9" s="397">
        <f t="shared" si="0"/>
        <v>3.0000000000000001E-3</v>
      </c>
      <c r="J9" s="191"/>
      <c r="K9" s="191"/>
      <c r="L9" s="191"/>
      <c r="M9" s="191"/>
      <c r="N9" s="239"/>
      <c r="O9" s="152"/>
      <c r="P9" s="191"/>
      <c r="Q9" s="386"/>
      <c r="S9" s="240"/>
      <c r="T9" s="240"/>
      <c r="U9" s="240"/>
      <c r="AJ9" s="386"/>
      <c r="AY9" s="190">
        <f>Vout*I9</f>
        <v>0.06</v>
      </c>
      <c r="AZ9" s="241">
        <f t="shared" ref="AZ9" si="23">AY9/(AY9+AX9)</f>
        <v>1</v>
      </c>
      <c r="BA9" s="299">
        <f t="shared" si="1"/>
        <v>0</v>
      </c>
      <c r="BB9" s="299">
        <f t="shared" si="16"/>
        <v>0</v>
      </c>
      <c r="BC9" s="299" t="e">
        <f t="shared" si="2"/>
        <v>#NAME?</v>
      </c>
      <c r="BD9" s="299">
        <f t="shared" si="3"/>
        <v>0</v>
      </c>
      <c r="BE9" s="299">
        <f t="shared" si="4"/>
        <v>0</v>
      </c>
      <c r="BF9" s="299">
        <f t="shared" si="5"/>
        <v>0</v>
      </c>
      <c r="BG9" s="299">
        <f t="shared" si="6"/>
        <v>0</v>
      </c>
      <c r="BH9" s="299">
        <f t="shared" si="7"/>
        <v>0</v>
      </c>
      <c r="BI9" s="299">
        <f t="shared" si="8"/>
        <v>0</v>
      </c>
      <c r="BJ9" s="193">
        <f t="shared" si="17"/>
        <v>0</v>
      </c>
      <c r="BK9" s="193">
        <f t="shared" si="14"/>
        <v>0</v>
      </c>
      <c r="BL9" s="193">
        <f t="shared" si="18"/>
        <v>1</v>
      </c>
      <c r="BM9" s="152">
        <f t="shared" si="19"/>
        <v>100</v>
      </c>
      <c r="BN9" s="191">
        <f xml:space="preserve"> CHOOSE(MODE, I9*1000,#REF!)</f>
        <v>3</v>
      </c>
      <c r="BO9" s="152">
        <v>86.246143423411425</v>
      </c>
      <c r="BP9" s="193">
        <f t="shared" si="15"/>
        <v>0.86246143423411425</v>
      </c>
      <c r="BQ9" s="242">
        <f t="shared" si="9"/>
        <v>0</v>
      </c>
      <c r="BR9" s="243"/>
      <c r="BS9" s="193">
        <f t="shared" si="20"/>
        <v>0</v>
      </c>
      <c r="BT9" s="243"/>
      <c r="BU9" s="152">
        <f t="shared" si="21"/>
        <v>0</v>
      </c>
      <c r="BV9" s="152">
        <f t="shared" si="22"/>
        <v>0</v>
      </c>
      <c r="BW9" s="152">
        <f t="shared" si="10"/>
        <v>0</v>
      </c>
      <c r="BX9" s="193"/>
      <c r="BY9" s="193"/>
      <c r="BZ9" s="152">
        <f xml:space="preserve"> IF(MODE=1, BM9,#REF!)</f>
        <v>100</v>
      </c>
      <c r="CA9" s="152">
        <f xml:space="preserve"> IF(MODE=1, BU9,#REF!)</f>
        <v>0</v>
      </c>
      <c r="CB9" s="152">
        <f xml:space="preserve"> IF(MODE=1, BV9,#REF!)</f>
        <v>0</v>
      </c>
      <c r="CC9" s="152">
        <f xml:space="preserve"> IF(MODE=1, BW9,#REF!)</f>
        <v>0</v>
      </c>
    </row>
    <row r="10" spans="1:81" x14ac:dyDescent="0.25">
      <c r="A10" s="246" t="s">
        <v>5</v>
      </c>
      <c r="B10" s="245">
        <f>Iout</f>
        <v>0.1</v>
      </c>
      <c r="C10" s="151" t="s">
        <v>1</v>
      </c>
      <c r="D10" s="172">
        <f>B10</f>
        <v>0.1</v>
      </c>
      <c r="E10" s="151" t="s">
        <v>241</v>
      </c>
      <c r="F10" s="238"/>
      <c r="G10" s="238"/>
      <c r="H10" s="150">
        <v>4</v>
      </c>
      <c r="I10" s="397">
        <f t="shared" si="0"/>
        <v>4.0000000000000001E-3</v>
      </c>
      <c r="J10" s="191"/>
      <c r="K10" s="191"/>
      <c r="L10" s="191"/>
      <c r="M10" s="191"/>
      <c r="N10" s="239"/>
      <c r="O10" s="152"/>
      <c r="P10" s="191"/>
      <c r="Q10" s="386"/>
      <c r="S10" s="240"/>
      <c r="T10" s="240"/>
      <c r="U10" s="240"/>
      <c r="AJ10" s="386"/>
      <c r="AZ10" s="241"/>
      <c r="BJ10" s="193"/>
      <c r="BK10" s="193"/>
      <c r="BL10" s="193"/>
      <c r="BO10" s="152"/>
      <c r="BP10" s="193"/>
      <c r="BQ10" s="242"/>
      <c r="BR10" s="243"/>
      <c r="BS10" s="193"/>
      <c r="BT10" s="243"/>
      <c r="BX10" s="193"/>
      <c r="BY10" s="193"/>
      <c r="BZ10" s="152"/>
      <c r="CA10" s="152"/>
      <c r="CB10" s="152"/>
      <c r="CC10" s="152"/>
    </row>
    <row r="11" spans="1:81" x14ac:dyDescent="0.25">
      <c r="A11" s="246" t="s">
        <v>139</v>
      </c>
      <c r="B11" s="310">
        <f>Vout/(Fsw/1000)*100000/16</f>
        <v>-1250000</v>
      </c>
      <c r="C11" s="247" t="s">
        <v>242</v>
      </c>
      <c r="D11" s="258">
        <f>B11*1000</f>
        <v>-1250000000</v>
      </c>
      <c r="E11" s="151"/>
      <c r="F11" s="238"/>
      <c r="G11" s="238"/>
      <c r="H11" s="150">
        <v>5</v>
      </c>
      <c r="I11" s="397">
        <f t="shared" si="0"/>
        <v>5.000000000000001E-3</v>
      </c>
      <c r="J11" s="191"/>
      <c r="K11" s="191"/>
      <c r="L11" s="191"/>
      <c r="M11" s="191"/>
      <c r="N11" s="239"/>
      <c r="O11" s="152"/>
      <c r="P11" s="191"/>
      <c r="Q11" s="386"/>
      <c r="S11" s="240"/>
      <c r="T11" s="240"/>
      <c r="U11" s="240"/>
      <c r="AJ11" s="386"/>
      <c r="AZ11" s="241"/>
      <c r="BJ11" s="193"/>
      <c r="BK11" s="193"/>
      <c r="BL11" s="193"/>
      <c r="BO11" s="152"/>
      <c r="BP11" s="193"/>
      <c r="BQ11" s="242"/>
      <c r="BR11" s="243"/>
      <c r="BS11" s="193"/>
      <c r="BT11" s="243"/>
      <c r="BX11" s="193"/>
      <c r="BY11" s="193"/>
      <c r="BZ11" s="152"/>
      <c r="CA11" s="152"/>
      <c r="CB11" s="152"/>
      <c r="CC11" s="152"/>
    </row>
    <row r="12" spans="1:81" x14ac:dyDescent="0.25">
      <c r="A12" s="246" t="s">
        <v>243</v>
      </c>
      <c r="B12" s="245">
        <v>25</v>
      </c>
      <c r="C12" s="151" t="s">
        <v>102</v>
      </c>
      <c r="D12" s="172">
        <f>B12</f>
        <v>25</v>
      </c>
      <c r="E12" s="151" t="s">
        <v>244</v>
      </c>
      <c r="F12" s="238">
        <f>Turns_Ratio</f>
        <v>9</v>
      </c>
      <c r="H12" s="150">
        <v>6</v>
      </c>
      <c r="I12" s="397">
        <f t="shared" si="0"/>
        <v>6.0000000000000001E-3</v>
      </c>
      <c r="J12" s="191"/>
      <c r="K12" s="191"/>
      <c r="L12" s="191"/>
      <c r="M12" s="191"/>
      <c r="N12" s="239"/>
      <c r="O12" s="152"/>
      <c r="P12" s="191"/>
      <c r="Q12" s="386"/>
      <c r="S12" s="240"/>
      <c r="T12" s="240"/>
      <c r="U12" s="240"/>
      <c r="AJ12" s="386"/>
      <c r="AZ12" s="241"/>
      <c r="BJ12" s="193"/>
      <c r="BK12" s="193"/>
      <c r="BL12" s="193"/>
      <c r="BO12" s="152"/>
      <c r="BP12" s="193"/>
      <c r="BQ12" s="242"/>
      <c r="BR12" s="243"/>
      <c r="BS12" s="193"/>
      <c r="BT12" s="243"/>
      <c r="BX12" s="193"/>
      <c r="BY12" s="193"/>
      <c r="BZ12" s="152"/>
      <c r="CA12" s="152"/>
      <c r="CB12" s="152"/>
      <c r="CC12" s="152"/>
    </row>
    <row r="13" spans="1:81" x14ac:dyDescent="0.25">
      <c r="A13" s="248" t="s">
        <v>245</v>
      </c>
      <c r="B13" s="249">
        <v>5</v>
      </c>
      <c r="C13" s="151" t="s">
        <v>0</v>
      </c>
      <c r="D13" s="172">
        <f>B13</f>
        <v>5</v>
      </c>
      <c r="E13" s="151"/>
      <c r="F13" s="238"/>
      <c r="G13" s="238"/>
      <c r="H13" s="150">
        <v>7</v>
      </c>
      <c r="I13" s="397">
        <f t="shared" si="0"/>
        <v>7.000000000000001E-3</v>
      </c>
      <c r="J13" s="191"/>
      <c r="K13" s="191"/>
      <c r="L13" s="191"/>
      <c r="M13" s="191"/>
      <c r="N13" s="239"/>
      <c r="O13" s="152"/>
      <c r="P13" s="191"/>
      <c r="Q13" s="386"/>
      <c r="S13" s="240"/>
      <c r="T13" s="240"/>
      <c r="U13" s="240"/>
      <c r="AJ13" s="386"/>
      <c r="AZ13" s="241"/>
      <c r="BJ13" s="193"/>
      <c r="BK13" s="193"/>
      <c r="BL13" s="193"/>
      <c r="BO13" s="152"/>
      <c r="BP13" s="193"/>
      <c r="BQ13" s="242"/>
      <c r="BR13" s="243"/>
      <c r="BS13" s="193"/>
      <c r="BT13" s="243"/>
      <c r="BX13" s="193"/>
      <c r="BY13" s="193"/>
      <c r="BZ13" s="152"/>
      <c r="CA13" s="152"/>
      <c r="CB13" s="152"/>
      <c r="CC13" s="152"/>
    </row>
    <row r="14" spans="1:81" x14ac:dyDescent="0.25">
      <c r="F14" s="238"/>
      <c r="G14" s="238"/>
      <c r="H14" s="150">
        <v>8</v>
      </c>
      <c r="I14" s="397">
        <f t="shared" si="0"/>
        <v>8.0000000000000002E-3</v>
      </c>
      <c r="J14" s="191"/>
      <c r="K14" s="191"/>
      <c r="L14" s="191"/>
      <c r="M14" s="191"/>
      <c r="N14" s="239"/>
      <c r="O14" s="152"/>
      <c r="P14" s="191"/>
      <c r="Q14" s="386"/>
      <c r="S14" s="240"/>
      <c r="T14" s="240"/>
      <c r="U14" s="240"/>
      <c r="AJ14" s="386"/>
      <c r="AZ14" s="241"/>
      <c r="BJ14" s="193"/>
      <c r="BK14" s="193"/>
      <c r="BL14" s="193"/>
      <c r="BO14" s="152"/>
      <c r="BP14" s="193"/>
      <c r="BQ14" s="242"/>
      <c r="BR14" s="243"/>
      <c r="BS14" s="193"/>
      <c r="BT14" s="243"/>
      <c r="BX14" s="193"/>
      <c r="BY14" s="193"/>
      <c r="BZ14" s="152"/>
      <c r="CA14" s="152"/>
      <c r="CB14" s="152"/>
      <c r="CC14" s="152"/>
    </row>
    <row r="15" spans="1:81" x14ac:dyDescent="0.25">
      <c r="A15" s="250" t="s">
        <v>34</v>
      </c>
      <c r="B15" s="212"/>
      <c r="C15" s="212"/>
      <c r="D15" s="212"/>
      <c r="E15" s="213"/>
      <c r="F15" s="238"/>
      <c r="G15" s="238"/>
      <c r="H15" s="150">
        <v>9</v>
      </c>
      <c r="I15" s="397">
        <f t="shared" si="0"/>
        <v>8.9999999999999993E-3</v>
      </c>
      <c r="J15" s="191"/>
      <c r="K15" s="191"/>
      <c r="L15" s="191"/>
      <c r="M15" s="191"/>
      <c r="N15" s="239"/>
      <c r="O15" s="152"/>
      <c r="P15" s="191"/>
      <c r="Q15" s="386"/>
      <c r="S15" s="240"/>
      <c r="T15" s="240"/>
      <c r="U15" s="240"/>
      <c r="AJ15" s="386"/>
      <c r="AZ15" s="241"/>
      <c r="BJ15" s="193"/>
      <c r="BK15" s="193"/>
      <c r="BL15" s="193"/>
      <c r="BO15" s="152"/>
      <c r="BP15" s="193"/>
      <c r="BQ15" s="242"/>
      <c r="BR15" s="243"/>
      <c r="BS15" s="193"/>
      <c r="BT15" s="243"/>
      <c r="BX15" s="193"/>
      <c r="BY15" s="193"/>
      <c r="BZ15" s="152"/>
      <c r="CA15" s="152"/>
      <c r="CB15" s="152"/>
      <c r="CC15" s="152"/>
    </row>
    <row r="16" spans="1:81" x14ac:dyDescent="0.25">
      <c r="A16" s="234" t="s">
        <v>26</v>
      </c>
      <c r="B16" s="235" t="s">
        <v>6</v>
      </c>
      <c r="C16" s="235" t="s">
        <v>33</v>
      </c>
      <c r="D16" s="251" t="s">
        <v>90</v>
      </c>
      <c r="E16" s="237" t="s">
        <v>41</v>
      </c>
      <c r="F16" s="238"/>
      <c r="G16" s="238"/>
      <c r="H16" s="150">
        <v>10</v>
      </c>
      <c r="I16" s="397">
        <f t="shared" si="0"/>
        <v>1.0000000000000002E-2</v>
      </c>
      <c r="J16" s="191"/>
      <c r="K16" s="191"/>
      <c r="L16" s="191"/>
      <c r="M16" s="191"/>
      <c r="N16" s="239"/>
      <c r="O16" s="152"/>
      <c r="P16" s="191"/>
      <c r="Q16" s="386"/>
      <c r="S16" s="240"/>
      <c r="T16" s="240"/>
      <c r="U16" s="240"/>
      <c r="AJ16" s="386"/>
      <c r="AZ16" s="241"/>
      <c r="BJ16" s="193"/>
      <c r="BK16" s="193"/>
      <c r="BL16" s="193"/>
      <c r="BO16" s="152"/>
      <c r="BP16" s="193"/>
      <c r="BQ16" s="242"/>
      <c r="BR16" s="243"/>
      <c r="BS16" s="193"/>
      <c r="BT16" s="243"/>
      <c r="BX16" s="193"/>
      <c r="BY16" s="193"/>
      <c r="BZ16" s="152"/>
      <c r="CA16" s="152"/>
      <c r="CB16" s="152"/>
      <c r="CC16" s="152"/>
    </row>
    <row r="17" spans="1:81" x14ac:dyDescent="0.25">
      <c r="A17" s="248" t="s">
        <v>246</v>
      </c>
      <c r="B17" s="252">
        <f>Vout/Vin/Fsw*1000000</f>
        <v>-10000</v>
      </c>
      <c r="C17" s="253" t="s">
        <v>247</v>
      </c>
      <c r="D17" s="254">
        <f>B17/1000000</f>
        <v>-0.01</v>
      </c>
      <c r="E17" s="151" t="s">
        <v>248</v>
      </c>
      <c r="F17" s="238"/>
      <c r="G17" s="238"/>
      <c r="H17" s="150">
        <v>11</v>
      </c>
      <c r="I17" s="397">
        <f t="shared" si="0"/>
        <v>1.1000000000000001E-2</v>
      </c>
      <c r="J17" s="191"/>
      <c r="K17" s="191"/>
      <c r="L17" s="191"/>
      <c r="M17" s="191"/>
      <c r="N17" s="239"/>
      <c r="O17" s="152"/>
      <c r="P17" s="191"/>
      <c r="Q17" s="386"/>
      <c r="S17" s="240"/>
      <c r="T17" s="240"/>
      <c r="U17" s="240"/>
      <c r="AJ17" s="386"/>
      <c r="AZ17" s="241"/>
      <c r="BJ17" s="193"/>
      <c r="BK17" s="193"/>
      <c r="BL17" s="193"/>
      <c r="BO17" s="152"/>
      <c r="BP17" s="193"/>
      <c r="BQ17" s="242"/>
      <c r="BR17" s="243"/>
      <c r="BS17" s="193"/>
      <c r="BT17" s="243"/>
      <c r="BX17" s="193"/>
      <c r="BY17" s="193"/>
      <c r="BZ17" s="152"/>
      <c r="CA17" s="152"/>
      <c r="CB17" s="152"/>
      <c r="CC17" s="152"/>
    </row>
    <row r="18" spans="1:81" x14ac:dyDescent="0.25">
      <c r="A18" s="248" t="s">
        <v>249</v>
      </c>
      <c r="B18" s="252"/>
      <c r="C18" s="253" t="s">
        <v>247</v>
      </c>
      <c r="D18" s="255">
        <f>B18/1000000</f>
        <v>0</v>
      </c>
      <c r="E18" s="151" t="s">
        <v>250</v>
      </c>
      <c r="F18" s="238"/>
      <c r="G18" s="238"/>
      <c r="H18" s="150">
        <v>12</v>
      </c>
      <c r="I18" s="397">
        <f t="shared" si="0"/>
        <v>1.2E-2</v>
      </c>
      <c r="J18" s="191"/>
      <c r="K18" s="191"/>
      <c r="L18" s="191"/>
      <c r="M18" s="191"/>
      <c r="N18" s="239"/>
      <c r="O18" s="152"/>
      <c r="P18" s="191"/>
      <c r="Q18" s="386"/>
      <c r="S18" s="240"/>
      <c r="T18" s="240"/>
      <c r="U18" s="240"/>
      <c r="AJ18" s="386"/>
      <c r="AZ18" s="241"/>
      <c r="BJ18" s="193"/>
      <c r="BK18" s="193"/>
      <c r="BL18" s="193"/>
      <c r="BO18" s="152"/>
      <c r="BP18" s="193"/>
      <c r="BQ18" s="242"/>
      <c r="BR18" s="243"/>
      <c r="BS18" s="193"/>
      <c r="BT18" s="243"/>
      <c r="BX18" s="193"/>
      <c r="BY18" s="193"/>
      <c r="BZ18" s="152"/>
      <c r="CA18" s="152"/>
      <c r="CB18" s="152"/>
      <c r="CC18" s="152"/>
    </row>
    <row r="19" spans="1:81" ht="15.6" x14ac:dyDescent="0.35">
      <c r="A19" s="248" t="s">
        <v>251</v>
      </c>
      <c r="B19" s="256">
        <f>(Vin-Vout-(Rdcr_pri+Rdson)*Iout)/L*OnTime*1000</f>
        <v>22500</v>
      </c>
      <c r="C19" s="151" t="s">
        <v>30</v>
      </c>
      <c r="D19" s="168">
        <f>B19/1000</f>
        <v>22.5</v>
      </c>
      <c r="E19" s="151" t="s">
        <v>252</v>
      </c>
      <c r="F19" s="238"/>
      <c r="G19" s="238"/>
      <c r="H19" s="150">
        <v>13</v>
      </c>
      <c r="I19" s="397">
        <f t="shared" si="0"/>
        <v>1.3000000000000001E-2</v>
      </c>
      <c r="J19" s="191"/>
      <c r="K19" s="191"/>
      <c r="L19" s="191"/>
      <c r="M19" s="191"/>
      <c r="N19" s="239"/>
      <c r="O19" s="152"/>
      <c r="P19" s="191"/>
      <c r="Q19" s="386"/>
      <c r="S19" s="240"/>
      <c r="T19" s="240"/>
      <c r="U19" s="240"/>
      <c r="AJ19" s="386"/>
      <c r="AZ19" s="241"/>
      <c r="BJ19" s="193"/>
      <c r="BK19" s="193"/>
      <c r="BL19" s="193"/>
      <c r="BO19" s="152"/>
      <c r="BP19" s="193"/>
      <c r="BQ19" s="242"/>
      <c r="BR19" s="243"/>
      <c r="BS19" s="193"/>
      <c r="BT19" s="243"/>
      <c r="BX19" s="193"/>
      <c r="BY19" s="193"/>
      <c r="BZ19" s="152"/>
      <c r="CA19" s="152"/>
      <c r="CB19" s="152"/>
      <c r="CC19" s="152"/>
    </row>
    <row r="20" spans="1:81" x14ac:dyDescent="0.25">
      <c r="A20" s="248" t="s">
        <v>253</v>
      </c>
      <c r="B20" s="257">
        <f>'LM(2)518x PSR flyback converter'!E13</f>
        <v>-0.1</v>
      </c>
      <c r="C20" s="151" t="s">
        <v>2</v>
      </c>
      <c r="D20" s="258">
        <f>B20*1000</f>
        <v>-100</v>
      </c>
      <c r="E20" s="151" t="s">
        <v>254</v>
      </c>
      <c r="F20" s="292"/>
      <c r="G20" s="238"/>
      <c r="H20" s="150">
        <v>14</v>
      </c>
      <c r="I20" s="397">
        <f t="shared" si="0"/>
        <v>1.4000000000000002E-2</v>
      </c>
      <c r="J20" s="191"/>
      <c r="K20" s="191"/>
      <c r="L20" s="191"/>
      <c r="M20" s="191"/>
      <c r="N20" s="239"/>
      <c r="O20" s="152"/>
      <c r="P20" s="191"/>
      <c r="Q20" s="386"/>
      <c r="S20" s="240"/>
      <c r="T20" s="240"/>
      <c r="U20" s="240"/>
      <c r="AJ20" s="386"/>
      <c r="AZ20" s="241"/>
      <c r="BJ20" s="193"/>
      <c r="BK20" s="193"/>
      <c r="BL20" s="193"/>
      <c r="BO20" s="152"/>
      <c r="BP20" s="193"/>
      <c r="BQ20" s="242"/>
      <c r="BR20" s="243"/>
      <c r="BS20" s="193"/>
      <c r="BT20" s="243"/>
      <c r="BX20" s="193"/>
      <c r="BY20" s="193"/>
      <c r="BZ20" s="152"/>
      <c r="CA20" s="152"/>
      <c r="CB20" s="152"/>
      <c r="CC20" s="152"/>
    </row>
    <row r="21" spans="1:81" x14ac:dyDescent="0.25">
      <c r="A21" s="248" t="s">
        <v>417</v>
      </c>
      <c r="B21" s="256">
        <v>350</v>
      </c>
      <c r="C21" s="151" t="s">
        <v>2</v>
      </c>
      <c r="D21" s="258">
        <f>B21*1000</f>
        <v>350000</v>
      </c>
      <c r="E21" s="151" t="s">
        <v>418</v>
      </c>
      <c r="F21" s="238"/>
      <c r="G21" s="238"/>
      <c r="H21" s="150">
        <v>15</v>
      </c>
      <c r="I21" s="397">
        <f t="shared" si="0"/>
        <v>1.4999999999999999E-2</v>
      </c>
      <c r="J21" s="191"/>
      <c r="K21" s="191"/>
      <c r="L21" s="191"/>
      <c r="M21" s="191"/>
      <c r="N21" s="239"/>
      <c r="O21" s="152"/>
      <c r="P21" s="191"/>
      <c r="Q21" s="386"/>
      <c r="S21" s="240"/>
      <c r="T21" s="240"/>
      <c r="U21" s="240"/>
      <c r="AJ21" s="386"/>
      <c r="AZ21" s="241"/>
      <c r="BJ21" s="193"/>
      <c r="BK21" s="193"/>
      <c r="BL21" s="193"/>
      <c r="BO21" s="152"/>
      <c r="BP21" s="193"/>
      <c r="BQ21" s="242"/>
      <c r="BR21" s="243"/>
      <c r="BS21" s="193"/>
      <c r="BT21" s="243"/>
      <c r="BX21" s="193"/>
      <c r="BY21" s="193"/>
      <c r="BZ21" s="152"/>
      <c r="CA21" s="152"/>
      <c r="CB21" s="152"/>
      <c r="CC21" s="152"/>
    </row>
    <row r="22" spans="1:81" x14ac:dyDescent="0.25">
      <c r="A22" s="259" t="s">
        <v>38</v>
      </c>
      <c r="B22" s="260">
        <v>10</v>
      </c>
      <c r="C22" s="151" t="s">
        <v>32</v>
      </c>
      <c r="D22" s="261">
        <f>B22/1000000000</f>
        <v>1E-8</v>
      </c>
      <c r="E22" s="151" t="s">
        <v>255</v>
      </c>
      <c r="F22" s="238"/>
      <c r="G22" s="238"/>
      <c r="H22" s="150">
        <v>16</v>
      </c>
      <c r="I22" s="397">
        <f t="shared" si="0"/>
        <v>1.6E-2</v>
      </c>
      <c r="J22" s="191"/>
      <c r="K22" s="191"/>
      <c r="L22" s="191"/>
      <c r="M22" s="191"/>
      <c r="N22" s="239"/>
      <c r="O22" s="152"/>
      <c r="P22" s="191"/>
      <c r="Q22" s="386"/>
      <c r="S22" s="240"/>
      <c r="T22" s="240"/>
      <c r="U22" s="240"/>
      <c r="AJ22" s="386"/>
      <c r="AZ22" s="241"/>
      <c r="BJ22" s="193"/>
      <c r="BK22" s="193"/>
      <c r="BL22" s="193"/>
      <c r="BO22" s="152"/>
      <c r="BP22" s="193"/>
      <c r="BQ22" s="242"/>
      <c r="BR22" s="243"/>
      <c r="BS22" s="193"/>
      <c r="BT22" s="243"/>
      <c r="BX22" s="193"/>
      <c r="BY22" s="193"/>
      <c r="BZ22" s="152"/>
      <c r="CA22" s="152"/>
      <c r="CB22" s="152"/>
      <c r="CC22" s="152"/>
    </row>
    <row r="23" spans="1:81" x14ac:dyDescent="0.25">
      <c r="A23" s="259" t="s">
        <v>39</v>
      </c>
      <c r="B23" s="260">
        <v>10</v>
      </c>
      <c r="C23" s="151" t="s">
        <v>32</v>
      </c>
      <c r="D23" s="261">
        <f>B23/1000000000</f>
        <v>1E-8</v>
      </c>
      <c r="E23" s="151" t="s">
        <v>256</v>
      </c>
      <c r="F23" s="238"/>
      <c r="G23" s="238"/>
      <c r="H23" s="150">
        <v>17</v>
      </c>
      <c r="I23" s="397">
        <f t="shared" si="0"/>
        <v>1.7000000000000001E-2</v>
      </c>
      <c r="J23" s="191"/>
      <c r="K23" s="191"/>
      <c r="L23" s="191"/>
      <c r="M23" s="191"/>
      <c r="N23" s="239"/>
      <c r="O23" s="152"/>
      <c r="P23" s="191"/>
      <c r="Q23" s="386"/>
      <c r="S23" s="240"/>
      <c r="T23" s="240"/>
      <c r="U23" s="240"/>
      <c r="AJ23" s="386"/>
      <c r="AZ23" s="241"/>
      <c r="BJ23" s="193"/>
      <c r="BK23" s="193"/>
      <c r="BL23" s="193"/>
      <c r="BO23" s="152"/>
      <c r="BP23" s="193"/>
      <c r="BQ23" s="242"/>
      <c r="BR23" s="243"/>
      <c r="BS23" s="193"/>
      <c r="BT23" s="243"/>
      <c r="BX23" s="193"/>
      <c r="BY23" s="193"/>
      <c r="BZ23" s="152"/>
      <c r="CA23" s="152"/>
      <c r="CB23" s="152"/>
      <c r="CC23" s="152"/>
    </row>
    <row r="24" spans="1:81" x14ac:dyDescent="0.25">
      <c r="A24" s="213"/>
      <c r="B24" s="213"/>
      <c r="C24" s="213"/>
      <c r="D24" s="213"/>
      <c r="E24" s="213"/>
      <c r="F24" s="238"/>
      <c r="G24" s="238"/>
      <c r="H24" s="150">
        <v>18</v>
      </c>
      <c r="I24" s="397">
        <f t="shared" si="0"/>
        <v>1.7999999999999999E-2</v>
      </c>
      <c r="J24" s="191"/>
      <c r="K24" s="191"/>
      <c r="L24" s="191"/>
      <c r="M24" s="191"/>
      <c r="N24" s="239"/>
      <c r="O24" s="152"/>
      <c r="P24" s="191"/>
      <c r="Q24" s="386"/>
      <c r="S24" s="240"/>
      <c r="T24" s="240"/>
      <c r="U24" s="240"/>
      <c r="AJ24" s="386"/>
      <c r="AZ24" s="241"/>
      <c r="BJ24" s="193"/>
      <c r="BK24" s="193"/>
      <c r="BL24" s="193"/>
      <c r="BO24" s="152"/>
      <c r="BP24" s="193"/>
      <c r="BQ24" s="242"/>
      <c r="BR24" s="243"/>
      <c r="BS24" s="193"/>
      <c r="BT24" s="243"/>
      <c r="BX24" s="193"/>
      <c r="BY24" s="193"/>
      <c r="BZ24" s="152"/>
      <c r="CA24" s="152"/>
      <c r="CB24" s="152"/>
      <c r="CC24" s="152"/>
    </row>
    <row r="25" spans="1:81" x14ac:dyDescent="0.25">
      <c r="A25" s="234" t="s">
        <v>29</v>
      </c>
      <c r="B25" s="236" t="s">
        <v>43</v>
      </c>
      <c r="C25" s="235" t="s">
        <v>33</v>
      </c>
      <c r="D25" s="251" t="s">
        <v>90</v>
      </c>
      <c r="E25" s="237" t="s">
        <v>41</v>
      </c>
      <c r="F25" s="238"/>
      <c r="G25" s="238"/>
      <c r="H25" s="150">
        <v>19</v>
      </c>
      <c r="I25" s="397">
        <f t="shared" si="0"/>
        <v>1.9000000000000003E-2</v>
      </c>
      <c r="J25" s="191"/>
      <c r="K25" s="191"/>
      <c r="L25" s="191"/>
      <c r="M25" s="191"/>
      <c r="N25" s="239"/>
      <c r="O25" s="152"/>
      <c r="P25" s="191"/>
      <c r="Q25" s="386"/>
      <c r="S25" s="240"/>
      <c r="T25" s="240"/>
      <c r="U25" s="240"/>
      <c r="AJ25" s="386"/>
      <c r="AZ25" s="241"/>
      <c r="BJ25" s="193"/>
      <c r="BK25" s="193"/>
      <c r="BL25" s="193"/>
      <c r="BO25" s="152"/>
      <c r="BP25" s="193"/>
      <c r="BQ25" s="242"/>
      <c r="BR25" s="243"/>
      <c r="BS25" s="193"/>
      <c r="BT25" s="243"/>
      <c r="BX25" s="193"/>
      <c r="BY25" s="193"/>
      <c r="BZ25" s="152"/>
      <c r="CA25" s="152"/>
      <c r="CB25" s="152"/>
      <c r="CC25" s="152"/>
    </row>
    <row r="26" spans="1:81" ht="13.8" thickBot="1" x14ac:dyDescent="0.3">
      <c r="A26" s="262" t="s">
        <v>27</v>
      </c>
      <c r="B26" s="151">
        <f>'LM(2)518x PSR flyback converter'!L7</f>
        <v>60</v>
      </c>
      <c r="C26" s="253" t="s">
        <v>96</v>
      </c>
      <c r="D26" s="172">
        <f>B26/1000000</f>
        <v>6.0000000000000002E-5</v>
      </c>
      <c r="E26" s="151" t="s">
        <v>257</v>
      </c>
      <c r="F26" s="263"/>
      <c r="G26" s="238"/>
      <c r="H26" s="150">
        <v>20</v>
      </c>
      <c r="I26" s="397">
        <f t="shared" si="0"/>
        <v>2.0000000000000004E-2</v>
      </c>
      <c r="J26" s="191"/>
      <c r="K26" s="191"/>
      <c r="L26" s="191"/>
      <c r="M26" s="191"/>
      <c r="N26" s="239"/>
      <c r="O26" s="152"/>
      <c r="P26" s="191"/>
      <c r="Q26" s="386"/>
      <c r="S26" s="240"/>
      <c r="T26" s="240"/>
      <c r="U26" s="240"/>
      <c r="AJ26" s="386"/>
      <c r="AZ26" s="241"/>
      <c r="BJ26" s="193"/>
      <c r="BK26" s="193"/>
      <c r="BL26" s="193"/>
      <c r="BO26" s="152"/>
      <c r="BP26" s="193"/>
      <c r="BQ26" s="242"/>
      <c r="BR26" s="243"/>
      <c r="BS26" s="193"/>
      <c r="BT26" s="243"/>
      <c r="BX26" s="193"/>
      <c r="BY26" s="193"/>
      <c r="BZ26" s="152"/>
      <c r="CA26" s="152"/>
      <c r="CB26" s="152"/>
      <c r="CC26" s="152"/>
    </row>
    <row r="27" spans="1:81" ht="13.8" thickBot="1" x14ac:dyDescent="0.3">
      <c r="A27" s="264" t="s">
        <v>392</v>
      </c>
      <c r="B27" s="265">
        <f>'LM(2)518x PSR flyback converter'!L8</f>
        <v>1000</v>
      </c>
      <c r="C27" s="266" t="s">
        <v>258</v>
      </c>
      <c r="D27" s="172">
        <f>B27/1000</f>
        <v>1</v>
      </c>
      <c r="E27" s="151" t="s">
        <v>487</v>
      </c>
      <c r="F27" s="238"/>
      <c r="G27" s="238"/>
      <c r="H27" s="150">
        <v>21</v>
      </c>
      <c r="I27" s="397">
        <f t="shared" si="0"/>
        <v>2.1000000000000001E-2</v>
      </c>
      <c r="J27" s="191"/>
      <c r="K27" s="191"/>
      <c r="L27" s="191"/>
      <c r="M27" s="191"/>
      <c r="N27" s="239"/>
      <c r="O27" s="152"/>
      <c r="P27" s="191"/>
      <c r="Q27" s="386"/>
      <c r="S27" s="240"/>
      <c r="T27" s="240"/>
      <c r="U27" s="240"/>
      <c r="AJ27" s="386"/>
      <c r="AZ27" s="241"/>
      <c r="BJ27" s="193"/>
      <c r="BK27" s="193"/>
      <c r="BL27" s="193"/>
      <c r="BO27" s="152"/>
      <c r="BP27" s="193"/>
      <c r="BQ27" s="242"/>
      <c r="BR27" s="243"/>
      <c r="BS27" s="193"/>
      <c r="BT27" s="243"/>
      <c r="BX27" s="193"/>
      <c r="BY27" s="193"/>
      <c r="BZ27" s="152"/>
      <c r="CA27" s="152"/>
      <c r="CB27" s="152"/>
      <c r="CC27" s="152"/>
    </row>
    <row r="28" spans="1:81" ht="13.8" thickBot="1" x14ac:dyDescent="0.3">
      <c r="A28" s="264" t="s">
        <v>455</v>
      </c>
      <c r="B28" s="265">
        <f>'LM(2)518x PSR flyback converter'!L9</f>
        <v>1000</v>
      </c>
      <c r="C28" s="266" t="s">
        <v>258</v>
      </c>
      <c r="D28" s="172">
        <f>B28/1000</f>
        <v>1</v>
      </c>
      <c r="E28" s="151" t="s">
        <v>661</v>
      </c>
      <c r="F28" s="238"/>
      <c r="G28" s="238"/>
      <c r="H28" s="150">
        <v>22</v>
      </c>
      <c r="I28" s="397">
        <f t="shared" si="0"/>
        <v>2.2000000000000002E-2</v>
      </c>
      <c r="J28" s="191"/>
      <c r="K28" s="191"/>
      <c r="L28" s="191"/>
      <c r="M28" s="191"/>
      <c r="N28" s="239"/>
      <c r="O28" s="152"/>
      <c r="P28" s="191"/>
      <c r="Q28" s="386"/>
      <c r="S28" s="240"/>
      <c r="T28" s="240"/>
      <c r="U28" s="240"/>
      <c r="AJ28" s="386"/>
      <c r="AZ28" s="241"/>
      <c r="BJ28" s="193"/>
      <c r="BK28" s="193"/>
      <c r="BL28" s="193"/>
      <c r="BO28" s="152"/>
      <c r="BP28" s="193"/>
      <c r="BQ28" s="242"/>
      <c r="BR28" s="243"/>
      <c r="BS28" s="193"/>
      <c r="BT28" s="243"/>
      <c r="BX28" s="193"/>
      <c r="BY28" s="193"/>
      <c r="BZ28" s="152"/>
      <c r="CA28" s="152"/>
      <c r="CB28" s="152"/>
      <c r="CC28" s="152"/>
    </row>
    <row r="29" spans="1:81" ht="13.8" thickBot="1" x14ac:dyDescent="0.3">
      <c r="A29" s="264" t="s">
        <v>259</v>
      </c>
      <c r="B29" s="267">
        <v>0</v>
      </c>
      <c r="C29" s="266"/>
      <c r="D29" s="261">
        <f>B29</f>
        <v>0</v>
      </c>
      <c r="E29" s="268" t="s">
        <v>486</v>
      </c>
      <c r="F29" s="238"/>
      <c r="G29" s="238"/>
      <c r="H29" s="150">
        <v>23</v>
      </c>
      <c r="I29" s="397">
        <f t="shared" si="0"/>
        <v>2.3000000000000003E-2</v>
      </c>
      <c r="J29" s="191"/>
      <c r="K29" s="191"/>
      <c r="L29" s="191"/>
      <c r="M29" s="191"/>
      <c r="N29" s="239"/>
      <c r="O29" s="152"/>
      <c r="P29" s="191"/>
      <c r="Q29" s="386"/>
      <c r="S29" s="240"/>
      <c r="T29" s="240"/>
      <c r="U29" s="240"/>
      <c r="AJ29" s="386"/>
      <c r="AZ29" s="241"/>
      <c r="BJ29" s="193"/>
      <c r="BK29" s="193"/>
      <c r="BL29" s="193"/>
      <c r="BO29" s="152"/>
      <c r="BP29" s="193"/>
      <c r="BQ29" s="242"/>
      <c r="BR29" s="243"/>
      <c r="BS29" s="193"/>
      <c r="BT29" s="243"/>
      <c r="BX29" s="193"/>
      <c r="BY29" s="193"/>
      <c r="BZ29" s="152"/>
      <c r="CA29" s="152"/>
      <c r="CB29" s="152"/>
      <c r="CC29" s="152"/>
    </row>
    <row r="30" spans="1:81" ht="13.8" thickBot="1" x14ac:dyDescent="0.3">
      <c r="A30" s="269" t="s">
        <v>28</v>
      </c>
      <c r="B30" s="265">
        <f>'LM(2)518x PSR flyback converter'!E18</f>
        <v>10</v>
      </c>
      <c r="C30" s="270" t="s">
        <v>97</v>
      </c>
      <c r="D30" s="271">
        <f>B30/1000000</f>
        <v>1.0000000000000001E-5</v>
      </c>
      <c r="E30" s="272" t="s">
        <v>60</v>
      </c>
      <c r="F30" s="238"/>
      <c r="G30" s="238"/>
      <c r="H30" s="150">
        <v>24</v>
      </c>
      <c r="I30" s="397">
        <f t="shared" si="0"/>
        <v>2.4E-2</v>
      </c>
      <c r="J30" s="191"/>
      <c r="K30" s="191"/>
      <c r="L30" s="191"/>
      <c r="M30" s="191"/>
      <c r="N30" s="239"/>
      <c r="O30" s="152"/>
      <c r="P30" s="191"/>
      <c r="Q30" s="386"/>
      <c r="S30" s="240"/>
      <c r="T30" s="240"/>
      <c r="U30" s="240"/>
      <c r="AJ30" s="386"/>
      <c r="AZ30" s="241"/>
      <c r="BJ30" s="193"/>
      <c r="BK30" s="193"/>
      <c r="BL30" s="193"/>
      <c r="BO30" s="152"/>
      <c r="BP30" s="193"/>
      <c r="BQ30" s="242"/>
      <c r="BR30" s="243"/>
      <c r="BS30" s="193"/>
      <c r="BT30" s="243"/>
      <c r="BX30" s="193"/>
      <c r="BY30" s="193"/>
      <c r="BZ30" s="152"/>
      <c r="CA30" s="152"/>
      <c r="CB30" s="152"/>
      <c r="CC30" s="152"/>
    </row>
    <row r="31" spans="1:81" ht="13.8" thickBot="1" x14ac:dyDescent="0.3">
      <c r="A31" s="264" t="s">
        <v>260</v>
      </c>
      <c r="B31" s="265">
        <f>'LM(2)518x PSR flyback converter'!E19</f>
        <v>3</v>
      </c>
      <c r="C31" s="266" t="s">
        <v>258</v>
      </c>
      <c r="D31" s="172">
        <f>B31/1000</f>
        <v>3.0000000000000001E-3</v>
      </c>
      <c r="E31" s="151" t="s">
        <v>261</v>
      </c>
      <c r="F31" s="238"/>
      <c r="G31" s="238"/>
      <c r="H31" s="150">
        <v>25</v>
      </c>
      <c r="I31" s="397">
        <f t="shared" si="0"/>
        <v>2.5000000000000001E-2</v>
      </c>
      <c r="J31" s="191"/>
      <c r="K31" s="191"/>
      <c r="L31" s="191"/>
      <c r="M31" s="191"/>
      <c r="N31" s="239"/>
      <c r="O31" s="152"/>
      <c r="P31" s="191"/>
      <c r="Q31" s="386"/>
      <c r="S31" s="240"/>
      <c r="T31" s="240"/>
      <c r="U31" s="240"/>
      <c r="AJ31" s="386"/>
      <c r="AZ31" s="241"/>
      <c r="BJ31" s="193"/>
      <c r="BK31" s="193"/>
      <c r="BL31" s="193"/>
      <c r="BO31" s="152"/>
      <c r="BP31" s="193"/>
      <c r="BQ31" s="242"/>
      <c r="BR31" s="243"/>
      <c r="BS31" s="193"/>
      <c r="BT31" s="243"/>
      <c r="BX31" s="193"/>
      <c r="BY31" s="193"/>
      <c r="BZ31" s="152"/>
      <c r="CA31" s="152"/>
      <c r="CB31" s="152"/>
      <c r="CC31" s="152"/>
    </row>
    <row r="32" spans="1:81" ht="13.8" thickBot="1" x14ac:dyDescent="0.3">
      <c r="A32" s="262" t="s">
        <v>14</v>
      </c>
      <c r="B32" s="311">
        <f>'LM(2)518x PSR flyback converter'!E22</f>
        <v>10</v>
      </c>
      <c r="C32" s="253" t="s">
        <v>97</v>
      </c>
      <c r="D32" s="254">
        <f>B32/1000000</f>
        <v>1.0000000000000001E-5</v>
      </c>
      <c r="E32" s="151" t="s">
        <v>262</v>
      </c>
      <c r="F32" s="238"/>
      <c r="G32" s="238"/>
      <c r="H32" s="150">
        <v>26</v>
      </c>
      <c r="I32" s="397">
        <f t="shared" si="0"/>
        <v>2.6000000000000002E-2</v>
      </c>
      <c r="J32" s="191"/>
      <c r="K32" s="191"/>
      <c r="L32" s="191"/>
      <c r="M32" s="191"/>
      <c r="N32" s="239"/>
      <c r="O32" s="152"/>
      <c r="P32" s="191"/>
      <c r="Q32" s="386"/>
      <c r="S32" s="240"/>
      <c r="T32" s="240"/>
      <c r="U32" s="240"/>
      <c r="AJ32" s="386"/>
      <c r="AZ32" s="241"/>
      <c r="BJ32" s="193"/>
      <c r="BK32" s="193"/>
      <c r="BL32" s="193"/>
      <c r="BO32" s="152"/>
      <c r="BP32" s="193"/>
      <c r="BQ32" s="242"/>
      <c r="BR32" s="243"/>
      <c r="BS32" s="193"/>
      <c r="BT32" s="243"/>
      <c r="BX32" s="193"/>
      <c r="BY32" s="193"/>
      <c r="BZ32" s="152"/>
      <c r="CA32" s="152"/>
      <c r="CB32" s="152"/>
      <c r="CC32" s="152"/>
    </row>
    <row r="33" spans="1:81" x14ac:dyDescent="0.25">
      <c r="A33" s="264" t="s">
        <v>263</v>
      </c>
      <c r="B33" s="311">
        <f>'LM(2)518x PSR flyback converter'!E23</f>
        <v>3</v>
      </c>
      <c r="C33" s="266" t="s">
        <v>258</v>
      </c>
      <c r="D33" s="172">
        <f>B33/1000</f>
        <v>3.0000000000000001E-3</v>
      </c>
      <c r="E33" s="151" t="s">
        <v>264</v>
      </c>
      <c r="F33" s="238"/>
      <c r="G33" s="238"/>
      <c r="H33" s="150">
        <v>27</v>
      </c>
      <c r="I33" s="397">
        <f t="shared" si="0"/>
        <v>2.7000000000000003E-2</v>
      </c>
      <c r="J33" s="191"/>
      <c r="K33" s="191"/>
      <c r="L33" s="191"/>
      <c r="M33" s="191"/>
      <c r="N33" s="239"/>
      <c r="O33" s="152"/>
      <c r="P33" s="191"/>
      <c r="Q33" s="386"/>
      <c r="S33" s="240"/>
      <c r="T33" s="240"/>
      <c r="U33" s="240"/>
      <c r="AJ33" s="386"/>
      <c r="AZ33" s="241"/>
      <c r="BJ33" s="193"/>
      <c r="BK33" s="193"/>
      <c r="BL33" s="193"/>
      <c r="BO33" s="152"/>
      <c r="BP33" s="193"/>
      <c r="BQ33" s="242"/>
      <c r="BR33" s="243"/>
      <c r="BS33" s="193"/>
      <c r="BT33" s="243"/>
      <c r="BX33" s="193"/>
      <c r="BY33" s="193"/>
      <c r="BZ33" s="152"/>
      <c r="CA33" s="152"/>
      <c r="CB33" s="152"/>
      <c r="CC33" s="152"/>
    </row>
    <row r="34" spans="1:81" x14ac:dyDescent="0.25">
      <c r="A34" s="273" t="s">
        <v>401</v>
      </c>
      <c r="B34" s="236"/>
      <c r="C34" s="273" t="s">
        <v>33</v>
      </c>
      <c r="D34" s="273" t="s">
        <v>90</v>
      </c>
      <c r="E34" s="274" t="s">
        <v>41</v>
      </c>
      <c r="F34" s="238"/>
      <c r="G34" s="238"/>
      <c r="H34" s="150">
        <v>28</v>
      </c>
      <c r="I34" s="397">
        <f t="shared" si="0"/>
        <v>2.8000000000000004E-2</v>
      </c>
      <c r="J34" s="191"/>
      <c r="K34" s="191"/>
      <c r="L34" s="191"/>
      <c r="M34" s="191"/>
      <c r="N34" s="239"/>
      <c r="O34" s="152"/>
      <c r="P34" s="191"/>
      <c r="Q34" s="386"/>
      <c r="S34" s="240"/>
      <c r="T34" s="240"/>
      <c r="U34" s="240"/>
      <c r="AJ34" s="386"/>
      <c r="AZ34" s="241"/>
      <c r="BJ34" s="193"/>
      <c r="BK34" s="193"/>
      <c r="BL34" s="193"/>
      <c r="BO34" s="152"/>
      <c r="BP34" s="193"/>
      <c r="BQ34" s="242"/>
      <c r="BR34" s="243"/>
      <c r="BS34" s="193"/>
      <c r="BT34" s="243"/>
      <c r="BX34" s="193"/>
      <c r="BY34" s="193"/>
      <c r="BZ34" s="152"/>
      <c r="CA34" s="152"/>
      <c r="CB34" s="152"/>
      <c r="CC34" s="152"/>
    </row>
    <row r="35" spans="1:81" x14ac:dyDescent="0.25">
      <c r="A35" s="264" t="s">
        <v>406</v>
      </c>
      <c r="B35" s="275">
        <f>CHOOSE(VARIANT, 1.5, 0.75, 1.5, 2.5, 4.1)</f>
        <v>0.75</v>
      </c>
      <c r="C35" s="253" t="s">
        <v>1</v>
      </c>
      <c r="D35" s="241">
        <f>B35</f>
        <v>0.75</v>
      </c>
      <c r="E35" s="151" t="s">
        <v>405</v>
      </c>
      <c r="F35" s="238"/>
      <c r="G35" s="238"/>
      <c r="H35" s="150">
        <v>29</v>
      </c>
      <c r="I35" s="397">
        <f t="shared" si="0"/>
        <v>2.8999999999999998E-2</v>
      </c>
      <c r="J35" s="191"/>
      <c r="K35" s="191"/>
      <c r="L35" s="191"/>
      <c r="M35" s="191"/>
      <c r="N35" s="239"/>
      <c r="O35" s="152"/>
      <c r="P35" s="191"/>
      <c r="Q35" s="386"/>
      <c r="S35" s="240"/>
      <c r="T35" s="240"/>
      <c r="U35" s="240"/>
      <c r="AJ35" s="386"/>
      <c r="AZ35" s="241"/>
      <c r="BJ35" s="193"/>
      <c r="BK35" s="193"/>
      <c r="BL35" s="193"/>
      <c r="BO35" s="152"/>
      <c r="BP35" s="193"/>
      <c r="BQ35" s="242"/>
      <c r="BR35" s="243"/>
      <c r="BS35" s="193"/>
      <c r="BT35" s="243"/>
      <c r="BX35" s="193"/>
      <c r="BY35" s="193"/>
      <c r="BZ35" s="152"/>
      <c r="CA35" s="152"/>
      <c r="CB35" s="152"/>
      <c r="CC35" s="152"/>
    </row>
    <row r="36" spans="1:81" x14ac:dyDescent="0.25">
      <c r="A36" s="264" t="s">
        <v>414</v>
      </c>
      <c r="B36" s="275">
        <f>B35/5</f>
        <v>0.15</v>
      </c>
      <c r="C36" s="253" t="s">
        <v>1</v>
      </c>
      <c r="D36" s="241">
        <f>B36</f>
        <v>0.15</v>
      </c>
      <c r="E36" s="151" t="s">
        <v>415</v>
      </c>
      <c r="F36" s="238"/>
      <c r="G36" s="238"/>
      <c r="H36" s="150">
        <v>30</v>
      </c>
      <c r="I36" s="397">
        <f t="shared" si="0"/>
        <v>0.03</v>
      </c>
      <c r="J36" s="191"/>
      <c r="K36" s="191"/>
      <c r="L36" s="191"/>
      <c r="M36" s="191"/>
      <c r="N36" s="239"/>
      <c r="O36" s="152"/>
      <c r="P36" s="191"/>
      <c r="Q36" s="386"/>
      <c r="S36" s="240"/>
      <c r="T36" s="240"/>
      <c r="U36" s="240"/>
      <c r="AJ36" s="386"/>
      <c r="AZ36" s="241"/>
      <c r="BJ36" s="193"/>
      <c r="BK36" s="193"/>
      <c r="BL36" s="193"/>
      <c r="BO36" s="152"/>
      <c r="BP36" s="193"/>
      <c r="BQ36" s="242"/>
      <c r="BR36" s="243"/>
      <c r="BS36" s="193"/>
      <c r="BT36" s="243"/>
      <c r="BX36" s="193"/>
      <c r="BY36" s="193"/>
      <c r="BZ36" s="152"/>
      <c r="CA36" s="152"/>
      <c r="CB36" s="152"/>
      <c r="CC36" s="152"/>
    </row>
    <row r="37" spans="1:81" ht="13.8" thickBot="1" x14ac:dyDescent="0.3">
      <c r="A37" s="264" t="s">
        <v>693</v>
      </c>
      <c r="B37" s="555">
        <v>30</v>
      </c>
      <c r="C37" s="150" t="s">
        <v>32</v>
      </c>
      <c r="D37" s="150">
        <f>B37*0.000000001</f>
        <v>3.0000000000000004E-8</v>
      </c>
      <c r="E37" s="150" t="s">
        <v>694</v>
      </c>
      <c r="F37" s="238"/>
      <c r="G37" s="238"/>
      <c r="H37" s="150">
        <v>31</v>
      </c>
      <c r="I37" s="397">
        <f t="shared" si="0"/>
        <v>3.1E-2</v>
      </c>
      <c r="J37" s="191"/>
      <c r="K37" s="191"/>
      <c r="L37" s="191"/>
      <c r="M37" s="191"/>
      <c r="N37" s="239"/>
      <c r="O37" s="152"/>
      <c r="P37" s="191"/>
      <c r="Q37" s="386"/>
      <c r="S37" s="240"/>
      <c r="T37" s="240"/>
      <c r="U37" s="240"/>
      <c r="AJ37" s="386"/>
      <c r="AZ37" s="241"/>
      <c r="BJ37" s="193"/>
      <c r="BK37" s="193"/>
      <c r="BL37" s="193"/>
      <c r="BO37" s="152"/>
      <c r="BP37" s="193"/>
      <c r="BQ37" s="242"/>
      <c r="BR37" s="243"/>
      <c r="BS37" s="193"/>
      <c r="BT37" s="243"/>
      <c r="BX37" s="193"/>
      <c r="BY37" s="193"/>
      <c r="BZ37" s="152"/>
      <c r="CA37" s="152"/>
      <c r="CB37" s="152"/>
      <c r="CC37" s="152"/>
    </row>
    <row r="38" spans="1:81" ht="13.8" thickBot="1" x14ac:dyDescent="0.3">
      <c r="A38" s="276" t="s">
        <v>47</v>
      </c>
      <c r="B38" s="461">
        <v>1</v>
      </c>
      <c r="C38" s="253"/>
      <c r="D38" s="241">
        <f>B38</f>
        <v>1</v>
      </c>
      <c r="E38" s="151" t="s">
        <v>416</v>
      </c>
      <c r="H38" s="150">
        <v>32</v>
      </c>
      <c r="I38" s="397">
        <f t="shared" ref="I38:I69" si="24">IF(PLOT_TYPE=1, H38/100*Iout_max, min_I*EXP(H38*rr/100))</f>
        <v>3.2000000000000001E-2</v>
      </c>
      <c r="J38" s="191"/>
      <c r="K38" s="191"/>
      <c r="L38" s="191"/>
      <c r="M38" s="191"/>
      <c r="N38" s="239"/>
      <c r="O38" s="152"/>
      <c r="P38" s="191"/>
      <c r="Q38" s="386"/>
      <c r="S38" s="240"/>
      <c r="T38" s="240"/>
      <c r="U38" s="240"/>
      <c r="AJ38" s="386"/>
      <c r="AZ38" s="241"/>
      <c r="BJ38" s="193"/>
      <c r="BK38" s="193"/>
      <c r="BL38" s="193"/>
      <c r="BO38" s="152"/>
      <c r="BP38" s="193"/>
      <c r="BQ38" s="242"/>
      <c r="BR38" s="243"/>
      <c r="BS38" s="193"/>
      <c r="BT38" s="243"/>
      <c r="BX38" s="193"/>
      <c r="BY38" s="193"/>
      <c r="BZ38" s="152"/>
      <c r="CA38" s="152"/>
      <c r="CB38" s="152"/>
      <c r="CC38" s="152"/>
    </row>
    <row r="39" spans="1:81" x14ac:dyDescent="0.25">
      <c r="A39" s="264" t="s">
        <v>24</v>
      </c>
      <c r="B39" s="277">
        <v>290</v>
      </c>
      <c r="C39" s="253" t="s">
        <v>265</v>
      </c>
      <c r="D39" s="255">
        <f>B39/1000000</f>
        <v>2.9E-4</v>
      </c>
      <c r="E39" s="151" t="s">
        <v>488</v>
      </c>
      <c r="H39" s="150">
        <v>33</v>
      </c>
      <c r="I39" s="397">
        <f t="shared" si="24"/>
        <v>3.3000000000000002E-2</v>
      </c>
      <c r="J39" s="191"/>
      <c r="K39" s="191"/>
      <c r="L39" s="191"/>
      <c r="M39" s="191"/>
      <c r="N39" s="239"/>
      <c r="O39" s="152"/>
      <c r="P39" s="191"/>
      <c r="Q39" s="386"/>
      <c r="S39" s="240"/>
      <c r="T39" s="240"/>
      <c r="U39" s="240"/>
      <c r="AJ39" s="386"/>
      <c r="AZ39" s="241"/>
      <c r="BJ39" s="193"/>
      <c r="BK39" s="193"/>
      <c r="BL39" s="193"/>
      <c r="BO39" s="152"/>
      <c r="BP39" s="193"/>
      <c r="BQ39" s="242"/>
      <c r="BR39" s="243"/>
      <c r="BS39" s="193"/>
      <c r="BT39" s="243"/>
      <c r="BX39" s="193"/>
      <c r="BY39" s="193"/>
      <c r="BZ39" s="152"/>
      <c r="CA39" s="152"/>
      <c r="CB39" s="152"/>
      <c r="CC39" s="152"/>
    </row>
    <row r="40" spans="1:81" ht="13.8" thickBot="1" x14ac:dyDescent="0.3">
      <c r="A40" s="273" t="s">
        <v>398</v>
      </c>
      <c r="B40" s="278"/>
      <c r="C40" s="273" t="s">
        <v>33</v>
      </c>
      <c r="D40" s="273" t="s">
        <v>90</v>
      </c>
      <c r="E40" s="279" t="s">
        <v>41</v>
      </c>
      <c r="H40" s="150">
        <v>34</v>
      </c>
      <c r="I40" s="397">
        <f t="shared" si="24"/>
        <v>3.4000000000000002E-2</v>
      </c>
      <c r="J40" s="191"/>
      <c r="K40" s="191"/>
      <c r="L40" s="191"/>
      <c r="M40" s="191"/>
      <c r="N40" s="239"/>
      <c r="O40" s="152"/>
      <c r="P40" s="191"/>
      <c r="Q40" s="386"/>
      <c r="S40" s="240"/>
      <c r="T40" s="240"/>
      <c r="U40" s="240"/>
      <c r="AJ40" s="386"/>
      <c r="AZ40" s="241"/>
      <c r="BJ40" s="193"/>
      <c r="BK40" s="193"/>
      <c r="BL40" s="193"/>
      <c r="BO40" s="152"/>
      <c r="BP40" s="193"/>
      <c r="BQ40" s="242"/>
      <c r="BR40" s="243"/>
      <c r="BS40" s="193"/>
      <c r="BT40" s="243"/>
      <c r="BX40" s="193"/>
      <c r="BY40" s="193"/>
      <c r="BZ40" s="152"/>
      <c r="CA40" s="152"/>
      <c r="CB40" s="152"/>
      <c r="CC40" s="152"/>
    </row>
    <row r="41" spans="1:81" x14ac:dyDescent="0.25">
      <c r="A41" s="280" t="s">
        <v>399</v>
      </c>
      <c r="B41" s="281">
        <f>CHOOSE(VARIANT, 350, 350, 350, 110, 110)</f>
        <v>350</v>
      </c>
      <c r="C41" s="247" t="s">
        <v>258</v>
      </c>
      <c r="D41" s="151">
        <f>B41/1000</f>
        <v>0.35</v>
      </c>
      <c r="E41" s="151" t="s">
        <v>403</v>
      </c>
      <c r="H41" s="150">
        <v>35</v>
      </c>
      <c r="I41" s="397">
        <f t="shared" si="24"/>
        <v>3.4999999999999996E-2</v>
      </c>
      <c r="J41" s="191"/>
      <c r="K41" s="191"/>
      <c r="L41" s="191"/>
      <c r="M41" s="191"/>
      <c r="N41" s="239"/>
      <c r="O41" s="152"/>
      <c r="P41" s="191"/>
      <c r="Q41" s="386"/>
      <c r="S41" s="240"/>
      <c r="T41" s="240"/>
      <c r="U41" s="240"/>
      <c r="AJ41" s="386"/>
      <c r="AZ41" s="241"/>
      <c r="BJ41" s="193"/>
      <c r="BK41" s="193"/>
      <c r="BL41" s="193"/>
      <c r="BO41" s="152"/>
      <c r="BP41" s="193"/>
      <c r="BQ41" s="242"/>
      <c r="BR41" s="243"/>
      <c r="BS41" s="193"/>
      <c r="BT41" s="243"/>
      <c r="BX41" s="193"/>
      <c r="BY41" s="193"/>
      <c r="BZ41" s="152"/>
      <c r="CA41" s="152"/>
      <c r="CB41" s="152"/>
      <c r="CC41" s="152"/>
    </row>
    <row r="42" spans="1:81" ht="13.8" thickBot="1" x14ac:dyDescent="0.3">
      <c r="A42" s="150" t="s">
        <v>687</v>
      </c>
      <c r="B42" s="150">
        <v>4500</v>
      </c>
      <c r="C42" s="552" t="s">
        <v>688</v>
      </c>
      <c r="D42" s="151">
        <f>B42/1000000</f>
        <v>4.4999999999999997E-3</v>
      </c>
      <c r="E42" s="553" t="s">
        <v>689</v>
      </c>
      <c r="H42" s="150">
        <v>36</v>
      </c>
      <c r="I42" s="397">
        <f t="shared" si="24"/>
        <v>3.5999999999999997E-2</v>
      </c>
      <c r="J42" s="191"/>
      <c r="K42" s="191"/>
      <c r="L42" s="191"/>
      <c r="M42" s="191"/>
      <c r="N42" s="239"/>
      <c r="O42" s="152"/>
      <c r="P42" s="191"/>
      <c r="Q42" s="386"/>
      <c r="S42" s="240"/>
      <c r="T42" s="240"/>
      <c r="U42" s="240"/>
      <c r="AJ42" s="386"/>
      <c r="AZ42" s="241"/>
      <c r="BJ42" s="193"/>
      <c r="BK42" s="193"/>
      <c r="BL42" s="193"/>
      <c r="BO42" s="152"/>
      <c r="BP42" s="193"/>
      <c r="BQ42" s="242"/>
      <c r="BR42" s="243"/>
      <c r="BS42" s="193"/>
      <c r="BT42" s="243"/>
      <c r="BX42" s="193"/>
      <c r="BY42" s="193"/>
      <c r="BZ42" s="152"/>
      <c r="CA42" s="152"/>
      <c r="CB42" s="152"/>
      <c r="CC42" s="152"/>
    </row>
    <row r="43" spans="1:81" ht="13.8" thickBot="1" x14ac:dyDescent="0.3">
      <c r="A43" s="264" t="s">
        <v>266</v>
      </c>
      <c r="B43" s="282"/>
      <c r="C43" s="150" t="s">
        <v>267</v>
      </c>
      <c r="D43" s="151"/>
      <c r="E43" s="151" t="s">
        <v>266</v>
      </c>
      <c r="H43" s="150">
        <v>37</v>
      </c>
      <c r="I43" s="397">
        <f t="shared" si="24"/>
        <v>3.6999999999999998E-2</v>
      </c>
      <c r="J43" s="191"/>
      <c r="K43" s="191"/>
      <c r="L43" s="191"/>
      <c r="M43" s="191"/>
      <c r="N43" s="239"/>
      <c r="O43" s="152"/>
      <c r="P43" s="191"/>
      <c r="Q43" s="386"/>
      <c r="S43" s="240"/>
      <c r="T43" s="240"/>
      <c r="U43" s="240"/>
      <c r="AJ43" s="386"/>
      <c r="AZ43" s="241"/>
      <c r="BJ43" s="193"/>
      <c r="BK43" s="193"/>
      <c r="BL43" s="193"/>
      <c r="BO43" s="152"/>
      <c r="BP43" s="193"/>
      <c r="BQ43" s="242"/>
      <c r="BR43" s="243"/>
      <c r="BS43" s="193"/>
      <c r="BT43" s="243"/>
      <c r="BX43" s="193"/>
      <c r="BY43" s="193"/>
      <c r="BZ43" s="152"/>
      <c r="CA43" s="152"/>
      <c r="CB43" s="152"/>
      <c r="CC43" s="152"/>
    </row>
    <row r="44" spans="1:81" ht="13.8" thickBot="1" x14ac:dyDescent="0.3">
      <c r="A44" s="264" t="s">
        <v>400</v>
      </c>
      <c r="B44" s="281">
        <f>CHOOSE(VARIANT, 2.5, 2.5, 2.5, 10, 10)</f>
        <v>2.5</v>
      </c>
      <c r="C44" s="253" t="s">
        <v>31</v>
      </c>
      <c r="D44" s="151">
        <f>B44/1000000000</f>
        <v>2.5000000000000001E-9</v>
      </c>
      <c r="E44" s="151" t="s">
        <v>402</v>
      </c>
      <c r="H44" s="150">
        <v>38</v>
      </c>
      <c r="I44" s="397">
        <f t="shared" si="24"/>
        <v>3.8000000000000006E-2</v>
      </c>
      <c r="J44" s="191"/>
      <c r="K44" s="191"/>
      <c r="L44" s="191"/>
      <c r="M44" s="191"/>
      <c r="N44" s="239"/>
      <c r="O44" s="152"/>
      <c r="P44" s="191"/>
      <c r="Q44" s="386"/>
      <c r="S44" s="240"/>
      <c r="T44" s="240"/>
      <c r="U44" s="240"/>
      <c r="AJ44" s="386"/>
      <c r="AZ44" s="241"/>
      <c r="BJ44" s="193"/>
      <c r="BK44" s="193"/>
      <c r="BL44" s="193"/>
      <c r="BO44" s="152"/>
      <c r="BP44" s="193"/>
      <c r="BQ44" s="242"/>
      <c r="BR44" s="243"/>
      <c r="BS44" s="193"/>
      <c r="BT44" s="243"/>
      <c r="BX44" s="193"/>
      <c r="BY44" s="193"/>
      <c r="BZ44" s="152"/>
      <c r="CA44" s="152"/>
      <c r="CB44" s="152"/>
      <c r="CC44" s="152"/>
    </row>
    <row r="45" spans="1:81" ht="13.8" thickBot="1" x14ac:dyDescent="0.3">
      <c r="A45" s="264" t="s">
        <v>240</v>
      </c>
      <c r="B45" s="281">
        <f>CHOOSE(VARIANT, 50, 50, 50, 200, 200)</f>
        <v>50</v>
      </c>
      <c r="C45" s="253" t="s">
        <v>15</v>
      </c>
      <c r="D45" s="283">
        <f>B45/1000000000000</f>
        <v>5.0000000000000002E-11</v>
      </c>
      <c r="E45" s="151" t="s">
        <v>327</v>
      </c>
      <c r="H45" s="150">
        <v>39</v>
      </c>
      <c r="I45" s="397">
        <f t="shared" si="24"/>
        <v>3.9000000000000007E-2</v>
      </c>
      <c r="J45" s="191"/>
      <c r="K45" s="191"/>
      <c r="L45" s="191"/>
      <c r="M45" s="191"/>
      <c r="N45" s="239"/>
      <c r="O45" s="152"/>
      <c r="P45" s="191"/>
      <c r="Q45" s="386"/>
      <c r="S45" s="240"/>
      <c r="T45" s="240"/>
      <c r="U45" s="240"/>
      <c r="AJ45" s="386"/>
      <c r="AZ45" s="241"/>
      <c r="BJ45" s="193"/>
      <c r="BK45" s="193"/>
      <c r="BL45" s="193"/>
      <c r="BO45" s="152"/>
      <c r="BP45" s="193"/>
      <c r="BQ45" s="242"/>
      <c r="BR45" s="243"/>
      <c r="BS45" s="193"/>
      <c r="BT45" s="243"/>
      <c r="BX45" s="193"/>
      <c r="BY45" s="193"/>
      <c r="BZ45" s="152"/>
      <c r="CA45" s="152"/>
      <c r="CB45" s="152"/>
      <c r="CC45" s="152"/>
    </row>
    <row r="46" spans="1:81" x14ac:dyDescent="0.25">
      <c r="A46" s="280" t="s">
        <v>326</v>
      </c>
      <c r="B46" s="281">
        <f>CHOOSE(VARIANT, 50, 50, 50, 250, 250)</f>
        <v>50</v>
      </c>
      <c r="C46" s="253" t="s">
        <v>15</v>
      </c>
      <c r="D46" s="255">
        <f>B46/1000000000000</f>
        <v>5.0000000000000002E-11</v>
      </c>
      <c r="E46" s="151" t="s">
        <v>479</v>
      </c>
      <c r="H46" s="150">
        <v>40</v>
      </c>
      <c r="I46" s="397">
        <f t="shared" si="24"/>
        <v>4.0000000000000008E-2</v>
      </c>
      <c r="J46" s="191"/>
      <c r="K46" s="191"/>
      <c r="L46" s="191"/>
      <c r="M46" s="191"/>
      <c r="N46" s="239"/>
      <c r="O46" s="152"/>
      <c r="P46" s="191"/>
      <c r="Q46" s="386"/>
      <c r="S46" s="240"/>
      <c r="T46" s="240"/>
      <c r="U46" s="240"/>
      <c r="AJ46" s="386"/>
      <c r="AZ46" s="241"/>
      <c r="BJ46" s="193"/>
      <c r="BK46" s="193"/>
      <c r="BL46" s="193"/>
      <c r="BO46" s="152"/>
      <c r="BP46" s="193"/>
      <c r="BQ46" s="242"/>
      <c r="BR46" s="243"/>
      <c r="BS46" s="193"/>
      <c r="BT46" s="243"/>
      <c r="BX46" s="193"/>
      <c r="BY46" s="193"/>
      <c r="BZ46" s="152"/>
      <c r="CA46" s="152"/>
      <c r="CB46" s="152"/>
      <c r="CC46" s="152"/>
    </row>
    <row r="47" spans="1:81" ht="13.8" thickBot="1" x14ac:dyDescent="0.3">
      <c r="A47" s="273" t="s">
        <v>404</v>
      </c>
      <c r="B47" s="284"/>
      <c r="C47" s="273" t="s">
        <v>33</v>
      </c>
      <c r="D47" s="273" t="s">
        <v>90</v>
      </c>
      <c r="E47" s="285" t="s">
        <v>41</v>
      </c>
      <c r="H47" s="150">
        <v>41</v>
      </c>
      <c r="I47" s="397">
        <f t="shared" si="24"/>
        <v>4.1000000000000002E-2</v>
      </c>
      <c r="J47" s="191"/>
      <c r="K47" s="191"/>
      <c r="L47" s="191"/>
      <c r="M47" s="191"/>
      <c r="N47" s="239"/>
      <c r="O47" s="152"/>
      <c r="P47" s="191"/>
      <c r="Q47" s="386"/>
      <c r="S47" s="240"/>
      <c r="T47" s="240"/>
      <c r="U47" s="240"/>
      <c r="AJ47" s="386"/>
      <c r="AZ47" s="241"/>
      <c r="BJ47" s="193"/>
      <c r="BK47" s="193"/>
      <c r="BL47" s="193"/>
      <c r="BO47" s="152"/>
      <c r="BP47" s="193"/>
      <c r="BQ47" s="242"/>
      <c r="BR47" s="243"/>
      <c r="BS47" s="193"/>
      <c r="BT47" s="243"/>
      <c r="BX47" s="193"/>
      <c r="BY47" s="193"/>
      <c r="BZ47" s="152"/>
      <c r="CA47" s="152"/>
      <c r="CB47" s="152"/>
      <c r="CC47" s="152"/>
    </row>
    <row r="48" spans="1:81" ht="13.8" thickBot="1" x14ac:dyDescent="0.3">
      <c r="A48" s="280" t="s">
        <v>659</v>
      </c>
      <c r="B48" s="281">
        <f>'LM(2)518x PSR flyback converter'!E42</f>
        <v>0.32</v>
      </c>
      <c r="C48" s="151" t="s">
        <v>0</v>
      </c>
      <c r="D48" s="151">
        <f>B48</f>
        <v>0.32</v>
      </c>
      <c r="E48" s="151" t="s">
        <v>658</v>
      </c>
      <c r="H48" s="150">
        <v>42</v>
      </c>
      <c r="I48" s="397">
        <f t="shared" si="24"/>
        <v>4.2000000000000003E-2</v>
      </c>
      <c r="J48" s="191"/>
      <c r="K48" s="191"/>
      <c r="L48" s="191"/>
      <c r="M48" s="191"/>
      <c r="N48" s="239"/>
      <c r="O48" s="152"/>
      <c r="P48" s="191"/>
      <c r="Q48" s="386"/>
      <c r="S48" s="240"/>
      <c r="T48" s="240"/>
      <c r="U48" s="240"/>
      <c r="AJ48" s="386"/>
      <c r="AZ48" s="241"/>
      <c r="BJ48" s="193"/>
      <c r="BK48" s="193"/>
      <c r="BL48" s="193"/>
      <c r="BO48" s="152"/>
      <c r="BP48" s="193"/>
      <c r="BQ48" s="242"/>
      <c r="BR48" s="243"/>
      <c r="BS48" s="193"/>
      <c r="BT48" s="243"/>
      <c r="BX48" s="193"/>
      <c r="BY48" s="193"/>
      <c r="BZ48" s="152"/>
      <c r="CA48" s="152"/>
      <c r="CB48" s="152"/>
      <c r="CC48" s="152"/>
    </row>
    <row r="49" spans="1:81" ht="13.8" thickBot="1" x14ac:dyDescent="0.3">
      <c r="A49" s="280" t="s">
        <v>660</v>
      </c>
      <c r="B49" s="281">
        <f>'LM(2)518x PSR flyback converter'!E43</f>
        <v>0.4</v>
      </c>
      <c r="C49" s="151" t="s">
        <v>0</v>
      </c>
      <c r="D49" s="151">
        <f>B49</f>
        <v>0.4</v>
      </c>
      <c r="E49" s="151" t="s">
        <v>657</v>
      </c>
      <c r="H49" s="150">
        <v>43</v>
      </c>
      <c r="I49" s="397">
        <f t="shared" si="24"/>
        <v>4.3000000000000003E-2</v>
      </c>
      <c r="J49" s="191"/>
      <c r="K49" s="191"/>
      <c r="L49" s="191"/>
      <c r="M49" s="191"/>
      <c r="N49" s="239"/>
      <c r="O49" s="152"/>
      <c r="P49" s="191"/>
      <c r="Q49" s="386"/>
      <c r="S49" s="240"/>
      <c r="T49" s="240"/>
      <c r="U49" s="240"/>
      <c r="AJ49" s="386"/>
      <c r="AZ49" s="241"/>
      <c r="BJ49" s="193"/>
      <c r="BK49" s="193"/>
      <c r="BL49" s="193"/>
      <c r="BO49" s="152"/>
      <c r="BP49" s="193"/>
      <c r="BQ49" s="242"/>
      <c r="BR49" s="243"/>
      <c r="BS49" s="193"/>
      <c r="BT49" s="243"/>
      <c r="BX49" s="193"/>
      <c r="BY49" s="193"/>
      <c r="BZ49" s="152"/>
      <c r="CA49" s="152"/>
      <c r="CB49" s="152"/>
      <c r="CC49" s="152"/>
    </row>
    <row r="50" spans="1:81" ht="13.8" thickBot="1" x14ac:dyDescent="0.3">
      <c r="A50" s="280" t="s">
        <v>268</v>
      </c>
      <c r="B50" s="281">
        <f>(B49-B48)/Iout</f>
        <v>0.80000000000000016</v>
      </c>
      <c r="C50" s="247" t="s">
        <v>45</v>
      </c>
      <c r="D50" s="151">
        <f>B50</f>
        <v>0.80000000000000016</v>
      </c>
      <c r="E50" s="151" t="s">
        <v>811</v>
      </c>
      <c r="H50" s="150">
        <v>44</v>
      </c>
      <c r="I50" s="397">
        <f t="shared" si="24"/>
        <v>4.4000000000000004E-2</v>
      </c>
      <c r="J50" s="191"/>
      <c r="K50" s="191"/>
      <c r="L50" s="191"/>
      <c r="M50" s="191"/>
      <c r="N50" s="239"/>
      <c r="O50" s="152"/>
      <c r="P50" s="191"/>
      <c r="Q50" s="386"/>
      <c r="S50" s="240"/>
      <c r="T50" s="240"/>
      <c r="U50" s="240"/>
      <c r="AJ50" s="386"/>
      <c r="AZ50" s="241"/>
      <c r="BJ50" s="193"/>
      <c r="BK50" s="193"/>
      <c r="BL50" s="193"/>
      <c r="BO50" s="152"/>
      <c r="BP50" s="193"/>
      <c r="BQ50" s="242"/>
      <c r="BR50" s="243"/>
      <c r="BS50" s="193"/>
      <c r="BT50" s="243"/>
      <c r="BX50" s="193"/>
      <c r="BY50" s="193"/>
      <c r="BZ50" s="152"/>
      <c r="CA50" s="152"/>
      <c r="CB50" s="152"/>
      <c r="CC50" s="152"/>
    </row>
    <row r="51" spans="1:81" ht="13.8" thickBot="1" x14ac:dyDescent="0.3">
      <c r="A51" s="264" t="s">
        <v>407</v>
      </c>
      <c r="B51" s="281">
        <v>2</v>
      </c>
      <c r="C51" s="253" t="s">
        <v>31</v>
      </c>
      <c r="D51" s="255">
        <f>B51*0.000000001</f>
        <v>2.0000000000000001E-9</v>
      </c>
      <c r="E51" s="151" t="s">
        <v>269</v>
      </c>
      <c r="H51" s="150">
        <v>45</v>
      </c>
      <c r="I51" s="397">
        <f t="shared" si="24"/>
        <v>4.5000000000000005E-2</v>
      </c>
      <c r="J51" s="191"/>
      <c r="K51" s="191"/>
      <c r="L51" s="191"/>
      <c r="M51" s="191"/>
      <c r="N51" s="239"/>
      <c r="O51" s="152"/>
      <c r="P51" s="191"/>
      <c r="Q51" s="386"/>
      <c r="S51" s="240"/>
      <c r="T51" s="240"/>
      <c r="U51" s="240"/>
      <c r="AJ51" s="386"/>
      <c r="AZ51" s="241"/>
      <c r="BJ51" s="193"/>
      <c r="BK51" s="193"/>
      <c r="BL51" s="193"/>
      <c r="BO51" s="152"/>
      <c r="BP51" s="193"/>
      <c r="BQ51" s="242"/>
      <c r="BR51" s="243"/>
      <c r="BS51" s="193"/>
      <c r="BT51" s="243"/>
      <c r="BX51" s="193"/>
      <c r="BY51" s="193"/>
      <c r="BZ51" s="152"/>
      <c r="CA51" s="152"/>
      <c r="CB51" s="152"/>
      <c r="CC51" s="152"/>
    </row>
    <row r="52" spans="1:81" ht="13.8" thickBot="1" x14ac:dyDescent="0.3">
      <c r="A52" s="264" t="s">
        <v>408</v>
      </c>
      <c r="B52" s="281">
        <v>10</v>
      </c>
      <c r="C52" s="253" t="s">
        <v>32</v>
      </c>
      <c r="D52" s="255">
        <f>B52*0.000000001</f>
        <v>1E-8</v>
      </c>
      <c r="E52" s="151" t="s">
        <v>270</v>
      </c>
      <c r="H52" s="150">
        <v>46</v>
      </c>
      <c r="I52" s="397">
        <f t="shared" si="24"/>
        <v>4.6000000000000006E-2</v>
      </c>
      <c r="J52" s="191"/>
      <c r="K52" s="191"/>
      <c r="L52" s="191"/>
      <c r="M52" s="191"/>
      <c r="N52" s="239"/>
      <c r="O52" s="152"/>
      <c r="P52" s="191"/>
      <c r="Q52" s="386"/>
      <c r="S52" s="240"/>
      <c r="T52" s="240"/>
      <c r="U52" s="240"/>
      <c r="AJ52" s="386"/>
      <c r="AZ52" s="241"/>
      <c r="BJ52" s="193"/>
      <c r="BK52" s="193"/>
      <c r="BL52" s="193"/>
      <c r="BO52" s="152"/>
      <c r="BP52" s="193"/>
      <c r="BQ52" s="242"/>
      <c r="BR52" s="243"/>
      <c r="BS52" s="193"/>
      <c r="BT52" s="243"/>
      <c r="BX52" s="193"/>
      <c r="BY52" s="193"/>
      <c r="BZ52" s="152"/>
      <c r="CA52" s="152"/>
      <c r="CB52" s="152"/>
      <c r="CC52" s="152"/>
    </row>
    <row r="53" spans="1:81" x14ac:dyDescent="0.25">
      <c r="A53" s="280" t="s">
        <v>497</v>
      </c>
      <c r="B53" s="281">
        <v>0</v>
      </c>
      <c r="C53" s="151" t="s">
        <v>271</v>
      </c>
      <c r="D53" s="255">
        <f>B53/1000000</f>
        <v>0</v>
      </c>
      <c r="E53" s="151" t="s">
        <v>272</v>
      </c>
      <c r="H53" s="150">
        <v>47</v>
      </c>
      <c r="I53" s="397">
        <f t="shared" si="24"/>
        <v>4.7E-2</v>
      </c>
      <c r="J53" s="191"/>
      <c r="K53" s="191"/>
      <c r="L53" s="191"/>
      <c r="M53" s="191"/>
      <c r="N53" s="239"/>
      <c r="O53" s="152"/>
      <c r="P53" s="191"/>
      <c r="Q53" s="386"/>
      <c r="S53" s="240"/>
      <c r="T53" s="240"/>
      <c r="U53" s="240"/>
      <c r="AJ53" s="386"/>
      <c r="AZ53" s="241"/>
      <c r="BJ53" s="193"/>
      <c r="BK53" s="193"/>
      <c r="BL53" s="193"/>
      <c r="BO53" s="152"/>
      <c r="BP53" s="193"/>
      <c r="BQ53" s="242"/>
      <c r="BR53" s="243"/>
      <c r="BS53" s="193"/>
      <c r="BT53" s="243"/>
      <c r="BX53" s="193"/>
      <c r="BY53" s="193"/>
      <c r="BZ53" s="152"/>
      <c r="CA53" s="152"/>
      <c r="CB53" s="152"/>
      <c r="CC53" s="152"/>
    </row>
    <row r="54" spans="1:81" x14ac:dyDescent="0.25">
      <c r="A54" s="150" t="s">
        <v>691</v>
      </c>
      <c r="B54" s="175">
        <f>'LM(2)518x PSR flyback converter'!E44</f>
        <v>41</v>
      </c>
      <c r="C54" s="552" t="s">
        <v>84</v>
      </c>
      <c r="D54" s="175">
        <f>B54</f>
        <v>41</v>
      </c>
      <c r="E54" s="150" t="s">
        <v>690</v>
      </c>
      <c r="H54" s="150">
        <v>48</v>
      </c>
      <c r="I54" s="397">
        <f t="shared" si="24"/>
        <v>4.8000000000000001E-2</v>
      </c>
      <c r="J54" s="191"/>
      <c r="K54" s="191"/>
      <c r="L54" s="191"/>
      <c r="M54" s="191"/>
      <c r="N54" s="239"/>
      <c r="O54" s="152"/>
      <c r="P54" s="191"/>
      <c r="Q54" s="386"/>
      <c r="S54" s="240"/>
      <c r="T54" s="240"/>
      <c r="U54" s="240"/>
      <c r="AJ54" s="386"/>
      <c r="AZ54" s="241"/>
      <c r="BJ54" s="193"/>
      <c r="BK54" s="193"/>
      <c r="BL54" s="193"/>
      <c r="BO54" s="152"/>
      <c r="BP54" s="193"/>
      <c r="BQ54" s="242"/>
      <c r="BR54" s="243"/>
      <c r="BS54" s="193"/>
      <c r="BT54" s="243"/>
      <c r="BX54" s="193"/>
      <c r="BY54" s="193"/>
      <c r="BZ54" s="152"/>
      <c r="CA54" s="152"/>
      <c r="CB54" s="152"/>
      <c r="CC54" s="152"/>
    </row>
    <row r="55" spans="1:81" x14ac:dyDescent="0.25">
      <c r="H55" s="150">
        <v>49</v>
      </c>
      <c r="I55" s="397">
        <f t="shared" si="24"/>
        <v>4.9000000000000002E-2</v>
      </c>
      <c r="J55" s="191"/>
      <c r="K55" s="191"/>
      <c r="L55" s="191"/>
      <c r="M55" s="191"/>
      <c r="N55" s="239"/>
      <c r="O55" s="152"/>
      <c r="P55" s="191"/>
      <c r="Q55" s="386"/>
      <c r="S55" s="240"/>
      <c r="T55" s="240"/>
      <c r="U55" s="240"/>
      <c r="AJ55" s="386"/>
      <c r="AZ55" s="241"/>
      <c r="BJ55" s="193"/>
      <c r="BK55" s="193"/>
      <c r="BL55" s="193"/>
      <c r="BO55" s="152"/>
      <c r="BP55" s="193"/>
      <c r="BQ55" s="242"/>
      <c r="BR55" s="243"/>
      <c r="BS55" s="193"/>
      <c r="BT55" s="243"/>
      <c r="BX55" s="193"/>
      <c r="BY55" s="193"/>
      <c r="BZ55" s="152"/>
      <c r="CA55" s="152"/>
      <c r="CB55" s="152"/>
      <c r="CC55" s="152"/>
    </row>
    <row r="56" spans="1:81" x14ac:dyDescent="0.25">
      <c r="H56" s="150">
        <v>50</v>
      </c>
      <c r="I56" s="397">
        <f t="shared" si="24"/>
        <v>0.05</v>
      </c>
      <c r="J56" s="191"/>
      <c r="K56" s="191"/>
      <c r="L56" s="191"/>
      <c r="M56" s="191"/>
      <c r="N56" s="239"/>
      <c r="O56" s="152"/>
      <c r="P56" s="191"/>
      <c r="Q56" s="386"/>
      <c r="S56" s="240"/>
      <c r="T56" s="240"/>
      <c r="U56" s="240"/>
      <c r="AJ56" s="386"/>
      <c r="AZ56" s="241"/>
      <c r="BJ56" s="193"/>
      <c r="BK56" s="193"/>
      <c r="BL56" s="193"/>
      <c r="BO56" s="152"/>
      <c r="BP56" s="193"/>
      <c r="BQ56" s="242"/>
      <c r="BR56" s="243"/>
      <c r="BS56" s="193"/>
      <c r="BT56" s="243"/>
      <c r="BX56" s="193"/>
      <c r="BY56" s="193"/>
      <c r="BZ56" s="152"/>
      <c r="CA56" s="152"/>
      <c r="CB56" s="152"/>
      <c r="CC56" s="152"/>
    </row>
    <row r="57" spans="1:81" x14ac:dyDescent="0.25">
      <c r="H57" s="150">
        <v>51</v>
      </c>
      <c r="I57" s="397">
        <f t="shared" si="24"/>
        <v>5.1000000000000004E-2</v>
      </c>
      <c r="J57" s="191"/>
      <c r="K57" s="191"/>
      <c r="L57" s="191"/>
      <c r="M57" s="191"/>
      <c r="N57" s="239"/>
      <c r="O57" s="152"/>
      <c r="P57" s="191"/>
      <c r="Q57" s="386"/>
      <c r="S57" s="240"/>
      <c r="T57" s="240"/>
      <c r="U57" s="240"/>
      <c r="AJ57" s="386"/>
      <c r="AZ57" s="241"/>
      <c r="BJ57" s="193"/>
      <c r="BK57" s="193"/>
      <c r="BL57" s="193"/>
      <c r="BO57" s="152"/>
      <c r="BP57" s="193"/>
      <c r="BQ57" s="242"/>
      <c r="BR57" s="243"/>
      <c r="BS57" s="193"/>
      <c r="BT57" s="243"/>
      <c r="BX57" s="193"/>
      <c r="BY57" s="193"/>
      <c r="BZ57" s="152"/>
      <c r="CA57" s="152"/>
      <c r="CB57" s="152"/>
      <c r="CC57" s="152"/>
    </row>
    <row r="58" spans="1:81" x14ac:dyDescent="0.25">
      <c r="H58" s="150">
        <v>52</v>
      </c>
      <c r="I58" s="397">
        <f t="shared" si="24"/>
        <v>5.2000000000000005E-2</v>
      </c>
      <c r="J58" s="191"/>
      <c r="K58" s="191"/>
      <c r="L58" s="191"/>
      <c r="M58" s="191"/>
      <c r="N58" s="239"/>
      <c r="O58" s="152"/>
      <c r="P58" s="191"/>
      <c r="Q58" s="386"/>
      <c r="S58" s="240"/>
      <c r="T58" s="240"/>
      <c r="U58" s="240"/>
      <c r="AJ58" s="386"/>
      <c r="AZ58" s="241"/>
      <c r="BJ58" s="193"/>
      <c r="BK58" s="193"/>
      <c r="BL58" s="193"/>
      <c r="BO58" s="152"/>
      <c r="BP58" s="193"/>
      <c r="BQ58" s="242"/>
      <c r="BR58" s="243"/>
      <c r="BS58" s="193"/>
      <c r="BT58" s="243"/>
      <c r="BX58" s="193"/>
      <c r="BY58" s="193"/>
      <c r="BZ58" s="152"/>
      <c r="CA58" s="152"/>
      <c r="CB58" s="152"/>
      <c r="CC58" s="152"/>
    </row>
    <row r="59" spans="1:81" x14ac:dyDescent="0.25">
      <c r="H59" s="150">
        <v>53</v>
      </c>
      <c r="I59" s="397">
        <f t="shared" si="24"/>
        <v>5.3000000000000005E-2</v>
      </c>
      <c r="J59" s="191"/>
      <c r="K59" s="191"/>
      <c r="L59" s="191"/>
      <c r="M59" s="191"/>
      <c r="N59" s="239"/>
      <c r="O59" s="152"/>
      <c r="P59" s="191"/>
      <c r="Q59" s="386"/>
      <c r="S59" s="240"/>
      <c r="T59" s="240"/>
      <c r="U59" s="240"/>
      <c r="AJ59" s="386"/>
      <c r="AZ59" s="241"/>
      <c r="BJ59" s="193"/>
      <c r="BK59" s="193"/>
      <c r="BL59" s="193"/>
      <c r="BO59" s="152"/>
      <c r="BP59" s="193"/>
      <c r="BQ59" s="242"/>
      <c r="BR59" s="243"/>
      <c r="BS59" s="193"/>
      <c r="BT59" s="243"/>
      <c r="BX59" s="193"/>
      <c r="BY59" s="193"/>
      <c r="BZ59" s="152"/>
      <c r="CA59" s="152"/>
      <c r="CB59" s="152"/>
      <c r="CC59" s="152"/>
    </row>
    <row r="60" spans="1:81" x14ac:dyDescent="0.25">
      <c r="H60" s="150">
        <v>54</v>
      </c>
      <c r="I60" s="397">
        <f t="shared" si="24"/>
        <v>5.4000000000000006E-2</v>
      </c>
      <c r="J60" s="191"/>
      <c r="K60" s="191"/>
      <c r="L60" s="191"/>
      <c r="M60" s="191"/>
      <c r="N60" s="239"/>
      <c r="O60" s="152"/>
      <c r="P60" s="191"/>
      <c r="Q60" s="386"/>
      <c r="S60" s="240"/>
      <c r="T60" s="240"/>
      <c r="U60" s="240"/>
      <c r="AJ60" s="386"/>
      <c r="AZ60" s="241"/>
      <c r="BJ60" s="193"/>
      <c r="BK60" s="193"/>
      <c r="BL60" s="193"/>
      <c r="BO60" s="152"/>
      <c r="BP60" s="193"/>
      <c r="BQ60" s="242"/>
      <c r="BR60" s="243"/>
      <c r="BS60" s="193"/>
      <c r="BT60" s="243"/>
      <c r="BX60" s="193"/>
      <c r="BY60" s="193"/>
      <c r="BZ60" s="152"/>
      <c r="CA60" s="152"/>
      <c r="CB60" s="152"/>
      <c r="CC60" s="152"/>
    </row>
    <row r="61" spans="1:81" x14ac:dyDescent="0.25">
      <c r="H61" s="150">
        <v>55</v>
      </c>
      <c r="I61" s="397">
        <f t="shared" si="24"/>
        <v>5.5000000000000007E-2</v>
      </c>
      <c r="J61" s="191"/>
      <c r="K61" s="191"/>
      <c r="L61" s="191"/>
      <c r="M61" s="191"/>
      <c r="N61" s="239"/>
      <c r="O61" s="152"/>
      <c r="P61" s="191"/>
      <c r="Q61" s="386"/>
      <c r="S61" s="240"/>
      <c r="T61" s="240"/>
      <c r="U61" s="240"/>
      <c r="AJ61" s="386"/>
      <c r="AZ61" s="241"/>
      <c r="BJ61" s="193"/>
      <c r="BK61" s="193"/>
      <c r="BL61" s="193"/>
      <c r="BO61" s="152"/>
      <c r="BP61" s="193"/>
      <c r="BQ61" s="242"/>
      <c r="BR61" s="243"/>
      <c r="BS61" s="193"/>
      <c r="BT61" s="243"/>
      <c r="BX61" s="193"/>
      <c r="BY61" s="193"/>
      <c r="BZ61" s="152"/>
      <c r="CA61" s="152"/>
      <c r="CB61" s="152"/>
      <c r="CC61" s="152"/>
    </row>
    <row r="62" spans="1:81" x14ac:dyDescent="0.25">
      <c r="H62" s="150">
        <v>56</v>
      </c>
      <c r="I62" s="397">
        <f t="shared" si="24"/>
        <v>5.6000000000000008E-2</v>
      </c>
      <c r="J62" s="191"/>
      <c r="K62" s="191"/>
      <c r="L62" s="191"/>
      <c r="M62" s="191"/>
      <c r="N62" s="239"/>
      <c r="O62" s="152"/>
      <c r="P62" s="191"/>
      <c r="Q62" s="386"/>
      <c r="S62" s="240"/>
      <c r="T62" s="240"/>
      <c r="U62" s="240"/>
      <c r="AJ62" s="386"/>
      <c r="AZ62" s="241"/>
      <c r="BJ62" s="193"/>
      <c r="BK62" s="193"/>
      <c r="BL62" s="193"/>
      <c r="BO62" s="152"/>
      <c r="BP62" s="193"/>
      <c r="BQ62" s="242"/>
      <c r="BR62" s="243"/>
      <c r="BS62" s="193"/>
      <c r="BT62" s="243"/>
      <c r="BX62" s="193"/>
      <c r="BY62" s="193"/>
      <c r="BZ62" s="152"/>
      <c r="CA62" s="152"/>
      <c r="CB62" s="152"/>
      <c r="CC62" s="152"/>
    </row>
    <row r="63" spans="1:81" x14ac:dyDescent="0.25">
      <c r="F63" s="263" t="s">
        <v>273</v>
      </c>
      <c r="G63" s="263" t="s">
        <v>274</v>
      </c>
      <c r="H63" s="150">
        <v>57</v>
      </c>
      <c r="I63" s="397">
        <f t="shared" si="24"/>
        <v>5.6999999999999995E-2</v>
      </c>
      <c r="J63" s="191"/>
      <c r="K63" s="191"/>
      <c r="L63" s="191"/>
      <c r="M63" s="191"/>
      <c r="N63" s="239"/>
      <c r="O63" s="152"/>
      <c r="P63" s="191"/>
      <c r="Q63" s="386"/>
      <c r="S63" s="240"/>
      <c r="T63" s="240"/>
      <c r="U63" s="240"/>
      <c r="AJ63" s="386"/>
      <c r="AZ63" s="241"/>
      <c r="BJ63" s="193"/>
      <c r="BK63" s="193"/>
      <c r="BL63" s="193"/>
      <c r="BO63" s="152"/>
      <c r="BP63" s="193"/>
      <c r="BQ63" s="242"/>
      <c r="BR63" s="243"/>
      <c r="BS63" s="193"/>
      <c r="BT63" s="243"/>
      <c r="BX63" s="193"/>
      <c r="BY63" s="193"/>
      <c r="BZ63" s="152"/>
      <c r="CA63" s="152"/>
      <c r="CB63" s="152"/>
      <c r="CC63" s="152"/>
    </row>
    <row r="64" spans="1:81" x14ac:dyDescent="0.25">
      <c r="F64" s="286">
        <f>BM56</f>
        <v>0</v>
      </c>
      <c r="G64" s="287">
        <f>I56*1000</f>
        <v>50</v>
      </c>
      <c r="H64" s="150">
        <v>58</v>
      </c>
      <c r="I64" s="397">
        <f t="shared" si="24"/>
        <v>5.7999999999999996E-2</v>
      </c>
      <c r="J64" s="191"/>
      <c r="K64" s="191"/>
      <c r="L64" s="191"/>
      <c r="M64" s="191"/>
      <c r="N64" s="239"/>
      <c r="O64" s="152"/>
      <c r="P64" s="191"/>
      <c r="Q64" s="386"/>
      <c r="S64" s="240"/>
      <c r="T64" s="240"/>
      <c r="U64" s="240"/>
      <c r="AJ64" s="386"/>
      <c r="AZ64" s="241"/>
      <c r="BJ64" s="193"/>
      <c r="BK64" s="193"/>
      <c r="BL64" s="193"/>
      <c r="BO64" s="152"/>
      <c r="BP64" s="193"/>
      <c r="BQ64" s="242"/>
      <c r="BR64" s="243"/>
      <c r="BS64" s="193"/>
      <c r="BT64" s="243"/>
      <c r="BX64" s="193"/>
      <c r="BY64" s="193"/>
      <c r="BZ64" s="152"/>
      <c r="CA64" s="152"/>
      <c r="CB64" s="152"/>
      <c r="CC64" s="152"/>
    </row>
    <row r="65" spans="6:81" x14ac:dyDescent="0.25">
      <c r="F65" s="286">
        <f>BM81</f>
        <v>0</v>
      </c>
      <c r="G65" s="287">
        <f>I81*1000</f>
        <v>75.000000000000014</v>
      </c>
      <c r="H65" s="150">
        <v>59</v>
      </c>
      <c r="I65" s="397">
        <f t="shared" si="24"/>
        <v>5.8999999999999997E-2</v>
      </c>
      <c r="J65" s="191"/>
      <c r="K65" s="191"/>
      <c r="L65" s="191"/>
      <c r="M65" s="191"/>
      <c r="N65" s="239"/>
      <c r="O65" s="152"/>
      <c r="P65" s="191"/>
      <c r="Q65" s="386"/>
      <c r="S65" s="240"/>
      <c r="T65" s="240"/>
      <c r="U65" s="240"/>
      <c r="AJ65" s="386"/>
      <c r="AZ65" s="241"/>
      <c r="BJ65" s="193"/>
      <c r="BK65" s="193"/>
      <c r="BL65" s="193"/>
      <c r="BO65" s="152"/>
      <c r="BP65" s="193"/>
      <c r="BQ65" s="242"/>
      <c r="BR65" s="243"/>
      <c r="BS65" s="193"/>
      <c r="BT65" s="243"/>
      <c r="BX65" s="193"/>
      <c r="BY65" s="193"/>
      <c r="BZ65" s="152"/>
      <c r="CA65" s="152"/>
      <c r="CB65" s="152"/>
      <c r="CC65" s="152"/>
    </row>
    <row r="66" spans="6:81" x14ac:dyDescent="0.25">
      <c r="F66" s="286">
        <f>BM106</f>
        <v>100</v>
      </c>
      <c r="G66" s="287">
        <f>I106*1000</f>
        <v>100</v>
      </c>
      <c r="H66" s="150">
        <v>60</v>
      </c>
      <c r="I66" s="397">
        <f t="shared" si="24"/>
        <v>0.06</v>
      </c>
      <c r="J66" s="191"/>
      <c r="K66" s="191"/>
      <c r="L66" s="191"/>
      <c r="M66" s="191"/>
      <c r="N66" s="239"/>
      <c r="O66" s="152"/>
      <c r="P66" s="191"/>
      <c r="Q66" s="386"/>
      <c r="S66" s="240"/>
      <c r="T66" s="240"/>
      <c r="U66" s="240"/>
      <c r="AJ66" s="386"/>
      <c r="AZ66" s="241"/>
      <c r="BJ66" s="193"/>
      <c r="BK66" s="193"/>
      <c r="BL66" s="193"/>
      <c r="BO66" s="152"/>
      <c r="BP66" s="193"/>
      <c r="BQ66" s="242"/>
      <c r="BR66" s="243"/>
      <c r="BS66" s="193"/>
      <c r="BT66" s="243"/>
      <c r="BX66" s="193"/>
      <c r="BY66" s="193"/>
      <c r="BZ66" s="152"/>
      <c r="CA66" s="152"/>
      <c r="CB66" s="152"/>
      <c r="CC66" s="152"/>
    </row>
    <row r="67" spans="6:81" x14ac:dyDescent="0.25">
      <c r="H67" s="150">
        <v>61</v>
      </c>
      <c r="I67" s="397">
        <f t="shared" si="24"/>
        <v>6.0999999999999999E-2</v>
      </c>
      <c r="J67" s="191"/>
      <c r="K67" s="191"/>
      <c r="L67" s="191"/>
      <c r="M67" s="191"/>
      <c r="N67" s="239"/>
      <c r="O67" s="152"/>
      <c r="P67" s="191"/>
      <c r="Q67" s="386"/>
      <c r="S67" s="240"/>
      <c r="T67" s="240"/>
      <c r="U67" s="240"/>
      <c r="AJ67" s="386"/>
      <c r="AZ67" s="241"/>
      <c r="BJ67" s="193"/>
      <c r="BK67" s="193"/>
      <c r="BL67" s="193"/>
      <c r="BO67" s="152"/>
      <c r="BP67" s="193"/>
      <c r="BQ67" s="242"/>
      <c r="BR67" s="243"/>
      <c r="BS67" s="193"/>
      <c r="BT67" s="243"/>
      <c r="BX67" s="193"/>
      <c r="BY67" s="193"/>
      <c r="BZ67" s="152"/>
      <c r="CA67" s="152"/>
      <c r="CB67" s="152"/>
      <c r="CC67" s="152"/>
    </row>
    <row r="68" spans="6:81" x14ac:dyDescent="0.25">
      <c r="H68" s="150">
        <v>62</v>
      </c>
      <c r="I68" s="397">
        <f t="shared" si="24"/>
        <v>6.2E-2</v>
      </c>
      <c r="J68" s="191"/>
      <c r="K68" s="191"/>
      <c r="L68" s="191"/>
      <c r="M68" s="191"/>
      <c r="N68" s="239"/>
      <c r="O68" s="152"/>
      <c r="P68" s="191"/>
      <c r="Q68" s="386"/>
      <c r="S68" s="240"/>
      <c r="T68" s="240"/>
      <c r="U68" s="240"/>
      <c r="AJ68" s="386"/>
      <c r="AZ68" s="241"/>
      <c r="BJ68" s="193"/>
      <c r="BK68" s="193"/>
      <c r="BL68" s="193"/>
      <c r="BO68" s="152"/>
      <c r="BP68" s="193"/>
      <c r="BQ68" s="242"/>
      <c r="BR68" s="243"/>
      <c r="BS68" s="193"/>
      <c r="BT68" s="243"/>
      <c r="BX68" s="193"/>
      <c r="BY68" s="193"/>
      <c r="BZ68" s="152"/>
      <c r="CA68" s="152"/>
      <c r="CB68" s="152"/>
      <c r="CC68" s="152"/>
    </row>
    <row r="69" spans="6:81" x14ac:dyDescent="0.25">
      <c r="H69" s="150">
        <v>63</v>
      </c>
      <c r="I69" s="397">
        <f t="shared" si="24"/>
        <v>6.3E-2</v>
      </c>
      <c r="J69" s="191"/>
      <c r="K69" s="191"/>
      <c r="L69" s="191"/>
      <c r="M69" s="191"/>
      <c r="N69" s="239"/>
      <c r="O69" s="152"/>
      <c r="P69" s="191"/>
      <c r="Q69" s="386"/>
      <c r="S69" s="240"/>
      <c r="T69" s="240"/>
      <c r="U69" s="240"/>
      <c r="AJ69" s="386"/>
      <c r="AZ69" s="241"/>
      <c r="BJ69" s="193"/>
      <c r="BK69" s="193"/>
      <c r="BL69" s="193"/>
      <c r="BO69" s="152"/>
      <c r="BP69" s="193"/>
      <c r="BQ69" s="242"/>
      <c r="BR69" s="243"/>
      <c r="BS69" s="193"/>
      <c r="BT69" s="243"/>
      <c r="BX69" s="193"/>
      <c r="BY69" s="193"/>
      <c r="BZ69" s="152"/>
      <c r="CA69" s="152"/>
      <c r="CB69" s="152"/>
      <c r="CC69" s="152"/>
    </row>
    <row r="70" spans="6:81" x14ac:dyDescent="0.25">
      <c r="H70" s="150">
        <v>64</v>
      </c>
      <c r="I70" s="397">
        <f t="shared" ref="I70:I101" si="25">IF(PLOT_TYPE=1, H70/100*Iout_max, min_I*EXP(H70*rr/100))</f>
        <v>6.4000000000000001E-2</v>
      </c>
      <c r="J70" s="191"/>
      <c r="K70" s="191"/>
      <c r="L70" s="191"/>
      <c r="M70" s="191"/>
      <c r="N70" s="239"/>
      <c r="O70" s="152"/>
      <c r="P70" s="191"/>
      <c r="Q70" s="386"/>
      <c r="S70" s="240"/>
      <c r="T70" s="240"/>
      <c r="U70" s="240"/>
      <c r="AJ70" s="386"/>
      <c r="AZ70" s="241"/>
      <c r="BJ70" s="193"/>
      <c r="BK70" s="193"/>
      <c r="BL70" s="193"/>
      <c r="BO70" s="152"/>
      <c r="BP70" s="193"/>
      <c r="BQ70" s="242"/>
      <c r="BR70" s="243"/>
      <c r="BS70" s="193"/>
      <c r="BT70" s="243"/>
      <c r="BX70" s="193"/>
      <c r="BY70" s="193"/>
      <c r="BZ70" s="152"/>
      <c r="CA70" s="152"/>
      <c r="CB70" s="152"/>
      <c r="CC70" s="152"/>
    </row>
    <row r="71" spans="6:81" x14ac:dyDescent="0.25">
      <c r="H71" s="150">
        <v>65</v>
      </c>
      <c r="I71" s="397">
        <f t="shared" si="25"/>
        <v>6.5000000000000002E-2</v>
      </c>
      <c r="J71" s="191"/>
      <c r="K71" s="191"/>
      <c r="L71" s="191"/>
      <c r="M71" s="191"/>
      <c r="N71" s="239"/>
      <c r="O71" s="152"/>
      <c r="P71" s="191"/>
      <c r="Q71" s="386"/>
      <c r="S71" s="240"/>
      <c r="T71" s="240"/>
      <c r="U71" s="240"/>
      <c r="AJ71" s="386"/>
      <c r="AZ71" s="241"/>
      <c r="BJ71" s="193"/>
      <c r="BK71" s="193"/>
      <c r="BL71" s="193"/>
      <c r="BO71" s="152"/>
      <c r="BP71" s="193"/>
      <c r="BQ71" s="242"/>
      <c r="BR71" s="243"/>
      <c r="BS71" s="193"/>
      <c r="BT71" s="243"/>
      <c r="BX71" s="193"/>
      <c r="BY71" s="193"/>
      <c r="BZ71" s="152"/>
      <c r="CA71" s="152"/>
      <c r="CB71" s="152"/>
      <c r="CC71" s="152"/>
    </row>
    <row r="72" spans="6:81" x14ac:dyDescent="0.25">
      <c r="H72" s="150">
        <v>66</v>
      </c>
      <c r="I72" s="397">
        <f t="shared" si="25"/>
        <v>6.6000000000000003E-2</v>
      </c>
      <c r="J72" s="191"/>
      <c r="K72" s="191"/>
      <c r="L72" s="191"/>
      <c r="M72" s="191"/>
      <c r="N72" s="239"/>
      <c r="O72" s="152"/>
      <c r="P72" s="191"/>
      <c r="Q72" s="386"/>
      <c r="S72" s="240"/>
      <c r="T72" s="240"/>
      <c r="U72" s="240"/>
      <c r="AJ72" s="386"/>
      <c r="AZ72" s="241"/>
      <c r="BJ72" s="193"/>
      <c r="BK72" s="193"/>
      <c r="BL72" s="193"/>
      <c r="BO72" s="152"/>
      <c r="BP72" s="193"/>
      <c r="BQ72" s="242"/>
      <c r="BR72" s="243"/>
      <c r="BS72" s="193"/>
      <c r="BT72" s="243"/>
      <c r="BX72" s="193"/>
      <c r="BY72" s="193"/>
      <c r="BZ72" s="152"/>
      <c r="CA72" s="152"/>
      <c r="CB72" s="152"/>
      <c r="CC72" s="152"/>
    </row>
    <row r="73" spans="6:81" x14ac:dyDescent="0.25">
      <c r="H73" s="150">
        <v>67</v>
      </c>
      <c r="I73" s="397">
        <f t="shared" si="25"/>
        <v>6.7000000000000004E-2</v>
      </c>
      <c r="J73" s="191"/>
      <c r="K73" s="191"/>
      <c r="L73" s="191"/>
      <c r="M73" s="191"/>
      <c r="N73" s="239"/>
      <c r="O73" s="152"/>
      <c r="P73" s="191"/>
      <c r="Q73" s="386"/>
      <c r="S73" s="240"/>
      <c r="T73" s="240"/>
      <c r="U73" s="240"/>
      <c r="AJ73" s="386"/>
      <c r="AZ73" s="241"/>
      <c r="BJ73" s="193"/>
      <c r="BK73" s="193"/>
      <c r="BL73" s="193"/>
      <c r="BO73" s="152"/>
      <c r="BP73" s="193"/>
      <c r="BQ73" s="242"/>
      <c r="BR73" s="243"/>
      <c r="BS73" s="193"/>
      <c r="BT73" s="243"/>
      <c r="BX73" s="193"/>
      <c r="BY73" s="193"/>
      <c r="BZ73" s="152"/>
      <c r="CA73" s="152"/>
      <c r="CB73" s="152"/>
      <c r="CC73" s="152"/>
    </row>
    <row r="74" spans="6:81" x14ac:dyDescent="0.25">
      <c r="H74" s="150">
        <v>68</v>
      </c>
      <c r="I74" s="397">
        <f t="shared" si="25"/>
        <v>6.8000000000000005E-2</v>
      </c>
      <c r="J74" s="191"/>
      <c r="K74" s="191"/>
      <c r="L74" s="191"/>
      <c r="M74" s="191"/>
      <c r="N74" s="239"/>
      <c r="O74" s="152"/>
      <c r="P74" s="191"/>
      <c r="Q74" s="386"/>
      <c r="S74" s="240"/>
      <c r="T74" s="240"/>
      <c r="U74" s="240"/>
      <c r="AJ74" s="386"/>
      <c r="AZ74" s="241"/>
      <c r="BJ74" s="193"/>
      <c r="BK74" s="193"/>
      <c r="BL74" s="193"/>
      <c r="BO74" s="152"/>
      <c r="BP74" s="193"/>
      <c r="BQ74" s="242"/>
      <c r="BR74" s="243"/>
      <c r="BS74" s="193"/>
      <c r="BT74" s="243"/>
      <c r="BX74" s="193"/>
      <c r="BY74" s="193"/>
      <c r="BZ74" s="152"/>
      <c r="CA74" s="152"/>
      <c r="CB74" s="152"/>
      <c r="CC74" s="152"/>
    </row>
    <row r="75" spans="6:81" x14ac:dyDescent="0.25">
      <c r="H75" s="150">
        <v>69</v>
      </c>
      <c r="I75" s="397">
        <f t="shared" si="25"/>
        <v>6.8999999999999992E-2</v>
      </c>
      <c r="J75" s="191"/>
      <c r="K75" s="191"/>
      <c r="L75" s="191"/>
      <c r="M75" s="191"/>
      <c r="N75" s="239"/>
      <c r="O75" s="152"/>
      <c r="P75" s="191"/>
      <c r="Q75" s="386"/>
      <c r="S75" s="240"/>
      <c r="T75" s="240"/>
      <c r="U75" s="240"/>
      <c r="AJ75" s="386"/>
      <c r="AZ75" s="241"/>
      <c r="BJ75" s="193"/>
      <c r="BK75" s="193"/>
      <c r="BL75" s="193"/>
      <c r="BO75" s="152"/>
      <c r="BP75" s="193"/>
      <c r="BQ75" s="242"/>
      <c r="BR75" s="243"/>
      <c r="BS75" s="193"/>
      <c r="BT75" s="243"/>
      <c r="BX75" s="193"/>
      <c r="BY75" s="193"/>
      <c r="BZ75" s="152"/>
      <c r="CA75" s="152"/>
      <c r="CB75" s="152"/>
      <c r="CC75" s="152"/>
    </row>
    <row r="76" spans="6:81" x14ac:dyDescent="0.25">
      <c r="H76" s="150">
        <v>70</v>
      </c>
      <c r="I76" s="397">
        <f t="shared" si="25"/>
        <v>6.9999999999999993E-2</v>
      </c>
      <c r="J76" s="191"/>
      <c r="K76" s="191"/>
      <c r="L76" s="191"/>
      <c r="M76" s="191"/>
      <c r="N76" s="239"/>
      <c r="O76" s="152"/>
      <c r="P76" s="191"/>
      <c r="Q76" s="386"/>
      <c r="S76" s="240"/>
      <c r="T76" s="240"/>
      <c r="U76" s="240"/>
      <c r="AJ76" s="386"/>
      <c r="AZ76" s="241"/>
      <c r="BJ76" s="193"/>
      <c r="BK76" s="193"/>
      <c r="BL76" s="193"/>
      <c r="BO76" s="152"/>
      <c r="BP76" s="193"/>
      <c r="BQ76" s="242"/>
      <c r="BR76" s="243"/>
      <c r="BS76" s="193"/>
      <c r="BT76" s="243"/>
      <c r="BX76" s="193"/>
      <c r="BY76" s="193"/>
      <c r="BZ76" s="152"/>
      <c r="CA76" s="152"/>
      <c r="CB76" s="152"/>
      <c r="CC76" s="152"/>
    </row>
    <row r="77" spans="6:81" x14ac:dyDescent="0.25">
      <c r="H77" s="150">
        <v>71</v>
      </c>
      <c r="I77" s="397">
        <f t="shared" si="25"/>
        <v>7.0999999999999994E-2</v>
      </c>
      <c r="J77" s="191"/>
      <c r="K77" s="191"/>
      <c r="L77" s="191"/>
      <c r="M77" s="191"/>
      <c r="N77" s="239"/>
      <c r="O77" s="152"/>
      <c r="P77" s="191"/>
      <c r="Q77" s="386"/>
      <c r="S77" s="240"/>
      <c r="T77" s="240"/>
      <c r="U77" s="240"/>
      <c r="AJ77" s="386"/>
      <c r="AZ77" s="241"/>
      <c r="BJ77" s="193"/>
      <c r="BK77" s="193"/>
      <c r="BL77" s="193"/>
      <c r="BO77" s="152"/>
      <c r="BP77" s="193"/>
      <c r="BQ77" s="242"/>
      <c r="BR77" s="243"/>
      <c r="BS77" s="193"/>
      <c r="BT77" s="243"/>
      <c r="BX77" s="193"/>
      <c r="BY77" s="193"/>
      <c r="BZ77" s="152"/>
      <c r="CA77" s="152"/>
      <c r="CB77" s="152"/>
      <c r="CC77" s="152"/>
    </row>
    <row r="78" spans="6:81" x14ac:dyDescent="0.25">
      <c r="H78" s="150">
        <v>72</v>
      </c>
      <c r="I78" s="397">
        <f t="shared" si="25"/>
        <v>7.1999999999999995E-2</v>
      </c>
      <c r="J78" s="191"/>
      <c r="K78" s="191"/>
      <c r="L78" s="191"/>
      <c r="M78" s="191"/>
      <c r="N78" s="239"/>
      <c r="O78" s="152"/>
      <c r="P78" s="191"/>
      <c r="Q78" s="386"/>
      <c r="S78" s="240"/>
      <c r="T78" s="240"/>
      <c r="U78" s="240"/>
      <c r="AJ78" s="386"/>
      <c r="AZ78" s="241"/>
      <c r="BJ78" s="193"/>
      <c r="BK78" s="193"/>
      <c r="BL78" s="193"/>
      <c r="BO78" s="152"/>
      <c r="BP78" s="193"/>
      <c r="BQ78" s="242"/>
      <c r="BR78" s="243"/>
      <c r="BS78" s="193"/>
      <c r="BT78" s="243"/>
      <c r="BX78" s="193"/>
      <c r="BY78" s="193"/>
      <c r="BZ78" s="152"/>
      <c r="CA78" s="152"/>
      <c r="CB78" s="152"/>
      <c r="CC78" s="152"/>
    </row>
    <row r="79" spans="6:81" x14ac:dyDescent="0.25">
      <c r="H79" s="150">
        <v>73</v>
      </c>
      <c r="I79" s="397">
        <f t="shared" si="25"/>
        <v>7.2999999999999995E-2</v>
      </c>
      <c r="J79" s="191"/>
      <c r="K79" s="191"/>
      <c r="L79" s="191"/>
      <c r="M79" s="191"/>
      <c r="N79" s="239"/>
      <c r="O79" s="152"/>
      <c r="P79" s="191"/>
      <c r="Q79" s="386"/>
      <c r="S79" s="240"/>
      <c r="T79" s="240"/>
      <c r="U79" s="240"/>
      <c r="AJ79" s="386"/>
      <c r="AZ79" s="241"/>
      <c r="BJ79" s="193"/>
      <c r="BK79" s="193"/>
      <c r="BL79" s="193"/>
      <c r="BO79" s="152"/>
      <c r="BP79" s="193"/>
      <c r="BQ79" s="242"/>
      <c r="BR79" s="243"/>
      <c r="BS79" s="193"/>
      <c r="BT79" s="243"/>
      <c r="BX79" s="193"/>
      <c r="BY79" s="193"/>
      <c r="BZ79" s="152"/>
      <c r="CA79" s="152"/>
      <c r="CB79" s="152"/>
      <c r="CC79" s="152"/>
    </row>
    <row r="80" spans="6:81" x14ac:dyDescent="0.25">
      <c r="H80" s="150">
        <v>74</v>
      </c>
      <c r="I80" s="397">
        <f t="shared" si="25"/>
        <v>7.3999999999999996E-2</v>
      </c>
      <c r="J80" s="191"/>
      <c r="K80" s="191"/>
      <c r="L80" s="191"/>
      <c r="M80" s="191"/>
      <c r="N80" s="239"/>
      <c r="O80" s="152"/>
      <c r="P80" s="191"/>
      <c r="Q80" s="386"/>
      <c r="S80" s="240"/>
      <c r="T80" s="240"/>
      <c r="U80" s="240"/>
      <c r="AJ80" s="386"/>
      <c r="AZ80" s="241"/>
      <c r="BJ80" s="193"/>
      <c r="BK80" s="193"/>
      <c r="BL80" s="193"/>
      <c r="BO80" s="152"/>
      <c r="BP80" s="193"/>
      <c r="BQ80" s="242"/>
      <c r="BR80" s="243"/>
      <c r="BS80" s="193"/>
      <c r="BT80" s="243"/>
      <c r="BX80" s="193"/>
      <c r="BY80" s="193"/>
      <c r="BZ80" s="152"/>
      <c r="CA80" s="152"/>
      <c r="CB80" s="152"/>
      <c r="CC80" s="152"/>
    </row>
    <row r="81" spans="6:81" x14ac:dyDescent="0.25">
      <c r="H81" s="150">
        <v>75</v>
      </c>
      <c r="I81" s="397">
        <f t="shared" si="25"/>
        <v>7.5000000000000011E-2</v>
      </c>
      <c r="J81" s="191"/>
      <c r="K81" s="191"/>
      <c r="L81" s="191"/>
      <c r="M81" s="191"/>
      <c r="N81" s="239"/>
      <c r="O81" s="152"/>
      <c r="P81" s="191"/>
      <c r="Q81" s="386"/>
      <c r="S81" s="240"/>
      <c r="T81" s="240"/>
      <c r="U81" s="240"/>
      <c r="AJ81" s="386"/>
      <c r="AZ81" s="241"/>
      <c r="BJ81" s="193"/>
      <c r="BK81" s="193"/>
      <c r="BL81" s="193"/>
      <c r="BO81" s="152"/>
      <c r="BP81" s="193"/>
      <c r="BQ81" s="242"/>
      <c r="BR81" s="243"/>
      <c r="BS81" s="193"/>
      <c r="BT81" s="243"/>
      <c r="BX81" s="193"/>
      <c r="BY81" s="193"/>
      <c r="BZ81" s="152"/>
      <c r="CA81" s="152"/>
      <c r="CB81" s="152"/>
      <c r="CC81" s="152"/>
    </row>
    <row r="82" spans="6:81" x14ac:dyDescent="0.25">
      <c r="H82" s="150">
        <v>76</v>
      </c>
      <c r="I82" s="397">
        <f t="shared" si="25"/>
        <v>7.6000000000000012E-2</v>
      </c>
      <c r="J82" s="191"/>
      <c r="K82" s="191"/>
      <c r="L82" s="191"/>
      <c r="M82" s="191"/>
      <c r="N82" s="239"/>
      <c r="O82" s="152"/>
      <c r="P82" s="191"/>
      <c r="Q82" s="386"/>
      <c r="S82" s="240"/>
      <c r="T82" s="240"/>
      <c r="U82" s="240"/>
      <c r="AJ82" s="386"/>
      <c r="AZ82" s="241"/>
      <c r="BJ82" s="193"/>
      <c r="BK82" s="193"/>
      <c r="BL82" s="193"/>
      <c r="BO82" s="152"/>
      <c r="BP82" s="193"/>
      <c r="BQ82" s="242"/>
      <c r="BR82" s="243"/>
      <c r="BS82" s="193"/>
      <c r="BT82" s="243"/>
      <c r="BX82" s="193"/>
      <c r="BY82" s="193"/>
      <c r="BZ82" s="152"/>
      <c r="CA82" s="152"/>
      <c r="CB82" s="152"/>
      <c r="CC82" s="152"/>
    </row>
    <row r="83" spans="6:81" x14ac:dyDescent="0.25">
      <c r="H83" s="150">
        <v>77</v>
      </c>
      <c r="I83" s="397">
        <f t="shared" si="25"/>
        <v>7.7000000000000013E-2</v>
      </c>
      <c r="J83" s="191"/>
      <c r="K83" s="191"/>
      <c r="L83" s="191"/>
      <c r="M83" s="191"/>
      <c r="N83" s="239"/>
      <c r="O83" s="152"/>
      <c r="P83" s="191"/>
      <c r="Q83" s="386"/>
      <c r="S83" s="240"/>
      <c r="T83" s="240"/>
      <c r="U83" s="240"/>
      <c r="AJ83" s="386"/>
      <c r="AZ83" s="241"/>
      <c r="BJ83" s="193"/>
      <c r="BK83" s="193"/>
      <c r="BL83" s="193"/>
      <c r="BO83" s="152"/>
      <c r="BP83" s="193"/>
      <c r="BQ83" s="242"/>
      <c r="BR83" s="243"/>
      <c r="BS83" s="193"/>
      <c r="BT83" s="243"/>
      <c r="BX83" s="193"/>
      <c r="BY83" s="193"/>
      <c r="BZ83" s="152"/>
      <c r="CA83" s="152"/>
      <c r="CB83" s="152"/>
      <c r="CC83" s="152"/>
    </row>
    <row r="84" spans="6:81" x14ac:dyDescent="0.25">
      <c r="H84" s="150">
        <v>78</v>
      </c>
      <c r="I84" s="397">
        <f t="shared" si="25"/>
        <v>7.8000000000000014E-2</v>
      </c>
      <c r="J84" s="191"/>
      <c r="K84" s="191"/>
      <c r="L84" s="191"/>
      <c r="M84" s="191"/>
      <c r="N84" s="239"/>
      <c r="O84" s="152"/>
      <c r="P84" s="191"/>
      <c r="Q84" s="386"/>
      <c r="S84" s="240"/>
      <c r="T84" s="240"/>
      <c r="U84" s="240"/>
      <c r="AJ84" s="386"/>
      <c r="AZ84" s="241"/>
      <c r="BJ84" s="193"/>
      <c r="BK84" s="193"/>
      <c r="BL84" s="193"/>
      <c r="BO84" s="152"/>
      <c r="BP84" s="193"/>
      <c r="BQ84" s="242"/>
      <c r="BR84" s="243"/>
      <c r="BS84" s="193"/>
      <c r="BT84" s="243"/>
      <c r="BX84" s="193"/>
      <c r="BY84" s="193"/>
      <c r="BZ84" s="152"/>
      <c r="CA84" s="152"/>
      <c r="CB84" s="152"/>
      <c r="CC84" s="152"/>
    </row>
    <row r="85" spans="6:81" x14ac:dyDescent="0.25">
      <c r="H85" s="150">
        <v>79</v>
      </c>
      <c r="I85" s="397">
        <f t="shared" si="25"/>
        <v>7.9000000000000015E-2</v>
      </c>
      <c r="J85" s="191"/>
      <c r="K85" s="191"/>
      <c r="L85" s="191"/>
      <c r="M85" s="191"/>
      <c r="N85" s="239"/>
      <c r="O85" s="152"/>
      <c r="P85" s="191"/>
      <c r="Q85" s="386"/>
      <c r="S85" s="240"/>
      <c r="T85" s="240"/>
      <c r="U85" s="240"/>
      <c r="AJ85" s="386"/>
      <c r="AZ85" s="241"/>
      <c r="BJ85" s="193"/>
      <c r="BK85" s="193"/>
      <c r="BL85" s="193"/>
      <c r="BO85" s="152"/>
      <c r="BP85" s="193"/>
      <c r="BQ85" s="242"/>
      <c r="BR85" s="243"/>
      <c r="BS85" s="193"/>
      <c r="BT85" s="243"/>
      <c r="BX85" s="193"/>
      <c r="BY85" s="193"/>
      <c r="BZ85" s="152"/>
      <c r="CA85" s="152"/>
      <c r="CB85" s="152"/>
      <c r="CC85" s="152"/>
    </row>
    <row r="86" spans="6:81" x14ac:dyDescent="0.25">
      <c r="H86" s="150">
        <v>80</v>
      </c>
      <c r="I86" s="397">
        <f t="shared" si="25"/>
        <v>8.0000000000000016E-2</v>
      </c>
      <c r="J86" s="191"/>
      <c r="K86" s="191"/>
      <c r="L86" s="191"/>
      <c r="M86" s="191"/>
      <c r="N86" s="239"/>
      <c r="O86" s="152"/>
      <c r="P86" s="191"/>
      <c r="Q86" s="386"/>
      <c r="S86" s="240"/>
      <c r="T86" s="240"/>
      <c r="U86" s="240"/>
      <c r="AJ86" s="386"/>
      <c r="AZ86" s="241"/>
      <c r="BJ86" s="193"/>
      <c r="BK86" s="193"/>
      <c r="BL86" s="193"/>
      <c r="BO86" s="152"/>
      <c r="BP86" s="193"/>
      <c r="BQ86" s="242"/>
      <c r="BR86" s="243"/>
      <c r="BS86" s="193"/>
      <c r="BT86" s="243"/>
      <c r="BX86" s="193"/>
      <c r="BY86" s="193"/>
      <c r="BZ86" s="152"/>
      <c r="CA86" s="152"/>
      <c r="CB86" s="152"/>
      <c r="CC86" s="152"/>
    </row>
    <row r="87" spans="6:81" x14ac:dyDescent="0.25">
      <c r="H87" s="150">
        <v>81</v>
      </c>
      <c r="I87" s="397">
        <f t="shared" si="25"/>
        <v>8.1000000000000016E-2</v>
      </c>
      <c r="J87" s="191"/>
      <c r="K87" s="191"/>
      <c r="L87" s="191"/>
      <c r="M87" s="191"/>
      <c r="N87" s="239"/>
      <c r="O87" s="152"/>
      <c r="P87" s="191"/>
      <c r="Q87" s="386"/>
      <c r="S87" s="240"/>
      <c r="T87" s="240"/>
      <c r="U87" s="240"/>
      <c r="AJ87" s="386"/>
      <c r="AZ87" s="241"/>
      <c r="BJ87" s="193"/>
      <c r="BK87" s="193"/>
      <c r="BL87" s="193"/>
      <c r="BO87" s="152"/>
      <c r="BP87" s="193"/>
      <c r="BQ87" s="242"/>
      <c r="BR87" s="243"/>
      <c r="BS87" s="193"/>
      <c r="BT87" s="243"/>
      <c r="BX87" s="193"/>
      <c r="BY87" s="193"/>
      <c r="BZ87" s="152"/>
      <c r="CA87" s="152"/>
      <c r="CB87" s="152"/>
      <c r="CC87" s="152"/>
    </row>
    <row r="88" spans="6:81" x14ac:dyDescent="0.25">
      <c r="F88" s="263" t="s">
        <v>273</v>
      </c>
      <c r="G88" s="263" t="s">
        <v>274</v>
      </c>
      <c r="H88" s="150">
        <v>82</v>
      </c>
      <c r="I88" s="397">
        <f t="shared" si="25"/>
        <v>8.2000000000000003E-2</v>
      </c>
      <c r="J88" s="191"/>
      <c r="K88" s="191"/>
      <c r="L88" s="191"/>
      <c r="M88" s="191"/>
      <c r="N88" s="239"/>
      <c r="O88" s="152"/>
      <c r="P88" s="191"/>
      <c r="Q88" s="386"/>
      <c r="S88" s="240"/>
      <c r="T88" s="240"/>
      <c r="U88" s="240"/>
      <c r="AJ88" s="386"/>
      <c r="AZ88" s="241"/>
      <c r="BJ88" s="193"/>
      <c r="BK88" s="193"/>
      <c r="BL88" s="193"/>
      <c r="BO88" s="152"/>
      <c r="BP88" s="193"/>
      <c r="BQ88" s="242"/>
      <c r="BR88" s="243"/>
      <c r="BS88" s="193"/>
      <c r="BT88" s="243"/>
      <c r="BX88" s="193"/>
      <c r="BY88" s="193"/>
      <c r="BZ88" s="152"/>
      <c r="CA88" s="152"/>
      <c r="CB88" s="152"/>
      <c r="CC88" s="152"/>
    </row>
    <row r="89" spans="6:81" x14ac:dyDescent="0.25">
      <c r="F89" s="286">
        <f>BO51</f>
        <v>0</v>
      </c>
      <c r="G89" s="287">
        <f>I56*1000</f>
        <v>50</v>
      </c>
      <c r="H89" s="150">
        <v>83</v>
      </c>
      <c r="I89" s="397">
        <f t="shared" si="25"/>
        <v>8.3000000000000004E-2</v>
      </c>
      <c r="J89" s="191"/>
      <c r="K89" s="191"/>
      <c r="L89" s="191"/>
      <c r="M89" s="191"/>
      <c r="N89" s="239"/>
      <c r="O89" s="152"/>
      <c r="P89" s="191"/>
      <c r="Q89" s="386"/>
      <c r="S89" s="240"/>
      <c r="T89" s="240"/>
      <c r="U89" s="240"/>
      <c r="AJ89" s="386"/>
      <c r="AZ89" s="241"/>
      <c r="BJ89" s="193"/>
      <c r="BK89" s="193"/>
      <c r="BL89" s="193"/>
      <c r="BO89" s="152"/>
      <c r="BP89" s="193"/>
      <c r="BQ89" s="242"/>
      <c r="BR89" s="243"/>
      <c r="BS89" s="193"/>
      <c r="BT89" s="243"/>
      <c r="BX89" s="193"/>
      <c r="BY89" s="193"/>
      <c r="BZ89" s="152"/>
      <c r="CA89" s="152"/>
      <c r="CB89" s="152"/>
      <c r="CC89" s="152"/>
    </row>
    <row r="90" spans="6:81" x14ac:dyDescent="0.25">
      <c r="F90" s="286">
        <f>BO81</f>
        <v>0</v>
      </c>
      <c r="G90" s="287">
        <f>I81*1000</f>
        <v>75.000000000000014</v>
      </c>
      <c r="H90" s="150">
        <v>84</v>
      </c>
      <c r="I90" s="397">
        <f t="shared" si="25"/>
        <v>8.4000000000000005E-2</v>
      </c>
      <c r="J90" s="191"/>
      <c r="K90" s="191"/>
      <c r="L90" s="191"/>
      <c r="M90" s="191"/>
      <c r="N90" s="239"/>
      <c r="O90" s="152"/>
      <c r="P90" s="191"/>
      <c r="Q90" s="386"/>
      <c r="S90" s="240"/>
      <c r="T90" s="240"/>
      <c r="U90" s="240"/>
      <c r="AJ90" s="386"/>
      <c r="AZ90" s="241"/>
      <c r="BJ90" s="193"/>
      <c r="BK90" s="193"/>
      <c r="BL90" s="193"/>
      <c r="BO90" s="152"/>
      <c r="BP90" s="193"/>
      <c r="BQ90" s="242"/>
      <c r="BR90" s="243"/>
      <c r="BS90" s="193"/>
      <c r="BT90" s="243"/>
      <c r="BX90" s="193"/>
      <c r="BY90" s="193"/>
      <c r="BZ90" s="152"/>
      <c r="CA90" s="152"/>
      <c r="CB90" s="152"/>
      <c r="CC90" s="152"/>
    </row>
    <row r="91" spans="6:81" x14ac:dyDescent="0.25">
      <c r="F91" s="286">
        <f>BO106</f>
        <v>88.698181382326453</v>
      </c>
      <c r="G91" s="287">
        <f>I106*1000</f>
        <v>100</v>
      </c>
      <c r="H91" s="150">
        <v>85</v>
      </c>
      <c r="I91" s="397">
        <f t="shared" si="25"/>
        <v>8.5000000000000006E-2</v>
      </c>
      <c r="J91" s="191"/>
      <c r="K91" s="191"/>
      <c r="L91" s="191"/>
      <c r="M91" s="191"/>
      <c r="N91" s="239"/>
      <c r="O91" s="152"/>
      <c r="P91" s="191"/>
      <c r="Q91" s="386"/>
      <c r="S91" s="240"/>
      <c r="T91" s="240"/>
      <c r="U91" s="240"/>
      <c r="AJ91" s="386"/>
      <c r="AZ91" s="241"/>
      <c r="BJ91" s="193"/>
      <c r="BK91" s="193"/>
      <c r="BL91" s="193"/>
      <c r="BO91" s="152"/>
      <c r="BP91" s="193"/>
      <c r="BQ91" s="242"/>
      <c r="BR91" s="243"/>
      <c r="BS91" s="193"/>
      <c r="BT91" s="243"/>
      <c r="BX91" s="193"/>
      <c r="BY91" s="193"/>
      <c r="BZ91" s="152"/>
      <c r="CA91" s="152"/>
      <c r="CB91" s="152"/>
      <c r="CC91" s="152"/>
    </row>
    <row r="92" spans="6:81" x14ac:dyDescent="0.25">
      <c r="H92" s="150">
        <v>86</v>
      </c>
      <c r="I92" s="397">
        <f t="shared" si="25"/>
        <v>8.6000000000000007E-2</v>
      </c>
      <c r="J92" s="191"/>
      <c r="K92" s="191"/>
      <c r="L92" s="191"/>
      <c r="M92" s="191"/>
      <c r="N92" s="239"/>
      <c r="O92" s="152"/>
      <c r="P92" s="191"/>
      <c r="Q92" s="386"/>
      <c r="S92" s="240"/>
      <c r="T92" s="240"/>
      <c r="U92" s="240"/>
      <c r="AJ92" s="386"/>
      <c r="AZ92" s="241"/>
      <c r="BJ92" s="193"/>
      <c r="BK92" s="193"/>
      <c r="BL92" s="193"/>
      <c r="BO92" s="152"/>
      <c r="BP92" s="193"/>
      <c r="BQ92" s="242"/>
      <c r="BR92" s="243"/>
      <c r="BS92" s="193"/>
      <c r="BT92" s="243"/>
      <c r="BX92" s="193"/>
      <c r="BY92" s="193"/>
      <c r="BZ92" s="152"/>
      <c r="CA92" s="152"/>
      <c r="CB92" s="152"/>
      <c r="CC92" s="152"/>
    </row>
    <row r="93" spans="6:81" x14ac:dyDescent="0.25">
      <c r="H93" s="150">
        <v>87</v>
      </c>
      <c r="I93" s="397">
        <f t="shared" si="25"/>
        <v>8.7000000000000008E-2</v>
      </c>
      <c r="J93" s="191"/>
      <c r="K93" s="191"/>
      <c r="L93" s="191"/>
      <c r="M93" s="191"/>
      <c r="N93" s="239"/>
      <c r="O93" s="152"/>
      <c r="P93" s="191"/>
      <c r="Q93" s="386"/>
      <c r="S93" s="240"/>
      <c r="T93" s="240"/>
      <c r="U93" s="240"/>
      <c r="AJ93" s="386"/>
      <c r="AZ93" s="241"/>
      <c r="BJ93" s="193"/>
      <c r="BK93" s="193"/>
      <c r="BL93" s="193"/>
      <c r="BO93" s="152"/>
      <c r="BP93" s="193"/>
      <c r="BQ93" s="242"/>
      <c r="BR93" s="243"/>
      <c r="BS93" s="193"/>
      <c r="BT93" s="243"/>
      <c r="BX93" s="193"/>
      <c r="BY93" s="193"/>
      <c r="BZ93" s="152"/>
      <c r="CA93" s="152"/>
      <c r="CB93" s="152"/>
      <c r="CC93" s="152"/>
    </row>
    <row r="94" spans="6:81" x14ac:dyDescent="0.25">
      <c r="H94" s="150">
        <v>88</v>
      </c>
      <c r="I94" s="397">
        <f t="shared" si="25"/>
        <v>8.8000000000000009E-2</v>
      </c>
      <c r="J94" s="191"/>
      <c r="K94" s="191"/>
      <c r="L94" s="191"/>
      <c r="M94" s="191"/>
      <c r="N94" s="239"/>
      <c r="O94" s="152"/>
      <c r="P94" s="191"/>
      <c r="Q94" s="386"/>
      <c r="S94" s="240"/>
      <c r="T94" s="240"/>
      <c r="U94" s="240"/>
      <c r="AJ94" s="386"/>
      <c r="AZ94" s="241"/>
      <c r="BJ94" s="193"/>
      <c r="BK94" s="193"/>
      <c r="BL94" s="193"/>
      <c r="BO94" s="152"/>
      <c r="BP94" s="193"/>
      <c r="BQ94" s="242"/>
      <c r="BR94" s="243"/>
      <c r="BS94" s="193"/>
      <c r="BT94" s="243"/>
      <c r="BX94" s="193"/>
      <c r="BY94" s="193"/>
      <c r="BZ94" s="152"/>
      <c r="CA94" s="152"/>
      <c r="CB94" s="152"/>
      <c r="CC94" s="152"/>
    </row>
    <row r="95" spans="6:81" x14ac:dyDescent="0.25">
      <c r="H95" s="150">
        <v>89</v>
      </c>
      <c r="I95" s="397">
        <f t="shared" si="25"/>
        <v>8.900000000000001E-2</v>
      </c>
      <c r="J95" s="191"/>
      <c r="K95" s="191"/>
      <c r="L95" s="191"/>
      <c r="M95" s="191"/>
      <c r="N95" s="239"/>
      <c r="O95" s="152"/>
      <c r="P95" s="191"/>
      <c r="Q95" s="386"/>
      <c r="S95" s="240"/>
      <c r="T95" s="240"/>
      <c r="U95" s="240"/>
      <c r="AJ95" s="386"/>
      <c r="AZ95" s="241"/>
      <c r="BJ95" s="193"/>
      <c r="BK95" s="193"/>
      <c r="BL95" s="193"/>
      <c r="BO95" s="152"/>
      <c r="BP95" s="193"/>
      <c r="BQ95" s="242"/>
      <c r="BR95" s="243"/>
      <c r="BS95" s="193"/>
      <c r="BT95" s="243"/>
      <c r="BX95" s="193"/>
      <c r="BY95" s="193"/>
      <c r="BZ95" s="152"/>
      <c r="CA95" s="152"/>
      <c r="CB95" s="152"/>
      <c r="CC95" s="152"/>
    </row>
    <row r="96" spans="6:81" x14ac:dyDescent="0.25">
      <c r="H96" s="150">
        <v>90</v>
      </c>
      <c r="I96" s="397">
        <f t="shared" si="25"/>
        <v>9.0000000000000011E-2</v>
      </c>
      <c r="J96" s="191"/>
      <c r="K96" s="191"/>
      <c r="L96" s="191"/>
      <c r="M96" s="191"/>
      <c r="N96" s="239"/>
      <c r="O96" s="152"/>
      <c r="P96" s="191"/>
      <c r="Q96" s="386"/>
      <c r="S96" s="240"/>
      <c r="T96" s="240"/>
      <c r="U96" s="240"/>
      <c r="AJ96" s="386"/>
      <c r="AZ96" s="241"/>
      <c r="BJ96" s="193"/>
      <c r="BK96" s="193"/>
      <c r="BL96" s="193"/>
      <c r="BO96" s="152"/>
      <c r="BP96" s="193"/>
      <c r="BQ96" s="242"/>
      <c r="BR96" s="243"/>
      <c r="BS96" s="193"/>
      <c r="BT96" s="243"/>
      <c r="BX96" s="193"/>
      <c r="BY96" s="193"/>
      <c r="BZ96" s="152"/>
      <c r="CA96" s="152"/>
      <c r="CB96" s="152"/>
      <c r="CC96" s="152"/>
    </row>
    <row r="97" spans="8:81" x14ac:dyDescent="0.25">
      <c r="H97" s="150">
        <v>91</v>
      </c>
      <c r="I97" s="397">
        <f t="shared" si="25"/>
        <v>9.1000000000000011E-2</v>
      </c>
      <c r="J97" s="191"/>
      <c r="K97" s="191"/>
      <c r="L97" s="191"/>
      <c r="M97" s="191"/>
      <c r="N97" s="239"/>
      <c r="O97" s="152"/>
      <c r="P97" s="191"/>
      <c r="Q97" s="386"/>
      <c r="S97" s="240"/>
      <c r="T97" s="240"/>
      <c r="U97" s="240"/>
      <c r="AJ97" s="386"/>
      <c r="AZ97" s="241"/>
      <c r="BJ97" s="193"/>
      <c r="BK97" s="193"/>
      <c r="BL97" s="193"/>
      <c r="BO97" s="152"/>
      <c r="BP97" s="193"/>
      <c r="BQ97" s="242"/>
      <c r="BR97" s="243"/>
      <c r="BS97" s="193"/>
      <c r="BT97" s="243"/>
      <c r="BX97" s="193"/>
      <c r="BY97" s="193"/>
      <c r="BZ97" s="152"/>
      <c r="CA97" s="152"/>
      <c r="CB97" s="152"/>
      <c r="CC97" s="152"/>
    </row>
    <row r="98" spans="8:81" x14ac:dyDescent="0.25">
      <c r="H98" s="150">
        <v>92</v>
      </c>
      <c r="I98" s="397">
        <f t="shared" si="25"/>
        <v>9.2000000000000012E-2</v>
      </c>
      <c r="J98" s="191"/>
      <c r="K98" s="191"/>
      <c r="L98" s="191"/>
      <c r="M98" s="191"/>
      <c r="N98" s="239"/>
      <c r="O98" s="152"/>
      <c r="P98" s="191"/>
      <c r="Q98" s="386"/>
      <c r="S98" s="240"/>
      <c r="T98" s="240"/>
      <c r="U98" s="240"/>
      <c r="AJ98" s="386"/>
      <c r="AZ98" s="241"/>
      <c r="BJ98" s="193"/>
      <c r="BK98" s="193"/>
      <c r="BL98" s="193"/>
      <c r="BO98" s="152"/>
      <c r="BP98" s="193"/>
      <c r="BQ98" s="242"/>
      <c r="BR98" s="243"/>
      <c r="BS98" s="193"/>
      <c r="BT98" s="243"/>
      <c r="BX98" s="193"/>
      <c r="BY98" s="193"/>
      <c r="BZ98" s="152"/>
      <c r="CA98" s="152"/>
      <c r="CB98" s="152"/>
      <c r="CC98" s="152"/>
    </row>
    <row r="99" spans="8:81" x14ac:dyDescent="0.25">
      <c r="H99" s="150">
        <v>93</v>
      </c>
      <c r="I99" s="397">
        <f t="shared" si="25"/>
        <v>9.3000000000000013E-2</v>
      </c>
      <c r="J99" s="191"/>
      <c r="K99" s="191"/>
      <c r="L99" s="191"/>
      <c r="M99" s="191"/>
      <c r="N99" s="239"/>
      <c r="O99" s="152"/>
      <c r="P99" s="191"/>
      <c r="Q99" s="386"/>
      <c r="S99" s="240"/>
      <c r="T99" s="240"/>
      <c r="U99" s="240"/>
      <c r="AJ99" s="386"/>
      <c r="AZ99" s="241"/>
      <c r="BJ99" s="193"/>
      <c r="BK99" s="193"/>
      <c r="BL99" s="193"/>
      <c r="BO99" s="152"/>
      <c r="BP99" s="193"/>
      <c r="BQ99" s="242"/>
      <c r="BR99" s="243"/>
      <c r="BS99" s="193"/>
      <c r="BT99" s="243"/>
      <c r="BX99" s="193"/>
      <c r="BY99" s="193"/>
      <c r="BZ99" s="152"/>
      <c r="CA99" s="152"/>
      <c r="CB99" s="152"/>
      <c r="CC99" s="152"/>
    </row>
    <row r="100" spans="8:81" x14ac:dyDescent="0.25">
      <c r="H100" s="150">
        <v>94</v>
      </c>
      <c r="I100" s="397">
        <f t="shared" si="25"/>
        <v>9.4E-2</v>
      </c>
      <c r="J100" s="191"/>
      <c r="K100" s="191"/>
      <c r="L100" s="191"/>
      <c r="M100" s="191"/>
      <c r="N100" s="239"/>
      <c r="O100" s="152"/>
      <c r="P100" s="191"/>
      <c r="Q100" s="386"/>
      <c r="S100" s="240"/>
      <c r="T100" s="240"/>
      <c r="U100" s="240"/>
      <c r="AJ100" s="386"/>
      <c r="AZ100" s="241"/>
      <c r="BJ100" s="193"/>
      <c r="BK100" s="193"/>
      <c r="BL100" s="193"/>
      <c r="BO100" s="152"/>
      <c r="BP100" s="193"/>
      <c r="BQ100" s="242"/>
      <c r="BR100" s="243"/>
      <c r="BS100" s="193"/>
      <c r="BT100" s="243"/>
      <c r="BX100" s="193"/>
      <c r="BY100" s="193"/>
      <c r="BZ100" s="152"/>
      <c r="CA100" s="152"/>
      <c r="CB100" s="152"/>
      <c r="CC100" s="152"/>
    </row>
    <row r="101" spans="8:81" x14ac:dyDescent="0.25">
      <c r="H101" s="150">
        <v>95</v>
      </c>
      <c r="I101" s="397">
        <f t="shared" si="25"/>
        <v>9.5000000000000001E-2</v>
      </c>
      <c r="J101" s="191"/>
      <c r="K101" s="191"/>
      <c r="L101" s="191"/>
      <c r="M101" s="191"/>
      <c r="N101" s="239"/>
      <c r="O101" s="152"/>
      <c r="P101" s="191"/>
      <c r="Q101" s="386"/>
      <c r="S101" s="240"/>
      <c r="T101" s="240"/>
      <c r="U101" s="240"/>
      <c r="AJ101" s="386"/>
      <c r="AZ101" s="241"/>
      <c r="BJ101" s="193"/>
      <c r="BK101" s="193"/>
      <c r="BL101" s="193"/>
      <c r="BO101" s="152"/>
      <c r="BP101" s="193"/>
      <c r="BQ101" s="242"/>
      <c r="BR101" s="243"/>
      <c r="BS101" s="193"/>
      <c r="BT101" s="243"/>
      <c r="BX101" s="193"/>
      <c r="BY101" s="193"/>
      <c r="BZ101" s="152"/>
      <c r="CA101" s="152"/>
      <c r="CB101" s="152"/>
      <c r="CC101" s="152"/>
    </row>
    <row r="102" spans="8:81" x14ac:dyDescent="0.25">
      <c r="H102" s="150">
        <v>96</v>
      </c>
      <c r="I102" s="397">
        <f t="shared" ref="I102:I106" si="26">IF(PLOT_TYPE=1, H102/100*Iout_max, min_I*EXP(H102*rr/100))</f>
        <v>9.6000000000000002E-2</v>
      </c>
      <c r="J102" s="191"/>
      <c r="K102" s="191"/>
      <c r="L102" s="191"/>
      <c r="M102" s="191"/>
      <c r="N102" s="239"/>
      <c r="O102" s="152"/>
      <c r="P102" s="191"/>
      <c r="Q102" s="386"/>
      <c r="S102" s="240"/>
      <c r="T102" s="240"/>
      <c r="U102" s="240"/>
      <c r="AJ102" s="386"/>
      <c r="AZ102" s="241"/>
      <c r="BJ102" s="193"/>
      <c r="BK102" s="193"/>
      <c r="BL102" s="193"/>
      <c r="BO102" s="152"/>
      <c r="BP102" s="193"/>
      <c r="BQ102" s="242"/>
      <c r="BR102" s="243"/>
      <c r="BS102" s="193"/>
      <c r="BT102" s="243"/>
      <c r="BX102" s="193"/>
      <c r="BY102" s="193"/>
      <c r="BZ102" s="152"/>
      <c r="CA102" s="152"/>
      <c r="CB102" s="152"/>
      <c r="CC102" s="152"/>
    </row>
    <row r="103" spans="8:81" x14ac:dyDescent="0.25">
      <c r="H103" s="150">
        <v>97</v>
      </c>
      <c r="I103" s="397">
        <f t="shared" si="26"/>
        <v>9.7000000000000003E-2</v>
      </c>
      <c r="J103" s="191"/>
      <c r="K103" s="191"/>
      <c r="L103" s="191"/>
      <c r="M103" s="191"/>
      <c r="N103" s="239"/>
      <c r="O103" s="152"/>
      <c r="P103" s="191"/>
      <c r="Q103" s="386"/>
      <c r="S103" s="240"/>
      <c r="T103" s="240"/>
      <c r="U103" s="240"/>
      <c r="AJ103" s="386"/>
      <c r="AZ103" s="241"/>
      <c r="BJ103" s="193"/>
      <c r="BK103" s="193"/>
      <c r="BL103" s="193"/>
      <c r="BO103" s="152"/>
      <c r="BP103" s="193"/>
      <c r="BQ103" s="242"/>
      <c r="BR103" s="243"/>
      <c r="BS103" s="193"/>
      <c r="BT103" s="243"/>
      <c r="BX103" s="193"/>
      <c r="BY103" s="193"/>
      <c r="BZ103" s="152"/>
      <c r="CA103" s="152"/>
      <c r="CB103" s="152"/>
      <c r="CC103" s="152"/>
    </row>
    <row r="104" spans="8:81" x14ac:dyDescent="0.25">
      <c r="H104" s="150">
        <v>98</v>
      </c>
      <c r="I104" s="397">
        <f t="shared" si="26"/>
        <v>9.8000000000000004E-2</v>
      </c>
      <c r="J104" s="191"/>
      <c r="K104" s="191"/>
      <c r="L104" s="191"/>
      <c r="M104" s="191"/>
      <c r="N104" s="239"/>
      <c r="O104" s="152"/>
      <c r="P104" s="191"/>
      <c r="Q104" s="386"/>
      <c r="S104" s="240"/>
      <c r="T104" s="240"/>
      <c r="U104" s="240"/>
      <c r="AJ104" s="386"/>
      <c r="AZ104" s="241"/>
      <c r="BJ104" s="193"/>
      <c r="BK104" s="193"/>
      <c r="BL104" s="193"/>
      <c r="BO104" s="152"/>
      <c r="BP104" s="193"/>
      <c r="BQ104" s="242"/>
      <c r="BR104" s="243"/>
      <c r="BS104" s="193"/>
      <c r="BT104" s="243"/>
      <c r="BX104" s="193"/>
      <c r="BY104" s="193"/>
      <c r="BZ104" s="152"/>
      <c r="CA104" s="152"/>
      <c r="CB104" s="152"/>
      <c r="CC104" s="152"/>
    </row>
    <row r="105" spans="8:81" x14ac:dyDescent="0.25">
      <c r="H105" s="150">
        <v>99</v>
      </c>
      <c r="I105" s="397">
        <f t="shared" si="26"/>
        <v>9.9000000000000005E-2</v>
      </c>
      <c r="J105" s="191"/>
      <c r="K105" s="191"/>
      <c r="L105" s="191"/>
      <c r="M105" s="191"/>
      <c r="N105" s="239"/>
      <c r="O105" s="152"/>
      <c r="P105" s="191"/>
      <c r="Q105" s="386"/>
      <c r="S105" s="240"/>
      <c r="T105" s="240"/>
      <c r="U105" s="240"/>
      <c r="AJ105" s="386"/>
      <c r="AZ105" s="241"/>
      <c r="BJ105" s="193"/>
      <c r="BK105" s="193"/>
      <c r="BL105" s="193"/>
      <c r="BO105" s="152"/>
      <c r="BP105" s="193"/>
      <c r="BQ105" s="242"/>
      <c r="BR105" s="243"/>
      <c r="BS105" s="193"/>
      <c r="BT105" s="243"/>
      <c r="BX105" s="193"/>
      <c r="BY105" s="193"/>
      <c r="BZ105" s="152"/>
      <c r="CA105" s="152"/>
      <c r="CB105" s="152"/>
      <c r="CC105" s="152"/>
    </row>
    <row r="106" spans="8:81" x14ac:dyDescent="0.25">
      <c r="H106" s="150">
        <v>100</v>
      </c>
      <c r="I106" s="397">
        <f t="shared" si="26"/>
        <v>0.1</v>
      </c>
      <c r="J106" s="191"/>
      <c r="K106" s="191"/>
      <c r="L106" s="191"/>
      <c r="M106" s="191"/>
      <c r="N106" s="239"/>
      <c r="O106" s="152"/>
      <c r="P106" s="191"/>
      <c r="Q106" s="386"/>
      <c r="S106" s="240"/>
      <c r="T106" s="240"/>
      <c r="U106" s="240"/>
      <c r="AJ106" s="386"/>
      <c r="AY106" s="190">
        <f>Vout*I106</f>
        <v>2</v>
      </c>
      <c r="AZ106" s="241">
        <f t="shared" ref="AZ106" si="27">AY106/(AY106+AX106)</f>
        <v>1</v>
      </c>
      <c r="BA106" s="299">
        <f t="shared" ref="BA106" si="28">AG106/($AY106+$AX106)</f>
        <v>0</v>
      </c>
      <c r="BB106" s="299">
        <f t="shared" ref="BB106" si="29">AO106/($AY106+$AX106)</f>
        <v>0</v>
      </c>
      <c r="BC106" s="299" t="e">
        <f t="shared" ref="BC106" si="30">Vin*R106*(QgBot+Qg)/($AY106+$AX106)</f>
        <v>#NAME?</v>
      </c>
      <c r="BD106" s="299">
        <f t="shared" ref="BD106" si="31">AK106/($AY106+$AX106)</f>
        <v>0</v>
      </c>
      <c r="BE106" s="299">
        <f t="shared" ref="BE106" si="32">AQ106/(AX106+AY106)</f>
        <v>0</v>
      </c>
      <c r="BF106" s="299">
        <f t="shared" ref="BF106" si="33">AR106/($AY106+$AX106)</f>
        <v>0</v>
      </c>
      <c r="BG106" s="299">
        <f t="shared" ref="BG106" si="34">W106/($AY106+$AX106)</f>
        <v>0</v>
      </c>
      <c r="BH106" s="299">
        <f t="shared" ref="BH106" si="35">X106/($AY106+$AX106)</f>
        <v>0</v>
      </c>
      <c r="BI106" s="299">
        <f t="shared" ref="BI106" si="36">(AB106+AE106)/($AY106+$AX106)</f>
        <v>0</v>
      </c>
      <c r="BJ106" s="193">
        <f t="shared" ref="BJ106" si="37">AT106/($AY106+$AX106)</f>
        <v>0</v>
      </c>
      <c r="BK106" s="193">
        <f t="shared" ref="BK106" si="38">AX106/($AY106+$AX106)</f>
        <v>0</v>
      </c>
      <c r="BL106" s="193">
        <f t="shared" ref="BL106" si="39">AZ106</f>
        <v>1</v>
      </c>
      <c r="BM106" s="152">
        <f t="shared" ref="BM106" si="40">100*BL106</f>
        <v>100</v>
      </c>
      <c r="BN106" s="191">
        <f xml:space="preserve"> CHOOSE(MODE, I106*1000,#REF!)</f>
        <v>100</v>
      </c>
      <c r="BO106" s="152">
        <v>88.698181382326453</v>
      </c>
      <c r="BP106" s="193">
        <f t="shared" ref="BP106" si="41">BO106/100</f>
        <v>0.88698181382326458</v>
      </c>
      <c r="BQ106" s="242">
        <f t="shared" ref="BQ106" si="42">R106/1000</f>
        <v>0</v>
      </c>
      <c r="BR106" s="243"/>
      <c r="BS106" s="193">
        <f t="shared" ref="BS106" si="43">AL106/($AY106+$AX106)</f>
        <v>0</v>
      </c>
      <c r="BT106" s="243"/>
      <c r="BU106" s="152">
        <f t="shared" ref="BU106" si="44">1000*AW106</f>
        <v>0</v>
      </c>
      <c r="BV106" s="152">
        <f t="shared" ref="BV106" si="45">1000*AU106</f>
        <v>0</v>
      </c>
      <c r="BW106" s="152">
        <f t="shared" ref="BW106" si="46">1000*Y106</f>
        <v>0</v>
      </c>
      <c r="BX106" s="193"/>
      <c r="BY106" s="193"/>
      <c r="BZ106" s="152">
        <f xml:space="preserve"> IF(MODE=1, BM106,#REF!)</f>
        <v>100</v>
      </c>
      <c r="CA106" s="152">
        <f xml:space="preserve"> IF(MODE=1, BU106,#REF!)</f>
        <v>0</v>
      </c>
      <c r="CB106" s="152">
        <f xml:space="preserve"> IF(MODE=1, BV106,#REF!)</f>
        <v>0</v>
      </c>
      <c r="CC106" s="152">
        <f xml:space="preserve"> IF(MODE=1, BW106,#REF!)</f>
        <v>0</v>
      </c>
    </row>
    <row r="107" spans="8:81" x14ac:dyDescent="0.25">
      <c r="BQ107" s="242"/>
      <c r="BR107" s="243"/>
      <c r="BS107" s="243"/>
      <c r="BT107" s="243"/>
      <c r="BX107" s="193"/>
      <c r="BY107" s="193"/>
    </row>
    <row r="108" spans="8:81" x14ac:dyDescent="0.25">
      <c r="H108" s="288">
        <v>1.0000000000000001E-5</v>
      </c>
      <c r="I108" s="191" t="s">
        <v>1</v>
      </c>
      <c r="J108" s="190" t="s">
        <v>275</v>
      </c>
      <c r="AG108" s="190">
        <v>4.9516878778202269E-3</v>
      </c>
      <c r="AH108" s="190">
        <v>3.7188236700537959E-3</v>
      </c>
      <c r="AI108">
        <v>20</v>
      </c>
      <c r="AJ108" s="190">
        <v>18.943591787921068</v>
      </c>
      <c r="AK108" s="190">
        <v>4.1453367485397245E-3</v>
      </c>
      <c r="AL108" s="190">
        <v>7.1640215182307235E-3</v>
      </c>
      <c r="AN108" s="190">
        <v>9.1940431932401354E-2</v>
      </c>
      <c r="AO108" s="190">
        <v>8.4530430239165271E-3</v>
      </c>
      <c r="AP108" s="190">
        <v>9.3281530185295868E-4</v>
      </c>
      <c r="AQ108" s="190">
        <v>9.1178757202630047E-3</v>
      </c>
      <c r="AR108" s="190">
        <v>1.2140752334887425E-3</v>
      </c>
      <c r="AS108" s="190">
        <v>1.8784993977668273E-2</v>
      </c>
      <c r="AZ108" s="289" t="s">
        <v>279</v>
      </c>
      <c r="BA108" s="306">
        <v>3.6409104085968987E-3</v>
      </c>
      <c r="BB108" s="306">
        <v>6.5692245841190103E-3</v>
      </c>
      <c r="BC108" s="306">
        <v>5.4394694205683519E-2</v>
      </c>
      <c r="BD108" s="306">
        <v>4.5907837520612008E-3</v>
      </c>
      <c r="BE108" s="306">
        <v>0</v>
      </c>
      <c r="BF108" s="306">
        <v>7.3751579484765363E-4</v>
      </c>
      <c r="BG108" s="306">
        <v>7.2151246180390156E-3</v>
      </c>
      <c r="BH108" s="306">
        <v>1.4929120352630757E-2</v>
      </c>
      <c r="BI108" s="306">
        <v>5.5024434421027814E-6</v>
      </c>
      <c r="BJ108" s="306">
        <v>8.2551506228875166E-2</v>
      </c>
    </row>
    <row r="109" spans="8:81" x14ac:dyDescent="0.25">
      <c r="H109" s="238">
        <f>Iout_max</f>
        <v>0.1</v>
      </c>
      <c r="I109" s="191" t="s">
        <v>1</v>
      </c>
      <c r="J109" s="190" t="s">
        <v>276</v>
      </c>
      <c r="AZ109" s="289" t="s">
        <v>277</v>
      </c>
      <c r="BA109" s="306">
        <v>8.1000709018000279E-3</v>
      </c>
      <c r="BB109" s="306">
        <v>1.4614802049391215E-2</v>
      </c>
      <c r="BC109" s="306">
        <v>2.4831534664325892E-2</v>
      </c>
      <c r="BD109" s="306">
        <v>9.9057039827182662E-3</v>
      </c>
      <c r="BE109" s="306">
        <v>1.1631608311305648E-2</v>
      </c>
      <c r="BF109" s="306">
        <v>1.6465542803473395E-3</v>
      </c>
      <c r="BG109" s="306">
        <v>1.6051760250250457E-2</v>
      </c>
      <c r="BH109" s="306">
        <v>6.8152413568584669E-3</v>
      </c>
      <c r="BI109" s="306">
        <v>1.7517781122613987E-5</v>
      </c>
      <c r="BJ109" s="306">
        <v>1.2837829865088564E-2</v>
      </c>
    </row>
    <row r="110" spans="8:81" x14ac:dyDescent="0.25">
      <c r="H110" s="238">
        <f>LOG(max_I/min_I,EXP(1))</f>
        <v>9.2103403719761836</v>
      </c>
      <c r="I110" s="191"/>
      <c r="J110" s="190" t="s">
        <v>278</v>
      </c>
    </row>
    <row r="111" spans="8:81" x14ac:dyDescent="0.25">
      <c r="AZ111" s="289"/>
      <c r="BA111" s="306"/>
      <c r="BB111" s="306"/>
      <c r="BC111" s="306"/>
      <c r="BD111" s="306"/>
      <c r="BE111" s="306"/>
      <c r="BF111" s="306"/>
      <c r="BG111" s="306"/>
      <c r="BH111" s="306"/>
      <c r="BI111" s="306"/>
      <c r="BJ111" s="306"/>
    </row>
    <row r="112" spans="8:81" x14ac:dyDescent="0.25">
      <c r="J112" s="290"/>
      <c r="R112" s="291"/>
      <c r="S112" s="291"/>
      <c r="T112" s="291"/>
      <c r="U112" s="291"/>
      <c r="V112" s="292"/>
    </row>
    <row r="113" spans="10:22" x14ac:dyDescent="0.25">
      <c r="J113" s="290"/>
      <c r="R113" s="291"/>
      <c r="S113" s="291"/>
      <c r="T113" s="291"/>
      <c r="U113" s="291"/>
      <c r="V113" s="292"/>
    </row>
    <row r="114" spans="10:22" x14ac:dyDescent="0.25">
      <c r="R114" s="291"/>
      <c r="S114" s="291"/>
      <c r="T114" s="291"/>
      <c r="U114" s="291"/>
      <c r="V114" s="292"/>
    </row>
    <row r="116" spans="10:22" x14ac:dyDescent="0.25">
      <c r="R116" s="291"/>
      <c r="S116" s="291"/>
      <c r="T116" s="291"/>
      <c r="U116" s="291"/>
      <c r="V116" s="292"/>
    </row>
    <row r="126" spans="10:22" x14ac:dyDescent="0.25">
      <c r="J126" s="150"/>
    </row>
    <row r="127" spans="10:22" x14ac:dyDescent="0.25">
      <c r="J127" s="150"/>
    </row>
    <row r="128" spans="10:22" x14ac:dyDescent="0.25">
      <c r="J128" s="150"/>
    </row>
    <row r="129" spans="10:10" x14ac:dyDescent="0.25">
      <c r="J129" s="191"/>
    </row>
    <row r="130" spans="10:10" x14ac:dyDescent="0.25">
      <c r="J130" s="191"/>
    </row>
    <row r="131" spans="10:10" x14ac:dyDescent="0.25">
      <c r="J131" s="191"/>
    </row>
    <row r="132" spans="10:10" x14ac:dyDescent="0.25">
      <c r="J132" s="191"/>
    </row>
    <row r="133" spans="10:10" x14ac:dyDescent="0.25">
      <c r="J133" s="191"/>
    </row>
  </sheetData>
  <mergeCells count="4">
    <mergeCell ref="A1:E3"/>
    <mergeCell ref="G2:H2"/>
    <mergeCell ref="A4:E4"/>
    <mergeCell ref="K4:U4"/>
  </mergeCells>
  <conditionalFormatting sqref="B26:B28">
    <cfRule type="cellIs" dxfId="9" priority="8" stopIfTrue="1" operator="notEqual">
      <formula>G28</formula>
    </cfRule>
  </conditionalFormatting>
  <conditionalFormatting sqref="B29">
    <cfRule type="cellIs" dxfId="8" priority="145" stopIfTrue="1" operator="notEqual">
      <formula>G30</formula>
    </cfRule>
  </conditionalFormatting>
  <conditionalFormatting sqref="B30:B33">
    <cfRule type="cellIs" dxfId="7" priority="6" stopIfTrue="1" operator="notEqual">
      <formula>G36</formula>
    </cfRule>
  </conditionalFormatting>
  <conditionalFormatting sqref="B35:B36">
    <cfRule type="cellIs" dxfId="6" priority="5" stopIfTrue="1" operator="notEqual">
      <formula>G42</formula>
    </cfRule>
  </conditionalFormatting>
  <conditionalFormatting sqref="B38:B39">
    <cfRule type="cellIs" dxfId="5" priority="147" stopIfTrue="1" operator="notEqual">
      <formula>G43</formula>
    </cfRule>
  </conditionalFormatting>
  <conditionalFormatting sqref="B41">
    <cfRule type="cellIs" dxfId="4" priority="4" stopIfTrue="1" operator="notEqual">
      <formula>G53</formula>
    </cfRule>
  </conditionalFormatting>
  <conditionalFormatting sqref="B43:B45">
    <cfRule type="cellIs" dxfId="3" priority="13" stopIfTrue="1" operator="notEqual">
      <formula>G54</formula>
    </cfRule>
  </conditionalFormatting>
  <conditionalFormatting sqref="B46">
    <cfRule type="cellIs" dxfId="2" priority="2" stopIfTrue="1" operator="notEqual">
      <formula>G66</formula>
    </cfRule>
  </conditionalFormatting>
  <conditionalFormatting sqref="B48:B53">
    <cfRule type="cellIs" dxfId="1" priority="9" stopIfTrue="1" operator="notEqual">
      <formula>G68</formula>
    </cfRule>
  </conditionalFormatting>
  <pageMargins left="0.75" right="0.75" top="1" bottom="1" header="0.5" footer="0.5"/>
  <pageSetup scale="79" orientation="portrait" r:id="rId1"/>
  <headerFooter alignWithMargins="0"/>
  <colBreaks count="1" manualBreakCount="1">
    <brk id="7" max="1048575" man="1"/>
  </colBreaks>
  <ignoredErrors>
    <ignoredError sqref="B8:B9 BQ6:BQ7 B41" unlockedFormula="1"/>
    <ignoredError sqref="D11 D37" formula="1"/>
  </ignoredErrors>
  <drawing r:id="rId2"/>
  <legacyDrawing r:id="rId3"/>
  <oleObjects>
    <mc:AlternateContent xmlns:mc="http://schemas.openxmlformats.org/markup-compatibility/2006">
      <mc:Choice Requires="x14">
        <oleObject progId="Visio.Drawing.11" shapeId="683009" r:id="rId4">
          <objectPr defaultSize="0" autoPict="0" r:id="rId5">
            <anchor moveWithCells="1">
              <from>
                <xdr:col>22</xdr:col>
                <xdr:colOff>182880</xdr:colOff>
                <xdr:row>111</xdr:row>
                <xdr:rowOff>144780</xdr:rowOff>
              </from>
              <to>
                <xdr:col>36</xdr:col>
                <xdr:colOff>22860</xdr:colOff>
                <xdr:row>125</xdr:row>
                <xdr:rowOff>144780</xdr:rowOff>
              </to>
            </anchor>
          </objectPr>
        </oleObject>
      </mc:Choice>
      <mc:Fallback>
        <oleObject progId="Visio.Drawing.11" shapeId="683009"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201</vt:i4>
      </vt:variant>
    </vt:vector>
  </HeadingPairs>
  <TitlesOfParts>
    <vt:vector size="214" baseType="lpstr">
      <vt:lpstr>LM(2)518x PSR flyback converter</vt:lpstr>
      <vt:lpstr>BOM &amp; Schematic</vt:lpstr>
      <vt:lpstr>EVM Examples Layouts</vt:lpstr>
      <vt:lpstr>Variable Mgmt</vt:lpstr>
      <vt:lpstr>Stability Calculations</vt:lpstr>
      <vt:lpstr>Calculations - Single</vt:lpstr>
      <vt:lpstr>Calculations - Dual</vt:lpstr>
      <vt:lpstr>Fsw vs VIN</vt:lpstr>
      <vt:lpstr>Parameters</vt:lpstr>
      <vt:lpstr>Efficiency Plots</vt:lpstr>
      <vt:lpstr>Fsw Plots</vt:lpstr>
      <vt:lpstr>Schematic Mgmt</vt:lpstr>
      <vt:lpstr>Standard Value Calculator</vt:lpstr>
      <vt:lpstr>_Don1</vt:lpstr>
      <vt:lpstr>Acs</vt:lpstr>
      <vt:lpstr>Adc</vt:lpstr>
      <vt:lpstr>Aea</vt:lpstr>
      <vt:lpstr>Afb</vt:lpstr>
      <vt:lpstr>Am</vt:lpstr>
      <vt:lpstr>BODE_TYPE</vt:lpstr>
      <vt:lpstr>Cb</vt:lpstr>
      <vt:lpstr>Ccomp</vt:lpstr>
      <vt:lpstr>Chf</vt:lpstr>
      <vt:lpstr>Parameters!Cin</vt:lpstr>
      <vt:lpstr>Cin</vt:lpstr>
      <vt:lpstr>CinEsrMax</vt:lpstr>
      <vt:lpstr>Cinmin</vt:lpstr>
      <vt:lpstr>CONFIG</vt:lpstr>
      <vt:lpstr>Coss</vt:lpstr>
      <vt:lpstr>Parameters!Cout</vt:lpstr>
      <vt:lpstr>Cout</vt:lpstr>
      <vt:lpstr>Cout_pri</vt:lpstr>
      <vt:lpstr>Cout_sec</vt:lpstr>
      <vt:lpstr>Cout_Voltage_Rating</vt:lpstr>
      <vt:lpstr>Cout2</vt:lpstr>
      <vt:lpstr>CoutEsr</vt:lpstr>
      <vt:lpstr>CoutEsr2</vt:lpstr>
      <vt:lpstr>Css</vt:lpstr>
      <vt:lpstr>Css_u</vt:lpstr>
      <vt:lpstr>Csw</vt:lpstr>
      <vt:lpstr>Diode_TC</vt:lpstr>
      <vt:lpstr>Don_Vinmax</vt:lpstr>
      <vt:lpstr>Don_Vinmin</vt:lpstr>
      <vt:lpstr>Don_Vinnom</vt:lpstr>
      <vt:lpstr>EFF_DUAL</vt:lpstr>
      <vt:lpstr>EFF_SINGLE</vt:lpstr>
      <vt:lpstr>Efficiency</vt:lpstr>
      <vt:lpstr>Parameters!Fsw</vt:lpstr>
      <vt:lpstr>Fsw_DCM</vt:lpstr>
      <vt:lpstr>Fsw_DUAL</vt:lpstr>
      <vt:lpstr>Fsw_max</vt:lpstr>
      <vt:lpstr>Fsw_SINGLE</vt:lpstr>
      <vt:lpstr>gmEA</vt:lpstr>
      <vt:lpstr>Icinrms</vt:lpstr>
      <vt:lpstr>Icoutrms</vt:lpstr>
      <vt:lpstr>Iin_Vinmax</vt:lpstr>
      <vt:lpstr>Iin_Vinmin</vt:lpstr>
      <vt:lpstr>Iin_Vinnom</vt:lpstr>
      <vt:lpstr>ILIM_delay</vt:lpstr>
      <vt:lpstr>Iout</vt:lpstr>
      <vt:lpstr>Iout_eff</vt:lpstr>
      <vt:lpstr>Iout_max</vt:lpstr>
      <vt:lpstr>Iout2</vt:lpstr>
      <vt:lpstr>Iout2_actual</vt:lpstr>
      <vt:lpstr>'Calculations - Dual'!Ioutmax_Vinmax</vt:lpstr>
      <vt:lpstr>Ioutmax_Vinmax</vt:lpstr>
      <vt:lpstr>'Calculations - Dual'!Ioutmax_Vinmin</vt:lpstr>
      <vt:lpstr>Ioutmax_Vinmin</vt:lpstr>
      <vt:lpstr>'Calculations - Dual'!Ioutmax_Vinnom</vt:lpstr>
      <vt:lpstr>Ioutmax_Vinnom</vt:lpstr>
      <vt:lpstr>IQ</vt:lpstr>
      <vt:lpstr>Iripple</vt:lpstr>
      <vt:lpstr>Isat</vt:lpstr>
      <vt:lpstr>Iss</vt:lpstr>
      <vt:lpstr>Isw_max</vt:lpstr>
      <vt:lpstr>Isw_min</vt:lpstr>
      <vt:lpstr>Iuvlo_hys</vt:lpstr>
      <vt:lpstr>Iuvlo1</vt:lpstr>
      <vt:lpstr>Iuvlo2</vt:lpstr>
      <vt:lpstr>k_core</vt:lpstr>
      <vt:lpstr>L</vt:lpstr>
      <vt:lpstr>Lleak</vt:lpstr>
      <vt:lpstr>Lmag</vt:lpstr>
      <vt:lpstr>Lmin</vt:lpstr>
      <vt:lpstr>Ltc</vt:lpstr>
      <vt:lpstr>M</vt:lpstr>
      <vt:lpstr>max_I</vt:lpstr>
      <vt:lpstr>min_I</vt:lpstr>
      <vt:lpstr>MODE</vt:lpstr>
      <vt:lpstr>MODE_SS</vt:lpstr>
      <vt:lpstr>MODE_TC</vt:lpstr>
      <vt:lpstr>MODE_TOP</vt:lpstr>
      <vt:lpstr>MODE_UVLO</vt:lpstr>
      <vt:lpstr>Npri_sec</vt:lpstr>
      <vt:lpstr>Npri_sec1</vt:lpstr>
      <vt:lpstr>Npri_sec2</vt:lpstr>
      <vt:lpstr>Nps</vt:lpstr>
      <vt:lpstr>Nsec1sec2</vt:lpstr>
      <vt:lpstr>OffTime</vt:lpstr>
      <vt:lpstr>OnTime</vt:lpstr>
      <vt:lpstr>Pi</vt:lpstr>
      <vt:lpstr>Pin</vt:lpstr>
      <vt:lpstr>PLOT_TYPE</vt:lpstr>
      <vt:lpstr>pole1</vt:lpstr>
      <vt:lpstr>Pole2</vt:lpstr>
      <vt:lpstr>pole3</vt:lpstr>
      <vt:lpstr>pole4</vt:lpstr>
      <vt:lpstr>Pout</vt:lpstr>
      <vt:lpstr>Pout_total</vt:lpstr>
      <vt:lpstr>Pout2</vt:lpstr>
      <vt:lpstr>'BOM &amp; Schematic'!Print_Area</vt:lpstr>
      <vt:lpstr>'LM(2)518x PSR flyback converter'!Print_Area</vt:lpstr>
      <vt:lpstr>pterm1</vt:lpstr>
      <vt:lpstr>pterm2</vt:lpstr>
      <vt:lpstr>Qg</vt:lpstr>
      <vt:lpstr>radconv</vt:lpstr>
      <vt:lpstr>Parameters!RCinEsr</vt:lpstr>
      <vt:lpstr>RCinEsr</vt:lpstr>
      <vt:lpstr>Rcomp</vt:lpstr>
      <vt:lpstr>Parameters!RCoutEsr</vt:lpstr>
      <vt:lpstr>RCoutEsr</vt:lpstr>
      <vt:lpstr>Rcs_gain</vt:lpstr>
      <vt:lpstr>Rdcr_pri</vt:lpstr>
      <vt:lpstr>Rdcr_sec</vt:lpstr>
      <vt:lpstr>Rdcr_sec2</vt:lpstr>
      <vt:lpstr>Rdiode</vt:lpstr>
      <vt:lpstr>Rdson</vt:lpstr>
      <vt:lpstr>RdsonTC</vt:lpstr>
      <vt:lpstr>REAout</vt:lpstr>
      <vt:lpstr>Rfb</vt:lpstr>
      <vt:lpstr>Rfb_recommend</vt:lpstr>
      <vt:lpstr>Rfb2_u</vt:lpstr>
      <vt:lpstr>Rload_pri</vt:lpstr>
      <vt:lpstr>Rload_sec</vt:lpstr>
      <vt:lpstr>Rout</vt:lpstr>
      <vt:lpstr>Rout2</vt:lpstr>
      <vt:lpstr>rr</vt:lpstr>
      <vt:lpstr>RTC</vt:lpstr>
      <vt:lpstr>RTC_1</vt:lpstr>
      <vt:lpstr>Ruvlo1</vt:lpstr>
      <vt:lpstr>Ruvlo2</vt:lpstr>
      <vt:lpstr>SCH_BIPOLAR_UVLOadj_SSadj_TCno</vt:lpstr>
      <vt:lpstr>SCH_BIPOLAR_UVLOadj_SSadj_TCyes</vt:lpstr>
      <vt:lpstr>SCH_BIPOLAR_UVLOadj_SSint_TCno</vt:lpstr>
      <vt:lpstr>SCH_BIPOLAR_UVLOadj_SSint_TCyes</vt:lpstr>
      <vt:lpstr>SCH_BIPOLAR_UVLOint_SSadj_TCno</vt:lpstr>
      <vt:lpstr>SCH_BIPOLAR_UVLOint_SSadj_TCyes</vt:lpstr>
      <vt:lpstr>SCH_BIPOLAR_UVLOint_SSint_TCno</vt:lpstr>
      <vt:lpstr>SCH_BIPOLAR_UVLOint_SSint_TCyes</vt:lpstr>
      <vt:lpstr>SCH_DUAL_UVLOadj_SSadj_TCno</vt:lpstr>
      <vt:lpstr>SCH_DUAL_UVLOadj_SSadj_TCyes</vt:lpstr>
      <vt:lpstr>SCH_DUAL_UVLOadj_SSint_TCno</vt:lpstr>
      <vt:lpstr>SCH_DUAL_UVLOadj_SSint_TCyes</vt:lpstr>
      <vt:lpstr>SCH_DUAL_UVLOint_SSadj_TCno</vt:lpstr>
      <vt:lpstr>SCH_DUAL_UVLOint_SSadj_TCyes</vt:lpstr>
      <vt:lpstr>SCH_DUAL_UVLOint_SSint_TCno</vt:lpstr>
      <vt:lpstr>SCH_DUAL_UVLOint_SSint_TCyes</vt:lpstr>
      <vt:lpstr>SCH_SINGLE_UVLOadj_SSadj_TCno</vt:lpstr>
      <vt:lpstr>SCH_SINGLE_UVLOadj_SSadj_TCyes</vt:lpstr>
      <vt:lpstr>SCH_SINGLE_UVLOadj_SSint_TCno</vt:lpstr>
      <vt:lpstr>SCH_SINGLE_UVLOadj_SSint_TCyes</vt:lpstr>
      <vt:lpstr>SCH_SINGLE_UVLOint_SSadj_TCno</vt:lpstr>
      <vt:lpstr>SCH_SINGLE_UVLOint_SSadj_TCyes</vt:lpstr>
      <vt:lpstr>SCH_SINGLE_UVLOint_SSint_TCno</vt:lpstr>
      <vt:lpstr>SCH_SINGLE_UVLOint_SSint_TCyes</vt:lpstr>
      <vt:lpstr>Parameters!Ta</vt:lpstr>
      <vt:lpstr>Ta</vt:lpstr>
      <vt:lpstr>TC</vt:lpstr>
      <vt:lpstr>Tfall</vt:lpstr>
      <vt:lpstr>ThetaCa</vt:lpstr>
      <vt:lpstr>ThetaJA</vt:lpstr>
      <vt:lpstr>TL</vt:lpstr>
      <vt:lpstr>toff_max</vt:lpstr>
      <vt:lpstr>Toff_Vinmax</vt:lpstr>
      <vt:lpstr>Ton_Vinmin</vt:lpstr>
      <vt:lpstr>Trise</vt:lpstr>
      <vt:lpstr>TrrBot</vt:lpstr>
      <vt:lpstr>Tss</vt:lpstr>
      <vt:lpstr>Tsw</vt:lpstr>
      <vt:lpstr>Turns_Ratio</vt:lpstr>
      <vt:lpstr>Turns_Ratio2</vt:lpstr>
      <vt:lpstr>VARIANT</vt:lpstr>
      <vt:lpstr>Vdd</vt:lpstr>
      <vt:lpstr>Vfwd1</vt:lpstr>
      <vt:lpstr>Vfwd2</vt:lpstr>
      <vt:lpstr>Vin</vt:lpstr>
      <vt:lpstr>Vin_eff</vt:lpstr>
      <vt:lpstr>VIN_max</vt:lpstr>
      <vt:lpstr>VIN_MAX_RATING</vt:lpstr>
      <vt:lpstr>VIN_min</vt:lpstr>
      <vt:lpstr>VIN_nom</vt:lpstr>
      <vt:lpstr>Vinripple1</vt:lpstr>
      <vt:lpstr>Vinripple2</vt:lpstr>
      <vt:lpstr>VINuvlo_off</vt:lpstr>
      <vt:lpstr>VINuvlo_on</vt:lpstr>
      <vt:lpstr>Vout</vt:lpstr>
      <vt:lpstr>Vout_eff</vt:lpstr>
      <vt:lpstr>Vout_ripple</vt:lpstr>
      <vt:lpstr>Vout_ripple2</vt:lpstr>
      <vt:lpstr>Vout2</vt:lpstr>
      <vt:lpstr>Vout2_actual</vt:lpstr>
      <vt:lpstr>Vref</vt:lpstr>
      <vt:lpstr>Vripple1_actual</vt:lpstr>
      <vt:lpstr>Vripple1_spec</vt:lpstr>
      <vt:lpstr>Vripple2_actual</vt:lpstr>
      <vt:lpstr>Vripple2_spec</vt:lpstr>
      <vt:lpstr>VRRM_DIODE</vt:lpstr>
      <vt:lpstr>Vsw_max</vt:lpstr>
      <vt:lpstr>Vuvlo_hys</vt:lpstr>
      <vt:lpstr>Vuvlo_off</vt:lpstr>
      <vt:lpstr>Vuvlo_on</vt:lpstr>
      <vt:lpstr>z_RHP</vt:lpstr>
      <vt:lpstr>Zero1</vt:lpstr>
      <vt:lpstr>Zero2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LM5180 Design Calculator</dc:title>
  <dc:creator>Timothy Hegarty</dc:creator>
  <cp:keywords>LM5180 PSR flyback converter</cp:keywords>
  <cp:lastModifiedBy>Nicholas N Loehrke</cp:lastModifiedBy>
  <cp:lastPrinted>2016-03-02T21:18:53Z</cp:lastPrinted>
  <dcterms:created xsi:type="dcterms:W3CDTF">1996-10-14T23:33:28Z</dcterms:created>
  <dcterms:modified xsi:type="dcterms:W3CDTF">2024-10-30T20:54:13Z</dcterms:modified>
</cp:coreProperties>
</file>